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C4A1CD7F-BFB1-4DE6-A6FC-DFB17A83CB71}" xr6:coauthVersionLast="44" xr6:coauthVersionMax="44" xr10:uidLastSave="{00000000-0000-0000-0000-000000000000}"/>
  <bookViews>
    <workbookView xWindow="-120" yWindow="-120" windowWidth="20730" windowHeight="11160"/>
  </bookViews>
  <sheets>
    <sheet name="Feuil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73" i="1" l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F1129" i="1"/>
  <c r="E1129" i="1"/>
  <c r="F1128" i="1"/>
  <c r="E1128" i="1"/>
  <c r="F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E1074" i="1"/>
  <c r="F1073" i="1"/>
  <c r="E1073" i="1"/>
  <c r="F1072" i="1"/>
  <c r="E1072" i="1"/>
  <c r="F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F1026" i="1"/>
  <c r="E1026" i="1"/>
  <c r="F1025" i="1"/>
  <c r="E1025" i="1"/>
  <c r="F1024" i="1"/>
  <c r="E1024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0" i="1"/>
  <c r="F979" i="1"/>
  <c r="F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F891" i="1"/>
  <c r="E891" i="1"/>
  <c r="F890" i="1"/>
  <c r="E890" i="1"/>
  <c r="F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F847" i="1"/>
  <c r="E847" i="1"/>
  <c r="F846" i="1"/>
  <c r="E846" i="1"/>
  <c r="F845" i="1"/>
  <c r="E845" i="1"/>
  <c r="F844" i="1"/>
  <c r="E844" i="1"/>
  <c r="F843" i="1"/>
  <c r="E843" i="1"/>
  <c r="F842" i="1"/>
  <c r="F841" i="1"/>
  <c r="F840" i="1"/>
  <c r="F839" i="1"/>
  <c r="F838" i="1"/>
  <c r="F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F795" i="1"/>
  <c r="F793" i="1"/>
  <c r="F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E763" i="1"/>
  <c r="F762" i="1"/>
  <c r="E762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F736" i="1"/>
  <c r="E736" i="1"/>
  <c r="F735" i="1"/>
  <c r="E735" i="1"/>
  <c r="F734" i="1"/>
  <c r="E734" i="1"/>
  <c r="F733" i="1"/>
  <c r="E733" i="1"/>
  <c r="F732" i="1"/>
  <c r="E732" i="1"/>
  <c r="F731" i="1"/>
  <c r="F730" i="1"/>
  <c r="F729" i="1"/>
  <c r="E729" i="1"/>
  <c r="F728" i="1"/>
  <c r="F727" i="1"/>
  <c r="E727" i="1"/>
  <c r="F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F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F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F683" i="1"/>
  <c r="F682" i="1"/>
  <c r="F681" i="1"/>
  <c r="E680" i="1"/>
  <c r="F679" i="1"/>
  <c r="F677" i="1"/>
  <c r="E677" i="1"/>
  <c r="F676" i="1"/>
  <c r="E676" i="1"/>
  <c r="F675" i="1"/>
  <c r="E675" i="1"/>
  <c r="F674" i="1"/>
  <c r="F673" i="1"/>
  <c r="F672" i="1"/>
  <c r="F671" i="1"/>
  <c r="F670" i="1"/>
  <c r="E670" i="1"/>
  <c r="F669" i="1"/>
  <c r="E669" i="1"/>
  <c r="F668" i="1"/>
  <c r="F667" i="1"/>
  <c r="E667" i="1"/>
  <c r="F666" i="1"/>
  <c r="E666" i="1"/>
  <c r="F665" i="1"/>
  <c r="F664" i="1"/>
  <c r="F663" i="1"/>
  <c r="F662" i="1"/>
  <c r="E662" i="1"/>
  <c r="F661" i="1"/>
  <c r="E661" i="1"/>
  <c r="F660" i="1"/>
  <c r="F659" i="1"/>
  <c r="F658" i="1"/>
  <c r="F657" i="1"/>
  <c r="F656" i="1"/>
  <c r="F655" i="1"/>
  <c r="F654" i="1"/>
  <c r="F653" i="1"/>
  <c r="F651" i="1"/>
  <c r="F650" i="1"/>
  <c r="F649" i="1"/>
  <c r="E649" i="1"/>
  <c r="F648" i="1"/>
  <c r="F647" i="1"/>
  <c r="E647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F631" i="1"/>
  <c r="E631" i="1"/>
  <c r="F630" i="1"/>
  <c r="E630" i="1"/>
  <c r="F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F619" i="1"/>
  <c r="E619" i="1"/>
  <c r="F618" i="1"/>
  <c r="E618" i="1"/>
  <c r="F617" i="1"/>
  <c r="E617" i="1"/>
  <c r="F616" i="1"/>
  <c r="F615" i="1"/>
  <c r="E615" i="1"/>
  <c r="F614" i="1"/>
  <c r="E614" i="1"/>
  <c r="F612" i="1"/>
  <c r="E612" i="1"/>
  <c r="E611" i="1"/>
  <c r="F610" i="1"/>
  <c r="E610" i="1"/>
  <c r="F609" i="1"/>
  <c r="E609" i="1"/>
  <c r="F608" i="1"/>
  <c r="E608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E599" i="1"/>
  <c r="F598" i="1"/>
  <c r="E598" i="1"/>
  <c r="F597" i="1"/>
  <c r="E597" i="1"/>
  <c r="F596" i="1"/>
  <c r="E596" i="1"/>
  <c r="F595" i="1"/>
  <c r="E595" i="1"/>
  <c r="F594" i="1"/>
  <c r="E594" i="1"/>
  <c r="E593" i="1"/>
  <c r="F592" i="1"/>
  <c r="E592" i="1"/>
  <c r="F590" i="1"/>
  <c r="F589" i="1"/>
  <c r="E589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0" i="1"/>
  <c r="F579" i="1"/>
  <c r="F578" i="1"/>
  <c r="F577" i="1"/>
  <c r="E577" i="1"/>
  <c r="F576" i="1"/>
  <c r="E576" i="1"/>
  <c r="F575" i="1"/>
  <c r="E575" i="1"/>
  <c r="F574" i="1"/>
  <c r="E574" i="1"/>
  <c r="F573" i="1"/>
  <c r="E573" i="1"/>
  <c r="F572" i="1"/>
  <c r="F570" i="1"/>
  <c r="E570" i="1"/>
  <c r="F569" i="1"/>
  <c r="E569" i="1"/>
  <c r="F568" i="1"/>
  <c r="E568" i="1"/>
  <c r="F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F522" i="1"/>
  <c r="F521" i="1"/>
  <c r="E521" i="1"/>
  <c r="F520" i="1"/>
  <c r="E520" i="1"/>
  <c r="E519" i="1"/>
  <c r="F518" i="1"/>
  <c r="E518" i="1"/>
  <c r="F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E496" i="1"/>
  <c r="F495" i="1"/>
  <c r="F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F484" i="1"/>
  <c r="F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F466" i="1"/>
  <c r="E466" i="1"/>
  <c r="F465" i="1"/>
  <c r="E465" i="1"/>
  <c r="F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0" i="1"/>
  <c r="F449" i="1"/>
  <c r="E449" i="1"/>
  <c r="E448" i="1"/>
  <c r="F447" i="1"/>
  <c r="E446" i="1"/>
  <c r="F445" i="1"/>
  <c r="E445" i="1"/>
  <c r="F444" i="1"/>
  <c r="E444" i="1"/>
  <c r="E443" i="1"/>
  <c r="F442" i="1"/>
  <c r="F441" i="1"/>
  <c r="E441" i="1"/>
  <c r="F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2" i="1"/>
  <c r="F431" i="1"/>
  <c r="E431" i="1"/>
  <c r="F430" i="1"/>
  <c r="F429" i="1"/>
  <c r="E429" i="1"/>
  <c r="F428" i="1"/>
  <c r="E428" i="1"/>
  <c r="F427" i="1"/>
  <c r="E427" i="1"/>
  <c r="F425" i="1"/>
  <c r="E425" i="1"/>
  <c r="F424" i="1"/>
  <c r="E424" i="1"/>
  <c r="F418" i="1"/>
  <c r="E418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F380" i="1"/>
  <c r="E380" i="1"/>
  <c r="F379" i="1"/>
  <c r="E379" i="1"/>
  <c r="F378" i="1"/>
  <c r="E378" i="1"/>
  <c r="F376" i="1"/>
  <c r="E376" i="1"/>
  <c r="F375" i="1"/>
  <c r="E375" i="1"/>
  <c r="F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F366" i="1"/>
  <c r="E366" i="1"/>
  <c r="F365" i="1"/>
  <c r="E365" i="1"/>
  <c r="F364" i="1"/>
  <c r="F363" i="1"/>
  <c r="F362" i="1"/>
  <c r="F361" i="1"/>
  <c r="F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0" i="1"/>
  <c r="F349" i="1"/>
  <c r="E349" i="1"/>
  <c r="F346" i="1"/>
  <c r="E346" i="1"/>
  <c r="F345" i="1"/>
  <c r="E345" i="1"/>
  <c r="F341" i="1"/>
  <c r="F340" i="1"/>
  <c r="E340" i="1"/>
  <c r="F339" i="1"/>
  <c r="E339" i="1"/>
  <c r="F338" i="1"/>
  <c r="C338" i="1"/>
  <c r="F337" i="1"/>
  <c r="E337" i="1"/>
  <c r="F336" i="1"/>
  <c r="E336" i="1"/>
  <c r="F335" i="1"/>
  <c r="E335" i="1"/>
  <c r="F334" i="1"/>
  <c r="E334" i="1"/>
  <c r="F333" i="1"/>
  <c r="F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F323" i="1"/>
  <c r="F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F312" i="1"/>
  <c r="E312" i="1"/>
  <c r="F311" i="1"/>
  <c r="E311" i="1"/>
  <c r="F310" i="1"/>
  <c r="E310" i="1"/>
  <c r="F309" i="1"/>
  <c r="E309" i="1"/>
  <c r="F308" i="1"/>
  <c r="E308" i="1"/>
  <c r="F307" i="1"/>
  <c r="F306" i="1"/>
  <c r="E306" i="1"/>
  <c r="F305" i="1"/>
  <c r="F304" i="1"/>
  <c r="E304" i="1"/>
  <c r="F303" i="1"/>
  <c r="E303" i="1"/>
  <c r="F302" i="1"/>
  <c r="F301" i="1"/>
  <c r="E301" i="1"/>
  <c r="F300" i="1"/>
  <c r="E300" i="1"/>
  <c r="F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F288" i="1"/>
  <c r="F287" i="1"/>
  <c r="F286" i="1"/>
  <c r="F285" i="1"/>
  <c r="F284" i="1"/>
  <c r="F283" i="1"/>
  <c r="F282" i="1"/>
  <c r="F281" i="1"/>
  <c r="E281" i="1"/>
  <c r="F280" i="1"/>
  <c r="F279" i="1"/>
  <c r="F278" i="1"/>
  <c r="E278" i="1"/>
  <c r="F277" i="1"/>
  <c r="E277" i="1"/>
  <c r="F276" i="1"/>
  <c r="E276" i="1"/>
  <c r="F275" i="1"/>
  <c r="F274" i="1"/>
  <c r="E274" i="1"/>
  <c r="F272" i="1"/>
  <c r="F271" i="1"/>
  <c r="E271" i="1"/>
  <c r="F270" i="1"/>
  <c r="E270" i="1"/>
  <c r="F268" i="1"/>
  <c r="F267" i="1"/>
  <c r="F266" i="1"/>
  <c r="F265" i="1"/>
  <c r="F264" i="1"/>
  <c r="F263" i="1"/>
  <c r="F262" i="1"/>
  <c r="F261" i="1"/>
  <c r="E261" i="1"/>
  <c r="F260" i="1"/>
  <c r="F259" i="1"/>
  <c r="E259" i="1"/>
  <c r="F258" i="1"/>
  <c r="F257" i="1"/>
  <c r="E257" i="1"/>
  <c r="F256" i="1"/>
  <c r="E256" i="1"/>
  <c r="F255" i="1"/>
  <c r="F254" i="1"/>
  <c r="F253" i="1"/>
  <c r="F252" i="1"/>
  <c r="F251" i="1"/>
  <c r="F250" i="1"/>
  <c r="E250" i="1"/>
  <c r="F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F241" i="1"/>
  <c r="E241" i="1"/>
  <c r="F240" i="1"/>
  <c r="F239" i="1"/>
  <c r="F238" i="1"/>
  <c r="E238" i="1"/>
  <c r="F237" i="1"/>
  <c r="F236" i="1"/>
  <c r="E236" i="1"/>
  <c r="F235" i="1"/>
  <c r="F234" i="1"/>
  <c r="E234" i="1"/>
  <c r="F233" i="1"/>
  <c r="E233" i="1"/>
  <c r="F232" i="1"/>
  <c r="E232" i="1"/>
  <c r="F231" i="1"/>
  <c r="F230" i="1"/>
  <c r="E230" i="1"/>
  <c r="F229" i="1"/>
  <c r="F227" i="1"/>
  <c r="E227" i="1"/>
  <c r="F226" i="1"/>
  <c r="F225" i="1"/>
  <c r="E225" i="1"/>
  <c r="F224" i="1"/>
  <c r="E224" i="1"/>
  <c r="F223" i="1"/>
  <c r="E223" i="1"/>
  <c r="F222" i="1"/>
  <c r="E222" i="1"/>
  <c r="F221" i="1"/>
  <c r="E221" i="1"/>
  <c r="F220" i="1"/>
  <c r="F219" i="1"/>
  <c r="F218" i="1"/>
  <c r="E218" i="1"/>
  <c r="F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5" i="1"/>
  <c r="F204" i="1"/>
  <c r="E204" i="1"/>
  <c r="F203" i="1"/>
  <c r="E203" i="1"/>
  <c r="F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F191" i="1"/>
  <c r="F190" i="1"/>
  <c r="F189" i="1"/>
  <c r="E189" i="1"/>
  <c r="F188" i="1"/>
  <c r="E188" i="1"/>
  <c r="F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E180" i="1"/>
  <c r="F179" i="1"/>
  <c r="F177" i="1"/>
  <c r="F176" i="1"/>
  <c r="E176" i="1"/>
  <c r="F175" i="1"/>
  <c r="E175" i="1"/>
  <c r="F174" i="1"/>
  <c r="E174" i="1"/>
  <c r="F173" i="1"/>
  <c r="E173" i="1"/>
  <c r="F172" i="1"/>
  <c r="E172" i="1"/>
  <c r="F171" i="1"/>
  <c r="F170" i="1"/>
  <c r="E170" i="1"/>
  <c r="F168" i="1"/>
  <c r="F166" i="1"/>
  <c r="F165" i="1"/>
  <c r="E165" i="1"/>
  <c r="E163" i="1"/>
  <c r="F162" i="1"/>
  <c r="E162" i="1"/>
  <c r="F161" i="1"/>
  <c r="E161" i="1"/>
  <c r="F160" i="1"/>
  <c r="E160" i="1"/>
  <c r="F159" i="1"/>
  <c r="E158" i="1"/>
  <c r="F157" i="1"/>
  <c r="E157" i="1"/>
  <c r="F155" i="1"/>
  <c r="E155" i="1"/>
  <c r="F154" i="1"/>
  <c r="F153" i="1"/>
  <c r="F151" i="1"/>
  <c r="E151" i="1"/>
  <c r="F148" i="1"/>
  <c r="E148" i="1"/>
  <c r="F147" i="1"/>
  <c r="E147" i="1"/>
  <c r="F146" i="1"/>
  <c r="F143" i="1"/>
  <c r="E143" i="1"/>
  <c r="F141" i="1"/>
  <c r="E141" i="1"/>
  <c r="F140" i="1"/>
  <c r="E140" i="1"/>
  <c r="F139" i="1"/>
  <c r="E139" i="1"/>
  <c r="F137" i="1"/>
  <c r="F136" i="1"/>
  <c r="E136" i="1"/>
  <c r="F135" i="1"/>
  <c r="E135" i="1"/>
  <c r="F134" i="1"/>
  <c r="F133" i="1"/>
  <c r="E133" i="1"/>
  <c r="F132" i="1"/>
  <c r="F130" i="1"/>
  <c r="E130" i="1"/>
  <c r="F129" i="1"/>
  <c r="F128" i="1"/>
  <c r="E128" i="1"/>
  <c r="E127" i="1"/>
  <c r="F126" i="1"/>
  <c r="F125" i="1"/>
  <c r="E125" i="1"/>
  <c r="F124" i="1"/>
  <c r="F121" i="1"/>
  <c r="F120" i="1"/>
  <c r="E120" i="1"/>
  <c r="F119" i="1"/>
  <c r="E119" i="1"/>
  <c r="F118" i="1"/>
  <c r="E118" i="1"/>
  <c r="F117" i="1"/>
  <c r="F116" i="1"/>
  <c r="E116" i="1"/>
  <c r="F114" i="1"/>
  <c r="F113" i="1"/>
  <c r="F112" i="1"/>
  <c r="F111" i="1"/>
  <c r="E111" i="1"/>
  <c r="E110" i="1"/>
  <c r="F109" i="1"/>
  <c r="E109" i="1"/>
  <c r="F108" i="1"/>
  <c r="E108" i="1"/>
  <c r="F106" i="1"/>
  <c r="E106" i="1"/>
  <c r="E105" i="1"/>
  <c r="F103" i="1"/>
  <c r="E103" i="1"/>
  <c r="F102" i="1"/>
  <c r="E102" i="1"/>
  <c r="F101" i="1"/>
  <c r="F100" i="1"/>
  <c r="E100" i="1"/>
  <c r="F99" i="1"/>
  <c r="E99" i="1"/>
  <c r="F98" i="1"/>
  <c r="E98" i="1"/>
  <c r="F97" i="1"/>
  <c r="E96" i="1"/>
  <c r="F95" i="1"/>
  <c r="E95" i="1"/>
  <c r="E94" i="1"/>
  <c r="F93" i="1"/>
  <c r="E93" i="1"/>
  <c r="F92" i="1"/>
  <c r="F91" i="1"/>
  <c r="E91" i="1"/>
  <c r="F90" i="1"/>
  <c r="E90" i="1"/>
  <c r="F89" i="1"/>
  <c r="E89" i="1"/>
  <c r="F88" i="1"/>
  <c r="E88" i="1"/>
  <c r="E87" i="1"/>
  <c r="F86" i="1"/>
  <c r="E86" i="1"/>
  <c r="E85" i="1"/>
  <c r="F84" i="1"/>
  <c r="F82" i="1"/>
  <c r="E82" i="1"/>
  <c r="F81" i="1"/>
  <c r="F80" i="1"/>
  <c r="F79" i="1"/>
  <c r="E79" i="1"/>
  <c r="F78" i="1"/>
  <c r="F77" i="1"/>
  <c r="F76" i="1"/>
  <c r="E76" i="1"/>
  <c r="F75" i="1"/>
  <c r="F74" i="1"/>
  <c r="F73" i="1"/>
  <c r="E73" i="1"/>
  <c r="F72" i="1"/>
  <c r="E72" i="1"/>
  <c r="F70" i="1"/>
  <c r="E70" i="1"/>
  <c r="F69" i="1"/>
  <c r="F67" i="1"/>
  <c r="E67" i="1"/>
  <c r="F66" i="1"/>
  <c r="E66" i="1"/>
  <c r="F64" i="1"/>
  <c r="E64" i="1"/>
  <c r="F61" i="1"/>
  <c r="F59" i="1"/>
  <c r="E59" i="1"/>
  <c r="F58" i="1"/>
  <c r="E58" i="1"/>
  <c r="F56" i="1"/>
  <c r="E56" i="1"/>
  <c r="F55" i="1"/>
  <c r="F54" i="1"/>
  <c r="F53" i="1"/>
  <c r="E53" i="1"/>
  <c r="F52" i="1"/>
  <c r="E52" i="1"/>
  <c r="F51" i="1"/>
  <c r="E51" i="1"/>
  <c r="F50" i="1"/>
  <c r="E50" i="1"/>
  <c r="F49" i="1"/>
  <c r="F48" i="1"/>
  <c r="E48" i="1"/>
  <c r="F47" i="1"/>
  <c r="E47" i="1"/>
  <c r="F46" i="1"/>
  <c r="F45" i="1"/>
  <c r="E45" i="1"/>
  <c r="F44" i="1"/>
  <c r="E44" i="1"/>
  <c r="F43" i="1"/>
  <c r="E43" i="1"/>
  <c r="F42" i="1"/>
  <c r="E42" i="1"/>
  <c r="F41" i="1"/>
  <c r="F40" i="1"/>
  <c r="E40" i="1"/>
  <c r="F38" i="1"/>
  <c r="E38" i="1"/>
  <c r="F37" i="1"/>
  <c r="F36" i="1"/>
  <c r="F35" i="1"/>
  <c r="E35" i="1"/>
  <c r="F34" i="1"/>
  <c r="E34" i="1"/>
  <c r="F33" i="1"/>
  <c r="E33" i="1"/>
  <c r="F32" i="1"/>
  <c r="F31" i="1"/>
  <c r="F30" i="1"/>
  <c r="E30" i="1"/>
  <c r="F29" i="1"/>
  <c r="E29" i="1"/>
  <c r="F28" i="1"/>
  <c r="E28" i="1"/>
  <c r="F27" i="1"/>
  <c r="E27" i="1"/>
  <c r="F26" i="1"/>
  <c r="E26" i="1"/>
  <c r="E25" i="1"/>
  <c r="F24" i="1"/>
  <c r="F23" i="1"/>
  <c r="E23" i="1"/>
  <c r="F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E12" i="1"/>
  <c r="F11" i="1"/>
  <c r="E11" i="1"/>
  <c r="F10" i="1"/>
  <c r="E10" i="1"/>
  <c r="F9" i="1"/>
  <c r="E9" i="1"/>
  <c r="F8" i="1"/>
  <c r="F7" i="1"/>
  <c r="F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<sst xmlns="http://schemas.openxmlformats.org/spreadsheetml/2006/main" count="2190" uniqueCount="1413">
  <si>
    <t>Intitulé</t>
  </si>
  <si>
    <t>Contact</t>
  </si>
  <si>
    <t>Adresse</t>
  </si>
  <si>
    <t>Complément adresse</t>
  </si>
  <si>
    <t>Téléphone</t>
  </si>
  <si>
    <t>NIF</t>
  </si>
  <si>
    <t>EUROPEX - SARL</t>
  </si>
  <si>
    <t xml:space="preserve">Nouakchott </t>
  </si>
  <si>
    <t>MAITRE HABIB OULD DIAH</t>
  </si>
  <si>
    <t>Nouakchott</t>
  </si>
  <si>
    <t xml:space="preserve"> </t>
  </si>
  <si>
    <t>AGUADIR POUR LE COMMERCE ET LES SERVICES - SARL</t>
  </si>
  <si>
    <t>NKTT ZRSND 113</t>
  </si>
  <si>
    <t>AHMEDOU O/ MOILID</t>
  </si>
  <si>
    <t>ALIF</t>
  </si>
  <si>
    <t>AMADOU AZIZ THIOUNE</t>
  </si>
  <si>
    <t>AMG-ATELIER MECANIQUE GENERALE</t>
  </si>
  <si>
    <t>AMI-AGENCE MAURITANIENNE D'INFORMATION</t>
  </si>
  <si>
    <t>AZUR'NET SERVICES</t>
  </si>
  <si>
    <t>nouakchott</t>
  </si>
  <si>
    <t>BIG - HYDROCARBURES</t>
  </si>
  <si>
    <t>BNEITA ABDALLAHI</t>
  </si>
  <si>
    <t>BOCK'S BUNESS BB SARL</t>
  </si>
  <si>
    <t>Ksar</t>
  </si>
  <si>
    <t xml:space="preserve">BS COMMERCE GENERAL ET DIVERS </t>
  </si>
  <si>
    <t>ETS CHEIKH ABDATT</t>
  </si>
  <si>
    <t>C COMMZ</t>
  </si>
  <si>
    <t>TEVRAGH ZEINA</t>
  </si>
  <si>
    <t>CDI</t>
  </si>
  <si>
    <t>CHICLANA</t>
  </si>
  <si>
    <t>NOUAKCHOTT</t>
  </si>
  <si>
    <t>COMPAGNIE DE TRAVEAUX ET DE SERVICES CTS</t>
  </si>
  <si>
    <t>DAR NAIM</t>
  </si>
  <si>
    <t>ETS YERO SAMBA DIA</t>
  </si>
  <si>
    <t>ETS DELTA PIECES</t>
  </si>
  <si>
    <t>ECTG</t>
  </si>
  <si>
    <t>EGCSTP</t>
  </si>
  <si>
    <t>ELEMINA</t>
  </si>
  <si>
    <t>EMATRAD</t>
  </si>
  <si>
    <t>EMEC</t>
  </si>
  <si>
    <t>EMPS</t>
  </si>
  <si>
    <t>ETS HAMEX</t>
  </si>
  <si>
    <t>ENTC</t>
  </si>
  <si>
    <t>ESPERANCE CONSTRAUCTION TRANSPORT</t>
  </si>
  <si>
    <t>ETS ABDALLAHI O/MOHAMED EL MOCTAR</t>
  </si>
  <si>
    <t>ETS AMAR BTP SERVICE</t>
  </si>
  <si>
    <t>ETS ATM</t>
  </si>
  <si>
    <t>ETS CONFECTION HABILLEMENT</t>
  </si>
  <si>
    <t>ETS EL BARAKA</t>
  </si>
  <si>
    <t>ETS EL IMTIYAZ</t>
  </si>
  <si>
    <t>ETS EL VADEL</t>
  </si>
  <si>
    <t>ETS EL YARMOUK</t>
  </si>
  <si>
    <t>ETS EPRESS SERVICES</t>
  </si>
  <si>
    <t>ETS Errida</t>
  </si>
  <si>
    <t>ETS GUENDEL</t>
  </si>
  <si>
    <t>36 31 60 72</t>
  </si>
  <si>
    <t>ETS IDRISSA ABOU SOW</t>
  </si>
  <si>
    <t>ETS KLC</t>
  </si>
  <si>
    <t>LA BELLE VIE- SARL</t>
  </si>
  <si>
    <t>ARAFATT / ILOT : SECT 2</t>
  </si>
  <si>
    <t>ETS LHS</t>
  </si>
  <si>
    <t>ETS MOHEMED ELMOKHTAR OULD ELARBI</t>
  </si>
  <si>
    <t>COGETRAS</t>
  </si>
  <si>
    <t>ETS MOHAMED DIDI BOUCHAREB</t>
  </si>
  <si>
    <t>ETS Jibril Boubacar pr Construction &amp; Services Divers</t>
  </si>
  <si>
    <t>ETS MOHAMED LEMRABOTT COMMERCE G</t>
  </si>
  <si>
    <t>ETS MOHAMED MOHAMED SALECK</t>
  </si>
  <si>
    <t>ETS MSGE</t>
  </si>
  <si>
    <t>ETS NBCG</t>
  </si>
  <si>
    <t>SOCIETE R.NAJAH</t>
  </si>
  <si>
    <t xml:space="preserve">ETS PRECO </t>
  </si>
  <si>
    <t>ETS RESEAU TD</t>
  </si>
  <si>
    <t xml:space="preserve">ksar ilot k oust </t>
  </si>
  <si>
    <t>ETS SALECK SADVI TFEIL</t>
  </si>
  <si>
    <t>ETS SALEM LEMRABOTT AHMED BABA</t>
  </si>
  <si>
    <t>ETS WANE ET FRERES</t>
  </si>
  <si>
    <t>ETS YAHYA ET FRERES</t>
  </si>
  <si>
    <t>ETS YAHYA SIDI MED BABA</t>
  </si>
  <si>
    <t>FCG</t>
  </si>
  <si>
    <t>ETS BMB</t>
  </si>
  <si>
    <t>G &amp; W Régeworks</t>
  </si>
  <si>
    <t>G.E.D.sarl</t>
  </si>
  <si>
    <t>GECOP BTP</t>
  </si>
  <si>
    <t>GENCIV</t>
  </si>
  <si>
    <t>GENIE MILITAIRE</t>
  </si>
  <si>
    <t>GROUP SMD SARL</t>
  </si>
  <si>
    <t>GROUPEMENT ECTG/ ONG UVEA</t>
  </si>
  <si>
    <t>GROUPEMENT EMEC MAUPRESCOGE</t>
  </si>
  <si>
    <t>ETS GSC</t>
  </si>
  <si>
    <t>GENERALE DE TRAVAUX ET SERVICES (GTS) - SA</t>
  </si>
  <si>
    <t>ILOT ZRB LOT 513 TEVRAGZEINA</t>
  </si>
  <si>
    <t>IBDA</t>
  </si>
  <si>
    <t>ICG - SARL</t>
  </si>
  <si>
    <t>IDEE</t>
  </si>
  <si>
    <t>IES</t>
  </si>
  <si>
    <t>IMAGE INFO</t>
  </si>
  <si>
    <t>IMPRIMERIE AL MAZAYA</t>
  </si>
  <si>
    <t>INFOTELEC</t>
  </si>
  <si>
    <t>INIMICH - VOYAGES</t>
  </si>
  <si>
    <t>INNA</t>
  </si>
  <si>
    <t>IPS</t>
  </si>
  <si>
    <t>ISSELMOU MOHAMED KHOUAH</t>
  </si>
  <si>
    <t>KABER SALEM WEDAR</t>
  </si>
  <si>
    <t>LA SAHERIENNE</t>
  </si>
  <si>
    <t>LE HREITANI HAMADY</t>
  </si>
  <si>
    <t>Chami</t>
  </si>
  <si>
    <t>MAURICLEAN</t>
  </si>
  <si>
    <t>MAURIEQUIPEMENT</t>
  </si>
  <si>
    <t>14 RDC Avenue son Altesse</t>
  </si>
  <si>
    <t>MAURIGRAPHE</t>
  </si>
  <si>
    <t>MAURIPE TP</t>
  </si>
  <si>
    <t>MCE</t>
  </si>
  <si>
    <t>MCS</t>
  </si>
  <si>
    <t>MEGA CONSULTING</t>
  </si>
  <si>
    <t>Mauritanienne d'Equipements et Services MES</t>
  </si>
  <si>
    <t>MOHAMED ABDEL WEDOUD</t>
  </si>
  <si>
    <t>MOHAMED BABA</t>
  </si>
  <si>
    <t>MOHAMED MAHMOUD TLAMID</t>
  </si>
  <si>
    <t>MPL</t>
  </si>
  <si>
    <t>MSR</t>
  </si>
  <si>
    <t>MTLS</t>
  </si>
  <si>
    <t>NPPI-SARL</t>
  </si>
  <si>
    <t>NTIC</t>
  </si>
  <si>
    <t>PAPETERIE 2005</t>
  </si>
  <si>
    <t>RESTAURANT LA GARONNE</t>
  </si>
  <si>
    <t>SAFETY WOORK</t>
  </si>
  <si>
    <t>SAKHAR ET FRERES</t>
  </si>
  <si>
    <t>SGSTD</t>
  </si>
  <si>
    <t>TAKAVOUL -SERVICE</t>
  </si>
  <si>
    <t>SIDI ZEIN DIDI</t>
  </si>
  <si>
    <t>SIG PRESS</t>
  </si>
  <si>
    <t>SNPS - SARL</t>
  </si>
  <si>
    <t>SOCOP TP Service sarl</t>
  </si>
  <si>
    <t>SOMC TP</t>
  </si>
  <si>
    <t>SOMELEC</t>
  </si>
  <si>
    <t>SOSETRAP</t>
  </si>
  <si>
    <t>STAP-RIM</t>
  </si>
  <si>
    <t>STC-RIM-SARL</t>
  </si>
  <si>
    <t>STE INTERDIS SARL</t>
  </si>
  <si>
    <t>TAMIR</t>
  </si>
  <si>
    <t>TASLOH BTP</t>
  </si>
  <si>
    <t>TEMEIZ POUR LES TRAVAUX PUBLICS</t>
  </si>
  <si>
    <t>TEWFICH</t>
  </si>
  <si>
    <t>MAURICARB - SA</t>
  </si>
  <si>
    <t>00 222 52 90 19</t>
  </si>
  <si>
    <t>TVM</t>
  </si>
  <si>
    <t>VAMM</t>
  </si>
  <si>
    <t>VALA VALILI BOULERIAH</t>
  </si>
  <si>
    <t>2RAD CONSULTING - SARL</t>
  </si>
  <si>
    <t>SIDI MOHAMED BABAH</t>
  </si>
  <si>
    <t>GROUPEMENT SERVICE LOGISTIQUE-GSL</t>
  </si>
  <si>
    <t>CO.PRO.MAURITANIE</t>
  </si>
  <si>
    <t>GSL</t>
  </si>
  <si>
    <t>PHOENICIAN BUSINESS SOLUTIONS</t>
  </si>
  <si>
    <t>SIGMA</t>
  </si>
  <si>
    <t>T Z LOT 005</t>
  </si>
  <si>
    <t>45 25 18 39</t>
  </si>
  <si>
    <t>ETS SOW ET FRERES</t>
  </si>
  <si>
    <t>ATELIER ABDERRAHMANE SALL</t>
  </si>
  <si>
    <t>ETS JAAFAR POUR LES SERVICES GENERAUX</t>
  </si>
  <si>
    <t>HI-TECH</t>
  </si>
  <si>
    <t>SALAMA ASSURANCES</t>
  </si>
  <si>
    <t>SBCP</t>
  </si>
  <si>
    <t>MITRAC</t>
  </si>
  <si>
    <t>ETS AKHSSAR</t>
  </si>
  <si>
    <t>NEXTEL</t>
  </si>
  <si>
    <t>ETS MED MAHMOUD AHMED SALEM</t>
  </si>
  <si>
    <t>ETS ELY OULD MOHAMED</t>
  </si>
  <si>
    <t>SIMO</t>
  </si>
  <si>
    <t>SSPE</t>
  </si>
  <si>
    <t>ORBITECH</t>
  </si>
  <si>
    <t>TOP FLEX</t>
  </si>
  <si>
    <t>DIVERS SERVICES EN CONSULTING-DSC</t>
  </si>
  <si>
    <t>GENISYS SARL</t>
  </si>
  <si>
    <t>NOUAKCHOTT TEVRAGH ZEINA</t>
  </si>
  <si>
    <t>NOUAKCHOTT SERVICES</t>
  </si>
  <si>
    <t>BMTP SARL</t>
  </si>
  <si>
    <t>CRTS</t>
  </si>
  <si>
    <t>STAR OIL MAURITANIE</t>
  </si>
  <si>
    <t xml:space="preserve">AVENUE GAMAL ABDEL NASSER NKTT </t>
  </si>
  <si>
    <t>MAURITANIE</t>
  </si>
  <si>
    <t>PRESTANCE SERVICE CG SARL</t>
  </si>
  <si>
    <t>MARWANE SRVICES</t>
  </si>
  <si>
    <t>SMAS</t>
  </si>
  <si>
    <t>NEMAA POUR LE COMMERCE GENERAL - SARL</t>
  </si>
  <si>
    <t>41 32 22 22</t>
  </si>
  <si>
    <t>AUTORIM</t>
  </si>
  <si>
    <t>ECP</t>
  </si>
  <si>
    <t>ETS SSM</t>
  </si>
  <si>
    <t>QUALITY PROD</t>
  </si>
  <si>
    <t>TPDSD</t>
  </si>
  <si>
    <t>DEM Mauritania</t>
  </si>
  <si>
    <t>TAWFIQ</t>
  </si>
  <si>
    <t>MAURICAT CENTER</t>
  </si>
  <si>
    <t>ETS SIDI LEVRACK</t>
  </si>
  <si>
    <t>ETS JEDOU</t>
  </si>
  <si>
    <t>Ets-SAMAT</t>
  </si>
  <si>
    <t>ETS RIBATE</t>
  </si>
  <si>
    <t>COMMERCE GENERAL-IMPORT EXPORT</t>
  </si>
  <si>
    <t>22008289/25053595</t>
  </si>
  <si>
    <t>AGENCE LE MONDE TOURS-AMT</t>
  </si>
  <si>
    <t>AVENUE AL WIHDA</t>
  </si>
  <si>
    <t>LOCATION DE VOITURES</t>
  </si>
  <si>
    <t>TPD SD</t>
  </si>
  <si>
    <t>SEBKHA NOUAKCHOTT</t>
  </si>
  <si>
    <t>ETS Tayba BTP</t>
  </si>
  <si>
    <t>COMMERCE GENERAL</t>
  </si>
  <si>
    <t>SAYMEX</t>
  </si>
  <si>
    <t>RUE HABIB BOURGUIBA</t>
  </si>
  <si>
    <t>LOCATION</t>
  </si>
  <si>
    <t>RIM TOURS</t>
  </si>
  <si>
    <t>NKC</t>
  </si>
  <si>
    <t>BIS-LOCATION</t>
  </si>
  <si>
    <t>30503341-36314013</t>
  </si>
  <si>
    <t>DAH</t>
  </si>
  <si>
    <t>ETS NIYA</t>
  </si>
  <si>
    <t>36326805/22317808</t>
  </si>
  <si>
    <t>FGS</t>
  </si>
  <si>
    <t>SEMAT MAURITANIE</t>
  </si>
  <si>
    <t>ETER</t>
  </si>
  <si>
    <t>Rond point ancien Aéroport</t>
  </si>
  <si>
    <t>GICI Sarl</t>
  </si>
  <si>
    <t>AV BOURGHIBA ZGE N014H,KSAR</t>
  </si>
  <si>
    <t>INTERNATIONAL EQUIPEMENT INTEQ</t>
  </si>
  <si>
    <t>IMMEUBLE OCEAN</t>
  </si>
  <si>
    <t>SOCOTP Services</t>
  </si>
  <si>
    <t>ETS MOHAMED AHMED LEMIINE</t>
  </si>
  <si>
    <t>Mauritanian Mining Logistics</t>
  </si>
  <si>
    <t>ZRA 50 BP 5051 NKC</t>
  </si>
  <si>
    <t>ETS AL AKSSAR</t>
  </si>
  <si>
    <t>MLT SERVICES -SARL</t>
  </si>
  <si>
    <t>KSAR</t>
  </si>
  <si>
    <t>SOMATRAL</t>
  </si>
  <si>
    <t>ECDP</t>
  </si>
  <si>
    <t>EMANEG-SARL</t>
  </si>
  <si>
    <t>26 16 16 17</t>
  </si>
  <si>
    <t>ETS MAMAF</t>
  </si>
  <si>
    <t>ETS AMRAN</t>
  </si>
  <si>
    <t>E2M TECHNOLOGY</t>
  </si>
  <si>
    <t>280 ILOT SC PS2 TZ NOUAKCHOTT</t>
  </si>
  <si>
    <t>CHH-TP</t>
  </si>
  <si>
    <t>MAURI-CAT CENTRE</t>
  </si>
  <si>
    <t>LOVOTO services</t>
  </si>
  <si>
    <t>Ets Mohamed El kory O.Amar</t>
  </si>
  <si>
    <t>ETS MOLTAK</t>
  </si>
  <si>
    <t>KSAR NOUAKCHOTT</t>
  </si>
  <si>
    <t>ETS MED LEMAT IDY</t>
  </si>
  <si>
    <t>Tazen Group SA</t>
  </si>
  <si>
    <t>45256388/47681725</t>
  </si>
  <si>
    <t>ETTM</t>
  </si>
  <si>
    <t>EL Mourad Service</t>
  </si>
  <si>
    <t>Societe Nationale des Forages et Puits</t>
  </si>
  <si>
    <t>JM-TV</t>
  </si>
  <si>
    <t>AGRENOR</t>
  </si>
  <si>
    <t>HADEMINE MOULAYE DRISS</t>
  </si>
  <si>
    <t xml:space="preserve">DAR NAIM </t>
  </si>
  <si>
    <t>ETS Louah Ould Sidi Lemine</t>
  </si>
  <si>
    <t>NKTT</t>
  </si>
  <si>
    <t>First Project</t>
  </si>
  <si>
    <t>NEXTE</t>
  </si>
  <si>
    <t>MARS LOGISTICS SERVICES</t>
  </si>
  <si>
    <t>ILOT C N40</t>
  </si>
  <si>
    <t>ETS RESTAURANT MJK</t>
  </si>
  <si>
    <t>ETS MOUFTAH EL KHEIRE</t>
  </si>
  <si>
    <t>ETS EL AMANA</t>
  </si>
  <si>
    <t>ETS EL HADARA</t>
  </si>
  <si>
    <t>ETS TALEB ABDALLAHI</t>
  </si>
  <si>
    <t>ETS CDM</t>
  </si>
  <si>
    <t>TOLBA POUR LES TRAVAUX PUBLICS</t>
  </si>
  <si>
    <t>Tevragh-Zein-Zone Univ lot N°116</t>
  </si>
  <si>
    <t>31616367-20137000</t>
  </si>
  <si>
    <t>E.G.B.R-TP</t>
  </si>
  <si>
    <t>Rue 24-053-Lot:125 Ksar NKC-Maurita</t>
  </si>
  <si>
    <t>46459293-22302530-</t>
  </si>
  <si>
    <t>ETS EL WAVA</t>
  </si>
  <si>
    <t>Nouakchott-Mauritanie</t>
  </si>
  <si>
    <t>LA PRUDENCE-Sarl (L.P.S)</t>
  </si>
  <si>
    <t>EL MINA</t>
  </si>
  <si>
    <t>TRM-sa Travaux Routiers de Mauritanie</t>
  </si>
  <si>
    <t>Rue /43-102, N°639  Tevragh-Zeina</t>
  </si>
  <si>
    <t>Ets AKHSSAR</t>
  </si>
  <si>
    <t>Ets Ely O/ Med</t>
  </si>
  <si>
    <t>ETS ZINE SERVICE GENERAL</t>
  </si>
  <si>
    <t>EURO AFRIQUE INDUSTRIELLE</t>
  </si>
  <si>
    <t>SNDE</t>
  </si>
  <si>
    <t>SOMACOR BTP</t>
  </si>
  <si>
    <t>CMDA</t>
  </si>
  <si>
    <t>MAURI-SERVICES</t>
  </si>
  <si>
    <t>SABRI SERVICE</t>
  </si>
  <si>
    <t>KSAR 267 Nouakchott-mauritanie</t>
  </si>
  <si>
    <t>STHOK Services Travaux</t>
  </si>
  <si>
    <t>STTP-sarl ( SUD TRANSPORTS TRAVAUX PUBLIQUE</t>
  </si>
  <si>
    <t>22000291-26999990</t>
  </si>
  <si>
    <t>HOTEL MONOTEL DAR EL BARKA</t>
  </si>
  <si>
    <t>ETS MSCG</t>
  </si>
  <si>
    <t>I lot : CTH MD MA Lot : N° 0103 NKT</t>
  </si>
  <si>
    <t>22624344/25005333</t>
  </si>
  <si>
    <t>ETS TAWVIQ</t>
  </si>
  <si>
    <t>MAT-SARL</t>
  </si>
  <si>
    <t>BUSINESS SERVICES TRANSPORT LOGISTIQUE BSTL</t>
  </si>
  <si>
    <t>20323220-22329875</t>
  </si>
  <si>
    <t>Cabinet EXCO/GHA</t>
  </si>
  <si>
    <t>Ets Med Ahmed Salem El KHOUMANI</t>
  </si>
  <si>
    <t>32 32 32 42</t>
  </si>
  <si>
    <t>ETS COTEM</t>
  </si>
  <si>
    <t>OSM-SARL</t>
  </si>
  <si>
    <t>Tevragh Zeina-Nouakchott-Mauritanie</t>
  </si>
  <si>
    <t>ETS YERO SAMBA</t>
  </si>
  <si>
    <t>Ets A2 Ltd</t>
  </si>
  <si>
    <t>MMLOGISTIQUE-SARL</t>
  </si>
  <si>
    <t>IMEUBLE El Khair n°0052 TZ</t>
  </si>
  <si>
    <t>DAR NAIM NKC</t>
  </si>
  <si>
    <t>ETS SMS</t>
  </si>
  <si>
    <t>321 E NORD</t>
  </si>
  <si>
    <t>DSSM</t>
  </si>
  <si>
    <t>SOBRU</t>
  </si>
  <si>
    <t>IPC</t>
  </si>
  <si>
    <t>ETS LEBNEYE</t>
  </si>
  <si>
    <t>DECO-BAT</t>
  </si>
  <si>
    <t>MAURITANIENNE DE TRAVAUX ET CONSTRUCTION MTC</t>
  </si>
  <si>
    <t>LOT 94 ZONE INDUSTRIELLE ET COMMER/</t>
  </si>
  <si>
    <t>45258338/44411351</t>
  </si>
  <si>
    <t>COMERCE GENERAL-TRAVAUX-SERVICES COGETRAS</t>
  </si>
  <si>
    <t>ZRE ND LOT : 239</t>
  </si>
  <si>
    <t>ETS MIDAD IMPRESSION ET PUBLICITE</t>
  </si>
  <si>
    <t>MIRACLE MAINTENANCE ET SERVICES</t>
  </si>
  <si>
    <t>22143250/45294345</t>
  </si>
  <si>
    <t>SOCIETE GENERALE DE TRAVAUX ET DE SERVICES</t>
  </si>
  <si>
    <t>RIMEVENTS</t>
  </si>
  <si>
    <t>Communic Action et Services</t>
  </si>
  <si>
    <t xml:space="preserve">NKTT </t>
  </si>
  <si>
    <t>All Trading Mauritania</t>
  </si>
  <si>
    <t>ESA</t>
  </si>
  <si>
    <t>ETS EL BOUCHRA</t>
  </si>
  <si>
    <t>ETS YEZID AHMED SALEM</t>
  </si>
  <si>
    <t>ETS EL KASWA</t>
  </si>
  <si>
    <t>ETS SOLIDARITE</t>
  </si>
  <si>
    <t>ETS KABA ET FRERES</t>
  </si>
  <si>
    <t xml:space="preserve">ETS LIGGORGAL </t>
  </si>
  <si>
    <t>SCPS CG.SARL</t>
  </si>
  <si>
    <t>SEBKHA</t>
  </si>
  <si>
    <t>Ets LEBNEYE</t>
  </si>
  <si>
    <t>ETS MMFC</t>
  </si>
  <si>
    <t>45253824/46303213</t>
  </si>
  <si>
    <t>Tour du Meuble</t>
  </si>
  <si>
    <t>MAPCORIM</t>
  </si>
  <si>
    <t>Tevragh-Zein AV MO.Daddah lot:0347</t>
  </si>
  <si>
    <t>MDS</t>
  </si>
  <si>
    <t>ETS MED YAHYA OULD MED ABD. SALEM</t>
  </si>
  <si>
    <t>ETS PLATEAU SERVICE DE MAURITANIE</t>
  </si>
  <si>
    <t xml:space="preserve">ETS GENERAL DES BATIMENTS ET TRAVAUX PUBLICS </t>
  </si>
  <si>
    <t>ETS ASK</t>
  </si>
  <si>
    <t>ETS DSSM</t>
  </si>
  <si>
    <t>ETS PRECO</t>
  </si>
  <si>
    <t>SGTC</t>
  </si>
  <si>
    <t>AV Charle de Gaule BP 5969</t>
  </si>
  <si>
    <t>45259067/48315326</t>
  </si>
  <si>
    <t>ETS TAWVIGH</t>
  </si>
  <si>
    <t>ETS AL IMTIYAZ</t>
  </si>
  <si>
    <t>ETS BTF</t>
  </si>
  <si>
    <t>ETS MVMM</t>
  </si>
  <si>
    <t>ETS VAMM</t>
  </si>
  <si>
    <t>Ets Jibri Boubacar pour Construction et Service</t>
  </si>
  <si>
    <t>22108450/49793754</t>
  </si>
  <si>
    <t>ETS ABDEL HAYE LEFAGHIR OUEMAR</t>
  </si>
  <si>
    <t>ETS GSA</t>
  </si>
  <si>
    <t>MASTEX</t>
  </si>
  <si>
    <t>HAMOUD EL  HADY</t>
  </si>
  <si>
    <t>ETS TEMEIZ</t>
  </si>
  <si>
    <t>COMAGEN SARL</t>
  </si>
  <si>
    <t xml:space="preserve">BOCK'S BUSINESS </t>
  </si>
  <si>
    <t>STAP BUSINESS CONSULTING</t>
  </si>
  <si>
    <t>Z SERVICES TP</t>
  </si>
  <si>
    <t xml:space="preserve">TEVRAGH ZEINA NOUAKCHOTT  </t>
  </si>
  <si>
    <t>LOCOBAT TP</t>
  </si>
  <si>
    <t>452463/37393538</t>
  </si>
  <si>
    <t>ERA-IMMO</t>
  </si>
  <si>
    <t>TEWFIK SARL</t>
  </si>
  <si>
    <t>MAURILEC</t>
  </si>
  <si>
    <t>22924176/41533809</t>
  </si>
  <si>
    <t>ETS  PUBLICOM</t>
  </si>
  <si>
    <t>ETS TRAVAUX SERVICES ET REPRESENTATION "TSR"</t>
  </si>
  <si>
    <t>ETS SONER</t>
  </si>
  <si>
    <t>ETS SAE</t>
  </si>
  <si>
    <t>ETS IZI MAURITANIE</t>
  </si>
  <si>
    <t>ETS ARMT</t>
  </si>
  <si>
    <t>ETS EMC</t>
  </si>
  <si>
    <t>ETABLISSEMENT POUR LES TRAVAUX ET SERVICES</t>
  </si>
  <si>
    <t xml:space="preserve">FAYDA SARL </t>
  </si>
  <si>
    <t>ETS BS</t>
  </si>
  <si>
    <t>MED LEMINE O/CHEIKH O/SEJAD</t>
  </si>
  <si>
    <t>TEVRAG ZEIN-ILOT T -41</t>
  </si>
  <si>
    <t>ETS EL AOUN</t>
  </si>
  <si>
    <t>Nouakchot</t>
  </si>
  <si>
    <t>SARA COUTURE</t>
  </si>
  <si>
    <t>SOCIETE GRAVISERT SARL</t>
  </si>
  <si>
    <t>NEFADH</t>
  </si>
  <si>
    <t xml:space="preserve">NOUAKCHOTT CARREFOUR CITE SMAR </t>
  </si>
  <si>
    <t>ETS NIJANE</t>
  </si>
  <si>
    <t>MARITANIE BATIMENT TRAVAUX PUBLICS</t>
  </si>
  <si>
    <t>ETS NIP</t>
  </si>
  <si>
    <t>2H-Technolgie</t>
  </si>
  <si>
    <t>MAURIREC</t>
  </si>
  <si>
    <t>ETS MOHAMED EL KORY O. AMAR</t>
  </si>
  <si>
    <t>SOCIETE TETHINE SERVICE</t>
  </si>
  <si>
    <t>SOCIETE DES TRAVAUX DE CONSTRUCTION ET DE PRESTATION DE SERVICES</t>
  </si>
  <si>
    <t>ER BTP</t>
  </si>
  <si>
    <t>BARAKA-TP</t>
  </si>
  <si>
    <t>RIYADA ET NAJAH SARL</t>
  </si>
  <si>
    <t>NDB</t>
  </si>
  <si>
    <t>ETS MAYATEGUE</t>
  </si>
  <si>
    <t xml:space="preserve">ECBTP. SARL </t>
  </si>
  <si>
    <t>AAZ ENTREPRISE MULTISERVICES</t>
  </si>
  <si>
    <t>N°271 TVZ NOT ZXT</t>
  </si>
  <si>
    <t>CGSA sarl</t>
  </si>
  <si>
    <t xml:space="preserve">General d'entreprenariat de construction et d'amenagement </t>
  </si>
  <si>
    <t>ELY GENERAL SERVICE -EGS - SARL</t>
  </si>
  <si>
    <t>TEMKIN</t>
  </si>
  <si>
    <t>Société Mauritanienne d'Assistance et de Maintenance (SMAM)</t>
  </si>
  <si>
    <t>Nouadhibou</t>
  </si>
  <si>
    <t>ENMAA ENGINEERING ET CONSULTANTS</t>
  </si>
  <si>
    <t xml:space="preserve">Mauritanienne des travaux </t>
  </si>
  <si>
    <t>ETAREC</t>
  </si>
  <si>
    <t>46 75 75 98</t>
  </si>
  <si>
    <t>MAURITEL</t>
  </si>
  <si>
    <t>HOTEL HALIMA</t>
  </si>
  <si>
    <t>ARAM-FOR</t>
  </si>
  <si>
    <t>LNTP</t>
  </si>
  <si>
    <t>WELL PRESTATIONS - WP</t>
  </si>
  <si>
    <t>GROUPEMENT UVEA-LEHMANY</t>
  </si>
  <si>
    <t>PAPARAZZI</t>
  </si>
  <si>
    <t>GROUPEMENT LEHMAMY-ECTG</t>
  </si>
  <si>
    <t>EL WATANIYA POUR LE COMMERCE</t>
  </si>
  <si>
    <t>ATTM SA</t>
  </si>
  <si>
    <t>TICH-SERVICES</t>
  </si>
  <si>
    <t>TEYARETT</t>
  </si>
  <si>
    <t>ATIGH TRAVAUX ET SERVICES (ATS)</t>
  </si>
  <si>
    <t>BEE - TRB</t>
  </si>
  <si>
    <t>AFRICA BTP CONSTRUCTION SARL</t>
  </si>
  <si>
    <t xml:space="preserve">ATS SERVICES </t>
  </si>
  <si>
    <t xml:space="preserve">SOMATRAS </t>
  </si>
  <si>
    <t>BASIQ SARL</t>
  </si>
  <si>
    <t>AL-ALAMIA</t>
  </si>
  <si>
    <t>ILOT L 01</t>
  </si>
  <si>
    <t>ETS TEMESSOUMITT</t>
  </si>
  <si>
    <t>The Mauritanie Global Ocean</t>
  </si>
  <si>
    <t xml:space="preserve">AZZ ENTREPRISE MULTI SERVICES </t>
  </si>
  <si>
    <t>ETS REDWANE</t>
  </si>
  <si>
    <t>Etablissement Pour le Commerce Général</t>
  </si>
  <si>
    <t>Chinguitty pour L'equipement et travaux public</t>
  </si>
  <si>
    <t>SMCR  TP</t>
  </si>
  <si>
    <t xml:space="preserve">NOAKCHOTT </t>
  </si>
  <si>
    <t>ETS DAHMOUDI</t>
  </si>
  <si>
    <t>MAURIEQUEMENT</t>
  </si>
  <si>
    <t xml:space="preserve">ETS IMAAR </t>
  </si>
  <si>
    <t>ONG UVEA</t>
  </si>
  <si>
    <t>ETS TEL SARL</t>
  </si>
  <si>
    <t>DIALAW ET FILS</t>
  </si>
  <si>
    <t>ETS Général Services SARL GS</t>
  </si>
  <si>
    <t>ETS E.S.M.B</t>
  </si>
  <si>
    <t>IPC SARL</t>
  </si>
  <si>
    <t xml:space="preserve">SOGETEL </t>
  </si>
  <si>
    <t>26 15 2515</t>
  </si>
  <si>
    <t>GUIMEX</t>
  </si>
  <si>
    <t>IPROD</t>
  </si>
  <si>
    <t>ETS LA NATIONALE POUR L'URBANISME</t>
  </si>
  <si>
    <t>CHINGUTRADE SAREL</t>
  </si>
  <si>
    <t>NOUAKCHOTT MAURITANIE</t>
  </si>
  <si>
    <t>SGTC GROUP</t>
  </si>
  <si>
    <t>TIJANIYA POUR PRESTATION DE SERVICES</t>
  </si>
  <si>
    <t>NOUADHIBOU</t>
  </si>
  <si>
    <t>ENDER GRAVIER SARL</t>
  </si>
  <si>
    <t xml:space="preserve">TEVRAGH ZEINA </t>
  </si>
  <si>
    <t>ETS IBS</t>
  </si>
  <si>
    <t xml:space="preserve">tevragh zeina </t>
  </si>
  <si>
    <t xml:space="preserve">ETS BETTAR FRERE </t>
  </si>
  <si>
    <t>NOUAKCHOTT RIM</t>
  </si>
  <si>
    <t>SOCIETE GENERALE LOGISTIQUE</t>
  </si>
  <si>
    <t>TEVRAGH ZEINA NOUAKCHOTT</t>
  </si>
  <si>
    <t>ETS BARADJI ET FRERE</t>
  </si>
  <si>
    <t xml:space="preserve">STONEX </t>
  </si>
  <si>
    <t>INSIGHT ENGINEERING AND SERVICES</t>
  </si>
  <si>
    <t>ETGHAN TRANSIT-sa</t>
  </si>
  <si>
    <t>tevragh-zeina</t>
  </si>
  <si>
    <t>424488/26633885</t>
  </si>
  <si>
    <t>GTI  international sarl</t>
  </si>
  <si>
    <t>tevragh zeina</t>
  </si>
  <si>
    <t>SEDGHE ET EL AMANA</t>
  </si>
  <si>
    <t>TOUJOUNINE</t>
  </si>
  <si>
    <t xml:space="preserve">ETABLISSEMENT VERGUEL </t>
  </si>
  <si>
    <t>AL HADI</t>
  </si>
  <si>
    <t>ATT</t>
  </si>
  <si>
    <t>Societe Mauritanie des Travaux et Services</t>
  </si>
  <si>
    <t>Nouakchott Mauritanie</t>
  </si>
  <si>
    <t>Societe des Travaux et Service</t>
  </si>
  <si>
    <t>Arafatt</t>
  </si>
  <si>
    <t>RSG campany</t>
  </si>
  <si>
    <t>ETABLISSEMENT ERRIKAB ENTRPRENARIA</t>
  </si>
  <si>
    <t>EMCS</t>
  </si>
  <si>
    <t xml:space="preserve">LMCS </t>
  </si>
  <si>
    <t>CARRIRE DU NORD</t>
  </si>
  <si>
    <t xml:space="preserve">ORGANISATION DE GESTION DURABLE DES RESOURCES HUMAINES ET NATURELLES </t>
  </si>
  <si>
    <t>AIOUN - MAURITANIE</t>
  </si>
  <si>
    <t>BCAR SARL</t>
  </si>
  <si>
    <t xml:space="preserve">ILOT K </t>
  </si>
  <si>
    <t xml:space="preserve">ETS EL MOUSTAGHBEL PLUS </t>
  </si>
  <si>
    <t xml:space="preserve">ETS ABDI OULD CHEIKH </t>
  </si>
  <si>
    <t>ETS GENERAL DE TRAVAUX EN MAURITANIE</t>
  </si>
  <si>
    <t xml:space="preserve">Nouakchot </t>
  </si>
  <si>
    <t>PSTD</t>
  </si>
  <si>
    <t>ETS YAHYA OULD SIDI MOHAMED BABAH</t>
  </si>
  <si>
    <t>MCB TP</t>
  </si>
  <si>
    <t>ETS SIDI O LEVRACK</t>
  </si>
  <si>
    <t>ETS MPD</t>
  </si>
  <si>
    <t>LOVOTO SERVICE</t>
  </si>
  <si>
    <t>ETS El Mouftah El Kheire</t>
  </si>
  <si>
    <t>Abou Amadou SOW</t>
  </si>
  <si>
    <t>DS Conseil &amp; Co</t>
  </si>
  <si>
    <t>Souleimane Moussa BA</t>
  </si>
  <si>
    <t>Azougui</t>
  </si>
  <si>
    <t>Laboratoire National des Travaux Publics</t>
  </si>
  <si>
    <t>BICOF</t>
  </si>
  <si>
    <t>Goupement EMEC/MAUPRESCOGE</t>
  </si>
  <si>
    <t>ETS Sid'Ahmed Sidi MED</t>
  </si>
  <si>
    <t xml:space="preserve">Marise </t>
  </si>
  <si>
    <t>tevrgh zeina</t>
  </si>
  <si>
    <t>CENTRE DE DISTRIBUTION ELECTRIQUE</t>
  </si>
  <si>
    <t>C.G.T.P sarl</t>
  </si>
  <si>
    <t>EHABF</t>
  </si>
  <si>
    <t>TCF</t>
  </si>
  <si>
    <t>ARAFATT</t>
  </si>
  <si>
    <t>TPEPS</t>
  </si>
  <si>
    <t>TCGP-SARL</t>
  </si>
  <si>
    <t>20703266 / 36602831</t>
  </si>
  <si>
    <t>SMBS</t>
  </si>
  <si>
    <t>ETS Mohamed O/ Ahmed Lemine</t>
  </si>
  <si>
    <t>KENEWAL RIM</t>
  </si>
  <si>
    <t>FATOUMA</t>
  </si>
  <si>
    <t>Sebkha</t>
  </si>
  <si>
    <t>MSB</t>
  </si>
  <si>
    <t>CONSULTANT SIDI JIYED</t>
  </si>
  <si>
    <t>RIMCAT</t>
  </si>
  <si>
    <t>KANAWAL RIM</t>
  </si>
  <si>
    <t>KSAR ND</t>
  </si>
  <si>
    <t>SGTPM</t>
  </si>
  <si>
    <t>MCTE</t>
  </si>
  <si>
    <t>MRC</t>
  </si>
  <si>
    <t>ONG PRAD</t>
  </si>
  <si>
    <t>EMAC</t>
  </si>
  <si>
    <t>CNER TP</t>
  </si>
  <si>
    <t>SMP ATLAS</t>
  </si>
  <si>
    <t xml:space="preserve">KSAR </t>
  </si>
  <si>
    <t>COGEP</t>
  </si>
  <si>
    <t>Mauritanie-Nouakchott</t>
  </si>
  <si>
    <t>LOUTZ</t>
  </si>
  <si>
    <t>47 RUE DE LA REPUBLIQUE - FRANCE</t>
  </si>
  <si>
    <t>SERMEDICO</t>
  </si>
  <si>
    <t>TEYARETT LOT G</t>
  </si>
  <si>
    <t>OUSSOUL SARL</t>
  </si>
  <si>
    <t>GROUP NCN</t>
  </si>
  <si>
    <t>RANI SEYBOUTT</t>
  </si>
  <si>
    <t>EYES OF MAURITANIIA</t>
  </si>
  <si>
    <t>DAR-NAIM</t>
  </si>
  <si>
    <t>ETS MCP</t>
  </si>
  <si>
    <t>MAURITANIENNE DES MINES</t>
  </si>
  <si>
    <t>BRAHIM ABDELLAHI RAVE -B.A.C -B.A.R-SARL</t>
  </si>
  <si>
    <t>ETS MBS</t>
  </si>
  <si>
    <t>RIYADE</t>
  </si>
  <si>
    <t>H20-SARL</t>
  </si>
  <si>
    <t>ETS PUBLICIS</t>
  </si>
  <si>
    <t>QUALIZA - SARL</t>
  </si>
  <si>
    <t>CPT - SARL</t>
  </si>
  <si>
    <t>GRAND ETABLISSEMENT DE TRAVAUX PUBLICS -G.E.TP</t>
  </si>
  <si>
    <t>PRO BTP</t>
  </si>
  <si>
    <t>TEVRAGH ZINA</t>
  </si>
  <si>
    <t>ONG EL ASSALA</t>
  </si>
  <si>
    <t>SALAM BTPS SARL</t>
  </si>
  <si>
    <t>PK7 PHASE 2</t>
  </si>
  <si>
    <t xml:space="preserve">ETS MCGE </t>
  </si>
  <si>
    <t>TALEB MAHMOUD TALEB</t>
  </si>
  <si>
    <t>ANEVUE GEMAL ABDEL NASSER</t>
  </si>
  <si>
    <t xml:space="preserve">BIG SERVICES </t>
  </si>
  <si>
    <t>Societe El Quds cherif sarl</t>
  </si>
  <si>
    <t>ETS EL MEIDAN</t>
  </si>
  <si>
    <t>Ets Ahmed Mahmoud Lafdal</t>
  </si>
  <si>
    <t>MAURITANIENNE Logistique-Transport-NEGOCE</t>
  </si>
  <si>
    <t>Nejah-B 1101 tvz-Nouakchott</t>
  </si>
  <si>
    <t xml:space="preserve">TPS </t>
  </si>
  <si>
    <t>dar naim</t>
  </si>
  <si>
    <t>ETABLISSEMENT SIDI MOHAMED OULD BOW</t>
  </si>
  <si>
    <t>JPPG</t>
  </si>
  <si>
    <t>toujounine</t>
  </si>
  <si>
    <t>PTP SARL</t>
  </si>
  <si>
    <t>Mauritanie tout decor</t>
  </si>
  <si>
    <t xml:space="preserve">ksar ilot l </t>
  </si>
  <si>
    <t>SONOR</t>
  </si>
  <si>
    <t>ETS SIDI JIBRIL KHATRY</t>
  </si>
  <si>
    <t>KAEDI</t>
  </si>
  <si>
    <t>MSTS</t>
  </si>
  <si>
    <t>SELAMA TL SARL</t>
  </si>
  <si>
    <t>TOP SERVICES</t>
  </si>
  <si>
    <t>NOUAKCHOTT-MAURITANIE</t>
  </si>
  <si>
    <t>COPROMA</t>
  </si>
  <si>
    <t>Avenue de Nouadhibou BP 85</t>
  </si>
  <si>
    <t>20000062/22203240</t>
  </si>
  <si>
    <t>SOMAUBAT-SA</t>
  </si>
  <si>
    <t>30730000/22302057</t>
  </si>
  <si>
    <t>Ets MARWAN SERVICE</t>
  </si>
  <si>
    <t xml:space="preserve">ETS BENBAK POUR LE COMMERCE GENERAL </t>
  </si>
  <si>
    <t>ETS YACOUB BENYA</t>
  </si>
  <si>
    <t xml:space="preserve">MAURI ELECTRIQUE </t>
  </si>
  <si>
    <t>AITS SARL</t>
  </si>
  <si>
    <t>ETS AMM</t>
  </si>
  <si>
    <t xml:space="preserve">Avenue Charles de Gaulle </t>
  </si>
  <si>
    <t>ELECTRIM</t>
  </si>
  <si>
    <t xml:space="preserve">TEVRAGH ZEINA BANA BLANC </t>
  </si>
  <si>
    <t>GHADVA MULTI SERVICES</t>
  </si>
  <si>
    <t>SOULEYMANE MOUSSA BA</t>
  </si>
  <si>
    <t>KSAR ANCIEN AEROPORT</t>
  </si>
  <si>
    <t>46746763/22170690</t>
  </si>
  <si>
    <t>ETS KASSIB TEWVIGH - EKT</t>
  </si>
  <si>
    <t>ZRE LOT N°322 TEVRAGH-ZEINA</t>
  </si>
  <si>
    <t xml:space="preserve">PETROLEUM SERVICES </t>
  </si>
  <si>
    <t xml:space="preserve">Nouakchott Mauritanie </t>
  </si>
  <si>
    <t>Global Automotive</t>
  </si>
  <si>
    <t>DATA WATCH SYSTEMS</t>
  </si>
  <si>
    <t>Ets SAHEL Service et Travaux</t>
  </si>
  <si>
    <t>NOUTEVRAGH-ZEINA NOUAKCHOTT</t>
  </si>
  <si>
    <t>SMCPS SARL</t>
  </si>
  <si>
    <t>AGENCE EL OULYA POUR VOYAGE</t>
  </si>
  <si>
    <t>Khidmatt Express</t>
  </si>
  <si>
    <t>Avenue Mokhtar Daddah 406 R Tevragh</t>
  </si>
  <si>
    <t xml:space="preserve">Etablissement Najah </t>
  </si>
  <si>
    <t xml:space="preserve">Ksar </t>
  </si>
  <si>
    <t>ETABLISSEMENT JEWDA</t>
  </si>
  <si>
    <t>RAS EL GHAYA</t>
  </si>
  <si>
    <t xml:space="preserve">ETABLISSEMENT MAURITANIE DES TRAVAUX </t>
  </si>
  <si>
    <t>SOCMA SARL</t>
  </si>
  <si>
    <t>BUREAU DES ETUDES ET SUIVI DU BATIMENT SARL</t>
  </si>
  <si>
    <t>ETS MED VALL OULD MED LEMINE AHMED BEYA</t>
  </si>
  <si>
    <t>ETS SIDI MOHAMED OULD SIDI MOHAMED</t>
  </si>
  <si>
    <t>ENASR 106 F NORD  NOUAKCHOTT</t>
  </si>
  <si>
    <t xml:space="preserve">ETS KHADIJA et SOEURS </t>
  </si>
  <si>
    <t xml:space="preserve">LMN GROUP </t>
  </si>
  <si>
    <t>Agence djonaba</t>
  </si>
  <si>
    <t>AVENUE GAMAL ABDEL NASSER</t>
  </si>
  <si>
    <t>EL KENZ sarl</t>
  </si>
  <si>
    <t xml:space="preserve">ksar </t>
  </si>
  <si>
    <t>MHI</t>
  </si>
  <si>
    <t>nktt rim</t>
  </si>
  <si>
    <t>ETS SEDIGH</t>
  </si>
  <si>
    <t>Nouakchott  Mauritanie</t>
  </si>
  <si>
    <t>SAHARA 4S</t>
  </si>
  <si>
    <t>TVZ SUD ZR 0385 J NOUAKCHOTT</t>
  </si>
  <si>
    <t xml:space="preserve">MAURIBOIS </t>
  </si>
  <si>
    <t>ETS EHEL EL HADJ SIDI</t>
  </si>
  <si>
    <t>DISK</t>
  </si>
  <si>
    <t>Etudes et Prestations de Services</t>
  </si>
  <si>
    <t>Tevragh zeina</t>
  </si>
  <si>
    <t>ETS NAJAH</t>
  </si>
  <si>
    <t>JTC</t>
  </si>
  <si>
    <t>TV ZEINA</t>
  </si>
  <si>
    <t>M2P OIL SA</t>
  </si>
  <si>
    <t>MACRAP/S</t>
  </si>
  <si>
    <t>Ibrahim Hamidou Ba</t>
  </si>
  <si>
    <t>Riyad</t>
  </si>
  <si>
    <t>TMC SARL</t>
  </si>
  <si>
    <t xml:space="preserve">GIE ACTIVE </t>
  </si>
  <si>
    <t>ETS LUB</t>
  </si>
  <si>
    <t>ETS HAIDARA ET FRERES</t>
  </si>
  <si>
    <t>ksar</t>
  </si>
  <si>
    <t>ETS ZEIDANE</t>
  </si>
  <si>
    <t xml:space="preserve">AMI REPRESENTION IMPORT EXPORT ET COMMERCE </t>
  </si>
  <si>
    <t>EL VEJR LIL KHAIR-SARL</t>
  </si>
  <si>
    <t>ISNAD</t>
  </si>
  <si>
    <t>Société Frères Est SARL</t>
  </si>
  <si>
    <t>Local Flexibles</t>
  </si>
  <si>
    <t>teyarett</t>
  </si>
  <si>
    <t>ETS WANE ET FRERES -E W F</t>
  </si>
  <si>
    <t>ATD des travaux divers</t>
  </si>
  <si>
    <t>GHABESS</t>
  </si>
  <si>
    <t>ETS EL-IKHLAS</t>
  </si>
  <si>
    <t>CAPITAL RUE KHALIDOU ILOT P N°0038V</t>
  </si>
  <si>
    <t>22307064-36307064</t>
  </si>
  <si>
    <t>MARINE</t>
  </si>
  <si>
    <t xml:space="preserve">ETS Sidi Mohamed o/ Sidi Mohamed </t>
  </si>
  <si>
    <t>DANET Conseil et Service</t>
  </si>
  <si>
    <t xml:space="preserve">Maty </t>
  </si>
  <si>
    <t xml:space="preserve">All trading Mauritania </t>
  </si>
  <si>
    <t xml:space="preserve">Service Express Pour Le Monde </t>
  </si>
  <si>
    <t>Karime</t>
  </si>
  <si>
    <t>BIS.TP-SARL</t>
  </si>
  <si>
    <t>Ahmed Benane Consulting sces</t>
  </si>
  <si>
    <t>SOLUTECH</t>
  </si>
  <si>
    <t>ABSITT</t>
  </si>
  <si>
    <t>I.M.L.H</t>
  </si>
  <si>
    <t>SHOPINRIM</t>
  </si>
  <si>
    <t>ETS AHMED EL KHALIFA</t>
  </si>
  <si>
    <t>SATISYS</t>
  </si>
  <si>
    <t>ETS TEIZENT</t>
  </si>
  <si>
    <t>EL MOUSTAGHBEL SARL</t>
  </si>
  <si>
    <t>BUSINESS LEADERS</t>
  </si>
  <si>
    <t>SOUKOUK</t>
  </si>
  <si>
    <t>E M M S</t>
  </si>
  <si>
    <t xml:space="preserve">MS BATIMENT </t>
  </si>
  <si>
    <t xml:space="preserve">ETS MOHAMED MOHAMED LEMINE </t>
  </si>
  <si>
    <t>ETS L'HORIZON</t>
  </si>
  <si>
    <t>ETS MOUHAMED OULD MOHAMED SALEM EMAN</t>
  </si>
  <si>
    <t>Mauritech</t>
  </si>
  <si>
    <t>ILOT K</t>
  </si>
  <si>
    <t>ETPS</t>
  </si>
  <si>
    <t>Etude-Maître Med Lemine AMAR</t>
  </si>
  <si>
    <t>TAWVIQ POUR LES PRESTATIONS DE SERVICES</t>
  </si>
  <si>
    <t>AMADIR</t>
  </si>
  <si>
    <t>AL ARTIYAH</t>
  </si>
  <si>
    <t>KSAR ILOT ZRC</t>
  </si>
  <si>
    <t>ETS Sidi El kheir Rahel</t>
  </si>
  <si>
    <t>Société Raja SARL</t>
  </si>
  <si>
    <t>I S E C</t>
  </si>
  <si>
    <t>INFORMATION TECHNOLOGIQUE AND SOLUTIONS-ITSS</t>
  </si>
  <si>
    <t>CSD</t>
  </si>
  <si>
    <t>ETS  EL BARAKA-ZS</t>
  </si>
  <si>
    <t>TAWARY</t>
  </si>
  <si>
    <t>LASCOMPTA Audit sarl</t>
  </si>
  <si>
    <t>MB Consult</t>
  </si>
  <si>
    <t>ETS A bdelhay PTPS</t>
  </si>
  <si>
    <t xml:space="preserve">Adbulue Services </t>
  </si>
  <si>
    <t>36 rue Fernand Lefee</t>
  </si>
  <si>
    <t xml:space="preserve">HABALLA NEWS </t>
  </si>
  <si>
    <t>ETS SIDI JIBRIL KHATARY</t>
  </si>
  <si>
    <t>SMCRR</t>
  </si>
  <si>
    <t>TZA</t>
  </si>
  <si>
    <t>CANADA AUTO</t>
  </si>
  <si>
    <t>MEP-TP</t>
  </si>
  <si>
    <t>Al Araby info</t>
  </si>
  <si>
    <t xml:space="preserve">Khademat </t>
  </si>
  <si>
    <t>BellewarMedia</t>
  </si>
  <si>
    <t>Agence Mahfoudh Location</t>
  </si>
  <si>
    <t>Distribution Ingéniérie &amp; Developpement DID</t>
  </si>
  <si>
    <t>MOVITER</t>
  </si>
  <si>
    <t>C.D.M.C</t>
  </si>
  <si>
    <t>ETS ASAM sarl</t>
  </si>
  <si>
    <t>ETS Yarg Travaux Publics</t>
  </si>
  <si>
    <t>ETS Pro Commerce</t>
  </si>
  <si>
    <t>ALARABY.INFO</t>
  </si>
  <si>
    <t>Ahmed Mahmoud KHAYRATT</t>
  </si>
  <si>
    <t>Alpha Consult</t>
  </si>
  <si>
    <t>MDTP - sarl</t>
  </si>
  <si>
    <t>Tevragh Zeina</t>
  </si>
  <si>
    <t>M.E.T.P</t>
  </si>
  <si>
    <t>ETS CGP PLUS</t>
  </si>
  <si>
    <t>NET CLEAN</t>
  </si>
  <si>
    <t>ETSM</t>
  </si>
  <si>
    <t>ETS E.M.B.M</t>
  </si>
  <si>
    <t xml:space="preserve">Nouakchott Ksar </t>
  </si>
  <si>
    <t>Agence EJMEL Voyages</t>
  </si>
  <si>
    <t>ATOPA AUTO PLUS</t>
  </si>
  <si>
    <t xml:space="preserve">EL WATANIYA POUR LE COMMERCE </t>
  </si>
  <si>
    <t xml:space="preserve">TEYARETT </t>
  </si>
  <si>
    <t xml:space="preserve">E M T D  OMEGA </t>
  </si>
  <si>
    <t>Leader Petroleum</t>
  </si>
  <si>
    <t>CDMC</t>
  </si>
  <si>
    <t>TVZ LOT:12</t>
  </si>
  <si>
    <t>MCE sa</t>
  </si>
  <si>
    <t>Beta Conseils</t>
  </si>
  <si>
    <t>ETS Nevadh sarl</t>
  </si>
  <si>
    <t>Rimatel</t>
  </si>
  <si>
    <t>ITAKAN</t>
  </si>
  <si>
    <t>ETS AHMED DEH BEINANE</t>
  </si>
  <si>
    <t>MAURICARB SA</t>
  </si>
  <si>
    <t>ETS Mohmed Ould Ahmed Salem</t>
  </si>
  <si>
    <t>22063664 / 44871114</t>
  </si>
  <si>
    <t>Vision Commerce 2</t>
  </si>
  <si>
    <t>Dar Naim</t>
  </si>
  <si>
    <t xml:space="preserve">ETS Pro Commerce </t>
  </si>
  <si>
    <t>Vall Co sarl</t>
  </si>
  <si>
    <t xml:space="preserve">E nord 293 Nouakchott Mauritanie </t>
  </si>
  <si>
    <t>Noualig sarl</t>
  </si>
  <si>
    <t>Mauritanie pour le vente et Maintenance des Moteurs Electrique</t>
  </si>
  <si>
    <t>Dar naim</t>
  </si>
  <si>
    <t>MOHAMED ALY COMMERCEGENERAL ET TRAVAUX GENERAUX</t>
  </si>
  <si>
    <t>MENAL SARL</t>
  </si>
  <si>
    <t>Ilot zre</t>
  </si>
  <si>
    <t>INTCLEAN</t>
  </si>
  <si>
    <t>AMM Sarl</t>
  </si>
  <si>
    <t>Teyarett ilot h8 0116</t>
  </si>
  <si>
    <t xml:space="preserve">Mission Conseil Services </t>
  </si>
  <si>
    <t xml:space="preserve">ETS MOME FOR GENERAL SUPPLY ET SERVICES </t>
  </si>
  <si>
    <t xml:space="preserve">B 544 KSAR </t>
  </si>
  <si>
    <t>Ben Afan</t>
  </si>
  <si>
    <t>TVZ Nktt</t>
  </si>
  <si>
    <t>MASEC</t>
  </si>
  <si>
    <t xml:space="preserve">Mauritanienne d'equipement et services </t>
  </si>
  <si>
    <t xml:space="preserve">14 RDC Avenue Son Altesse </t>
  </si>
  <si>
    <t>Nesma</t>
  </si>
  <si>
    <t>ROUTE NDB</t>
  </si>
  <si>
    <t>Atlantique Intercontinental Group Sarl</t>
  </si>
  <si>
    <t>Av roi Fayçal, Siege BNM Nouakchott</t>
  </si>
  <si>
    <t>Cheikh Transport Logistique STL Sarl</t>
  </si>
  <si>
    <t xml:space="preserve">tevragh zeina à coté de Big market </t>
  </si>
  <si>
    <t xml:space="preserve">Presta Services </t>
  </si>
  <si>
    <t>ZRB NO NO 0221 A Nouakchott</t>
  </si>
  <si>
    <t>Sokiram</t>
  </si>
  <si>
    <t>ATA Sarl</t>
  </si>
  <si>
    <t xml:space="preserve">tevragh zeine </t>
  </si>
  <si>
    <t>ETS CHEIKH CHEIKH</t>
  </si>
  <si>
    <t>Moriemac</t>
  </si>
  <si>
    <t xml:space="preserve">ETS M SERVICES </t>
  </si>
  <si>
    <t>RIM Confort SARL</t>
  </si>
  <si>
    <t>Bureau Maghrébin d'Etudes et Contrôle BMEC</t>
  </si>
  <si>
    <t>Agence Ajij Elmoulebi</t>
  </si>
  <si>
    <t xml:space="preserve">ETS ABDEL MALECK MOULAYE </t>
  </si>
  <si>
    <t>ULTRA FORCE</t>
  </si>
  <si>
    <t>ETS BESMA</t>
  </si>
  <si>
    <t>RENAISSANCE AGRICULTURE BIO</t>
  </si>
  <si>
    <t>Kaedi</t>
  </si>
  <si>
    <t>Mauri Equipement</t>
  </si>
  <si>
    <t>Idoumou SARL</t>
  </si>
  <si>
    <t>EGS</t>
  </si>
  <si>
    <t>SERVICES BUREAUTIQUES GENERAL</t>
  </si>
  <si>
    <t xml:space="preserve">Toujounine </t>
  </si>
  <si>
    <t>ETS Tewvigh</t>
  </si>
  <si>
    <t>Rte de NDB</t>
  </si>
  <si>
    <t>ETS NEJAH POUR LE COMMERCE ET SERVICE</t>
  </si>
  <si>
    <t>STAMF</t>
  </si>
  <si>
    <t>AIOUN ENTREPRISE</t>
  </si>
  <si>
    <t>NATIONAL VOYAGE</t>
  </si>
  <si>
    <t>TVZ</t>
  </si>
  <si>
    <t>ETS TPCG</t>
  </si>
  <si>
    <t>MACOGES-sarl</t>
  </si>
  <si>
    <t>S A P A</t>
  </si>
  <si>
    <t>ROSSO</t>
  </si>
  <si>
    <t>EL HAMEL EL MOKHTAR</t>
  </si>
  <si>
    <t>EL MOUBDEE</t>
  </si>
  <si>
    <t>NOUAKCHOTT-SERVICES</t>
  </si>
  <si>
    <t>Fiable Qualité</t>
  </si>
  <si>
    <t>EITP</t>
  </si>
  <si>
    <t>M A S T</t>
  </si>
  <si>
    <t xml:space="preserve">A S A </t>
  </si>
  <si>
    <t>Ksar NKTT</t>
  </si>
  <si>
    <t>MaCos</t>
  </si>
  <si>
    <t>Mauritanienne pour le Commerce Général &amp; Services MACOGES</t>
  </si>
  <si>
    <t xml:space="preserve">TVZ </t>
  </si>
  <si>
    <t>IMPRIMERIE DU PEUPLE</t>
  </si>
  <si>
    <t>Med Salem Med El Hafedh Jidoumou</t>
  </si>
  <si>
    <t>NKTT RIM</t>
  </si>
  <si>
    <t>SUNRISE Mauritania</t>
  </si>
  <si>
    <t>ETS AIN RIDHA</t>
  </si>
  <si>
    <t>Sidi Abdoullah ould Biha</t>
  </si>
  <si>
    <t>ETS Transport - Logistique -Service  TLS</t>
  </si>
  <si>
    <t>AMG</t>
  </si>
  <si>
    <t>57 bis, rue d auteuil -</t>
  </si>
  <si>
    <t>Chinguitti pour le commerce et Services BTP</t>
  </si>
  <si>
    <t>DELAL COMMERCE GENERALS</t>
  </si>
  <si>
    <t>Arafat</t>
  </si>
  <si>
    <t>Groupe Solubat</t>
  </si>
  <si>
    <t>El Moutahida Sarl</t>
  </si>
  <si>
    <t>tvz</t>
  </si>
  <si>
    <t>Imane sarl</t>
  </si>
  <si>
    <t>MC Consulting</t>
  </si>
  <si>
    <t>MTV</t>
  </si>
  <si>
    <t xml:space="preserve">avenue Charle degaulle </t>
  </si>
  <si>
    <t>GENERALE DES TRAVAUX ET PRESTATION DE SERVICE SARL</t>
  </si>
  <si>
    <t xml:space="preserve">RIM BUSINESS GENERAL SERVICES </t>
  </si>
  <si>
    <t>ODD POUR LA MAURITANIE</t>
  </si>
  <si>
    <t>SMBTP SARL</t>
  </si>
  <si>
    <t>Teyerett</t>
  </si>
  <si>
    <t xml:space="preserve">M Services </t>
  </si>
  <si>
    <t>Agence Solution Voyage</t>
  </si>
  <si>
    <t>BTP Services</t>
  </si>
  <si>
    <t xml:space="preserve">Societe de traveaux Publics et services </t>
  </si>
  <si>
    <t>Groupement de Travaux Publics et Entrenariat</t>
  </si>
  <si>
    <t>SOCIETE EJWAD TRAVAUX PUBLICS ET PRESTATIONS DE SERVICES - SARL</t>
  </si>
  <si>
    <t>ETS HAMED</t>
  </si>
  <si>
    <t>Bureau Bar</t>
  </si>
  <si>
    <t xml:space="preserve">Restaurant  Le prestige </t>
  </si>
  <si>
    <t>CARAVAN</t>
  </si>
  <si>
    <t>MEGA LD</t>
  </si>
  <si>
    <t>Route de Nouadhibou</t>
  </si>
  <si>
    <t>ETS ENNASSER</t>
  </si>
  <si>
    <t>Ingeniere et Travaux Divers ITD</t>
  </si>
  <si>
    <t>Teyarett</t>
  </si>
  <si>
    <t>ETS EMEL</t>
  </si>
  <si>
    <t>ETS Tethiane et Frere</t>
  </si>
  <si>
    <t>EL Mina</t>
  </si>
  <si>
    <t>Mauritanienne Pour le Commerce Travaux et Equipements</t>
  </si>
  <si>
    <t xml:space="preserve">SMS </t>
  </si>
  <si>
    <t xml:space="preserve">ETS TOUKAMTOUKAM PECHE </t>
  </si>
  <si>
    <t xml:space="preserve">GROUPES CHADA COMMERCES ET SERVICES </t>
  </si>
  <si>
    <t>UNITED COMMERCE ET PRESTATION DE SERVICE</t>
  </si>
  <si>
    <t>MSG</t>
  </si>
  <si>
    <t>NEJATE</t>
  </si>
  <si>
    <t>TIS GROUP</t>
  </si>
  <si>
    <t>SOCIETE DYNAMIC CONTRACTING sarl</t>
  </si>
  <si>
    <t>Wazan Sarl</t>
  </si>
  <si>
    <t>Tvz</t>
  </si>
  <si>
    <t>ETS MRC</t>
  </si>
  <si>
    <t>RIM GLOBAL SARL</t>
  </si>
  <si>
    <t>STRAGMA sarl</t>
  </si>
  <si>
    <t>ETS CHINGUITT</t>
  </si>
  <si>
    <t>ECS</t>
  </si>
  <si>
    <t>Marché de capital</t>
  </si>
  <si>
    <t>M.A.S.T sarl</t>
  </si>
  <si>
    <t>ETS  POUR LES TRAVAUX ET SERVICES-ETS</t>
  </si>
  <si>
    <t xml:space="preserve">Getras </t>
  </si>
  <si>
    <t>GTM</t>
  </si>
  <si>
    <t>IMPERAL</t>
  </si>
  <si>
    <t>avenue charle de gaule</t>
  </si>
  <si>
    <t>ETS NEJAH</t>
  </si>
  <si>
    <t>ALAM 222 - SARL</t>
  </si>
  <si>
    <t>El bechaer</t>
  </si>
  <si>
    <t>ETS EL VETH</t>
  </si>
  <si>
    <t>ACERPROM</t>
  </si>
  <si>
    <t>Cheibany</t>
  </si>
  <si>
    <t>El Moubde</t>
  </si>
  <si>
    <t>El yoser</t>
  </si>
  <si>
    <t>E.M.P.S</t>
  </si>
  <si>
    <t>3M PLUS</t>
  </si>
  <si>
    <t>Africa BTP</t>
  </si>
  <si>
    <t>ETS Weyass pour le commerce et service</t>
  </si>
  <si>
    <t>Toujounine</t>
  </si>
  <si>
    <t>Ets Al Abrar</t>
  </si>
  <si>
    <t>Praticom</t>
  </si>
  <si>
    <t>SGCE SURAL</t>
  </si>
  <si>
    <t>ETS EL AMANA ET EL KHEIR</t>
  </si>
  <si>
    <t>LA SOCIETE NOUMWE POUR LES ETUDES ET LE COMMERCE GENERAL</t>
  </si>
  <si>
    <t>ENTREPRISE RIYADE</t>
  </si>
  <si>
    <t>RIADE</t>
  </si>
  <si>
    <t>SOCIETE DE GARDIENNAGE DE TRAVAUX ET DES SERVICES</t>
  </si>
  <si>
    <t>MEDIAKH</t>
  </si>
  <si>
    <t>TIJIRIT LOGISTIQUE</t>
  </si>
  <si>
    <t>SOCIETE ABD DAEM TP- PRESTATION DE SERVICES</t>
  </si>
  <si>
    <t>ETS HAWA</t>
  </si>
  <si>
    <t>FINITION</t>
  </si>
  <si>
    <t>Agence Butterfly</t>
  </si>
  <si>
    <t>ALRAEDA SERVICE</t>
  </si>
  <si>
    <t>ETS NEZAHA</t>
  </si>
  <si>
    <t>SBCR SERVICE</t>
  </si>
  <si>
    <t>ELBIMEX.SARL</t>
  </si>
  <si>
    <t>ETS PRO SERVICE TRAVAUX-SARL</t>
  </si>
  <si>
    <t>SOGETRAC SA</t>
  </si>
  <si>
    <t>TEVRAGH WEINA</t>
  </si>
  <si>
    <t>ATB-SARL</t>
  </si>
  <si>
    <t>TEWVIK ESPERANCE</t>
  </si>
  <si>
    <t>Facture carburant non parvenue</t>
  </si>
  <si>
    <t>BTS Construction RIM Sarl</t>
  </si>
  <si>
    <t xml:space="preserve">ISOTEC </t>
  </si>
  <si>
    <t xml:space="preserve">Maroc lot altaoufik </t>
  </si>
  <si>
    <t>ESEDAD POUR LE COMMERCE ET SERVICES SARL</t>
  </si>
  <si>
    <t>ETS TAYSSIR LOGI-SERVICE (TLS)</t>
  </si>
  <si>
    <t>AKJOUJTE</t>
  </si>
  <si>
    <t>ETS GUENTOUR</t>
  </si>
  <si>
    <t>ETS CHEIBANY O/BABA O/ELY SALEM</t>
  </si>
  <si>
    <t>EBM CONSTRUCTION ET SERVICE GENERAL-SARL</t>
  </si>
  <si>
    <t>ETS INEMAA-RIM</t>
  </si>
  <si>
    <t>SMART</t>
  </si>
  <si>
    <t>TSM-TP-SARL</t>
  </si>
  <si>
    <t>CRF CEXTI</t>
  </si>
  <si>
    <t>AMCG</t>
  </si>
  <si>
    <t>CGPS</t>
  </si>
  <si>
    <t>ARAFAT SECT 11</t>
  </si>
  <si>
    <t>ETS DE TRAVAUX ET DE SERVICE</t>
  </si>
  <si>
    <t>ETS SMCDD</t>
  </si>
  <si>
    <t>MONI POUR LES SERVICES GENERAUX</t>
  </si>
  <si>
    <t>ETS TICHELATEN-SARL</t>
  </si>
  <si>
    <t>ETS MENABAA EL JEWDA</t>
  </si>
  <si>
    <t>VADEL groupe sarl</t>
  </si>
  <si>
    <t>ETS CHERIF MOHAMED SIDINA ABDELLAHI</t>
  </si>
  <si>
    <t>NEEMBA</t>
  </si>
  <si>
    <t>ETABLISSEMENT AHMED OULD BERROU</t>
  </si>
  <si>
    <t>HADY OULD AHMEDOU</t>
  </si>
  <si>
    <t>ETS MMLCGC</t>
  </si>
  <si>
    <t>ARAFAT</t>
  </si>
  <si>
    <t>MOUSTAGBEL BTP ET SRVICE</t>
  </si>
  <si>
    <t>DELTA</t>
  </si>
  <si>
    <t>SOCOETE MAURITANIENNE DE COMMERCE TRAVAUX CONSTRUCTION</t>
  </si>
  <si>
    <t>OCEAN SHIPPING SARL</t>
  </si>
  <si>
    <t>ETS SB.TP</t>
  </si>
  <si>
    <t>TEWVIK-DIS-SARL</t>
  </si>
  <si>
    <t>ETS RAKHA</t>
  </si>
  <si>
    <t>ETS ZAR</t>
  </si>
  <si>
    <t>ETS MVMAB</t>
  </si>
  <si>
    <t>Réseau Zemzem Pour L'Eau Potable à Doueirara</t>
  </si>
  <si>
    <t>ETS Tahia sarl</t>
  </si>
  <si>
    <t>Ely Ould DADE, Consultant</t>
  </si>
  <si>
    <t>Institut Mauritanien des Compétences et du Développement.IMCD</t>
  </si>
  <si>
    <t>SMEL SERVICE-SARL</t>
  </si>
  <si>
    <t>Amouratt-Teyarett</t>
  </si>
  <si>
    <t>TOULERANCE GENERAL SERVICE-SARL</t>
  </si>
  <si>
    <t>ETS ESPOIR Pour les Services Generaux</t>
  </si>
  <si>
    <t>CAPITAL EQUIPMENT PARTS ET SERVICE CEPS</t>
  </si>
  <si>
    <t>MEIMA SARL POUR LES SERVICES</t>
  </si>
  <si>
    <t>ETS MED ABDERRAHMANE OULD LIMAME</t>
  </si>
  <si>
    <t>ETS ITGHAN</t>
  </si>
  <si>
    <t xml:space="preserve">TOUJININE / ILOT BHI </t>
  </si>
  <si>
    <t>ETS ETSS</t>
  </si>
  <si>
    <t>EMERGENCE GORGOL</t>
  </si>
  <si>
    <t>ETS NOUR SERVICES</t>
  </si>
  <si>
    <t>ETS TABRENKOUT</t>
  </si>
  <si>
    <t>SOCIETE P.T.2R-sarl</t>
  </si>
  <si>
    <t>GEPIMEX.Sarl</t>
  </si>
  <si>
    <t>SOCIETE TRANSIT SMA</t>
  </si>
  <si>
    <t>SAOMA</t>
  </si>
  <si>
    <t>WTC SARL</t>
  </si>
  <si>
    <t>META-TECHNOLOGIES</t>
  </si>
  <si>
    <t>ETS LE PREMIER CHOIX</t>
  </si>
  <si>
    <t>BSS-MAURITANIA</t>
  </si>
  <si>
    <t>MAURI GETS</t>
  </si>
  <si>
    <t>ETS HAMARA</t>
  </si>
  <si>
    <t>Zein Javar DHEHBI</t>
  </si>
  <si>
    <t>MIZAB LOGISTIQUE ET TRAVAUX PUBLICS - SARL</t>
  </si>
  <si>
    <t>ETS MOHAMED O. CHEIKH O. AHMEDOU</t>
  </si>
  <si>
    <t>ETS HAME</t>
  </si>
  <si>
    <t>OMEGA POUR LE COMMERCE GENERAL-SARL</t>
  </si>
  <si>
    <t>ETS MOURI COMMERCE</t>
  </si>
  <si>
    <t>ETS AHMED SEYIDNE</t>
  </si>
  <si>
    <t>ETS EMED</t>
  </si>
  <si>
    <t>SOCIETE APOLOG-SARL</t>
  </si>
  <si>
    <t>COMEC-SARL</t>
  </si>
  <si>
    <t>SOCIETE OUBOUR POUR LES TRAVAUX PUBLICS - SARL</t>
  </si>
  <si>
    <t>ETS TAWVIGH-KAEDI</t>
  </si>
  <si>
    <t>LKSEIBA POUR L'ENTREPRENEURIAT ET TRAVAUX PUBLICS-SARL</t>
  </si>
  <si>
    <t>ETS DIYA</t>
  </si>
  <si>
    <t>WELDING-INDUSTRIAL-SAFETY (WIS)-SARL</t>
  </si>
  <si>
    <t>BESC-SARL</t>
  </si>
  <si>
    <t>ETS EL WATANIA POUR AMENAGEMENT ET TRAVAUX</t>
  </si>
  <si>
    <t>ETS BOUKHARY GENERAL SUPPLY AND SERVICES</t>
  </si>
  <si>
    <t>ETS ATLAS</t>
  </si>
  <si>
    <t>AL ASTIGHAMA</t>
  </si>
  <si>
    <t>ETS MANANA</t>
  </si>
  <si>
    <t>SOSIETE NASSER DINE</t>
  </si>
  <si>
    <t>ETS JEWDA</t>
  </si>
  <si>
    <t>ETS ITD</t>
  </si>
  <si>
    <t>SOCIETE MANSOUR POUR LE COMMERCE GENERAL-SURAL</t>
  </si>
  <si>
    <t>GLOBAL MULTI SERVICE-SUARL</t>
  </si>
  <si>
    <t>GINY-SARL</t>
  </si>
  <si>
    <t>ETS  AHMED TALEB</t>
  </si>
  <si>
    <t>MPC POR LE COMMERCE</t>
  </si>
  <si>
    <t>ASSECRA-SARL</t>
  </si>
  <si>
    <t>46414693 / 26017261</t>
  </si>
  <si>
    <t>ETS SOUDOUGH</t>
  </si>
  <si>
    <t>STPTCG-SARL</t>
  </si>
  <si>
    <t>ETS WAVA POUR LE COMMERCE ET SERVICES GENERAUX</t>
  </si>
  <si>
    <t>SMYOK-TP</t>
  </si>
  <si>
    <t>MAYA COMMERCE</t>
  </si>
  <si>
    <t>MFM POUR LE COMMERCE ET L'ENTREPRENARIAT-SURAL</t>
  </si>
  <si>
    <t>TRAVAUX ET SERVICE D'ASSAINISSEMENT-SUARL</t>
  </si>
  <si>
    <t>Maitre Med Lemine</t>
  </si>
  <si>
    <t>MAURITANIENNE IDEALE TRAVAUX PUBLIC ET MULTISERVICE-SARL</t>
  </si>
  <si>
    <t>MCF SARL</t>
  </si>
  <si>
    <t>Nouakchott RC</t>
  </si>
  <si>
    <t>SMCTL-SARL</t>
  </si>
  <si>
    <t>ETS SIDI MOHAMED OULD MOHAMED OULD MOHAMED VALL</t>
  </si>
  <si>
    <t>ACOTRAL-SARL</t>
  </si>
  <si>
    <t>ZNEWS-SARL</t>
  </si>
  <si>
    <t>RIBAT-SARL</t>
  </si>
  <si>
    <t>MAURITANIENNE DE DISTRIBUTION ET DE SERVICES - MDS</t>
  </si>
  <si>
    <t>RIDHA-AM</t>
  </si>
  <si>
    <t>BUREAU CONSULTATION ETUDES SUIVI &amp; ASSISTANCE</t>
  </si>
  <si>
    <t>IBDAA BTP-SARL UNIP</t>
  </si>
  <si>
    <t>ETS CONSULTING EN EAU ET EN HYDROCARBURES "CEH"</t>
  </si>
  <si>
    <t>YEHDHIH MOHAMED LEMINE ELBOU</t>
  </si>
  <si>
    <t>MAURIVISION - SARL</t>
  </si>
  <si>
    <t>BSD HABITATIONS-SARL</t>
  </si>
  <si>
    <t>RIYAD</t>
  </si>
  <si>
    <t>COGETREQ</t>
  </si>
  <si>
    <t>CHERIF S RABYATAL</t>
  </si>
  <si>
    <t>QUEBEC AUTO-SARL</t>
  </si>
  <si>
    <t>BUREAU D'ETUDES SERVICES ET TRAVAUX</t>
  </si>
  <si>
    <t>ETS IRIJI GLOBAL SERVICES</t>
  </si>
  <si>
    <t>MAURITANIAN CONTRACTORS-SARL</t>
  </si>
  <si>
    <t>E.G.A-SUARL</t>
  </si>
  <si>
    <t>ETS EL AKSSA</t>
  </si>
  <si>
    <t>ECC-TP</t>
  </si>
  <si>
    <t>MTAB-SUARL</t>
  </si>
  <si>
    <t>GROUP PALLA (SARL)</t>
  </si>
  <si>
    <t>EL MAURITANIA POUR LA SECURITE ET SERVICES GENERAUX</t>
  </si>
  <si>
    <t>MAURITANIA TRAVEL-SARL</t>
  </si>
  <si>
    <t>GENERAL TRAVAUX ET PRESTATION DE SERVICES (GTPS)-SARL</t>
  </si>
  <si>
    <t>GROUP RETAILS FOR IMPORTATION ET DISTRIBUTION-GRID-SARL</t>
  </si>
  <si>
    <t>ETS EL HIMME</t>
  </si>
  <si>
    <t>MERAHBA-T.M</t>
  </si>
  <si>
    <t>MET MAURITANIA RECYCLING-SARL</t>
  </si>
  <si>
    <t>ETS DES TRAVAUX PUBLICS ENTRETIEN ET NETTOYAGE ETS "TPEN"</t>
  </si>
  <si>
    <t>ETS MAURITANIEN POUR LES CONSULTATIONS LES ETUDES ET L'ENTREPRENARIAT</t>
  </si>
  <si>
    <t>42012222 / 22120722</t>
  </si>
  <si>
    <t>SOGACER-SARL</t>
  </si>
  <si>
    <t>RAS EL VIL POUR COMMERCE ET TRAVUX-SARL</t>
  </si>
  <si>
    <t>ECOBAT-TP</t>
  </si>
  <si>
    <t>SOCIETE DE PRESTATION GENERAUX SPG-SARL</t>
  </si>
  <si>
    <t>ETS AL HARAMEYNE</t>
  </si>
  <si>
    <t>ETS SIDI TALEB EL-GHOUBA</t>
  </si>
  <si>
    <t>RABI SOGB-SARL</t>
  </si>
  <si>
    <t>TOMIYA D'EXPLOITATION MINIER ET DE SERVICE TEMS-SARL</t>
  </si>
  <si>
    <t>COGEF</t>
  </si>
  <si>
    <t>ETS MOHAMED FADEL TRAVAUX</t>
  </si>
  <si>
    <t>AL AHRAM T.P -SARL</t>
  </si>
  <si>
    <t>El Mina</t>
  </si>
  <si>
    <t xml:space="preserve">ETS  DE CONTRUCTION ET DE TRAVAUX DIVERS </t>
  </si>
  <si>
    <t>STUDIES CONSULTING BUSINESS</t>
  </si>
  <si>
    <t>MAURITANIE POUR LES TRAVAUX ET LES SERVICE GENEREAUX</t>
  </si>
  <si>
    <t>AHMED JID CONSULTING-(AJC)-SARL</t>
  </si>
  <si>
    <t>ENTREPRISE SOW ET FRERES COMMERCE GENERAL</t>
  </si>
  <si>
    <t>CONSORTIUM BUSINESS ET INGENIERIE SERVICE-CBIS-SARL</t>
  </si>
  <si>
    <t>AGRIPLUS-SUARL</t>
  </si>
  <si>
    <t>OMNISERVICE</t>
  </si>
  <si>
    <t>ANGO NAIME RIM-ANR-SARL</t>
  </si>
  <si>
    <t>ETS MOHAMEDI OULD AHMEIMID</t>
  </si>
  <si>
    <t>45294338 / 46451575</t>
  </si>
  <si>
    <t>ETS VALL POUR LE COMMERCE GENERAL ET SERVICE</t>
  </si>
  <si>
    <t>ETS MOHAMED SALEM O/ GUERMEICH</t>
  </si>
  <si>
    <t>MAGHAMA</t>
  </si>
  <si>
    <t>ETS EL JEWDA POUR LE COMMERCE ET SERVICE</t>
  </si>
  <si>
    <t>ETS DENTAL BTP</t>
  </si>
  <si>
    <t>QUALITY CONSTRUCTION (QC)-SURL</t>
  </si>
  <si>
    <t>ETS AHMEDOU MOHAMED VALL</t>
  </si>
  <si>
    <t>CABINET DE FORMATION ET DE CONSEILS</t>
  </si>
  <si>
    <t>AGENCE DE VOYAGES  EL MIARAJ</t>
  </si>
  <si>
    <t>AVAGHE SARL</t>
  </si>
  <si>
    <t>MARDIANA JEWNAADO SERVICE MJS</t>
  </si>
  <si>
    <t>SOCIETE DE SERVICE GENERAUX SSG</t>
  </si>
  <si>
    <t>SIDI MOHAMED MOHAMED LEMINE</t>
  </si>
  <si>
    <t>GDI-SARL</t>
  </si>
  <si>
    <t>INNOBA-SARL</t>
  </si>
  <si>
    <t>GLTTS</t>
  </si>
  <si>
    <t>ETS ABS</t>
  </si>
  <si>
    <t>BABA EL ARBI JAAVAR</t>
  </si>
  <si>
    <t>MAURIOIL</t>
  </si>
  <si>
    <t>INFRA NORTH SARL</t>
  </si>
  <si>
    <t>LOULEID POUR LES SERVICES SARL</t>
  </si>
  <si>
    <t>FALL POUR LES SERVICES SARL</t>
  </si>
  <si>
    <t>ETS EMEL COMMERCE GENERAL</t>
  </si>
  <si>
    <t>AVMS</t>
  </si>
  <si>
    <t>CHINGUITTI TRANSIT SARL</t>
  </si>
  <si>
    <t>EMTD-SARL</t>
  </si>
  <si>
    <t>ETS INJAZ SERVICES</t>
  </si>
  <si>
    <t>TRARZA-BOUTILIMIT</t>
  </si>
  <si>
    <t>MDO-SARL</t>
  </si>
  <si>
    <t>STPE-RIM-SARL</t>
  </si>
  <si>
    <t>SMTP SG SARL</t>
  </si>
  <si>
    <t>Zone industrielle KSAR</t>
  </si>
  <si>
    <t>AGM</t>
  </si>
  <si>
    <t>SOMATP.SM</t>
  </si>
  <si>
    <t>BIO NET</t>
  </si>
  <si>
    <t>MMA</t>
  </si>
  <si>
    <t xml:space="preserve">CLEANLINESS AND MAINTANANCE </t>
  </si>
  <si>
    <t>EGI-CG</t>
  </si>
  <si>
    <t>TATY</t>
  </si>
  <si>
    <t>ETS RAKHA 05</t>
  </si>
  <si>
    <t>ESSAADA POUR LE COMMERCE</t>
  </si>
  <si>
    <t xml:space="preserve">MPS ET TRAVAUX </t>
  </si>
  <si>
    <t>AGENCE MOUTEWEKIL</t>
  </si>
  <si>
    <t>CHEIKH MOHAMED LEMINE</t>
  </si>
  <si>
    <t>ZEM ZEM</t>
  </si>
  <si>
    <t>AHS TPS</t>
  </si>
  <si>
    <t>FOURNISSEURS DIVERS</t>
  </si>
  <si>
    <t>MAURI PAVING-COMPANY</t>
  </si>
  <si>
    <t>NOUROU IBRAHIMA SAKHANOKHO</t>
  </si>
  <si>
    <t>MMLOM</t>
  </si>
  <si>
    <t>ETS OUMOU ET FRERES</t>
  </si>
  <si>
    <t>ETS EL HIDAYA POUR LE COMMERCE GENERAL</t>
  </si>
  <si>
    <t>ETS VAL ET COMPAGNIE</t>
  </si>
  <si>
    <t>AGENCE AFRICAINE D'IMMOBILISATION D'ASSURANCE ET DE SERVICE</t>
  </si>
  <si>
    <t>ETS TEYSSIR</t>
  </si>
  <si>
    <t>ADR</t>
  </si>
  <si>
    <t>MAURITIRES-SERVICES</t>
  </si>
  <si>
    <t>ETS AL'IKHWA-100</t>
  </si>
  <si>
    <t>ETS JIS 2</t>
  </si>
  <si>
    <t>ETS TEYSIR</t>
  </si>
  <si>
    <t>Monguel</t>
  </si>
  <si>
    <t>JASMIN - SARL</t>
  </si>
  <si>
    <t>CONSTRUCTION DES BATIMENTS MENUISERIE ET BOIS METALLIQUE</t>
  </si>
  <si>
    <t>ETS BUREAU D'ETUDES ET DE GESTION -E.B.E.G.</t>
  </si>
  <si>
    <t>SKY RISE SOLUTIONS-SARL</t>
  </si>
  <si>
    <t>MTF-SERVICES -SARL</t>
  </si>
  <si>
    <t>EDM</t>
  </si>
  <si>
    <t>ETS EL KHAIR</t>
  </si>
  <si>
    <t>ETS SNRISE Mauritanie</t>
  </si>
  <si>
    <t>ETS EBOMA</t>
  </si>
  <si>
    <t>LESAIBA pr l'entrement et TP</t>
  </si>
  <si>
    <t>CGC/ Maurin China Geo-engineer</t>
  </si>
  <si>
    <t>ETS AHMED SIDI BRAHIM POUR LE COMERCE GENERAL</t>
  </si>
  <si>
    <t>ETS RIM HOLDING</t>
  </si>
  <si>
    <t xml:space="preserve"> ETS-ABDELLAHI MOHAMED SOULEIMANE</t>
  </si>
  <si>
    <t xml:space="preserve"> JAAVAR YOUBANOU DHEHBI</t>
  </si>
  <si>
    <t>BUSINESS GLOBAL SERVICES</t>
  </si>
  <si>
    <t>AHMEDOU MOHAMED BOUBACAR-A.M.B-SARL</t>
  </si>
  <si>
    <t>ETS SAMAH</t>
  </si>
  <si>
    <t>ETS MOHAMED MAHMOUD OULD ALIEN</t>
  </si>
  <si>
    <t xml:space="preserve"> RIM ENGINEERING-SUARL</t>
  </si>
  <si>
    <t>AMAL ENTRPRENARIAT ET COMMERCE GENRAL - SARL</t>
  </si>
  <si>
    <t xml:space="preserve"> LOGIMA - SARL</t>
  </si>
  <si>
    <t xml:space="preserve"> ETS TEVEWOUGH</t>
  </si>
  <si>
    <t>KSAR, ILOT K</t>
  </si>
  <si>
    <t>ETS EL OULAH</t>
  </si>
  <si>
    <t>ASSOCIATION FEMININE POUR LA PROTECTION DE L'ENFANT ET L'ENVIRONNEMEN</t>
  </si>
  <si>
    <t>MOUDJERIA</t>
  </si>
  <si>
    <t>ATM SOLUTIONS - SARL</t>
  </si>
  <si>
    <t>E-SERVICES - SARL</t>
  </si>
  <si>
    <t>SELAM POUR LE DEVELOPPEMENT</t>
  </si>
  <si>
    <t>NAHAH MULTI SERVICES - SARL</t>
  </si>
  <si>
    <t>PRESTA - SARL</t>
  </si>
  <si>
    <t>SOCIETE MAURITANIENNE DE CONSTRUCTION ET SERVICES DE SOUTIEN</t>
  </si>
  <si>
    <t>ETS EMEGJAR</t>
  </si>
  <si>
    <t>SOLUTION IT</t>
  </si>
  <si>
    <t>MAURITANINNE DE TRAVAUX GENERAUX ET SERVICES</t>
  </si>
  <si>
    <t>RIYADE / Ilot PK12 / Lot : NO 1001</t>
  </si>
  <si>
    <t>BEX COMMERCE GENERAL</t>
  </si>
  <si>
    <t>KSAR /Ilot : C6 A / Lot : NO 0459</t>
  </si>
  <si>
    <t>SOCIETE MAURITANIENNE D'ECONOMIE D'EMERGENCE - SM2EE - SARL</t>
  </si>
  <si>
    <t xml:space="preserve">ARAFATT /Ilot ARAFAT SEC14 B </t>
  </si>
  <si>
    <t>SSTD - SARL</t>
  </si>
  <si>
    <t>KSAR /llot A5</t>
  </si>
  <si>
    <t>45297512 / 46454166</t>
  </si>
  <si>
    <t>ATELIER DE FONSAGE DE PUITS ET TRAVAUX PUBLIC</t>
  </si>
  <si>
    <t>AFAFATT /Ilot SECT 7</t>
  </si>
  <si>
    <t>DIA MOHAMED &amp; FRERE POUR LOCATION ET VENTE DE VOITURES-SARL</t>
  </si>
  <si>
    <t>RIYADE /Ilot : LAR SECT 4B</t>
  </si>
  <si>
    <t>MEKA POUR CPTF-SARL</t>
  </si>
  <si>
    <t xml:space="preserve">ARAFATT /Ilot </t>
  </si>
  <si>
    <t>RIM FIGARO</t>
  </si>
  <si>
    <t>TEVRAGH ZEINA /Ilot NOT MD A</t>
  </si>
  <si>
    <t>ETS MED LEMINE SIDI ABDE COMMERCE MOBA</t>
  </si>
  <si>
    <t>TEVRAGH ZEINA / Ilot : B</t>
  </si>
  <si>
    <t>SOMACOTRAD-SARL</t>
  </si>
  <si>
    <t>TEYARETT / Ilot : DB EXT SUIT</t>
  </si>
  <si>
    <t>MEEGC - SARL</t>
  </si>
  <si>
    <t>TEVRAGH ZEINA / Ilot : ZRB</t>
  </si>
  <si>
    <t>ETS ALIYINE SAMBA M'BARECK</t>
  </si>
  <si>
    <t>RIYADE / Ilot : TARH 18P</t>
  </si>
  <si>
    <t>ETS EL VETH POUR L'ENTREPRENARIAT</t>
  </si>
  <si>
    <t>KSAR /Ilot : K3</t>
  </si>
  <si>
    <t>ETS LALLA</t>
  </si>
  <si>
    <t>TEVRAGH ZEINA / Ilot : NOT MO C</t>
  </si>
  <si>
    <t>C.T.S - SARL</t>
  </si>
  <si>
    <t>KSAR /Ilot : A1</t>
  </si>
  <si>
    <t>SOGETEL - SARL</t>
  </si>
  <si>
    <t>TEVRAGH ZEINA /ILOT ZRF ND LOT</t>
  </si>
  <si>
    <t>ETS EDHLIA POUR LE NETTOYAGE ET SERVICES GENERAUX</t>
  </si>
  <si>
    <t>EL MINA / ILOT CTH MDA</t>
  </si>
  <si>
    <t>MPAGNE INTERNATIONAL DE NEGOCE ET DE REPRESENTATION (C.I.N.R)-SARL</t>
  </si>
  <si>
    <t>RIYADE / ILOT : PK7</t>
  </si>
  <si>
    <t>SOCIETE POUR LES TRAVAUX DIVERS ET CONSEIL - TDC- SARL</t>
  </si>
  <si>
    <t>TEVRAGH ZEINA / ILOT ZRA</t>
  </si>
  <si>
    <t>ASSOCIATION DE GESTION PARTICIPATIVE DES OASIS DE TENLABA</t>
  </si>
  <si>
    <t>DIVA MAT-SA</t>
  </si>
  <si>
    <t>TEVRAGH ZEINA / Ilot : ZAR</t>
  </si>
  <si>
    <t>SOCIETE RIAD POUR L'APPUIS (SRA) - SARL</t>
  </si>
  <si>
    <t>TOUJOUNINE / Ilot : SECT 21B</t>
  </si>
  <si>
    <t>ETS WABIL</t>
  </si>
  <si>
    <t>TEVRAGH ZEINA / Ilot : NAJAH A</t>
  </si>
  <si>
    <t>ETS CPST</t>
  </si>
  <si>
    <t>TEVRAGH ZEINA / ILOT ZRC</t>
  </si>
  <si>
    <t>46787045 / 22488600</t>
  </si>
  <si>
    <t>MTO - SA</t>
  </si>
  <si>
    <t>KSAR / ILOT : K A OUEST</t>
  </si>
  <si>
    <t>GROUPEMENT INTERNATIONAL DE GENIE CIVIL ET D'INDUSTRIE - SARL</t>
  </si>
  <si>
    <t>TOUJOUNINE / ILOT : LAR SECT 5</t>
  </si>
  <si>
    <t>ETS TALEB BOUYE</t>
  </si>
  <si>
    <t>MOHAMED LEBSAR SIDATY TALEB ELEMINE - SARL</t>
  </si>
  <si>
    <t xml:space="preserve">TEVRAGH ZEINA / ILOT : C VERT </t>
  </si>
  <si>
    <t>SOCIETE INMAA-SUARL</t>
  </si>
  <si>
    <t>ETS TOP SERVICES</t>
  </si>
  <si>
    <t>ROSSO / ILOT : ESCALE</t>
  </si>
  <si>
    <t>ETS SUD BTP</t>
  </si>
  <si>
    <t>KSAR / ILOT : ZRF ND</t>
  </si>
  <si>
    <t>ETS HADOU OUMAR ABDELLAHI</t>
  </si>
  <si>
    <t xml:space="preserve">NOUADHIBOU / ILOT : </t>
  </si>
  <si>
    <t>MAURI-INTER COMMERCE GENERAL ET SERVICE</t>
  </si>
  <si>
    <t>KSAR / ILOT : K1</t>
  </si>
  <si>
    <t>GENERAL-BATIMENT HYDRAULIQUE-TRAVAUX PUBLICS</t>
  </si>
  <si>
    <t>TEYARETT / ILOT : SOCO DBPH1E</t>
  </si>
  <si>
    <t>ETS MAURITANIENNE DE CONSTRCTION ET TRAVAUX ''EMCT''</t>
  </si>
  <si>
    <t>DAR NAIM / ILOT  : 18 LOT 7</t>
  </si>
  <si>
    <t>Dar El Tibaa</t>
  </si>
  <si>
    <t>HILE BEYA-SUARL</t>
  </si>
  <si>
    <t>KSAR/ ILOT : A5</t>
  </si>
  <si>
    <t>AGENCE EL ECHRAVE POUR LA LOCATION DE VOIRURE</t>
  </si>
  <si>
    <t>MAYNA-SARL</t>
  </si>
  <si>
    <t>ETS MOURADE EL BINA</t>
  </si>
  <si>
    <t>AVAVE-SA</t>
  </si>
  <si>
    <t>GFCTG</t>
  </si>
  <si>
    <t>TOP QUINCAILLERIE</t>
  </si>
  <si>
    <t>ETS BLT</t>
  </si>
  <si>
    <t>AVORAC - SARL</t>
  </si>
  <si>
    <t>ETS FBB PRESTATIONS DE SERVICES</t>
  </si>
  <si>
    <t>SOCIETE INGENIERIE-CONSULTING ET ETUDES ENVIRONNEMENTALES -ICEE - SAR</t>
  </si>
  <si>
    <t>RIZIK POUR LES ENGAGEMENTS - SARL</t>
  </si>
  <si>
    <t>RIYAD / PK8</t>
  </si>
  <si>
    <t>ETS OCEAN INFORMATIQUE</t>
  </si>
  <si>
    <t>45258616 / 36376820</t>
  </si>
  <si>
    <t>I2L TRADING &amp; CO - SARL</t>
  </si>
  <si>
    <t>GLOBAL BUSINESS SERVICES (GBS)-SUARL</t>
  </si>
  <si>
    <t>EL KHEIRE SERVICES GENERAUX</t>
  </si>
  <si>
    <t>ETS SEPT 7 SEVEN</t>
  </si>
  <si>
    <t>EMIRA SERVICES-SUARL</t>
  </si>
  <si>
    <t>BUREAU D'ETUDES ARCHITECTURE &amp; GENIE CIVIL (AGC)-SARL</t>
  </si>
  <si>
    <t>ETS NOUH O/ NEGIH</t>
  </si>
  <si>
    <t>RIM AGRO EXPO SERVICES (RIMAXE) - SARL</t>
  </si>
  <si>
    <t>ETS DES FORAGES ET DE L'ASSAINISSEMENT "SAFARA BTP''</t>
  </si>
  <si>
    <t>EL VERDI SERVICES - SARL</t>
  </si>
  <si>
    <t>BUREAU 2ES ESPACE ECONOMIQUE ET SOCIAL-SARL</t>
  </si>
  <si>
    <t>ETS MAALI ET FRERES</t>
  </si>
  <si>
    <t>EDIFICE - SARL</t>
  </si>
  <si>
    <t>ETS BAR</t>
  </si>
  <si>
    <t>RACHE 2 - SUARL</t>
  </si>
  <si>
    <t>MMLH - SARL</t>
  </si>
  <si>
    <t>GEBTP-SARL</t>
  </si>
  <si>
    <t>ETS ISSELKOU O. MED EL MOCTAR O. MED CHEIKH</t>
  </si>
  <si>
    <t xml:space="preserve"> IDIARCOM - SARL</t>
  </si>
  <si>
    <t>SOCAP - SARL</t>
  </si>
  <si>
    <t>CENTRE DE DISTRIBUTION ELECTRIQUE''CDE''</t>
  </si>
  <si>
    <t>OCEAN WILD CATCH LIMITED</t>
  </si>
  <si>
    <t>ETS LOUD /BTPH</t>
  </si>
  <si>
    <t>ETS EL ICHRAGH</t>
  </si>
  <si>
    <t>ETS EL WEVA SERVICES</t>
  </si>
  <si>
    <t>ETS GLOBAL SERVICES MAURITANIE</t>
  </si>
  <si>
    <t>EL MANBAE POUR LE NETTOYAGE ET ENTRETIEN-SUARL</t>
  </si>
  <si>
    <t>AMO - SARL</t>
  </si>
  <si>
    <t>EL BARAKA POUR LA COMMERCIALISATION DE MATERIELS INFORMATIQUES</t>
  </si>
  <si>
    <t>CONSTRUCTIONS TRADE SERVICES</t>
  </si>
  <si>
    <t>SUCCURSARLE "GLOBO ID - SARL</t>
  </si>
  <si>
    <t>GLOBAL INFORMATION TECHNOLOGIES SOLUTIONS AND SERVICES (GITSS) - SARL</t>
  </si>
  <si>
    <t>INTERNATIONAL BUSINESS (IB)</t>
  </si>
  <si>
    <t>MTTP-SUARL</t>
  </si>
  <si>
    <t>ETS BAKA COMMERCE</t>
  </si>
  <si>
    <t>AL-KHEIR - SARL</t>
  </si>
  <si>
    <t>AMC TRAVAUX - SARL</t>
  </si>
  <si>
    <t>NATIONALE DES TRAVAUX ET DES DEVELOPPEMENTS (NTD) - SARL</t>
  </si>
  <si>
    <t>SGTSTP - SA</t>
  </si>
  <si>
    <t>DIMEX - SARL</t>
  </si>
  <si>
    <t>COMPAGNIE MAURITANIENNE D'INVESTISSEMENT DE CONSTRUCTION ET DES TRAVA</t>
  </si>
  <si>
    <t>ETS EBRAR SERVICES</t>
  </si>
  <si>
    <t>36305534/22305534</t>
  </si>
  <si>
    <t>BUREAU B.I.F</t>
  </si>
  <si>
    <t>ETS EHEL DIERY DE NOUADHIBOU (E.E.D</t>
  </si>
  <si>
    <t>DJIKKE-SURL</t>
  </si>
  <si>
    <t>ETS LA BONNE ETOILE</t>
  </si>
  <si>
    <t xml:space="preserve"> ETS EL AMOUDY FOURNITURES</t>
  </si>
  <si>
    <t>ETS DE COMMERCE GENERAL &amp; PRESTATION DES SERVICES DIVER-ECGPSD</t>
  </si>
  <si>
    <t>ADS - AFRICAINES DE DEVELOPPEMENT ET DE SERVICES</t>
  </si>
  <si>
    <t xml:space="preserve"> EDAYRA - SARL</t>
  </si>
  <si>
    <t xml:space="preserve"> DAWA CONSTRUCUTION - SARL</t>
  </si>
  <si>
    <t>ETS KARAMA</t>
  </si>
  <si>
    <t>VITRADE - SA</t>
  </si>
  <si>
    <t>HTA CONSILS - SARL</t>
  </si>
  <si>
    <t>GERTER</t>
  </si>
  <si>
    <t>ERRIDHA POUR LE COMMERCE GENERAL ET LE TRANSPORT -SARL</t>
  </si>
  <si>
    <t>IMOTHEP - SARL</t>
  </si>
  <si>
    <t>GLOBAL MAURITANIE DE TRAVAUX ET COMMERCE - SARL</t>
  </si>
  <si>
    <t>ETS TECHNOPOLE</t>
  </si>
  <si>
    <t>GOLDEN PRO</t>
  </si>
  <si>
    <t>E S B - SARL</t>
  </si>
  <si>
    <t>ONDULEURS ENERGIES ECLAIRAGE (O.E.E) - SARL</t>
  </si>
  <si>
    <t>MADD</t>
  </si>
  <si>
    <t>SOCIETE ARZAK /VAY-SUARL</t>
  </si>
  <si>
    <t>A.M.C. SERVICES</t>
  </si>
  <si>
    <t>EXPERT MAOULOUD NDACK (E.M.N)-SUARL</t>
  </si>
  <si>
    <t>SMCE TP -SARL</t>
  </si>
  <si>
    <t>CAMEL SERVICES - SA</t>
  </si>
  <si>
    <t>BRAHIM POUR LES SERVICES - SARL</t>
  </si>
  <si>
    <t>ETS BATIMENT DE FUTURE (E.B.F)</t>
  </si>
  <si>
    <t>EL WATANIA POUR LE MINE EPM - SARL</t>
  </si>
  <si>
    <t>TOPSUPPLY - SARL</t>
  </si>
  <si>
    <t>MARS - SARL</t>
  </si>
  <si>
    <t>MAURITANIENNE DE LOGISTIQUE ET TRAVAUX PUBLICS MTL - SARL</t>
  </si>
  <si>
    <t>MR.SERVICES ET ENTREPRENARIAT</t>
  </si>
  <si>
    <t>22235676 / 46432588</t>
  </si>
  <si>
    <t>EURO WORLD TRAVEL - SARL</t>
  </si>
  <si>
    <t>ETS AHMEED</t>
  </si>
  <si>
    <t>BUCOF CONSULTING</t>
  </si>
  <si>
    <t>FOOD BY FATIMA KITCHEN</t>
  </si>
  <si>
    <t>ETS MOCTAR O/ ABDALLAHI</t>
  </si>
  <si>
    <t>MAURITANIENNE DES TRAVAUX ET DES GESTIONS PERSONNELLES</t>
  </si>
  <si>
    <t>ETS AR DO BA</t>
  </si>
  <si>
    <t>MASM-SARL</t>
  </si>
  <si>
    <t>SADARA POUR L'ENTREPRENARIAT -COMMERCE GENERAL-IMPORT-EXPORT - SARL</t>
  </si>
  <si>
    <t>M.A.CO.SE.T - SARL</t>
  </si>
  <si>
    <t>MCTP - SA</t>
  </si>
  <si>
    <t>RENEWABLE ENERGY CONSULTING</t>
  </si>
  <si>
    <t>TEK -RIM - SARL</t>
  </si>
  <si>
    <t>MOON - SARL</t>
  </si>
  <si>
    <t>ETS MAINTENANCE ASSISTANCE REPRESENTATION &amp; SERVICES "MARS"</t>
  </si>
  <si>
    <t>3A SERVICES - SARL</t>
  </si>
  <si>
    <t>STRB - SARL</t>
  </si>
  <si>
    <t>RIM MAINTENANCE ET TRANSACTIONS COMMERCIALES - SARL</t>
  </si>
  <si>
    <t xml:space="preserve">MAURITANIENNE POUR DES TRAVAUX PROFESSIONNELS ET DES SERVICES DIVERS </t>
  </si>
  <si>
    <t>BUREAU D'ETUDES ET DE DEVELOPPEMENT</t>
  </si>
  <si>
    <t xml:space="preserve">BUREAU EL WEVAE POUR L'ETUDE LE SUIVI ET LE CONTROLE DU PROJET </t>
  </si>
  <si>
    <t>ZAID SERVICES PLUS - SARL</t>
  </si>
  <si>
    <t>CABINET D'ARCHITECTES ASSOCIES - C A A</t>
  </si>
  <si>
    <t>ETS SMIN</t>
  </si>
  <si>
    <t>ETS YAHYA &amp; FRERES</t>
  </si>
  <si>
    <t>SOCIETE GENERALE DE SERVICES - SURL</t>
  </si>
  <si>
    <t>ABDELLAHI OULD MOHAMED VALL</t>
  </si>
  <si>
    <t>NAFEE POUR DISTRIBUTION ET SERVICES(NADIS) - SARL</t>
  </si>
  <si>
    <t>DESIR.CG - SARL</t>
  </si>
  <si>
    <t>INFOG TECHNOLOGIE - SARL</t>
  </si>
  <si>
    <t>GSF - SARL</t>
  </si>
  <si>
    <t xml:space="preserve"> IMEX - AFRICA - SARL</t>
  </si>
  <si>
    <t>ETS RAHMA</t>
  </si>
  <si>
    <t>EIGUE - SARL</t>
  </si>
  <si>
    <t>SOCIETE SIDIYE EJDEY DE TRAVAUX-SARL</t>
  </si>
  <si>
    <t>ETS EL JOWDA POUR LE COMMERCE GENERAL</t>
  </si>
  <si>
    <t>ETS EL MEYDANE</t>
  </si>
  <si>
    <t>ETGHAN RCH</t>
  </si>
  <si>
    <t>ETS EL VOWZ</t>
  </si>
  <si>
    <t>ETS TEWVIGH POUR LES TRAVAUX</t>
  </si>
  <si>
    <t>ENTREPRISE DE PRODUCTION DE LA PIERRE ET DE CONSTRUCTION</t>
  </si>
  <si>
    <t>CMT COMMERCE GENERAL</t>
  </si>
  <si>
    <t>OAB</t>
  </si>
  <si>
    <t>MEKA POUR LES TRAVAUX - SARL</t>
  </si>
  <si>
    <t>Fournisseurs sous traitants factures à reçevoir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</si>
</sst>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4"/>
  <sheetViews>
    <sheetView tabSelected="1" workbookViewId="0"/>
  </sheetViews>
  <sheetFormatPr baseColWidth="10" defaultRowHeight="15" x14ac:dyDescent="0.25"/>
  <cols>
    <col min="1" max="1" width="51.28515625" customWidth="1"/>
    <col min="2" max="3" width="11.42578125" customWidth="1"/>
    <col min="4" max="4" width="35.28515625" bestFit="1" customWidth="1"/>
    <col min="5" max="5" width="1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C2" t="s">
        <v>7</v>
      </c>
      <c r="E2" t="str">
        <f>"36345157"</f>
        <v>36345157</v>
      </c>
      <c r="F2" t="str">
        <f>"00449520"</f>
        <v>00449520</v>
      </c>
    </row>
    <row r="3" spans="1:6" x14ac:dyDescent="0.25">
      <c r="A3" t="s">
        <v>8</v>
      </c>
      <c r="C3" t="s">
        <v>9</v>
      </c>
      <c r="D3" t="s">
        <v>10</v>
      </c>
      <c r="E3" t="str">
        <f>"45252777"</f>
        <v>45252777</v>
      </c>
      <c r="F3" t="str">
        <f>"80900042"</f>
        <v>80900042</v>
      </c>
    </row>
    <row r="4" spans="1:6" x14ac:dyDescent="0.25">
      <c r="A4" t="s">
        <v>11</v>
      </c>
      <c r="C4" t="s">
        <v>12</v>
      </c>
      <c r="E4" t="str">
        <f>"22306968"</f>
        <v>22306968</v>
      </c>
      <c r="F4" t="str">
        <f>"00619312"</f>
        <v>00619312</v>
      </c>
    </row>
    <row r="5" spans="1:6" x14ac:dyDescent="0.25">
      <c r="A5" t="s">
        <v>13</v>
      </c>
      <c r="C5" t="s">
        <v>9</v>
      </c>
      <c r="E5" t="str">
        <f>"33926874"</f>
        <v>33926874</v>
      </c>
      <c r="F5" t="str">
        <f>"11107518"</f>
        <v>11107518</v>
      </c>
    </row>
    <row r="6" spans="1:6" x14ac:dyDescent="0.25">
      <c r="A6" t="s">
        <v>14</v>
      </c>
      <c r="C6" t="s">
        <v>9</v>
      </c>
      <c r="F6" t="str">
        <f>"80900042"</f>
        <v>80900042</v>
      </c>
    </row>
    <row r="7" spans="1:6" x14ac:dyDescent="0.25">
      <c r="A7" t="s">
        <v>15</v>
      </c>
      <c r="C7" t="s">
        <v>9</v>
      </c>
      <c r="F7" t="str">
        <f>"00753871"</f>
        <v>00753871</v>
      </c>
    </row>
    <row r="8" spans="1:6" x14ac:dyDescent="0.25">
      <c r="A8" t="s">
        <v>16</v>
      </c>
      <c r="F8" t="str">
        <f>"00700286"</f>
        <v>00700286</v>
      </c>
    </row>
    <row r="9" spans="1:6" x14ac:dyDescent="0.25">
      <c r="A9" t="s">
        <v>17</v>
      </c>
      <c r="E9" t="str">
        <f>"425252777"</f>
        <v>425252777</v>
      </c>
      <c r="F9" t="str">
        <f>"80900042"</f>
        <v>80900042</v>
      </c>
    </row>
    <row r="10" spans="1:6" x14ac:dyDescent="0.25">
      <c r="A10" t="s">
        <v>18</v>
      </c>
      <c r="C10" t="s">
        <v>19</v>
      </c>
      <c r="E10" t="str">
        <f>"27108038"</f>
        <v>27108038</v>
      </c>
      <c r="F10" t="str">
        <f>"00502229"</f>
        <v>00502229</v>
      </c>
    </row>
    <row r="11" spans="1:6" x14ac:dyDescent="0.25">
      <c r="A11" t="s">
        <v>20</v>
      </c>
      <c r="C11" t="s">
        <v>9</v>
      </c>
      <c r="E11" t="str">
        <f>"25059925"</f>
        <v>25059925</v>
      </c>
      <c r="F11" t="str">
        <f>"00721498"</f>
        <v>00721498</v>
      </c>
    </row>
    <row r="12" spans="1:6" x14ac:dyDescent="0.25">
      <c r="A12" t="s">
        <v>21</v>
      </c>
      <c r="C12" t="s">
        <v>9</v>
      </c>
      <c r="E12" t="str">
        <f>"41654953"</f>
        <v>41654953</v>
      </c>
    </row>
    <row r="13" spans="1:6" x14ac:dyDescent="0.25">
      <c r="A13" t="s">
        <v>22</v>
      </c>
      <c r="C13" t="s">
        <v>23</v>
      </c>
      <c r="E13" t="str">
        <f>"36315000"</f>
        <v>36315000</v>
      </c>
      <c r="F13" t="str">
        <f>"00733592"</f>
        <v>00733592</v>
      </c>
    </row>
    <row r="14" spans="1:6" x14ac:dyDescent="0.25">
      <c r="A14" t="s">
        <v>24</v>
      </c>
      <c r="C14" t="s">
        <v>9</v>
      </c>
      <c r="E14" t="str">
        <f>"36916861"</f>
        <v>36916861</v>
      </c>
      <c r="F14" t="str">
        <f>"00582304"</f>
        <v>00582304</v>
      </c>
    </row>
    <row r="15" spans="1:6" x14ac:dyDescent="0.25">
      <c r="A15" t="s">
        <v>25</v>
      </c>
      <c r="C15" t="s">
        <v>23</v>
      </c>
      <c r="E15" t="str">
        <f>"22309410"</f>
        <v>22309410</v>
      </c>
      <c r="F15" t="str">
        <f>"00088997"</f>
        <v>00088997</v>
      </c>
    </row>
    <row r="16" spans="1:6" x14ac:dyDescent="0.25">
      <c r="A16" t="s">
        <v>26</v>
      </c>
      <c r="C16" t="s">
        <v>27</v>
      </c>
      <c r="E16" t="str">
        <f>"46519693"</f>
        <v>46519693</v>
      </c>
      <c r="F16" t="str">
        <f>"00177337"</f>
        <v>00177337</v>
      </c>
    </row>
    <row r="17" spans="1:6" x14ac:dyDescent="0.25">
      <c r="A17" t="s">
        <v>28</v>
      </c>
      <c r="E17" t="str">
        <f>"45242088"</f>
        <v>45242088</v>
      </c>
      <c r="F17" t="str">
        <f>"20700216"</f>
        <v>20700216</v>
      </c>
    </row>
    <row r="18" spans="1:6" x14ac:dyDescent="0.25">
      <c r="A18" t="s">
        <v>29</v>
      </c>
      <c r="C18" t="s">
        <v>30</v>
      </c>
      <c r="E18" t="str">
        <f>"22314872"</f>
        <v>22314872</v>
      </c>
      <c r="F18" t="str">
        <f>"00295212"</f>
        <v>00295212</v>
      </c>
    </row>
    <row r="19" spans="1:6" x14ac:dyDescent="0.25">
      <c r="A19" t="s">
        <v>31</v>
      </c>
      <c r="C19" t="s">
        <v>32</v>
      </c>
      <c r="E19" t="str">
        <f>"36225899"</f>
        <v>36225899</v>
      </c>
      <c r="F19" t="str">
        <f>"00631697"</f>
        <v>00631697</v>
      </c>
    </row>
    <row r="20" spans="1:6" x14ac:dyDescent="0.25">
      <c r="A20" t="s">
        <v>33</v>
      </c>
      <c r="E20" t="str">
        <f>"46403073"</f>
        <v>46403073</v>
      </c>
      <c r="F20" t="str">
        <f>"00353631"</f>
        <v>00353631</v>
      </c>
    </row>
    <row r="21" spans="1:6" x14ac:dyDescent="0.25">
      <c r="A21" t="s">
        <v>34</v>
      </c>
      <c r="C21" t="s">
        <v>9</v>
      </c>
      <c r="E21" t="str">
        <f>"45253405"</f>
        <v>45253405</v>
      </c>
      <c r="F21" t="str">
        <f>"10719505"</f>
        <v>10719505</v>
      </c>
    </row>
    <row r="22" spans="1:6" x14ac:dyDescent="0.25">
      <c r="A22" t="s">
        <v>35</v>
      </c>
      <c r="F22" t="str">
        <f>"10700893"</f>
        <v>10700893</v>
      </c>
    </row>
    <row r="23" spans="1:6" x14ac:dyDescent="0.25">
      <c r="A23" t="s">
        <v>36</v>
      </c>
      <c r="C23" t="s">
        <v>9</v>
      </c>
      <c r="E23" t="str">
        <f>"38388690"</f>
        <v>38388690</v>
      </c>
      <c r="F23" t="str">
        <f>"11102279"</f>
        <v>11102279</v>
      </c>
    </row>
    <row r="24" spans="1:6" x14ac:dyDescent="0.25">
      <c r="A24" t="s">
        <v>37</v>
      </c>
      <c r="C24" t="s">
        <v>9</v>
      </c>
      <c r="F24" t="str">
        <f>"21103681"</f>
        <v>21103681</v>
      </c>
    </row>
    <row r="25" spans="1:6" x14ac:dyDescent="0.25">
      <c r="A25" t="s">
        <v>38</v>
      </c>
      <c r="C25" t="s">
        <v>9</v>
      </c>
      <c r="E25" t="str">
        <f>"37302343"</f>
        <v>37302343</v>
      </c>
    </row>
    <row r="26" spans="1:6" x14ac:dyDescent="0.25">
      <c r="A26" t="s">
        <v>39</v>
      </c>
      <c r="C26" t="s">
        <v>9</v>
      </c>
      <c r="E26" t="str">
        <f>"22415663"</f>
        <v>22415663</v>
      </c>
      <c r="F26" t="str">
        <f>"10600281"</f>
        <v>10600281</v>
      </c>
    </row>
    <row r="27" spans="1:6" x14ac:dyDescent="0.25">
      <c r="A27" t="s">
        <v>40</v>
      </c>
      <c r="C27" t="s">
        <v>9</v>
      </c>
      <c r="E27" t="str">
        <f>"43056400"</f>
        <v>43056400</v>
      </c>
      <c r="F27" t="str">
        <f>"00819326"</f>
        <v>00819326</v>
      </c>
    </row>
    <row r="28" spans="1:6" x14ac:dyDescent="0.25">
      <c r="A28" t="s">
        <v>41</v>
      </c>
      <c r="C28" t="s">
        <v>9</v>
      </c>
      <c r="E28" t="str">
        <f>"36351114"</f>
        <v>36351114</v>
      </c>
      <c r="F28" t="str">
        <f>"00187765"</f>
        <v>00187765</v>
      </c>
    </row>
    <row r="29" spans="1:6" x14ac:dyDescent="0.25">
      <c r="A29" t="s">
        <v>42</v>
      </c>
      <c r="C29" t="s">
        <v>19</v>
      </c>
      <c r="E29" t="str">
        <f>"47687777"</f>
        <v>47687777</v>
      </c>
      <c r="F29" t="str">
        <f>"00353649"</f>
        <v>00353649</v>
      </c>
    </row>
    <row r="30" spans="1:6" x14ac:dyDescent="0.25">
      <c r="A30" t="s">
        <v>43</v>
      </c>
      <c r="C30" t="s">
        <v>9</v>
      </c>
      <c r="E30" t="str">
        <f>"22272782"</f>
        <v>22272782</v>
      </c>
      <c r="F30" t="str">
        <f>"00518092"</f>
        <v>00518092</v>
      </c>
    </row>
    <row r="31" spans="1:6" x14ac:dyDescent="0.25">
      <c r="A31" t="s">
        <v>44</v>
      </c>
      <c r="F31" t="str">
        <f>"00085829"</f>
        <v>00085829</v>
      </c>
    </row>
    <row r="32" spans="1:6" x14ac:dyDescent="0.25">
      <c r="A32" t="s">
        <v>45</v>
      </c>
      <c r="C32" t="s">
        <v>9</v>
      </c>
      <c r="F32" t="str">
        <f>"37020202"</f>
        <v>37020202</v>
      </c>
    </row>
    <row r="33" spans="1:6" x14ac:dyDescent="0.25">
      <c r="A33" t="s">
        <v>46</v>
      </c>
      <c r="C33" t="s">
        <v>30</v>
      </c>
      <c r="E33" t="str">
        <f>"20737253"</f>
        <v>20737253</v>
      </c>
      <c r="F33" t="str">
        <f>"10714118"</f>
        <v>10714118</v>
      </c>
    </row>
    <row r="34" spans="1:6" x14ac:dyDescent="0.25">
      <c r="A34" t="s">
        <v>47</v>
      </c>
      <c r="C34" t="s">
        <v>9</v>
      </c>
      <c r="E34" t="str">
        <f>"45243000"</f>
        <v>45243000</v>
      </c>
      <c r="F34" t="str">
        <f>"00754721"</f>
        <v>00754721</v>
      </c>
    </row>
    <row r="35" spans="1:6" x14ac:dyDescent="0.25">
      <c r="A35" t="s">
        <v>48</v>
      </c>
      <c r="C35" t="s">
        <v>9</v>
      </c>
      <c r="E35" t="str">
        <f>"20001717"</f>
        <v>20001717</v>
      </c>
      <c r="F35" t="str">
        <f>"00801423"</f>
        <v>00801423</v>
      </c>
    </row>
    <row r="36" spans="1:6" x14ac:dyDescent="0.25">
      <c r="A36" t="s">
        <v>49</v>
      </c>
      <c r="F36" t="str">
        <f>"00805473"</f>
        <v>00805473</v>
      </c>
    </row>
    <row r="37" spans="1:6" x14ac:dyDescent="0.25">
      <c r="A37" t="s">
        <v>50</v>
      </c>
      <c r="F37" t="str">
        <f>"10722707"</f>
        <v>10722707</v>
      </c>
    </row>
    <row r="38" spans="1:6" x14ac:dyDescent="0.25">
      <c r="A38" t="s">
        <v>51</v>
      </c>
      <c r="C38" t="s">
        <v>30</v>
      </c>
      <c r="E38" t="str">
        <f>"36361010"</f>
        <v>36361010</v>
      </c>
      <c r="F38" t="str">
        <f>"10706031"</f>
        <v>10706031</v>
      </c>
    </row>
    <row r="39" spans="1:6" x14ac:dyDescent="0.25">
      <c r="A39" t="s">
        <v>52</v>
      </c>
    </row>
    <row r="40" spans="1:6" x14ac:dyDescent="0.25">
      <c r="A40" t="s">
        <v>53</v>
      </c>
      <c r="C40" t="s">
        <v>9</v>
      </c>
      <c r="E40" t="str">
        <f>"46432335"</f>
        <v>46432335</v>
      </c>
      <c r="F40" t="str">
        <f>"10702402"</f>
        <v>10702402</v>
      </c>
    </row>
    <row r="41" spans="1:6" x14ac:dyDescent="0.25">
      <c r="A41" t="s">
        <v>54</v>
      </c>
      <c r="E41" t="s">
        <v>55</v>
      </c>
      <c r="F41" t="str">
        <f>"10710504"</f>
        <v>10710504</v>
      </c>
    </row>
    <row r="42" spans="1:6" x14ac:dyDescent="0.25">
      <c r="A42" t="s">
        <v>56</v>
      </c>
      <c r="E42" t="str">
        <f>"46750408"</f>
        <v>46750408</v>
      </c>
      <c r="F42" t="str">
        <f>"00223453"</f>
        <v>00223453</v>
      </c>
    </row>
    <row r="43" spans="1:6" x14ac:dyDescent="0.25">
      <c r="A43" t="s">
        <v>57</v>
      </c>
      <c r="C43" t="s">
        <v>9</v>
      </c>
      <c r="E43" t="str">
        <f>"22438936"</f>
        <v>22438936</v>
      </c>
      <c r="F43" t="str">
        <f>"00252536"</f>
        <v>00252536</v>
      </c>
    </row>
    <row r="44" spans="1:6" x14ac:dyDescent="0.25">
      <c r="A44" t="s">
        <v>58</v>
      </c>
      <c r="C44" t="s">
        <v>59</v>
      </c>
      <c r="E44" t="str">
        <f>"46971888"</f>
        <v>46971888</v>
      </c>
      <c r="F44" t="str">
        <f>"01192087"</f>
        <v>01192087</v>
      </c>
    </row>
    <row r="45" spans="1:6" x14ac:dyDescent="0.25">
      <c r="A45" t="s">
        <v>60</v>
      </c>
      <c r="E45" t="str">
        <f>"41160298"</f>
        <v>41160298</v>
      </c>
      <c r="F45" t="str">
        <f>"00413542"</f>
        <v>00413542</v>
      </c>
    </row>
    <row r="46" spans="1:6" x14ac:dyDescent="0.25">
      <c r="A46" t="s">
        <v>61</v>
      </c>
      <c r="F46" t="str">
        <f>"00516484"</f>
        <v>00516484</v>
      </c>
    </row>
    <row r="47" spans="1:6" x14ac:dyDescent="0.25">
      <c r="A47" t="s">
        <v>62</v>
      </c>
      <c r="C47" t="s">
        <v>9</v>
      </c>
      <c r="E47" t="str">
        <f>"26161617"</f>
        <v>26161617</v>
      </c>
      <c r="F47" t="str">
        <f>"00516484"</f>
        <v>00516484</v>
      </c>
    </row>
    <row r="48" spans="1:6" x14ac:dyDescent="0.25">
      <c r="A48" t="s">
        <v>63</v>
      </c>
      <c r="C48" t="s">
        <v>9</v>
      </c>
      <c r="E48" t="str">
        <f>"22385552"</f>
        <v>22385552</v>
      </c>
      <c r="F48" t="str">
        <f>"00558379"</f>
        <v>00558379</v>
      </c>
    </row>
    <row r="49" spans="1:6" x14ac:dyDescent="0.25">
      <c r="A49" t="s">
        <v>64</v>
      </c>
      <c r="F49" t="str">
        <f>"00047159"</f>
        <v>00047159</v>
      </c>
    </row>
    <row r="50" spans="1:6" x14ac:dyDescent="0.25">
      <c r="A50" t="s">
        <v>65</v>
      </c>
      <c r="C50" t="s">
        <v>9</v>
      </c>
      <c r="E50" t="str">
        <f>"22634255"</f>
        <v>22634255</v>
      </c>
      <c r="F50" t="str">
        <f>"00047159"</f>
        <v>00047159</v>
      </c>
    </row>
    <row r="51" spans="1:6" x14ac:dyDescent="0.25">
      <c r="A51" t="s">
        <v>66</v>
      </c>
      <c r="C51" t="s">
        <v>9</v>
      </c>
      <c r="E51" t="str">
        <f>"22272878"</f>
        <v>22272878</v>
      </c>
      <c r="F51" t="str">
        <f>"10707995"</f>
        <v>10707995</v>
      </c>
    </row>
    <row r="52" spans="1:6" x14ac:dyDescent="0.25">
      <c r="A52" t="s">
        <v>67</v>
      </c>
      <c r="C52" t="s">
        <v>19</v>
      </c>
      <c r="E52" t="str">
        <f>"32717241"</f>
        <v>32717241</v>
      </c>
      <c r="F52" t="str">
        <f>"00317628"</f>
        <v>00317628</v>
      </c>
    </row>
    <row r="53" spans="1:6" x14ac:dyDescent="0.25">
      <c r="A53" t="s">
        <v>68</v>
      </c>
      <c r="C53" t="s">
        <v>9</v>
      </c>
      <c r="E53" t="str">
        <f>"22351114"</f>
        <v>22351114</v>
      </c>
      <c r="F53" t="str">
        <f>"00187765"</f>
        <v>00187765</v>
      </c>
    </row>
    <row r="54" spans="1:6" x14ac:dyDescent="0.25">
      <c r="A54" t="s">
        <v>69</v>
      </c>
      <c r="F54" t="str">
        <f>"70403183"</f>
        <v>70403183</v>
      </c>
    </row>
    <row r="55" spans="1:6" x14ac:dyDescent="0.25">
      <c r="A55" t="s">
        <v>70</v>
      </c>
      <c r="F55" t="str">
        <f>"00508234"</f>
        <v>00508234</v>
      </c>
    </row>
    <row r="56" spans="1:6" x14ac:dyDescent="0.25">
      <c r="A56" t="s">
        <v>71</v>
      </c>
      <c r="C56" t="s">
        <v>72</v>
      </c>
      <c r="E56" t="str">
        <f>"25229854"</f>
        <v>25229854</v>
      </c>
      <c r="F56" t="str">
        <f>"21100901"</f>
        <v>21100901</v>
      </c>
    </row>
    <row r="57" spans="1:6" x14ac:dyDescent="0.25">
      <c r="A57" t="s">
        <v>73</v>
      </c>
    </row>
    <row r="58" spans="1:6" x14ac:dyDescent="0.25">
      <c r="A58" t="s">
        <v>74</v>
      </c>
      <c r="C58" t="s">
        <v>9</v>
      </c>
      <c r="E58" t="str">
        <f>"22358895"</f>
        <v>22358895</v>
      </c>
      <c r="F58" t="str">
        <f>"00053900"</f>
        <v>00053900</v>
      </c>
    </row>
    <row r="59" spans="1:6" x14ac:dyDescent="0.25">
      <c r="A59" t="s">
        <v>75</v>
      </c>
      <c r="C59" t="s">
        <v>9</v>
      </c>
      <c r="E59" t="str">
        <f>"36125459"</f>
        <v>36125459</v>
      </c>
      <c r="F59" t="str">
        <f>"11103624"</f>
        <v>11103624</v>
      </c>
    </row>
    <row r="60" spans="1:6" x14ac:dyDescent="0.25">
      <c r="A60" t="s">
        <v>76</v>
      </c>
    </row>
    <row r="61" spans="1:6" x14ac:dyDescent="0.25">
      <c r="A61" t="s">
        <v>77</v>
      </c>
      <c r="F61" t="str">
        <f>"10722699"</f>
        <v>10722699</v>
      </c>
    </row>
    <row r="62" spans="1:6" x14ac:dyDescent="0.25">
      <c r="A62" t="s">
        <v>78</v>
      </c>
    </row>
    <row r="63" spans="1:6" x14ac:dyDescent="0.25">
      <c r="A63" t="s">
        <v>79</v>
      </c>
    </row>
    <row r="64" spans="1:6" x14ac:dyDescent="0.25">
      <c r="A64" t="s">
        <v>80</v>
      </c>
      <c r="C64" t="s">
        <v>9</v>
      </c>
      <c r="E64" t="str">
        <f>"22222438"</f>
        <v>22222438</v>
      </c>
      <c r="F64" t="str">
        <f>"00591388"</f>
        <v>00591388</v>
      </c>
    </row>
    <row r="65" spans="1:6" x14ac:dyDescent="0.25">
      <c r="A65" t="s">
        <v>81</v>
      </c>
    </row>
    <row r="66" spans="1:6" x14ac:dyDescent="0.25">
      <c r="A66" t="s">
        <v>82</v>
      </c>
      <c r="C66" t="s">
        <v>9</v>
      </c>
      <c r="E66" t="str">
        <f>"22313431"</f>
        <v>22313431</v>
      </c>
      <c r="F66" t="str">
        <f>"22704689"</f>
        <v>22704689</v>
      </c>
    </row>
    <row r="67" spans="1:6" x14ac:dyDescent="0.25">
      <c r="A67" t="s">
        <v>83</v>
      </c>
      <c r="C67" t="s">
        <v>9</v>
      </c>
      <c r="E67" t="str">
        <f>"46916861"</f>
        <v>46916861</v>
      </c>
      <c r="F67" t="str">
        <f>"00290460"</f>
        <v>00290460</v>
      </c>
    </row>
    <row r="68" spans="1:6" x14ac:dyDescent="0.25">
      <c r="A68" t="s">
        <v>84</v>
      </c>
    </row>
    <row r="69" spans="1:6" x14ac:dyDescent="0.25">
      <c r="A69" t="s">
        <v>85</v>
      </c>
      <c r="F69" t="str">
        <f>"00494682"</f>
        <v>00494682</v>
      </c>
    </row>
    <row r="70" spans="1:6" x14ac:dyDescent="0.25">
      <c r="A70" t="s">
        <v>86</v>
      </c>
      <c r="E70" t="str">
        <f>"22092232"</f>
        <v>22092232</v>
      </c>
      <c r="F70" t="str">
        <f>"10700893"</f>
        <v>10700893</v>
      </c>
    </row>
    <row r="71" spans="1:6" x14ac:dyDescent="0.25">
      <c r="A71" t="s">
        <v>87</v>
      </c>
    </row>
    <row r="72" spans="1:6" x14ac:dyDescent="0.25">
      <c r="A72" t="s">
        <v>88</v>
      </c>
      <c r="C72" t="s">
        <v>30</v>
      </c>
      <c r="E72" t="str">
        <f>"20738039"</f>
        <v>20738039</v>
      </c>
      <c r="F72" t="str">
        <f>"00636670"</f>
        <v>00636670</v>
      </c>
    </row>
    <row r="73" spans="1:6" x14ac:dyDescent="0.25">
      <c r="A73" t="s">
        <v>89</v>
      </c>
      <c r="C73" t="s">
        <v>90</v>
      </c>
      <c r="E73" t="str">
        <f>"33450240"</f>
        <v>33450240</v>
      </c>
      <c r="F73" t="str">
        <f>"00803072"</f>
        <v>00803072</v>
      </c>
    </row>
    <row r="74" spans="1:6" x14ac:dyDescent="0.25">
      <c r="A74" t="s">
        <v>91</v>
      </c>
      <c r="F74" t="str">
        <f>"00421099"</f>
        <v>00421099</v>
      </c>
    </row>
    <row r="75" spans="1:6" x14ac:dyDescent="0.25">
      <c r="A75" t="s">
        <v>92</v>
      </c>
      <c r="F75" t="str">
        <f>"00689653"</f>
        <v>00689653</v>
      </c>
    </row>
    <row r="76" spans="1:6" x14ac:dyDescent="0.25">
      <c r="A76" t="s">
        <v>93</v>
      </c>
      <c r="C76" t="s">
        <v>9</v>
      </c>
      <c r="E76" t="str">
        <f>"46253352"</f>
        <v>46253352</v>
      </c>
      <c r="F76" t="str">
        <f>"00200873"</f>
        <v>00200873</v>
      </c>
    </row>
    <row r="77" spans="1:6" x14ac:dyDescent="0.25">
      <c r="A77" t="s">
        <v>94</v>
      </c>
      <c r="C77" t="s">
        <v>9</v>
      </c>
      <c r="F77" t="str">
        <f>"21105132"</f>
        <v>21105132</v>
      </c>
    </row>
    <row r="78" spans="1:6" x14ac:dyDescent="0.25">
      <c r="A78" t="s">
        <v>95</v>
      </c>
      <c r="F78" t="str">
        <f>"00770610"</f>
        <v>00770610</v>
      </c>
    </row>
    <row r="79" spans="1:6" x14ac:dyDescent="0.25">
      <c r="A79" t="s">
        <v>96</v>
      </c>
      <c r="C79" t="s">
        <v>9</v>
      </c>
      <c r="E79" t="str">
        <f>"43330203"</f>
        <v>43330203</v>
      </c>
      <c r="F79" t="str">
        <f>"00634733"</f>
        <v>00634733</v>
      </c>
    </row>
    <row r="80" spans="1:6" x14ac:dyDescent="0.25">
      <c r="A80" t="s">
        <v>97</v>
      </c>
      <c r="F80" t="str">
        <f>"21102394"</f>
        <v>21102394</v>
      </c>
    </row>
    <row r="81" spans="1:6" x14ac:dyDescent="0.25">
      <c r="A81" t="s">
        <v>98</v>
      </c>
      <c r="F81" t="str">
        <f>"00063867"</f>
        <v>00063867</v>
      </c>
    </row>
    <row r="82" spans="1:6" x14ac:dyDescent="0.25">
      <c r="A82" t="s">
        <v>99</v>
      </c>
      <c r="C82" t="s">
        <v>9</v>
      </c>
      <c r="E82" t="str">
        <f>"22429642"</f>
        <v>22429642</v>
      </c>
      <c r="F82" t="str">
        <f>"00641373"</f>
        <v>00641373</v>
      </c>
    </row>
    <row r="83" spans="1:6" x14ac:dyDescent="0.25">
      <c r="A83" t="s">
        <v>100</v>
      </c>
    </row>
    <row r="84" spans="1:6" x14ac:dyDescent="0.25">
      <c r="A84" t="s">
        <v>101</v>
      </c>
      <c r="C84" t="s">
        <v>9</v>
      </c>
      <c r="F84" t="str">
        <f>"00508234"</f>
        <v>00508234</v>
      </c>
    </row>
    <row r="85" spans="1:6" x14ac:dyDescent="0.25">
      <c r="A85" t="s">
        <v>102</v>
      </c>
      <c r="C85" t="s">
        <v>9</v>
      </c>
      <c r="E85" t="str">
        <f>"42896269"</f>
        <v>42896269</v>
      </c>
    </row>
    <row r="86" spans="1:6" x14ac:dyDescent="0.25">
      <c r="A86" t="s">
        <v>103</v>
      </c>
      <c r="C86" t="s">
        <v>9</v>
      </c>
      <c r="E86" t="str">
        <f>"49021370"</f>
        <v>49021370</v>
      </c>
      <c r="F86" t="str">
        <f>"00817080"</f>
        <v>00817080</v>
      </c>
    </row>
    <row r="87" spans="1:6" x14ac:dyDescent="0.25">
      <c r="A87" t="s">
        <v>104</v>
      </c>
      <c r="C87" t="s">
        <v>105</v>
      </c>
      <c r="E87" t="str">
        <f>"22436843"</f>
        <v>22436843</v>
      </c>
    </row>
    <row r="88" spans="1:6" x14ac:dyDescent="0.25">
      <c r="A88" t="s">
        <v>106</v>
      </c>
      <c r="C88" t="s">
        <v>9</v>
      </c>
      <c r="E88" t="str">
        <f>"45293178"</f>
        <v>45293178</v>
      </c>
      <c r="F88" t="str">
        <f>"00822254"</f>
        <v>00822254</v>
      </c>
    </row>
    <row r="89" spans="1:6" x14ac:dyDescent="0.25">
      <c r="A89" t="s">
        <v>107</v>
      </c>
      <c r="C89" t="s">
        <v>108</v>
      </c>
      <c r="E89" t="str">
        <f>"0022245251817"</f>
        <v>0022245251817</v>
      </c>
      <c r="F89" t="str">
        <f>"00788398"</f>
        <v>00788398</v>
      </c>
    </row>
    <row r="90" spans="1:6" x14ac:dyDescent="0.25">
      <c r="A90" t="s">
        <v>109</v>
      </c>
      <c r="C90" t="s">
        <v>30</v>
      </c>
      <c r="E90" t="str">
        <f>"45290066"</f>
        <v>45290066</v>
      </c>
      <c r="F90" t="str">
        <f>"11104648"</f>
        <v>11104648</v>
      </c>
    </row>
    <row r="91" spans="1:6" x14ac:dyDescent="0.25">
      <c r="A91" t="s">
        <v>110</v>
      </c>
      <c r="C91" t="s">
        <v>30</v>
      </c>
      <c r="E91" t="str">
        <f>"45255783"</f>
        <v>45255783</v>
      </c>
      <c r="F91" t="str">
        <f>"20300141"</f>
        <v>20300141</v>
      </c>
    </row>
    <row r="92" spans="1:6" x14ac:dyDescent="0.25">
      <c r="A92" t="s">
        <v>111</v>
      </c>
      <c r="F92" t="str">
        <f>"30600133"</f>
        <v>30600133</v>
      </c>
    </row>
    <row r="93" spans="1:6" x14ac:dyDescent="0.25">
      <c r="A93" t="s">
        <v>112</v>
      </c>
      <c r="C93" t="s">
        <v>9</v>
      </c>
      <c r="E93" t="str">
        <f>"36372611"</f>
        <v>36372611</v>
      </c>
      <c r="F93" t="str">
        <f>"10700281"</f>
        <v>10700281</v>
      </c>
    </row>
    <row r="94" spans="1:6" x14ac:dyDescent="0.25">
      <c r="A94" t="s">
        <v>113</v>
      </c>
      <c r="C94" t="s">
        <v>9</v>
      </c>
      <c r="E94" t="str">
        <f>"46564768"</f>
        <v>46564768</v>
      </c>
    </row>
    <row r="95" spans="1:6" x14ac:dyDescent="0.25">
      <c r="A95" t="s">
        <v>114</v>
      </c>
      <c r="C95" t="s">
        <v>9</v>
      </c>
      <c r="E95" t="str">
        <f>"45251817"</f>
        <v>45251817</v>
      </c>
      <c r="F95" t="str">
        <f>"00269035"</f>
        <v>00269035</v>
      </c>
    </row>
    <row r="96" spans="1:6" x14ac:dyDescent="0.25">
      <c r="A96" t="s">
        <v>115</v>
      </c>
      <c r="C96" t="s">
        <v>9</v>
      </c>
      <c r="E96" t="str">
        <f>"36325919"</f>
        <v>36325919</v>
      </c>
    </row>
    <row r="97" spans="1:6" x14ac:dyDescent="0.25">
      <c r="A97" t="s">
        <v>116</v>
      </c>
      <c r="F97" t="str">
        <f>"10722699"</f>
        <v>10722699</v>
      </c>
    </row>
    <row r="98" spans="1:6" x14ac:dyDescent="0.25">
      <c r="A98" t="s">
        <v>117</v>
      </c>
      <c r="C98" t="s">
        <v>9</v>
      </c>
      <c r="E98" t="str">
        <f>"31782100"</f>
        <v>31782100</v>
      </c>
      <c r="F98" t="str">
        <f>"10900653"</f>
        <v>10900653</v>
      </c>
    </row>
    <row r="99" spans="1:6" x14ac:dyDescent="0.25">
      <c r="A99" t="s">
        <v>118</v>
      </c>
      <c r="E99" t="str">
        <f>"41414141"</f>
        <v>41414141</v>
      </c>
      <c r="F99" t="str">
        <f>"00680959"</f>
        <v>00680959</v>
      </c>
    </row>
    <row r="100" spans="1:6" x14ac:dyDescent="0.25">
      <c r="A100" t="s">
        <v>119</v>
      </c>
      <c r="C100" t="s">
        <v>27</v>
      </c>
      <c r="E100" t="str">
        <f>"36171701"</f>
        <v>36171701</v>
      </c>
      <c r="F100" t="str">
        <f>"00637066"</f>
        <v>00637066</v>
      </c>
    </row>
    <row r="101" spans="1:6" x14ac:dyDescent="0.25">
      <c r="A101" t="s">
        <v>120</v>
      </c>
      <c r="C101" t="s">
        <v>9</v>
      </c>
      <c r="F101" t="str">
        <f>"00525360"</f>
        <v>00525360</v>
      </c>
    </row>
    <row r="102" spans="1:6" x14ac:dyDescent="0.25">
      <c r="A102" t="s">
        <v>121</v>
      </c>
      <c r="C102" t="s">
        <v>9</v>
      </c>
      <c r="E102" t="str">
        <f>"36368584"</f>
        <v>36368584</v>
      </c>
      <c r="F102" t="str">
        <f>"00152314"</f>
        <v>00152314</v>
      </c>
    </row>
    <row r="103" spans="1:6" x14ac:dyDescent="0.25">
      <c r="A103" t="s">
        <v>122</v>
      </c>
      <c r="C103" t="s">
        <v>9</v>
      </c>
      <c r="E103" t="str">
        <f>"36242628"</f>
        <v>36242628</v>
      </c>
      <c r="F103" t="str">
        <f>"00491407"</f>
        <v>00491407</v>
      </c>
    </row>
    <row r="104" spans="1:6" x14ac:dyDescent="0.25">
      <c r="A104" t="s">
        <v>123</v>
      </c>
    </row>
    <row r="105" spans="1:6" x14ac:dyDescent="0.25">
      <c r="A105" t="s">
        <v>124</v>
      </c>
      <c r="C105" t="s">
        <v>9</v>
      </c>
      <c r="E105" t="str">
        <f>"48014427"</f>
        <v>48014427</v>
      </c>
    </row>
    <row r="106" spans="1:6" x14ac:dyDescent="0.25">
      <c r="A106" t="s">
        <v>125</v>
      </c>
      <c r="E106" t="str">
        <f>"36612946"</f>
        <v>36612946</v>
      </c>
      <c r="F106" t="str">
        <f>"10708664"</f>
        <v>10708664</v>
      </c>
    </row>
    <row r="107" spans="1:6" x14ac:dyDescent="0.25">
      <c r="A107" t="s">
        <v>126</v>
      </c>
    </row>
    <row r="108" spans="1:6" x14ac:dyDescent="0.25">
      <c r="A108" t="s">
        <v>127</v>
      </c>
      <c r="C108" t="s">
        <v>9</v>
      </c>
      <c r="E108" t="str">
        <f>"46444525"</f>
        <v>46444525</v>
      </c>
      <c r="F108" t="str">
        <f>"21105967"</f>
        <v>21105967</v>
      </c>
    </row>
    <row r="109" spans="1:6" x14ac:dyDescent="0.25">
      <c r="A109" t="s">
        <v>128</v>
      </c>
      <c r="C109" t="s">
        <v>9</v>
      </c>
      <c r="E109" t="str">
        <f>"46444525"</f>
        <v>46444525</v>
      </c>
      <c r="F109" t="str">
        <f>"21105967"</f>
        <v>21105967</v>
      </c>
    </row>
    <row r="110" spans="1:6" x14ac:dyDescent="0.25">
      <c r="A110" t="s">
        <v>129</v>
      </c>
      <c r="C110" t="s">
        <v>9</v>
      </c>
      <c r="E110" t="str">
        <f>"36355555"</f>
        <v>36355555</v>
      </c>
    </row>
    <row r="111" spans="1:6" x14ac:dyDescent="0.25">
      <c r="A111" t="s">
        <v>130</v>
      </c>
      <c r="C111" t="s">
        <v>9</v>
      </c>
      <c r="E111" t="str">
        <f>"48601615"</f>
        <v>48601615</v>
      </c>
      <c r="F111" t="str">
        <f>"00826743"</f>
        <v>00826743</v>
      </c>
    </row>
    <row r="112" spans="1:6" x14ac:dyDescent="0.25">
      <c r="A112" t="s">
        <v>131</v>
      </c>
      <c r="F112" t="str">
        <f>"00835165"</f>
        <v>00835165</v>
      </c>
    </row>
    <row r="113" spans="1:6" x14ac:dyDescent="0.25">
      <c r="A113" t="s">
        <v>132</v>
      </c>
      <c r="C113" t="s">
        <v>9</v>
      </c>
      <c r="F113" t="str">
        <f>"00763862"</f>
        <v>00763862</v>
      </c>
    </row>
    <row r="114" spans="1:6" x14ac:dyDescent="0.25">
      <c r="A114" t="s">
        <v>133</v>
      </c>
      <c r="F114" t="str">
        <f>"00458331"</f>
        <v>00458331</v>
      </c>
    </row>
    <row r="115" spans="1:6" x14ac:dyDescent="0.25">
      <c r="A115" t="s">
        <v>134</v>
      </c>
    </row>
    <row r="116" spans="1:6" x14ac:dyDescent="0.25">
      <c r="A116" t="s">
        <v>135</v>
      </c>
      <c r="C116" t="s">
        <v>9</v>
      </c>
      <c r="E116" t="str">
        <f>"26393713"</f>
        <v>26393713</v>
      </c>
      <c r="F116" t="str">
        <f>"00542076"</f>
        <v>00542076</v>
      </c>
    </row>
    <row r="117" spans="1:6" x14ac:dyDescent="0.25">
      <c r="A117" t="s">
        <v>136</v>
      </c>
      <c r="F117" t="str">
        <f>"0032533"</f>
        <v>0032533</v>
      </c>
    </row>
    <row r="118" spans="1:6" x14ac:dyDescent="0.25">
      <c r="A118" t="s">
        <v>137</v>
      </c>
      <c r="E118" t="str">
        <f>"45298621"</f>
        <v>45298621</v>
      </c>
      <c r="F118" t="str">
        <f>"00523076"</f>
        <v>00523076</v>
      </c>
    </row>
    <row r="119" spans="1:6" x14ac:dyDescent="0.25">
      <c r="A119" t="s">
        <v>138</v>
      </c>
      <c r="C119" t="s">
        <v>9</v>
      </c>
      <c r="E119" t="str">
        <f>"42619807"</f>
        <v>42619807</v>
      </c>
      <c r="F119" t="str">
        <f>"0052910"</f>
        <v>0052910</v>
      </c>
    </row>
    <row r="120" spans="1:6" x14ac:dyDescent="0.25">
      <c r="A120" t="s">
        <v>139</v>
      </c>
      <c r="C120" t="s">
        <v>19</v>
      </c>
      <c r="E120" t="str">
        <f>"22673141"</f>
        <v>22673141</v>
      </c>
      <c r="F120" t="str">
        <f>"21105595"</f>
        <v>21105595</v>
      </c>
    </row>
    <row r="121" spans="1:6" x14ac:dyDescent="0.25">
      <c r="A121" t="s">
        <v>140</v>
      </c>
      <c r="F121" t="str">
        <f>"00511006"</f>
        <v>00511006</v>
      </c>
    </row>
    <row r="122" spans="1:6" x14ac:dyDescent="0.25">
      <c r="A122" t="s">
        <v>141</v>
      </c>
    </row>
    <row r="123" spans="1:6" x14ac:dyDescent="0.25">
      <c r="A123" t="s">
        <v>142</v>
      </c>
    </row>
    <row r="124" spans="1:6" x14ac:dyDescent="0.25">
      <c r="A124" t="s">
        <v>143</v>
      </c>
      <c r="C124" t="s">
        <v>27</v>
      </c>
      <c r="E124" t="s">
        <v>144</v>
      </c>
      <c r="F124" t="str">
        <f>"30500059"</f>
        <v>30500059</v>
      </c>
    </row>
    <row r="125" spans="1:6" x14ac:dyDescent="0.25">
      <c r="A125" t="s">
        <v>145</v>
      </c>
      <c r="C125" t="s">
        <v>9</v>
      </c>
      <c r="E125" t="str">
        <f>"45253303"</f>
        <v>45253303</v>
      </c>
      <c r="F125" t="str">
        <f>"81200356"</f>
        <v>81200356</v>
      </c>
    </row>
    <row r="126" spans="1:6" x14ac:dyDescent="0.25">
      <c r="A126" t="s">
        <v>146</v>
      </c>
      <c r="F126" t="str">
        <f>"70401526"</f>
        <v>70401526</v>
      </c>
    </row>
    <row r="127" spans="1:6" x14ac:dyDescent="0.25">
      <c r="A127" t="s">
        <v>147</v>
      </c>
      <c r="C127" t="s">
        <v>9</v>
      </c>
      <c r="E127" t="str">
        <f>"20052051"</f>
        <v>20052051</v>
      </c>
    </row>
    <row r="128" spans="1:6" x14ac:dyDescent="0.25">
      <c r="A128" t="s">
        <v>148</v>
      </c>
      <c r="C128" t="s">
        <v>9</v>
      </c>
      <c r="E128" t="str">
        <f>"32755131"</f>
        <v>32755131</v>
      </c>
      <c r="F128" t="str">
        <f>"00653758"</f>
        <v>00653758</v>
      </c>
    </row>
    <row r="129" spans="1:6" x14ac:dyDescent="0.25">
      <c r="A129" t="s">
        <v>149</v>
      </c>
      <c r="C129" t="s">
        <v>9</v>
      </c>
      <c r="F129" t="str">
        <f>"10722699"</f>
        <v>10722699</v>
      </c>
    </row>
    <row r="130" spans="1:6" x14ac:dyDescent="0.25">
      <c r="A130" t="s">
        <v>150</v>
      </c>
      <c r="C130" t="s">
        <v>9</v>
      </c>
      <c r="E130" t="str">
        <f>"45212682"</f>
        <v>45212682</v>
      </c>
      <c r="F130" t="str">
        <f>"00553099"</f>
        <v>00553099</v>
      </c>
    </row>
    <row r="131" spans="1:6" x14ac:dyDescent="0.25">
      <c r="A131" t="s">
        <v>151</v>
      </c>
    </row>
    <row r="132" spans="1:6" x14ac:dyDescent="0.25">
      <c r="A132" t="s">
        <v>152</v>
      </c>
      <c r="F132" t="str">
        <f>"00553099"</f>
        <v>00553099</v>
      </c>
    </row>
    <row r="133" spans="1:6" x14ac:dyDescent="0.25">
      <c r="A133" t="s">
        <v>153</v>
      </c>
      <c r="C133" t="s">
        <v>30</v>
      </c>
      <c r="E133" t="str">
        <f>"26303112"</f>
        <v>26303112</v>
      </c>
      <c r="F133" t="str">
        <f>"00778399"</f>
        <v>00778399</v>
      </c>
    </row>
    <row r="134" spans="1:6" x14ac:dyDescent="0.25">
      <c r="A134" t="s">
        <v>154</v>
      </c>
      <c r="C134" t="s">
        <v>155</v>
      </c>
      <c r="E134" t="s">
        <v>156</v>
      </c>
      <c r="F134" t="str">
        <f>"21100604"</f>
        <v>21100604</v>
      </c>
    </row>
    <row r="135" spans="1:6" x14ac:dyDescent="0.25">
      <c r="A135" t="s">
        <v>157</v>
      </c>
      <c r="C135" t="s">
        <v>9</v>
      </c>
      <c r="E135" t="str">
        <f>"46750408"</f>
        <v>46750408</v>
      </c>
      <c r="F135" t="str">
        <f>"00223453"</f>
        <v>00223453</v>
      </c>
    </row>
    <row r="136" spans="1:6" x14ac:dyDescent="0.25">
      <c r="A136" t="s">
        <v>158</v>
      </c>
      <c r="C136" t="s">
        <v>9</v>
      </c>
      <c r="E136" t="str">
        <f>"46953009"</f>
        <v>46953009</v>
      </c>
      <c r="F136" t="str">
        <f>"00254482"</f>
        <v>00254482</v>
      </c>
    </row>
    <row r="137" spans="1:6" x14ac:dyDescent="0.25">
      <c r="A137" t="s">
        <v>159</v>
      </c>
      <c r="F137" t="str">
        <f>"00511832"</f>
        <v>00511832</v>
      </c>
    </row>
    <row r="138" spans="1:6" x14ac:dyDescent="0.25">
      <c r="A138" t="s">
        <v>160</v>
      </c>
    </row>
    <row r="139" spans="1:6" x14ac:dyDescent="0.25">
      <c r="A139" t="s">
        <v>161</v>
      </c>
      <c r="C139" t="s">
        <v>9</v>
      </c>
      <c r="E139" t="str">
        <f>"45250807"</f>
        <v>45250807</v>
      </c>
      <c r="F139" t="str">
        <f>"00460873"</f>
        <v>00460873</v>
      </c>
    </row>
    <row r="140" spans="1:6" x14ac:dyDescent="0.25">
      <c r="A140" t="s">
        <v>162</v>
      </c>
      <c r="E140" t="str">
        <f>"22330696"</f>
        <v>22330696</v>
      </c>
      <c r="F140" t="str">
        <f>"20703624"</f>
        <v>20703624</v>
      </c>
    </row>
    <row r="141" spans="1:6" x14ac:dyDescent="0.25">
      <c r="A141" t="s">
        <v>163</v>
      </c>
      <c r="C141" t="s">
        <v>30</v>
      </c>
      <c r="E141" t="str">
        <f>"46495596"</f>
        <v>46495596</v>
      </c>
      <c r="F141" t="str">
        <f>"00200378"</f>
        <v>00200378</v>
      </c>
    </row>
    <row r="142" spans="1:6" x14ac:dyDescent="0.25">
      <c r="A142" t="s">
        <v>164</v>
      </c>
    </row>
    <row r="143" spans="1:6" x14ac:dyDescent="0.25">
      <c r="A143" t="s">
        <v>165</v>
      </c>
      <c r="C143" t="s">
        <v>9</v>
      </c>
      <c r="E143" t="str">
        <f>"022245004243"</f>
        <v>022245004243</v>
      </c>
      <c r="F143" t="str">
        <f>"00461806"</f>
        <v>00461806</v>
      </c>
    </row>
    <row r="144" spans="1:6" x14ac:dyDescent="0.25">
      <c r="A144" t="s">
        <v>166</v>
      </c>
    </row>
    <row r="145" spans="1:6" x14ac:dyDescent="0.25">
      <c r="A145" t="s">
        <v>167</v>
      </c>
    </row>
    <row r="146" spans="1:6" x14ac:dyDescent="0.25">
      <c r="A146" t="s">
        <v>168</v>
      </c>
      <c r="F146" t="str">
        <f>"00830653"</f>
        <v>00830653</v>
      </c>
    </row>
    <row r="147" spans="1:6" x14ac:dyDescent="0.25">
      <c r="A147" t="s">
        <v>169</v>
      </c>
      <c r="E147" t="str">
        <f>"443524667"</f>
        <v>443524667</v>
      </c>
      <c r="F147" t="str">
        <f>"00814475"</f>
        <v>00814475</v>
      </c>
    </row>
    <row r="148" spans="1:6" x14ac:dyDescent="0.25">
      <c r="A148" t="s">
        <v>170</v>
      </c>
      <c r="C148" t="s">
        <v>9</v>
      </c>
      <c r="E148" t="str">
        <f>"26012101"</f>
        <v>26012101</v>
      </c>
      <c r="F148" t="str">
        <f>"00508309"</f>
        <v>00508309</v>
      </c>
    </row>
    <row r="149" spans="1:6" x14ac:dyDescent="0.25">
      <c r="A149" t="s">
        <v>171</v>
      </c>
    </row>
    <row r="150" spans="1:6" x14ac:dyDescent="0.25">
      <c r="A150" t="s">
        <v>172</v>
      </c>
    </row>
    <row r="151" spans="1:6" x14ac:dyDescent="0.25">
      <c r="A151" t="s">
        <v>173</v>
      </c>
      <c r="C151" t="s">
        <v>174</v>
      </c>
      <c r="E151" t="str">
        <f>"36292719"</f>
        <v>36292719</v>
      </c>
      <c r="F151" t="str">
        <f>"00872275"</f>
        <v>00872275</v>
      </c>
    </row>
    <row r="152" spans="1:6" x14ac:dyDescent="0.25">
      <c r="A152" t="s">
        <v>175</v>
      </c>
    </row>
    <row r="153" spans="1:6" x14ac:dyDescent="0.25">
      <c r="A153" t="s">
        <v>176</v>
      </c>
      <c r="F153" t="str">
        <f>"00296640"</f>
        <v>00296640</v>
      </c>
    </row>
    <row r="154" spans="1:6" x14ac:dyDescent="0.25">
      <c r="A154" t="s">
        <v>177</v>
      </c>
      <c r="F154" t="str">
        <f>"20701586"</f>
        <v>20701586</v>
      </c>
    </row>
    <row r="155" spans="1:6" x14ac:dyDescent="0.25">
      <c r="A155" t="s">
        <v>178</v>
      </c>
      <c r="C155" t="s">
        <v>179</v>
      </c>
      <c r="D155" t="s">
        <v>180</v>
      </c>
      <c r="E155" t="str">
        <f>"45252587"</f>
        <v>45252587</v>
      </c>
      <c r="F155" t="str">
        <f>"30500067"</f>
        <v>30500067</v>
      </c>
    </row>
    <row r="156" spans="1:6" x14ac:dyDescent="0.25">
      <c r="A156" t="s">
        <v>181</v>
      </c>
    </row>
    <row r="157" spans="1:6" x14ac:dyDescent="0.25">
      <c r="A157" t="s">
        <v>182</v>
      </c>
      <c r="E157" t="str">
        <f>"32717241"</f>
        <v>32717241</v>
      </c>
      <c r="F157" t="str">
        <f>"00830257"</f>
        <v>00830257</v>
      </c>
    </row>
    <row r="158" spans="1:6" x14ac:dyDescent="0.25">
      <c r="A158" t="s">
        <v>183</v>
      </c>
      <c r="C158" t="s">
        <v>9</v>
      </c>
      <c r="E158" t="str">
        <f>"22480995"</f>
        <v>22480995</v>
      </c>
    </row>
    <row r="159" spans="1:6" x14ac:dyDescent="0.25">
      <c r="A159" t="s">
        <v>184</v>
      </c>
      <c r="C159" t="s">
        <v>30</v>
      </c>
      <c r="E159" t="s">
        <v>185</v>
      </c>
      <c r="F159" t="str">
        <f>"00792036"</f>
        <v>00792036</v>
      </c>
    </row>
    <row r="160" spans="1:6" x14ac:dyDescent="0.25">
      <c r="A160" t="s">
        <v>186</v>
      </c>
      <c r="C160" t="s">
        <v>30</v>
      </c>
      <c r="E160" t="str">
        <f>"20149322"</f>
        <v>20149322</v>
      </c>
      <c r="F160" t="str">
        <f>"00637967"</f>
        <v>00637967</v>
      </c>
    </row>
    <row r="161" spans="1:6" x14ac:dyDescent="0.25">
      <c r="A161" t="s">
        <v>187</v>
      </c>
      <c r="C161" t="s">
        <v>9</v>
      </c>
      <c r="E161" t="str">
        <f>"36415879"</f>
        <v>36415879</v>
      </c>
      <c r="F161" t="str">
        <f>"00647297"</f>
        <v>00647297</v>
      </c>
    </row>
    <row r="162" spans="1:6" x14ac:dyDescent="0.25">
      <c r="A162" t="s">
        <v>188</v>
      </c>
      <c r="C162" t="s">
        <v>9</v>
      </c>
      <c r="E162" t="str">
        <f>"22623414"</f>
        <v>22623414</v>
      </c>
      <c r="F162" t="str">
        <f>"00648022"</f>
        <v>00648022</v>
      </c>
    </row>
    <row r="163" spans="1:6" x14ac:dyDescent="0.25">
      <c r="A163" t="s">
        <v>189</v>
      </c>
      <c r="C163" t="s">
        <v>30</v>
      </c>
      <c r="E163" t="str">
        <f>"32254312"</f>
        <v>32254312</v>
      </c>
      <c r="F163" t="s">
        <v>10</v>
      </c>
    </row>
    <row r="164" spans="1:6" x14ac:dyDescent="0.25">
      <c r="A164" t="s">
        <v>190</v>
      </c>
    </row>
    <row r="165" spans="1:6" x14ac:dyDescent="0.25">
      <c r="A165" t="s">
        <v>191</v>
      </c>
      <c r="C165" t="s">
        <v>30</v>
      </c>
      <c r="E165" t="str">
        <f>"45243211"</f>
        <v>45243211</v>
      </c>
      <c r="F165" t="str">
        <f>"21105405"</f>
        <v>21105405</v>
      </c>
    </row>
    <row r="166" spans="1:6" x14ac:dyDescent="0.25">
      <c r="A166" t="s">
        <v>192</v>
      </c>
      <c r="F166" t="str">
        <f>"00423731"</f>
        <v>00423731</v>
      </c>
    </row>
    <row r="167" spans="1:6" x14ac:dyDescent="0.25">
      <c r="A167" t="s">
        <v>193</v>
      </c>
    </row>
    <row r="168" spans="1:6" x14ac:dyDescent="0.25">
      <c r="A168" t="s">
        <v>194</v>
      </c>
      <c r="C168" t="s">
        <v>9</v>
      </c>
      <c r="F168" t="str">
        <f>"10706965"</f>
        <v>10706965</v>
      </c>
    </row>
    <row r="169" spans="1:6" x14ac:dyDescent="0.25">
      <c r="A169" t="s">
        <v>195</v>
      </c>
    </row>
    <row r="170" spans="1:6" x14ac:dyDescent="0.25">
      <c r="A170" t="s">
        <v>196</v>
      </c>
      <c r="C170" t="s">
        <v>30</v>
      </c>
      <c r="E170" t="str">
        <f>"36274028"</f>
        <v>36274028</v>
      </c>
      <c r="F170" t="str">
        <f>"10701412"</f>
        <v>10701412</v>
      </c>
    </row>
    <row r="171" spans="1:6" x14ac:dyDescent="0.25">
      <c r="A171" t="s">
        <v>197</v>
      </c>
      <c r="D171" t="s">
        <v>198</v>
      </c>
      <c r="E171" t="s">
        <v>199</v>
      </c>
      <c r="F171" t="str">
        <f>"00627299"</f>
        <v>00627299</v>
      </c>
    </row>
    <row r="172" spans="1:6" x14ac:dyDescent="0.25">
      <c r="A172" t="s">
        <v>200</v>
      </c>
      <c r="C172" t="s">
        <v>201</v>
      </c>
      <c r="D172" t="s">
        <v>202</v>
      </c>
      <c r="E172" t="str">
        <f>"46769764"</f>
        <v>46769764</v>
      </c>
      <c r="F172" t="str">
        <f>"10704028"</f>
        <v>10704028</v>
      </c>
    </row>
    <row r="173" spans="1:6" x14ac:dyDescent="0.25">
      <c r="A173" t="s">
        <v>203</v>
      </c>
      <c r="C173" t="s">
        <v>204</v>
      </c>
      <c r="E173" t="str">
        <f>"36660357"</f>
        <v>36660357</v>
      </c>
      <c r="F173" t="str">
        <f>"00853887"</f>
        <v>00853887</v>
      </c>
    </row>
    <row r="174" spans="1:6" x14ac:dyDescent="0.25">
      <c r="A174" t="s">
        <v>205</v>
      </c>
      <c r="C174" t="s">
        <v>206</v>
      </c>
      <c r="E174" t="str">
        <f>"26663302"</f>
        <v>26663302</v>
      </c>
      <c r="F174" t="str">
        <f>"00664342"</f>
        <v>00664342</v>
      </c>
    </row>
    <row r="175" spans="1:6" x14ac:dyDescent="0.25">
      <c r="A175" t="s">
        <v>207</v>
      </c>
      <c r="C175" t="s">
        <v>208</v>
      </c>
      <c r="D175" t="s">
        <v>209</v>
      </c>
      <c r="E175" t="str">
        <f>"45253500"</f>
        <v>45253500</v>
      </c>
      <c r="F175" t="str">
        <f>"20704192"</f>
        <v>20704192</v>
      </c>
    </row>
    <row r="176" spans="1:6" x14ac:dyDescent="0.25">
      <c r="A176" t="s">
        <v>210</v>
      </c>
      <c r="C176" t="s">
        <v>211</v>
      </c>
      <c r="D176" t="s">
        <v>202</v>
      </c>
      <c r="E176" t="str">
        <f>"22304067"</f>
        <v>22304067</v>
      </c>
      <c r="F176" t="str">
        <f>"11103376"</f>
        <v>11103376</v>
      </c>
    </row>
    <row r="177" spans="1:6" x14ac:dyDescent="0.25">
      <c r="A177" t="s">
        <v>212</v>
      </c>
      <c r="C177" t="s">
        <v>211</v>
      </c>
      <c r="D177" t="s">
        <v>209</v>
      </c>
      <c r="E177" t="s">
        <v>213</v>
      </c>
      <c r="F177" t="str">
        <f>"11102253"</f>
        <v>11102253</v>
      </c>
    </row>
    <row r="178" spans="1:6" x14ac:dyDescent="0.25">
      <c r="A178" t="s">
        <v>214</v>
      </c>
    </row>
    <row r="179" spans="1:6" x14ac:dyDescent="0.25">
      <c r="A179" t="s">
        <v>215</v>
      </c>
      <c r="C179" t="s">
        <v>9</v>
      </c>
      <c r="E179" t="s">
        <v>216</v>
      </c>
      <c r="F179" t="str">
        <f>"00262196"</f>
        <v>00262196</v>
      </c>
    </row>
    <row r="180" spans="1:6" x14ac:dyDescent="0.25">
      <c r="A180" t="s">
        <v>217</v>
      </c>
      <c r="C180" t="s">
        <v>30</v>
      </c>
      <c r="E180" t="str">
        <f>"45252763"</f>
        <v>45252763</v>
      </c>
    </row>
    <row r="181" spans="1:6" x14ac:dyDescent="0.25">
      <c r="A181" t="s">
        <v>218</v>
      </c>
      <c r="C181" t="s">
        <v>30</v>
      </c>
      <c r="E181" t="str">
        <f>"45241562"</f>
        <v>45241562</v>
      </c>
      <c r="F181" t="str">
        <f>"20400034"</f>
        <v>20400034</v>
      </c>
    </row>
    <row r="182" spans="1:6" x14ac:dyDescent="0.25">
      <c r="A182" t="s">
        <v>219</v>
      </c>
      <c r="C182" t="s">
        <v>220</v>
      </c>
      <c r="E182" t="str">
        <f>"45253234"</f>
        <v>45253234</v>
      </c>
      <c r="F182" t="str">
        <f>"00841353"</f>
        <v>00841353</v>
      </c>
    </row>
    <row r="183" spans="1:6" x14ac:dyDescent="0.25">
      <c r="A183" t="s">
        <v>221</v>
      </c>
      <c r="C183" t="s">
        <v>222</v>
      </c>
      <c r="E183" t="str">
        <f>"48093111"</f>
        <v>48093111</v>
      </c>
      <c r="F183" t="str">
        <f>"00862409"</f>
        <v>00862409</v>
      </c>
    </row>
    <row r="184" spans="1:6" x14ac:dyDescent="0.25">
      <c r="A184" t="s">
        <v>223</v>
      </c>
      <c r="C184" t="s">
        <v>224</v>
      </c>
      <c r="E184" t="str">
        <f>"45256543"</f>
        <v>45256543</v>
      </c>
      <c r="F184" t="str">
        <f>"21100275"</f>
        <v>21100275</v>
      </c>
    </row>
    <row r="185" spans="1:6" x14ac:dyDescent="0.25">
      <c r="A185" t="s">
        <v>225</v>
      </c>
      <c r="C185" t="s">
        <v>30</v>
      </c>
      <c r="E185" t="str">
        <f>"46526349"</f>
        <v>46526349</v>
      </c>
      <c r="F185" t="str">
        <f>"00763862"</f>
        <v>00763862</v>
      </c>
    </row>
    <row r="186" spans="1:6" x14ac:dyDescent="0.25">
      <c r="A186" t="s">
        <v>226</v>
      </c>
      <c r="C186" t="s">
        <v>211</v>
      </c>
      <c r="E186" t="str">
        <f>"46501165"</f>
        <v>46501165</v>
      </c>
      <c r="F186" t="str">
        <f>"00033407"</f>
        <v>00033407</v>
      </c>
    </row>
    <row r="187" spans="1:6" x14ac:dyDescent="0.25">
      <c r="A187" t="s">
        <v>227</v>
      </c>
      <c r="C187" t="s">
        <v>228</v>
      </c>
      <c r="F187" t="str">
        <f>"21100570"</f>
        <v>21100570</v>
      </c>
    </row>
    <row r="188" spans="1:6" x14ac:dyDescent="0.25">
      <c r="A188" t="s">
        <v>229</v>
      </c>
      <c r="C188" t="s">
        <v>211</v>
      </c>
      <c r="E188" t="str">
        <f>"22006660"</f>
        <v>22006660</v>
      </c>
      <c r="F188" t="str">
        <f>"00366682"</f>
        <v>00366682</v>
      </c>
    </row>
    <row r="189" spans="1:6" x14ac:dyDescent="0.25">
      <c r="A189" t="s">
        <v>230</v>
      </c>
      <c r="C189" t="s">
        <v>231</v>
      </c>
      <c r="E189" t="str">
        <f>"46411707"</f>
        <v>46411707</v>
      </c>
      <c r="F189" t="str">
        <f>"01515824"</f>
        <v>01515824</v>
      </c>
    </row>
    <row r="190" spans="1:6" x14ac:dyDescent="0.25">
      <c r="A190" t="s">
        <v>232</v>
      </c>
      <c r="C190" t="s">
        <v>211</v>
      </c>
      <c r="F190" t="str">
        <f>"00094912"</f>
        <v>00094912</v>
      </c>
    </row>
    <row r="191" spans="1:6" x14ac:dyDescent="0.25">
      <c r="A191" t="s">
        <v>233</v>
      </c>
      <c r="C191" t="s">
        <v>211</v>
      </c>
      <c r="F191" t="str">
        <f>"10602139"</f>
        <v>10602139</v>
      </c>
    </row>
    <row r="192" spans="1:6" x14ac:dyDescent="0.25">
      <c r="A192" t="s">
        <v>234</v>
      </c>
      <c r="E192" t="s">
        <v>235</v>
      </c>
      <c r="F192" t="str">
        <f>"00932061"</f>
        <v>00932061</v>
      </c>
    </row>
    <row r="193" spans="1:6" x14ac:dyDescent="0.25">
      <c r="A193" t="s">
        <v>236</v>
      </c>
      <c r="C193" t="s">
        <v>211</v>
      </c>
      <c r="E193" t="str">
        <f>"22459754"</f>
        <v>22459754</v>
      </c>
      <c r="F193" t="str">
        <f>"10710934"</f>
        <v>10710934</v>
      </c>
    </row>
    <row r="194" spans="1:6" x14ac:dyDescent="0.25">
      <c r="A194" t="s">
        <v>237</v>
      </c>
      <c r="E194" t="str">
        <f>"46282869"</f>
        <v>46282869</v>
      </c>
      <c r="F194" t="str">
        <f>"00381780"</f>
        <v>00381780</v>
      </c>
    </row>
    <row r="195" spans="1:6" x14ac:dyDescent="0.25">
      <c r="A195" t="s">
        <v>238</v>
      </c>
      <c r="C195" t="s">
        <v>239</v>
      </c>
      <c r="E195" t="str">
        <f>"22852919"</f>
        <v>22852919</v>
      </c>
      <c r="F195" t="str">
        <f>"00615021"</f>
        <v>00615021</v>
      </c>
    </row>
    <row r="196" spans="1:6" x14ac:dyDescent="0.25">
      <c r="A196" t="s">
        <v>240</v>
      </c>
      <c r="C196" t="s">
        <v>30</v>
      </c>
      <c r="E196" t="str">
        <f>"46501513"</f>
        <v>46501513</v>
      </c>
      <c r="F196" t="str">
        <f>"20700711"</f>
        <v>20700711</v>
      </c>
    </row>
    <row r="197" spans="1:6" x14ac:dyDescent="0.25">
      <c r="A197" t="s">
        <v>241</v>
      </c>
      <c r="C197" t="s">
        <v>9</v>
      </c>
      <c r="E197" t="str">
        <f>"25054699"</f>
        <v>25054699</v>
      </c>
      <c r="F197" t="str">
        <f>"00268599"</f>
        <v>00268599</v>
      </c>
    </row>
    <row r="198" spans="1:6" x14ac:dyDescent="0.25">
      <c r="A198" t="s">
        <v>242</v>
      </c>
      <c r="E198" t="str">
        <f>"36303200"</f>
        <v>36303200</v>
      </c>
      <c r="F198" t="str">
        <f>"00623314"</f>
        <v>00623314</v>
      </c>
    </row>
    <row r="199" spans="1:6" x14ac:dyDescent="0.25">
      <c r="A199" t="s">
        <v>243</v>
      </c>
      <c r="E199" t="str">
        <f>"46451781"</f>
        <v>46451781</v>
      </c>
      <c r="F199" t="str">
        <f>"10719133"</f>
        <v>10719133</v>
      </c>
    </row>
    <row r="200" spans="1:6" x14ac:dyDescent="0.25">
      <c r="A200" t="s">
        <v>244</v>
      </c>
      <c r="C200" t="s">
        <v>245</v>
      </c>
      <c r="E200" t="str">
        <f>"33106090"</f>
        <v>33106090</v>
      </c>
      <c r="F200" t="str">
        <f>"10708326"</f>
        <v>10708326</v>
      </c>
    </row>
    <row r="201" spans="1:6" x14ac:dyDescent="0.25">
      <c r="A201" t="s">
        <v>246</v>
      </c>
      <c r="C201" t="s">
        <v>30</v>
      </c>
      <c r="E201" t="str">
        <f>"46459181"</f>
        <v>46459181</v>
      </c>
      <c r="F201" t="str">
        <f>"10707153"</f>
        <v>10707153</v>
      </c>
    </row>
    <row r="202" spans="1:6" x14ac:dyDescent="0.25">
      <c r="A202" t="s">
        <v>247</v>
      </c>
      <c r="E202" t="s">
        <v>248</v>
      </c>
      <c r="F202" t="str">
        <f>"21102998"</f>
        <v>21102998</v>
      </c>
    </row>
    <row r="203" spans="1:6" x14ac:dyDescent="0.25">
      <c r="A203" t="s">
        <v>249</v>
      </c>
      <c r="C203" t="s">
        <v>9</v>
      </c>
      <c r="E203" t="str">
        <f>"22306968"</f>
        <v>22306968</v>
      </c>
      <c r="F203" t="str">
        <f>"10603541"</f>
        <v>10603541</v>
      </c>
    </row>
    <row r="204" spans="1:6" x14ac:dyDescent="0.25">
      <c r="A204" t="s">
        <v>250</v>
      </c>
      <c r="C204" t="s">
        <v>9</v>
      </c>
      <c r="E204" t="str">
        <f>"20391188"</f>
        <v>20391188</v>
      </c>
      <c r="F204" t="str">
        <f>"00613927"</f>
        <v>00613927</v>
      </c>
    </row>
    <row r="205" spans="1:6" x14ac:dyDescent="0.25">
      <c r="A205" t="s">
        <v>251</v>
      </c>
      <c r="C205" t="s">
        <v>9</v>
      </c>
      <c r="E205" t="str">
        <f>"45244768"</f>
        <v>45244768</v>
      </c>
    </row>
    <row r="206" spans="1:6" x14ac:dyDescent="0.25">
      <c r="A206" t="s">
        <v>252</v>
      </c>
      <c r="F206" t="str">
        <f>"00758623"</f>
        <v>00758623</v>
      </c>
    </row>
    <row r="207" spans="1:6" x14ac:dyDescent="0.25">
      <c r="A207" t="s">
        <v>253</v>
      </c>
      <c r="C207" t="s">
        <v>30</v>
      </c>
      <c r="E207" t="str">
        <f>"36363047"</f>
        <v>36363047</v>
      </c>
      <c r="F207" t="str">
        <f>"20602568"</f>
        <v>20602568</v>
      </c>
    </row>
    <row r="208" spans="1:6" x14ac:dyDescent="0.25">
      <c r="A208" t="s">
        <v>254</v>
      </c>
      <c r="C208" t="s">
        <v>255</v>
      </c>
      <c r="E208" t="str">
        <f>"22408420"</f>
        <v>22408420</v>
      </c>
      <c r="F208" t="str">
        <f>"00752949"</f>
        <v>00752949</v>
      </c>
    </row>
    <row r="209" spans="1:6" x14ac:dyDescent="0.25">
      <c r="A209" t="s">
        <v>256</v>
      </c>
      <c r="C209" t="s">
        <v>257</v>
      </c>
      <c r="E209" t="str">
        <f>"36338810"</f>
        <v>36338810</v>
      </c>
      <c r="F209" t="str">
        <f>"00177410"</f>
        <v>00177410</v>
      </c>
    </row>
    <row r="210" spans="1:6" x14ac:dyDescent="0.25">
      <c r="A210" t="s">
        <v>258</v>
      </c>
      <c r="C210" t="s">
        <v>9</v>
      </c>
      <c r="E210" t="str">
        <f>"36737373"</f>
        <v>36737373</v>
      </c>
      <c r="F210" t="str">
        <f>"00681809"</f>
        <v>00681809</v>
      </c>
    </row>
    <row r="211" spans="1:6" x14ac:dyDescent="0.25">
      <c r="A211" t="s">
        <v>259</v>
      </c>
      <c r="C211" t="s">
        <v>9</v>
      </c>
      <c r="E211" t="str">
        <f>"26601154"</f>
        <v>26601154</v>
      </c>
      <c r="F211" t="str">
        <f>"00461806"</f>
        <v>00461806</v>
      </c>
    </row>
    <row r="212" spans="1:6" x14ac:dyDescent="0.25">
      <c r="A212" t="s">
        <v>260</v>
      </c>
      <c r="C212" t="s">
        <v>261</v>
      </c>
      <c r="E212" t="str">
        <f>"31331999"</f>
        <v>31331999</v>
      </c>
      <c r="F212" t="str">
        <f>"00437541"</f>
        <v>00437541</v>
      </c>
    </row>
    <row r="213" spans="1:6" x14ac:dyDescent="0.25">
      <c r="A213" t="s">
        <v>262</v>
      </c>
      <c r="E213" t="str">
        <f>"36134847"</f>
        <v>36134847</v>
      </c>
      <c r="F213" t="str">
        <f>"10800042"</f>
        <v>10800042</v>
      </c>
    </row>
    <row r="214" spans="1:6" x14ac:dyDescent="0.25">
      <c r="A214" t="s">
        <v>263</v>
      </c>
      <c r="E214" t="str">
        <f>"36711720"</f>
        <v>36711720</v>
      </c>
      <c r="F214" t="str">
        <f>"00500520"</f>
        <v>00500520</v>
      </c>
    </row>
    <row r="215" spans="1:6" x14ac:dyDescent="0.25">
      <c r="A215" t="s">
        <v>264</v>
      </c>
      <c r="C215" t="s">
        <v>30</v>
      </c>
      <c r="E215" t="str">
        <f>"44442570"</f>
        <v>44442570</v>
      </c>
      <c r="F215" t="str">
        <f>"10707985"</f>
        <v>10707985</v>
      </c>
    </row>
    <row r="216" spans="1:6" x14ac:dyDescent="0.25">
      <c r="A216" t="s">
        <v>265</v>
      </c>
      <c r="E216" t="str">
        <f>"47497858"</f>
        <v>47497858</v>
      </c>
      <c r="F216" t="str">
        <f>"00500470"</f>
        <v>00500470</v>
      </c>
    </row>
    <row r="217" spans="1:6" x14ac:dyDescent="0.25">
      <c r="A217" t="s">
        <v>266</v>
      </c>
      <c r="F217" t="str">
        <f>"10701123"</f>
        <v>10701123</v>
      </c>
    </row>
    <row r="218" spans="1:6" x14ac:dyDescent="0.25">
      <c r="A218" t="s">
        <v>267</v>
      </c>
      <c r="E218" t="str">
        <f>"22381010"</f>
        <v>22381010</v>
      </c>
      <c r="F218" t="str">
        <f>"10711890"</f>
        <v>10711890</v>
      </c>
    </row>
    <row r="219" spans="1:6" x14ac:dyDescent="0.25">
      <c r="A219" t="s">
        <v>268</v>
      </c>
      <c r="C219" t="s">
        <v>269</v>
      </c>
      <c r="E219" t="s">
        <v>270</v>
      </c>
      <c r="F219" t="str">
        <f>"00463182"</f>
        <v>00463182</v>
      </c>
    </row>
    <row r="220" spans="1:6" x14ac:dyDescent="0.25">
      <c r="A220" t="s">
        <v>271</v>
      </c>
      <c r="C220" t="s">
        <v>272</v>
      </c>
      <c r="E220" t="s">
        <v>273</v>
      </c>
      <c r="F220" t="str">
        <f>"20600208"</f>
        <v>20600208</v>
      </c>
    </row>
    <row r="221" spans="1:6" x14ac:dyDescent="0.25">
      <c r="A221" t="s">
        <v>274</v>
      </c>
      <c r="C221" t="s">
        <v>275</v>
      </c>
      <c r="E221" t="str">
        <f>"36316161"</f>
        <v>36316161</v>
      </c>
      <c r="F221" t="str">
        <f>"00041566"</f>
        <v>00041566</v>
      </c>
    </row>
    <row r="222" spans="1:6" x14ac:dyDescent="0.25">
      <c r="A222" t="s">
        <v>276</v>
      </c>
      <c r="C222" t="s">
        <v>277</v>
      </c>
      <c r="E222" t="str">
        <f>"46960738"</f>
        <v>46960738</v>
      </c>
      <c r="F222" t="str">
        <f>"00874644"</f>
        <v>00874644</v>
      </c>
    </row>
    <row r="223" spans="1:6" x14ac:dyDescent="0.25">
      <c r="A223" t="s">
        <v>278</v>
      </c>
      <c r="C223" t="s">
        <v>279</v>
      </c>
      <c r="E223" t="str">
        <f>"45291256"</f>
        <v>45291256</v>
      </c>
      <c r="F223" t="str">
        <f>"30600216"</f>
        <v>30600216</v>
      </c>
    </row>
    <row r="224" spans="1:6" x14ac:dyDescent="0.25">
      <c r="A224" t="s">
        <v>280</v>
      </c>
      <c r="C224" t="s">
        <v>30</v>
      </c>
      <c r="E224" t="str">
        <f>"36622023"</f>
        <v>36622023</v>
      </c>
      <c r="F224" t="str">
        <f>"00366682"</f>
        <v>00366682</v>
      </c>
    </row>
    <row r="225" spans="1:6" x14ac:dyDescent="0.25">
      <c r="A225" t="s">
        <v>281</v>
      </c>
      <c r="C225" t="s">
        <v>30</v>
      </c>
      <c r="E225" t="str">
        <f>"22250085"</f>
        <v>22250085</v>
      </c>
      <c r="F225" t="str">
        <f>"10700695"</f>
        <v>10700695</v>
      </c>
    </row>
    <row r="226" spans="1:6" x14ac:dyDescent="0.25">
      <c r="A226" t="s">
        <v>282</v>
      </c>
      <c r="F226" t="str">
        <f>"00336036"</f>
        <v>00336036</v>
      </c>
    </row>
    <row r="227" spans="1:6" x14ac:dyDescent="0.25">
      <c r="A227" t="s">
        <v>283</v>
      </c>
      <c r="C227" t="s">
        <v>30</v>
      </c>
      <c r="E227" t="str">
        <f>"36163535"</f>
        <v>36163535</v>
      </c>
      <c r="F227" t="str">
        <f>"00504886"</f>
        <v>00504886</v>
      </c>
    </row>
    <row r="228" spans="1:6" x14ac:dyDescent="0.25">
      <c r="A228" t="s">
        <v>284</v>
      </c>
    </row>
    <row r="229" spans="1:6" x14ac:dyDescent="0.25">
      <c r="A229" t="s">
        <v>285</v>
      </c>
      <c r="F229" t="str">
        <f>"20602709"</f>
        <v>20602709</v>
      </c>
    </row>
    <row r="230" spans="1:6" x14ac:dyDescent="0.25">
      <c r="A230" t="s">
        <v>286</v>
      </c>
      <c r="E230" t="str">
        <f>"45254730"</f>
        <v>45254730</v>
      </c>
      <c r="F230" t="str">
        <f>"00066845"</f>
        <v>00066845</v>
      </c>
    </row>
    <row r="231" spans="1:6" x14ac:dyDescent="0.25">
      <c r="A231" t="s">
        <v>287</v>
      </c>
      <c r="F231" t="str">
        <f>"10703103"</f>
        <v>10703103</v>
      </c>
    </row>
    <row r="232" spans="1:6" x14ac:dyDescent="0.25">
      <c r="A232" t="s">
        <v>288</v>
      </c>
      <c r="E232" t="str">
        <f>"47491838"</f>
        <v>47491838</v>
      </c>
      <c r="F232" t="str">
        <f>"00039305"</f>
        <v>00039305</v>
      </c>
    </row>
    <row r="233" spans="1:6" x14ac:dyDescent="0.25">
      <c r="A233" t="s">
        <v>41</v>
      </c>
      <c r="C233" t="s">
        <v>289</v>
      </c>
      <c r="E233" t="str">
        <f>"36302491"</f>
        <v>36302491</v>
      </c>
      <c r="F233" t="str">
        <f>"00663294"</f>
        <v>00663294</v>
      </c>
    </row>
    <row r="234" spans="1:6" x14ac:dyDescent="0.25">
      <c r="A234" t="s">
        <v>290</v>
      </c>
      <c r="C234" t="s">
        <v>30</v>
      </c>
      <c r="E234" t="str">
        <f>"42135592"</f>
        <v>42135592</v>
      </c>
      <c r="F234" t="str">
        <f>"00626770"</f>
        <v>00626770</v>
      </c>
    </row>
    <row r="235" spans="1:6" x14ac:dyDescent="0.25">
      <c r="A235" t="s">
        <v>291</v>
      </c>
      <c r="C235" t="s">
        <v>275</v>
      </c>
      <c r="E235" t="s">
        <v>292</v>
      </c>
      <c r="F235" t="str">
        <f>"00083840"</f>
        <v>00083840</v>
      </c>
    </row>
    <row r="236" spans="1:6" x14ac:dyDescent="0.25">
      <c r="A236" t="s">
        <v>293</v>
      </c>
      <c r="C236" t="s">
        <v>30</v>
      </c>
      <c r="E236" t="str">
        <f>"45242333"</f>
        <v>45242333</v>
      </c>
      <c r="F236" t="str">
        <f>"10800687"</f>
        <v>10800687</v>
      </c>
    </row>
    <row r="237" spans="1:6" x14ac:dyDescent="0.25">
      <c r="A237" t="s">
        <v>294</v>
      </c>
      <c r="C237" t="s">
        <v>295</v>
      </c>
      <c r="E237" t="s">
        <v>296</v>
      </c>
      <c r="F237" t="str">
        <f>"00790980"</f>
        <v>00790980</v>
      </c>
    </row>
    <row r="238" spans="1:6" x14ac:dyDescent="0.25">
      <c r="A238" t="s">
        <v>297</v>
      </c>
      <c r="E238" t="str">
        <f>"25062092"</f>
        <v>25062092</v>
      </c>
      <c r="F238" t="str">
        <f>"00423731"</f>
        <v>00423731</v>
      </c>
    </row>
    <row r="239" spans="1:6" x14ac:dyDescent="0.25">
      <c r="A239" t="s">
        <v>298</v>
      </c>
      <c r="F239" t="str">
        <f>"00730481"</f>
        <v>00730481</v>
      </c>
    </row>
    <row r="240" spans="1:6" x14ac:dyDescent="0.25">
      <c r="A240" t="s">
        <v>299</v>
      </c>
      <c r="C240" t="s">
        <v>275</v>
      </c>
      <c r="E240" t="s">
        <v>300</v>
      </c>
      <c r="F240" t="str">
        <f>"00635342"</f>
        <v>00635342</v>
      </c>
    </row>
    <row r="241" spans="1:6" x14ac:dyDescent="0.25">
      <c r="A241" t="s">
        <v>301</v>
      </c>
      <c r="C241" t="s">
        <v>30</v>
      </c>
      <c r="E241" t="str">
        <f>"45253061"</f>
        <v>45253061</v>
      </c>
      <c r="F241" t="str">
        <f>"21106049"</f>
        <v>21106049</v>
      </c>
    </row>
    <row r="242" spans="1:6" x14ac:dyDescent="0.25">
      <c r="A242" t="s">
        <v>302</v>
      </c>
      <c r="C242" t="s">
        <v>30</v>
      </c>
      <c r="E242" t="s">
        <v>303</v>
      </c>
      <c r="F242" t="str">
        <f>"00832501"</f>
        <v>00832501</v>
      </c>
    </row>
    <row r="243" spans="1:6" x14ac:dyDescent="0.25">
      <c r="A243" t="s">
        <v>304</v>
      </c>
      <c r="C243" t="s">
        <v>30</v>
      </c>
      <c r="E243" t="str">
        <f>"45259509"</f>
        <v>45259509</v>
      </c>
      <c r="F243" t="str">
        <f>"21102808"</f>
        <v>21102808</v>
      </c>
    </row>
    <row r="244" spans="1:6" x14ac:dyDescent="0.25">
      <c r="A244" t="s">
        <v>305</v>
      </c>
      <c r="C244" t="s">
        <v>306</v>
      </c>
      <c r="E244" t="str">
        <f>"49541439"</f>
        <v>49541439</v>
      </c>
      <c r="F244" t="str">
        <f>"01174267"</f>
        <v>01174267</v>
      </c>
    </row>
    <row r="245" spans="1:6" x14ac:dyDescent="0.25">
      <c r="A245" t="s">
        <v>307</v>
      </c>
      <c r="C245" t="s">
        <v>9</v>
      </c>
      <c r="E245" t="str">
        <f>"46403073"</f>
        <v>46403073</v>
      </c>
      <c r="F245" t="str">
        <f>"00353631"</f>
        <v>00353631</v>
      </c>
    </row>
    <row r="246" spans="1:6" x14ac:dyDescent="0.25">
      <c r="A246" t="s">
        <v>308</v>
      </c>
      <c r="C246" t="s">
        <v>30</v>
      </c>
      <c r="E246" t="str">
        <f>"45290551"</f>
        <v>45290551</v>
      </c>
      <c r="F246" t="str">
        <f>"00050914"</f>
        <v>00050914</v>
      </c>
    </row>
    <row r="247" spans="1:6" x14ac:dyDescent="0.25">
      <c r="A247" t="s">
        <v>309</v>
      </c>
      <c r="C247" t="s">
        <v>310</v>
      </c>
      <c r="E247" t="str">
        <f>"46440201"</f>
        <v>46440201</v>
      </c>
      <c r="F247" t="str">
        <f>"21102253"</f>
        <v>21102253</v>
      </c>
    </row>
    <row r="248" spans="1:6" x14ac:dyDescent="0.25">
      <c r="A248" t="s">
        <v>254</v>
      </c>
      <c r="C248" t="s">
        <v>311</v>
      </c>
      <c r="E248" t="str">
        <f>"22408420"</f>
        <v>22408420</v>
      </c>
      <c r="F248" t="str">
        <f>"00752949"</f>
        <v>00752949</v>
      </c>
    </row>
    <row r="249" spans="1:6" x14ac:dyDescent="0.25">
      <c r="A249" t="s">
        <v>312</v>
      </c>
      <c r="C249" t="s">
        <v>313</v>
      </c>
      <c r="F249" t="str">
        <f>"00532374"</f>
        <v>00532374</v>
      </c>
    </row>
    <row r="250" spans="1:6" x14ac:dyDescent="0.25">
      <c r="A250" t="s">
        <v>314</v>
      </c>
      <c r="C250" t="s">
        <v>30</v>
      </c>
      <c r="E250" t="str">
        <f>"42450505"</f>
        <v>42450505</v>
      </c>
      <c r="F250" t="str">
        <f>"00515197"</f>
        <v>00515197</v>
      </c>
    </row>
    <row r="251" spans="1:6" x14ac:dyDescent="0.25">
      <c r="A251" t="s">
        <v>315</v>
      </c>
      <c r="F251" t="str">
        <f>"20600364"</f>
        <v>20600364</v>
      </c>
    </row>
    <row r="252" spans="1:6" x14ac:dyDescent="0.25">
      <c r="A252" t="s">
        <v>316</v>
      </c>
      <c r="F252" t="str">
        <f>"21100109"</f>
        <v>21100109</v>
      </c>
    </row>
    <row r="253" spans="1:6" x14ac:dyDescent="0.25">
      <c r="A253" t="s">
        <v>317</v>
      </c>
      <c r="F253" t="str">
        <f>"00862813"</f>
        <v>00862813</v>
      </c>
    </row>
    <row r="254" spans="1:6" x14ac:dyDescent="0.25">
      <c r="A254" t="s">
        <v>318</v>
      </c>
      <c r="F254" t="str">
        <f>"10602105"</f>
        <v>10602105</v>
      </c>
    </row>
    <row r="255" spans="1:6" x14ac:dyDescent="0.25">
      <c r="A255" t="s">
        <v>319</v>
      </c>
      <c r="C255" t="s">
        <v>320</v>
      </c>
      <c r="E255" t="s">
        <v>321</v>
      </c>
      <c r="F255" t="str">
        <f>"30600380"</f>
        <v>30600380</v>
      </c>
    </row>
    <row r="256" spans="1:6" x14ac:dyDescent="0.25">
      <c r="A256" t="s">
        <v>322</v>
      </c>
      <c r="C256" t="s">
        <v>323</v>
      </c>
      <c r="E256" t="str">
        <f>"452111161"</f>
        <v>452111161</v>
      </c>
      <c r="F256" t="str">
        <f>"00123869"</f>
        <v>00123869</v>
      </c>
    </row>
    <row r="257" spans="1:6" x14ac:dyDescent="0.25">
      <c r="A257" t="s">
        <v>324</v>
      </c>
      <c r="C257" t="s">
        <v>30</v>
      </c>
      <c r="E257" t="str">
        <f>"22223201"</f>
        <v>22223201</v>
      </c>
      <c r="F257" t="str">
        <f>"00112037"</f>
        <v>00112037</v>
      </c>
    </row>
    <row r="258" spans="1:6" x14ac:dyDescent="0.25">
      <c r="A258" t="s">
        <v>325</v>
      </c>
      <c r="C258" t="s">
        <v>30</v>
      </c>
      <c r="E258" t="s">
        <v>326</v>
      </c>
      <c r="F258" t="str">
        <f>"00223354"</f>
        <v>00223354</v>
      </c>
    </row>
    <row r="259" spans="1:6" x14ac:dyDescent="0.25">
      <c r="A259" t="s">
        <v>327</v>
      </c>
      <c r="C259" t="s">
        <v>30</v>
      </c>
      <c r="E259" t="str">
        <f>"49888075"</f>
        <v>49888075</v>
      </c>
      <c r="F259" t="str">
        <f>"01203306"</f>
        <v>01203306</v>
      </c>
    </row>
    <row r="260" spans="1:6" x14ac:dyDescent="0.25">
      <c r="A260" t="s">
        <v>328</v>
      </c>
      <c r="F260" t="str">
        <f>"10713680"</f>
        <v>10713680</v>
      </c>
    </row>
    <row r="261" spans="1:6" x14ac:dyDescent="0.25">
      <c r="A261" t="s">
        <v>329</v>
      </c>
      <c r="C261" t="s">
        <v>330</v>
      </c>
      <c r="E261" t="str">
        <f>"36194123"</f>
        <v>36194123</v>
      </c>
      <c r="F261" t="str">
        <f>"00143354"</f>
        <v>00143354</v>
      </c>
    </row>
    <row r="262" spans="1:6" x14ac:dyDescent="0.25">
      <c r="A262" t="s">
        <v>331</v>
      </c>
      <c r="F262" t="str">
        <f>"00503946"</f>
        <v>00503946</v>
      </c>
    </row>
    <row r="263" spans="1:6" x14ac:dyDescent="0.25">
      <c r="A263" t="s">
        <v>332</v>
      </c>
      <c r="F263" t="str">
        <f>"00869818"</f>
        <v>00869818</v>
      </c>
    </row>
    <row r="264" spans="1:6" x14ac:dyDescent="0.25">
      <c r="A264" t="s">
        <v>333</v>
      </c>
      <c r="F264" t="str">
        <f>"11400109"</f>
        <v>11400109</v>
      </c>
    </row>
    <row r="265" spans="1:6" x14ac:dyDescent="0.25">
      <c r="A265" t="s">
        <v>334</v>
      </c>
      <c r="F265" t="str">
        <f>"10712690"</f>
        <v>10712690</v>
      </c>
    </row>
    <row r="266" spans="1:6" x14ac:dyDescent="0.25">
      <c r="A266" t="s">
        <v>335</v>
      </c>
      <c r="F266" t="str">
        <f>"00461137"</f>
        <v>00461137</v>
      </c>
    </row>
    <row r="267" spans="1:6" x14ac:dyDescent="0.25">
      <c r="A267" t="s">
        <v>336</v>
      </c>
      <c r="F267" t="str">
        <f>"00756718"</f>
        <v>00756718</v>
      </c>
    </row>
    <row r="268" spans="1:6" x14ac:dyDescent="0.25">
      <c r="A268" t="s">
        <v>337</v>
      </c>
      <c r="F268" t="str">
        <f>"10710546"</f>
        <v>10710546</v>
      </c>
    </row>
    <row r="269" spans="1:6" x14ac:dyDescent="0.25">
      <c r="A269" t="s">
        <v>338</v>
      </c>
    </row>
    <row r="270" spans="1:6" x14ac:dyDescent="0.25">
      <c r="A270" t="s">
        <v>339</v>
      </c>
      <c r="C270" t="s">
        <v>340</v>
      </c>
      <c r="E270" t="str">
        <f>"36196063"</f>
        <v>36196063</v>
      </c>
      <c r="F270" t="str">
        <f>"00582510"</f>
        <v>00582510</v>
      </c>
    </row>
    <row r="271" spans="1:6" x14ac:dyDescent="0.25">
      <c r="A271" t="s">
        <v>341</v>
      </c>
      <c r="C271" t="s">
        <v>9</v>
      </c>
      <c r="E271" t="str">
        <f>"22363370"</f>
        <v>22363370</v>
      </c>
      <c r="F271" t="str">
        <f>"00862813"</f>
        <v>00862813</v>
      </c>
    </row>
    <row r="272" spans="1:6" x14ac:dyDescent="0.25">
      <c r="A272" t="s">
        <v>342</v>
      </c>
      <c r="E272" t="s">
        <v>343</v>
      </c>
      <c r="F272" t="str">
        <f>"10700646"</f>
        <v>10700646</v>
      </c>
    </row>
    <row r="273" spans="1:6" x14ac:dyDescent="0.25">
      <c r="A273" t="s">
        <v>344</v>
      </c>
    </row>
    <row r="274" spans="1:6" x14ac:dyDescent="0.25">
      <c r="A274" t="s">
        <v>345</v>
      </c>
      <c r="C274" t="s">
        <v>346</v>
      </c>
      <c r="E274" t="str">
        <f>"36336633"</f>
        <v>36336633</v>
      </c>
      <c r="F274" t="str">
        <f>"00773317"</f>
        <v>00773317</v>
      </c>
    </row>
    <row r="275" spans="1:6" x14ac:dyDescent="0.25">
      <c r="A275" t="s">
        <v>347</v>
      </c>
      <c r="F275" t="str">
        <f>"00731430"</f>
        <v>00731430</v>
      </c>
    </row>
    <row r="276" spans="1:6" x14ac:dyDescent="0.25">
      <c r="A276" t="s">
        <v>348</v>
      </c>
      <c r="C276" t="s">
        <v>30</v>
      </c>
      <c r="E276" t="str">
        <f>"27495885"</f>
        <v>27495885</v>
      </c>
      <c r="F276" t="str">
        <f>"00076117"</f>
        <v>00076117</v>
      </c>
    </row>
    <row r="277" spans="1:6" x14ac:dyDescent="0.25">
      <c r="A277" t="s">
        <v>349</v>
      </c>
      <c r="C277" t="s">
        <v>30</v>
      </c>
      <c r="E277" t="str">
        <f>"36122612"</f>
        <v>36122612</v>
      </c>
      <c r="F277" t="str">
        <f>"00774695"</f>
        <v>00774695</v>
      </c>
    </row>
    <row r="278" spans="1:6" x14ac:dyDescent="0.25">
      <c r="A278" t="s">
        <v>350</v>
      </c>
      <c r="C278" t="s">
        <v>30</v>
      </c>
      <c r="E278" t="str">
        <f>"36190154"</f>
        <v>36190154</v>
      </c>
      <c r="F278" t="str">
        <f>"00540377"</f>
        <v>00540377</v>
      </c>
    </row>
    <row r="279" spans="1:6" x14ac:dyDescent="0.25">
      <c r="A279" t="s">
        <v>351</v>
      </c>
      <c r="F279" t="str">
        <f>"00639009"</f>
        <v>00639009</v>
      </c>
    </row>
    <row r="280" spans="1:6" x14ac:dyDescent="0.25">
      <c r="A280" t="s">
        <v>352</v>
      </c>
      <c r="F280" t="str">
        <f>"00515197"</f>
        <v>00515197</v>
      </c>
    </row>
    <row r="281" spans="1:6" x14ac:dyDescent="0.25">
      <c r="A281" t="s">
        <v>353</v>
      </c>
      <c r="C281" t="s">
        <v>174</v>
      </c>
      <c r="E281" t="str">
        <f>"46412528"</f>
        <v>46412528</v>
      </c>
      <c r="F281" t="str">
        <f>"00508234"</f>
        <v>00508234</v>
      </c>
    </row>
    <row r="282" spans="1:6" x14ac:dyDescent="0.25">
      <c r="A282" t="s">
        <v>354</v>
      </c>
      <c r="C282" t="s">
        <v>355</v>
      </c>
      <c r="E282" t="s">
        <v>356</v>
      </c>
      <c r="F282" t="str">
        <f>"00347872"</f>
        <v>00347872</v>
      </c>
    </row>
    <row r="283" spans="1:6" x14ac:dyDescent="0.25">
      <c r="A283" t="s">
        <v>357</v>
      </c>
      <c r="C283" t="s">
        <v>30</v>
      </c>
      <c r="F283" t="str">
        <f>"00462903"</f>
        <v>00462903</v>
      </c>
    </row>
    <row r="284" spans="1:6" x14ac:dyDescent="0.25">
      <c r="A284" t="s">
        <v>358</v>
      </c>
      <c r="C284" t="s">
        <v>30</v>
      </c>
      <c r="F284" t="str">
        <f>"00805473"</f>
        <v>00805473</v>
      </c>
    </row>
    <row r="285" spans="1:6" x14ac:dyDescent="0.25">
      <c r="A285" t="s">
        <v>359</v>
      </c>
      <c r="C285" t="s">
        <v>30</v>
      </c>
      <c r="F285" t="str">
        <f>"00939439"</f>
        <v>00939439</v>
      </c>
    </row>
    <row r="286" spans="1:6" x14ac:dyDescent="0.25">
      <c r="A286" t="s">
        <v>360</v>
      </c>
      <c r="C286" t="s">
        <v>30</v>
      </c>
      <c r="F286" t="str">
        <f>"00497321"</f>
        <v>00497321</v>
      </c>
    </row>
    <row r="287" spans="1:6" x14ac:dyDescent="0.25">
      <c r="A287" t="s">
        <v>232</v>
      </c>
      <c r="C287" t="s">
        <v>30</v>
      </c>
      <c r="F287" t="str">
        <f>"00094912"</f>
        <v>00094912</v>
      </c>
    </row>
    <row r="288" spans="1:6" x14ac:dyDescent="0.25">
      <c r="A288" t="s">
        <v>361</v>
      </c>
      <c r="C288" t="s">
        <v>30</v>
      </c>
      <c r="F288" t="str">
        <f>"70401526"</f>
        <v>70401526</v>
      </c>
    </row>
    <row r="289" spans="1:6" x14ac:dyDescent="0.25">
      <c r="A289" t="s">
        <v>362</v>
      </c>
      <c r="E289" t="s">
        <v>363</v>
      </c>
      <c r="F289" t="str">
        <f>"00398404"</f>
        <v>00398404</v>
      </c>
    </row>
    <row r="290" spans="1:6" x14ac:dyDescent="0.25">
      <c r="A290" t="s">
        <v>364</v>
      </c>
      <c r="C290" t="s">
        <v>30</v>
      </c>
      <c r="E290" t="str">
        <f>"36897279"</f>
        <v>36897279</v>
      </c>
      <c r="F290" t="str">
        <f>"10902204"</f>
        <v>10902204</v>
      </c>
    </row>
    <row r="291" spans="1:6" x14ac:dyDescent="0.25">
      <c r="A291" t="s">
        <v>365</v>
      </c>
      <c r="C291" t="s">
        <v>30</v>
      </c>
      <c r="E291" t="str">
        <f>"22612061"</f>
        <v>22612061</v>
      </c>
      <c r="F291" t="str">
        <f>"00280214"</f>
        <v>00280214</v>
      </c>
    </row>
    <row r="292" spans="1:6" x14ac:dyDescent="0.25">
      <c r="A292" t="s">
        <v>366</v>
      </c>
      <c r="C292" t="s">
        <v>30</v>
      </c>
      <c r="E292" t="str">
        <f>"46410380"</f>
        <v>46410380</v>
      </c>
      <c r="F292" t="str">
        <f>"00614545"</f>
        <v>00614545</v>
      </c>
    </row>
    <row r="293" spans="1:6" x14ac:dyDescent="0.25">
      <c r="A293" t="s">
        <v>367</v>
      </c>
      <c r="C293" t="s">
        <v>30</v>
      </c>
      <c r="E293" t="str">
        <f>"20729957"</f>
        <v>20729957</v>
      </c>
      <c r="F293" t="str">
        <f>"00758227"</f>
        <v>00758227</v>
      </c>
    </row>
    <row r="294" spans="1:6" x14ac:dyDescent="0.25">
      <c r="A294" t="s">
        <v>368</v>
      </c>
      <c r="C294" t="s">
        <v>30</v>
      </c>
      <c r="E294" t="str">
        <f>"20142692"</f>
        <v>20142692</v>
      </c>
      <c r="F294" t="str">
        <f>"00836197"</f>
        <v>00836197</v>
      </c>
    </row>
    <row r="295" spans="1:6" x14ac:dyDescent="0.25">
      <c r="A295" t="s">
        <v>369</v>
      </c>
      <c r="C295" t="s">
        <v>19</v>
      </c>
      <c r="E295" t="str">
        <f>"36115005"</f>
        <v>36115005</v>
      </c>
      <c r="F295" t="str">
        <f>"00030346"</f>
        <v>00030346</v>
      </c>
    </row>
    <row r="296" spans="1:6" x14ac:dyDescent="0.25">
      <c r="A296" t="s">
        <v>370</v>
      </c>
      <c r="C296" t="s">
        <v>30</v>
      </c>
      <c r="E296" t="str">
        <f>"36315000"</f>
        <v>36315000</v>
      </c>
      <c r="F296" t="str">
        <f>"00733592"</f>
        <v>00733592</v>
      </c>
    </row>
    <row r="297" spans="1:6" x14ac:dyDescent="0.25">
      <c r="A297" t="s">
        <v>371</v>
      </c>
      <c r="C297" t="s">
        <v>30</v>
      </c>
      <c r="E297" t="str">
        <f>"36673136"</f>
        <v>36673136</v>
      </c>
      <c r="F297" t="str">
        <f>"00325373"</f>
        <v>00325373</v>
      </c>
    </row>
    <row r="298" spans="1:6" x14ac:dyDescent="0.25">
      <c r="A298" t="s">
        <v>372</v>
      </c>
      <c r="C298" t="s">
        <v>373</v>
      </c>
      <c r="E298" t="str">
        <f>"36305274"</f>
        <v>36305274</v>
      </c>
      <c r="F298" t="str">
        <f>"00508523"</f>
        <v>00508523</v>
      </c>
    </row>
    <row r="299" spans="1:6" x14ac:dyDescent="0.25">
      <c r="A299" t="s">
        <v>374</v>
      </c>
      <c r="C299" t="s">
        <v>375</v>
      </c>
      <c r="F299" t="str">
        <f>"00742213"</f>
        <v>00742213</v>
      </c>
    </row>
    <row r="300" spans="1:6" x14ac:dyDescent="0.25">
      <c r="A300" t="s">
        <v>376</v>
      </c>
      <c r="E300" t="str">
        <f>"26916861"</f>
        <v>26916861</v>
      </c>
      <c r="F300" t="str">
        <f>"00509083"</f>
        <v>00509083</v>
      </c>
    </row>
    <row r="301" spans="1:6" x14ac:dyDescent="0.25">
      <c r="A301" t="s">
        <v>377</v>
      </c>
      <c r="C301" t="s">
        <v>30</v>
      </c>
      <c r="E301" t="str">
        <f>"44403303"</f>
        <v>44403303</v>
      </c>
      <c r="F301" t="str">
        <f>"00733543"</f>
        <v>00733543</v>
      </c>
    </row>
    <row r="302" spans="1:6" x14ac:dyDescent="0.25">
      <c r="A302" t="s">
        <v>378</v>
      </c>
      <c r="E302" t="s">
        <v>379</v>
      </c>
      <c r="F302" t="str">
        <f>"00701532"</f>
        <v>00701532</v>
      </c>
    </row>
    <row r="303" spans="1:6" x14ac:dyDescent="0.25">
      <c r="A303" t="s">
        <v>380</v>
      </c>
      <c r="C303" t="s">
        <v>30</v>
      </c>
      <c r="E303" t="str">
        <f>"3670052"</f>
        <v>3670052</v>
      </c>
      <c r="F303" t="str">
        <f>"00434241"</f>
        <v>00434241</v>
      </c>
    </row>
    <row r="304" spans="1:6" x14ac:dyDescent="0.25">
      <c r="A304" t="s">
        <v>381</v>
      </c>
      <c r="C304" t="s">
        <v>257</v>
      </c>
      <c r="E304" t="str">
        <f>"49550402"</f>
        <v>49550402</v>
      </c>
      <c r="F304" t="str">
        <f>"00287839"</f>
        <v>00287839</v>
      </c>
    </row>
    <row r="305" spans="1:6" x14ac:dyDescent="0.25">
      <c r="A305" t="s">
        <v>382</v>
      </c>
      <c r="F305" t="str">
        <f>"00392282"</f>
        <v>00392282</v>
      </c>
    </row>
    <row r="306" spans="1:6" x14ac:dyDescent="0.25">
      <c r="A306" t="s">
        <v>383</v>
      </c>
      <c r="C306" t="s">
        <v>257</v>
      </c>
      <c r="E306" t="str">
        <f>"46525282"</f>
        <v>46525282</v>
      </c>
      <c r="F306" t="str">
        <f>"00800623"</f>
        <v>00800623</v>
      </c>
    </row>
    <row r="307" spans="1:6" x14ac:dyDescent="0.25">
      <c r="A307" t="s">
        <v>384</v>
      </c>
      <c r="C307" t="s">
        <v>257</v>
      </c>
      <c r="F307" t="str">
        <f>"00525311"</f>
        <v>00525311</v>
      </c>
    </row>
    <row r="308" spans="1:6" x14ac:dyDescent="0.25">
      <c r="A308" t="s">
        <v>385</v>
      </c>
      <c r="C308" t="s">
        <v>257</v>
      </c>
      <c r="E308" t="str">
        <f>"44730990"</f>
        <v>44730990</v>
      </c>
      <c r="F308" t="str">
        <f>"00415471"</f>
        <v>00415471</v>
      </c>
    </row>
    <row r="309" spans="1:6" x14ac:dyDescent="0.25">
      <c r="A309" t="s">
        <v>386</v>
      </c>
      <c r="C309" t="s">
        <v>257</v>
      </c>
      <c r="E309" t="str">
        <f>"22610373"</f>
        <v>22610373</v>
      </c>
      <c r="F309" t="str">
        <f>"00415471"</f>
        <v>00415471</v>
      </c>
    </row>
    <row r="310" spans="1:6" x14ac:dyDescent="0.25">
      <c r="A310" t="s">
        <v>387</v>
      </c>
      <c r="C310" t="s">
        <v>257</v>
      </c>
      <c r="D310" t="s">
        <v>257</v>
      </c>
      <c r="E310" t="str">
        <f>"49102566"</f>
        <v>49102566</v>
      </c>
      <c r="F310" t="str">
        <f>"10600554"</f>
        <v>10600554</v>
      </c>
    </row>
    <row r="311" spans="1:6" x14ac:dyDescent="0.25">
      <c r="A311" t="s">
        <v>388</v>
      </c>
      <c r="C311" t="s">
        <v>257</v>
      </c>
      <c r="E311" t="str">
        <f>"41258869"</f>
        <v>41258869</v>
      </c>
      <c r="F311" t="str">
        <f>"00788505"</f>
        <v>00788505</v>
      </c>
    </row>
    <row r="312" spans="1:6" x14ac:dyDescent="0.25">
      <c r="A312" t="s">
        <v>88</v>
      </c>
      <c r="C312" t="s">
        <v>257</v>
      </c>
      <c r="E312" t="str">
        <f>"26015477"</f>
        <v>26015477</v>
      </c>
      <c r="F312" t="str">
        <f>"00313940"</f>
        <v>00313940</v>
      </c>
    </row>
    <row r="313" spans="1:6" x14ac:dyDescent="0.25">
      <c r="A313" t="s">
        <v>389</v>
      </c>
      <c r="C313" t="s">
        <v>257</v>
      </c>
      <c r="F313" t="str">
        <f>"00582304"</f>
        <v>00582304</v>
      </c>
    </row>
    <row r="314" spans="1:6" x14ac:dyDescent="0.25">
      <c r="A314" t="s">
        <v>390</v>
      </c>
      <c r="C314" t="s">
        <v>391</v>
      </c>
      <c r="E314" t="str">
        <f>"46561098"</f>
        <v>46561098</v>
      </c>
      <c r="F314" t="str">
        <f>"10706023"</f>
        <v>10706023</v>
      </c>
    </row>
    <row r="315" spans="1:6" x14ac:dyDescent="0.25">
      <c r="A315" t="s">
        <v>392</v>
      </c>
      <c r="C315" t="s">
        <v>393</v>
      </c>
      <c r="E315" t="str">
        <f>"46545959"</f>
        <v>46545959</v>
      </c>
      <c r="F315" t="str">
        <f>"00063248"</f>
        <v>00063248</v>
      </c>
    </row>
    <row r="316" spans="1:6" x14ac:dyDescent="0.25">
      <c r="A316" t="s">
        <v>394</v>
      </c>
      <c r="C316" t="s">
        <v>9</v>
      </c>
      <c r="E316" t="str">
        <f>"36316371"</f>
        <v>36316371</v>
      </c>
      <c r="F316" t="str">
        <f>"10704432"</f>
        <v>10704432</v>
      </c>
    </row>
    <row r="317" spans="1:6" x14ac:dyDescent="0.25">
      <c r="A317" t="s">
        <v>395</v>
      </c>
      <c r="C317" t="s">
        <v>30</v>
      </c>
      <c r="E317" t="str">
        <f>"22410211"</f>
        <v>22410211</v>
      </c>
      <c r="F317" t="str">
        <f>"20600554"</f>
        <v>20600554</v>
      </c>
    </row>
    <row r="318" spans="1:6" x14ac:dyDescent="0.25">
      <c r="A318" t="s">
        <v>26</v>
      </c>
      <c r="E318" t="str">
        <f>"46519693"</f>
        <v>46519693</v>
      </c>
      <c r="F318" t="str">
        <f>"00177337"</f>
        <v>00177337</v>
      </c>
    </row>
    <row r="319" spans="1:6" x14ac:dyDescent="0.25">
      <c r="A319" t="s">
        <v>396</v>
      </c>
      <c r="C319" t="s">
        <v>397</v>
      </c>
      <c r="E319" t="str">
        <f>"36171114"</f>
        <v>36171114</v>
      </c>
      <c r="F319" t="str">
        <f>"00567883"</f>
        <v>00567883</v>
      </c>
    </row>
    <row r="320" spans="1:6" x14ac:dyDescent="0.25">
      <c r="A320" t="s">
        <v>398</v>
      </c>
      <c r="C320" t="s">
        <v>30</v>
      </c>
      <c r="E320" t="str">
        <f>"49360001"</f>
        <v>49360001</v>
      </c>
      <c r="F320" t="str">
        <f>"01189885"</f>
        <v>01189885</v>
      </c>
    </row>
    <row r="321" spans="1:6" x14ac:dyDescent="0.25">
      <c r="A321" t="s">
        <v>399</v>
      </c>
      <c r="C321" t="s">
        <v>30</v>
      </c>
      <c r="E321" t="str">
        <f>"20323220"</f>
        <v>20323220</v>
      </c>
      <c r="F321" t="str">
        <f>"00127258"</f>
        <v>00127258</v>
      </c>
    </row>
    <row r="322" spans="1:6" x14ac:dyDescent="0.25">
      <c r="A322" t="s">
        <v>400</v>
      </c>
      <c r="F322" t="str">
        <f>"00724666"</f>
        <v>00724666</v>
      </c>
    </row>
    <row r="323" spans="1:6" x14ac:dyDescent="0.25">
      <c r="A323" t="s">
        <v>401</v>
      </c>
      <c r="F323" t="str">
        <f>"00491555"</f>
        <v>00491555</v>
      </c>
    </row>
    <row r="324" spans="1:6" x14ac:dyDescent="0.25">
      <c r="A324" t="s">
        <v>402</v>
      </c>
      <c r="E324" t="s">
        <v>379</v>
      </c>
      <c r="F324" t="str">
        <f>"00701532"</f>
        <v>00701532</v>
      </c>
    </row>
    <row r="325" spans="1:6" x14ac:dyDescent="0.25">
      <c r="A325" t="s">
        <v>403</v>
      </c>
      <c r="C325" t="s">
        <v>19</v>
      </c>
      <c r="E325" t="str">
        <f>"46451781"</f>
        <v>46451781</v>
      </c>
      <c r="F325" t="str">
        <f>"10719133"</f>
        <v>10719133</v>
      </c>
    </row>
    <row r="326" spans="1:6" x14ac:dyDescent="0.25">
      <c r="A326" t="s">
        <v>404</v>
      </c>
      <c r="C326" t="s">
        <v>19</v>
      </c>
      <c r="E326" t="str">
        <f>"36796096"</f>
        <v>36796096</v>
      </c>
      <c r="F326" t="str">
        <f>"00855668"</f>
        <v>00855668</v>
      </c>
    </row>
    <row r="327" spans="1:6" x14ac:dyDescent="0.25">
      <c r="A327" t="s">
        <v>405</v>
      </c>
      <c r="C327" t="s">
        <v>30</v>
      </c>
      <c r="E327" t="str">
        <f>"36300936"</f>
        <v>36300936</v>
      </c>
      <c r="F327" t="str">
        <f>"00038851"</f>
        <v>00038851</v>
      </c>
    </row>
    <row r="328" spans="1:6" x14ac:dyDescent="0.25">
      <c r="A328" t="s">
        <v>406</v>
      </c>
      <c r="C328" t="s">
        <v>30</v>
      </c>
      <c r="E328" t="str">
        <f>"41335547"</f>
        <v>41335547</v>
      </c>
      <c r="F328" t="str">
        <f>"00300900"</f>
        <v>00300900</v>
      </c>
    </row>
    <row r="329" spans="1:6" x14ac:dyDescent="0.25">
      <c r="A329" t="s">
        <v>407</v>
      </c>
      <c r="C329" t="s">
        <v>30</v>
      </c>
      <c r="E329" t="str">
        <f>"36221422"</f>
        <v>36221422</v>
      </c>
      <c r="F329" t="str">
        <f>"00235697"</f>
        <v>00235697</v>
      </c>
    </row>
    <row r="330" spans="1:6" x14ac:dyDescent="0.25">
      <c r="A330" t="s">
        <v>408</v>
      </c>
      <c r="C330" t="s">
        <v>409</v>
      </c>
      <c r="E330" t="str">
        <f>"36622535"</f>
        <v>36622535</v>
      </c>
      <c r="F330" t="str">
        <f>"01121490"</f>
        <v>01121490</v>
      </c>
    </row>
    <row r="331" spans="1:6" x14ac:dyDescent="0.25">
      <c r="A331" t="s">
        <v>410</v>
      </c>
      <c r="C331" t="s">
        <v>30</v>
      </c>
      <c r="E331" t="str">
        <f>"46373408"</f>
        <v>46373408</v>
      </c>
      <c r="F331" t="str">
        <f>"10714357"</f>
        <v>10714357</v>
      </c>
    </row>
    <row r="332" spans="1:6" x14ac:dyDescent="0.25">
      <c r="A332" t="s">
        <v>411</v>
      </c>
      <c r="C332" t="s">
        <v>30</v>
      </c>
      <c r="F332" t="str">
        <f>"00859462"</f>
        <v>00859462</v>
      </c>
    </row>
    <row r="333" spans="1:6" x14ac:dyDescent="0.25">
      <c r="A333" t="s">
        <v>412</v>
      </c>
      <c r="C333" t="s">
        <v>413</v>
      </c>
      <c r="E333" s="1">
        <v>22234318130</v>
      </c>
      <c r="F333" t="str">
        <f>"00616177"</f>
        <v>00616177</v>
      </c>
    </row>
    <row r="334" spans="1:6" x14ac:dyDescent="0.25">
      <c r="A334" t="s">
        <v>414</v>
      </c>
      <c r="C334" t="s">
        <v>30</v>
      </c>
      <c r="E334" t="str">
        <f>"37281128"</f>
        <v>37281128</v>
      </c>
      <c r="F334" t="str">
        <f>"00768861"</f>
        <v>00768861</v>
      </c>
    </row>
    <row r="335" spans="1:6" x14ac:dyDescent="0.25">
      <c r="A335" t="s">
        <v>415</v>
      </c>
      <c r="C335" t="s">
        <v>9</v>
      </c>
      <c r="E335" t="str">
        <f>"41111141"</f>
        <v>41111141</v>
      </c>
      <c r="F335" t="str">
        <f>"00266783"</f>
        <v>00266783</v>
      </c>
    </row>
    <row r="336" spans="1:6" x14ac:dyDescent="0.25">
      <c r="A336" t="s">
        <v>416</v>
      </c>
      <c r="C336" t="s">
        <v>30</v>
      </c>
      <c r="E336" t="str">
        <f>"36300071"</f>
        <v>36300071</v>
      </c>
      <c r="F336" t="str">
        <f>"01199629"</f>
        <v>01199629</v>
      </c>
    </row>
    <row r="337" spans="1:6" x14ac:dyDescent="0.25">
      <c r="A337" t="s">
        <v>417</v>
      </c>
      <c r="C337" t="s">
        <v>30</v>
      </c>
      <c r="E337" t="str">
        <f>"22374131"</f>
        <v>22374131</v>
      </c>
      <c r="F337" t="str">
        <f>"00306019"</f>
        <v>00306019</v>
      </c>
    </row>
    <row r="338" spans="1:6" x14ac:dyDescent="0.25">
      <c r="A338" t="s">
        <v>418</v>
      </c>
      <c r="C338" t="str">
        <f>"44067887"</f>
        <v>44067887</v>
      </c>
      <c r="E338" t="s">
        <v>419</v>
      </c>
      <c r="F338" t="str">
        <f>"01191592"</f>
        <v>01191592</v>
      </c>
    </row>
    <row r="339" spans="1:6" x14ac:dyDescent="0.25">
      <c r="A339" t="s">
        <v>420</v>
      </c>
      <c r="C339" t="s">
        <v>30</v>
      </c>
      <c r="E339" t="str">
        <f>"34727575"</f>
        <v>34727575</v>
      </c>
      <c r="F339" t="str">
        <f>"00748939"</f>
        <v>00748939</v>
      </c>
    </row>
    <row r="340" spans="1:6" x14ac:dyDescent="0.25">
      <c r="A340" t="s">
        <v>421</v>
      </c>
      <c r="C340" t="s">
        <v>19</v>
      </c>
      <c r="E340" t="str">
        <f>"22358970"</f>
        <v>22358970</v>
      </c>
      <c r="F340" t="str">
        <f>"00774950"</f>
        <v>00774950</v>
      </c>
    </row>
    <row r="341" spans="1:6" x14ac:dyDescent="0.25">
      <c r="A341" t="s">
        <v>422</v>
      </c>
      <c r="C341" t="s">
        <v>30</v>
      </c>
      <c r="E341" t="s">
        <v>423</v>
      </c>
      <c r="F341" t="str">
        <f>"10602501"</f>
        <v>10602501</v>
      </c>
    </row>
    <row r="342" spans="1:6" x14ac:dyDescent="0.25">
      <c r="A342" t="s">
        <v>424</v>
      </c>
    </row>
    <row r="343" spans="1:6" x14ac:dyDescent="0.25">
      <c r="A343" t="s">
        <v>425</v>
      </c>
    </row>
    <row r="344" spans="1:6" x14ac:dyDescent="0.25">
      <c r="A344" t="s">
        <v>426</v>
      </c>
    </row>
    <row r="345" spans="1:6" x14ac:dyDescent="0.25">
      <c r="A345" t="s">
        <v>427</v>
      </c>
      <c r="E345" t="str">
        <f>"45251103"</f>
        <v>45251103</v>
      </c>
      <c r="F345" t="str">
        <f>"80600042"</f>
        <v>80600042</v>
      </c>
    </row>
    <row r="346" spans="1:6" x14ac:dyDescent="0.25">
      <c r="A346" t="s">
        <v>428</v>
      </c>
      <c r="C346" t="s">
        <v>257</v>
      </c>
      <c r="E346" t="str">
        <f>"44070713"</f>
        <v>44070713</v>
      </c>
      <c r="F346" t="str">
        <f>"00507228"</f>
        <v>00507228</v>
      </c>
    </row>
    <row r="347" spans="1:6" x14ac:dyDescent="0.25">
      <c r="A347" t="s">
        <v>429</v>
      </c>
    </row>
    <row r="348" spans="1:6" x14ac:dyDescent="0.25">
      <c r="A348" t="s">
        <v>430</v>
      </c>
    </row>
    <row r="349" spans="1:6" x14ac:dyDescent="0.25">
      <c r="A349" t="s">
        <v>431</v>
      </c>
      <c r="C349" t="s">
        <v>9</v>
      </c>
      <c r="E349" t="str">
        <f>"46879758"</f>
        <v>46879758</v>
      </c>
      <c r="F349" t="str">
        <f>"71500315"</f>
        <v>71500315</v>
      </c>
    </row>
    <row r="350" spans="1:6" x14ac:dyDescent="0.25">
      <c r="A350" t="s">
        <v>432</v>
      </c>
      <c r="F350" t="str">
        <f>"00662825"</f>
        <v>00662825</v>
      </c>
    </row>
    <row r="351" spans="1:6" x14ac:dyDescent="0.25">
      <c r="A351" t="s">
        <v>433</v>
      </c>
    </row>
    <row r="352" spans="1:6" x14ac:dyDescent="0.25">
      <c r="A352" t="s">
        <v>434</v>
      </c>
      <c r="C352" t="s">
        <v>435</v>
      </c>
      <c r="E352" t="str">
        <f>"38572737"</f>
        <v>38572737</v>
      </c>
      <c r="F352" t="str">
        <f>"00884858"</f>
        <v>00884858</v>
      </c>
    </row>
    <row r="353" spans="1:6" x14ac:dyDescent="0.25">
      <c r="A353" t="s">
        <v>436</v>
      </c>
      <c r="C353" t="s">
        <v>30</v>
      </c>
      <c r="E353" t="str">
        <f>"33663246"</f>
        <v>33663246</v>
      </c>
      <c r="F353" t="str">
        <f>"00407213"</f>
        <v>00407213</v>
      </c>
    </row>
    <row r="354" spans="1:6" x14ac:dyDescent="0.25">
      <c r="A354" t="s">
        <v>437</v>
      </c>
      <c r="C354" t="s">
        <v>30</v>
      </c>
      <c r="E354" t="str">
        <f>"46570875"</f>
        <v>46570875</v>
      </c>
      <c r="F354" t="str">
        <f>"00231720"</f>
        <v>00231720</v>
      </c>
    </row>
    <row r="355" spans="1:6" x14ac:dyDescent="0.25">
      <c r="A355" t="s">
        <v>438</v>
      </c>
      <c r="C355" t="s">
        <v>30</v>
      </c>
      <c r="E355" t="str">
        <f>"41206918"</f>
        <v>41206918</v>
      </c>
      <c r="F355" t="str">
        <f>"00089318"</f>
        <v>00089318</v>
      </c>
    </row>
    <row r="356" spans="1:6" x14ac:dyDescent="0.25">
      <c r="A356" t="s">
        <v>439</v>
      </c>
      <c r="C356" t="s">
        <v>30</v>
      </c>
      <c r="E356" t="str">
        <f>"48400096"</f>
        <v>48400096</v>
      </c>
      <c r="F356" t="str">
        <f>"00719773"</f>
        <v>00719773</v>
      </c>
    </row>
    <row r="357" spans="1:6" x14ac:dyDescent="0.25">
      <c r="A357" t="s">
        <v>440</v>
      </c>
      <c r="C357" t="s">
        <v>30</v>
      </c>
      <c r="E357" t="str">
        <f>"46520071"</f>
        <v>46520071</v>
      </c>
      <c r="F357" t="str">
        <f>"20602857"</f>
        <v>20602857</v>
      </c>
    </row>
    <row r="358" spans="1:6" x14ac:dyDescent="0.25">
      <c r="A358" t="s">
        <v>441</v>
      </c>
      <c r="C358" t="s">
        <v>9</v>
      </c>
      <c r="E358" t="str">
        <f>"48058362"</f>
        <v>48058362</v>
      </c>
      <c r="F358" t="str">
        <f>"00594689"</f>
        <v>00594689</v>
      </c>
    </row>
    <row r="359" spans="1:6" x14ac:dyDescent="0.25">
      <c r="A359" t="s">
        <v>442</v>
      </c>
      <c r="C359" t="s">
        <v>443</v>
      </c>
      <c r="E359" t="str">
        <f>"36661136"</f>
        <v>36661136</v>
      </c>
      <c r="F359" t="str">
        <f>"10712526"</f>
        <v>10712526</v>
      </c>
    </row>
    <row r="360" spans="1:6" x14ac:dyDescent="0.25">
      <c r="A360" t="s">
        <v>444</v>
      </c>
      <c r="C360" t="s">
        <v>19</v>
      </c>
      <c r="F360" t="str">
        <f>"00548032"</f>
        <v>00548032</v>
      </c>
    </row>
    <row r="361" spans="1:6" x14ac:dyDescent="0.25">
      <c r="A361" t="s">
        <v>445</v>
      </c>
      <c r="C361" t="s">
        <v>9</v>
      </c>
      <c r="F361" t="str">
        <f>"00856864"</f>
        <v>00856864</v>
      </c>
    </row>
    <row r="362" spans="1:6" x14ac:dyDescent="0.25">
      <c r="A362" t="s">
        <v>446</v>
      </c>
      <c r="C362" t="s">
        <v>7</v>
      </c>
      <c r="F362" t="str">
        <f>"00616177"</f>
        <v>00616177</v>
      </c>
    </row>
    <row r="363" spans="1:6" x14ac:dyDescent="0.25">
      <c r="A363" t="s">
        <v>447</v>
      </c>
      <c r="C363" t="s">
        <v>9</v>
      </c>
      <c r="F363" t="str">
        <f>"10712757"</f>
        <v>10712757</v>
      </c>
    </row>
    <row r="364" spans="1:6" x14ac:dyDescent="0.25">
      <c r="A364" t="s">
        <v>448</v>
      </c>
      <c r="C364" t="s">
        <v>9</v>
      </c>
      <c r="F364" t="str">
        <f>"00561936"</f>
        <v>00561936</v>
      </c>
    </row>
    <row r="365" spans="1:6" x14ac:dyDescent="0.25">
      <c r="A365" t="s">
        <v>449</v>
      </c>
      <c r="C365" t="s">
        <v>9</v>
      </c>
      <c r="E365" t="str">
        <f>"22391289"</f>
        <v>22391289</v>
      </c>
      <c r="F365" t="str">
        <f>"20704176"</f>
        <v>20704176</v>
      </c>
    </row>
    <row r="366" spans="1:6" x14ac:dyDescent="0.25">
      <c r="A366" t="s">
        <v>125</v>
      </c>
      <c r="C366" t="s">
        <v>9</v>
      </c>
      <c r="E366" t="str">
        <f>"36163535"</f>
        <v>36163535</v>
      </c>
      <c r="F366" t="str">
        <f>"10708664"</f>
        <v>10708664</v>
      </c>
    </row>
    <row r="367" spans="1:6" x14ac:dyDescent="0.25">
      <c r="A367" t="s">
        <v>450</v>
      </c>
      <c r="C367" t="s">
        <v>451</v>
      </c>
      <c r="F367" t="str">
        <f>"20600695"</f>
        <v>20600695</v>
      </c>
    </row>
    <row r="368" spans="1:6" x14ac:dyDescent="0.25">
      <c r="A368" t="s">
        <v>452</v>
      </c>
      <c r="C368" t="s">
        <v>30</v>
      </c>
      <c r="E368" t="str">
        <f>"36200200"</f>
        <v>36200200</v>
      </c>
      <c r="F368" t="str">
        <f>"11104333"</f>
        <v>11104333</v>
      </c>
    </row>
    <row r="369" spans="1:6" x14ac:dyDescent="0.25">
      <c r="A369" t="s">
        <v>453</v>
      </c>
      <c r="C369" t="s">
        <v>257</v>
      </c>
      <c r="E369" t="str">
        <f>"36972828"</f>
        <v>36972828</v>
      </c>
      <c r="F369" t="str">
        <f>"00788398"</f>
        <v>00788398</v>
      </c>
    </row>
    <row r="370" spans="1:6" x14ac:dyDescent="0.25">
      <c r="A370" t="s">
        <v>454</v>
      </c>
      <c r="C370" t="s">
        <v>257</v>
      </c>
      <c r="E370" t="str">
        <f>"46518670"</f>
        <v>46518670</v>
      </c>
      <c r="F370" t="str">
        <f>"00848846"</f>
        <v>00848846</v>
      </c>
    </row>
    <row r="371" spans="1:6" x14ac:dyDescent="0.25">
      <c r="A371" t="s">
        <v>455</v>
      </c>
      <c r="C371" t="s">
        <v>257</v>
      </c>
      <c r="E371" t="str">
        <f>"46879758"</f>
        <v>46879758</v>
      </c>
      <c r="F371" t="str">
        <f>"71500315"</f>
        <v>71500315</v>
      </c>
    </row>
    <row r="372" spans="1:6" x14ac:dyDescent="0.25">
      <c r="A372" t="s">
        <v>456</v>
      </c>
      <c r="C372" t="s">
        <v>257</v>
      </c>
      <c r="E372" t="str">
        <f>"45298621"</f>
        <v>45298621</v>
      </c>
      <c r="F372" t="str">
        <f>"00216242"</f>
        <v>00216242</v>
      </c>
    </row>
    <row r="373" spans="1:6" x14ac:dyDescent="0.25">
      <c r="A373" t="s">
        <v>457</v>
      </c>
      <c r="C373" t="s">
        <v>257</v>
      </c>
      <c r="E373" t="str">
        <f>"46515509"</f>
        <v>46515509</v>
      </c>
      <c r="F373" t="str">
        <f>"00330472"</f>
        <v>00330472</v>
      </c>
    </row>
    <row r="374" spans="1:6" x14ac:dyDescent="0.25">
      <c r="A374" t="s">
        <v>458</v>
      </c>
      <c r="F374" t="str">
        <f>"00650945"</f>
        <v>00650945</v>
      </c>
    </row>
    <row r="375" spans="1:6" x14ac:dyDescent="0.25">
      <c r="A375" t="s">
        <v>459</v>
      </c>
      <c r="E375" t="str">
        <f>"36316050"</f>
        <v>36316050</v>
      </c>
      <c r="F375" t="str">
        <f>"1101115"</f>
        <v>1101115</v>
      </c>
    </row>
    <row r="376" spans="1:6" x14ac:dyDescent="0.25">
      <c r="A376" t="s">
        <v>460</v>
      </c>
      <c r="C376" t="s">
        <v>257</v>
      </c>
      <c r="E376" t="str">
        <f>"36307134"</f>
        <v>36307134</v>
      </c>
      <c r="F376" t="str">
        <f>"21100109"</f>
        <v>21100109</v>
      </c>
    </row>
    <row r="377" spans="1:6" x14ac:dyDescent="0.25">
      <c r="A377" t="s">
        <v>461</v>
      </c>
      <c r="E377" t="s">
        <v>462</v>
      </c>
    </row>
    <row r="378" spans="1:6" x14ac:dyDescent="0.25">
      <c r="A378" t="s">
        <v>463</v>
      </c>
      <c r="C378" t="s">
        <v>257</v>
      </c>
      <c r="E378" t="str">
        <f>"36430037"</f>
        <v>36430037</v>
      </c>
      <c r="F378" t="str">
        <f>"00443291"</f>
        <v>00443291</v>
      </c>
    </row>
    <row r="379" spans="1:6" x14ac:dyDescent="0.25">
      <c r="A379" t="s">
        <v>464</v>
      </c>
      <c r="C379" t="s">
        <v>257</v>
      </c>
      <c r="E379" t="str">
        <f>"41455181"</f>
        <v>41455181</v>
      </c>
      <c r="F379" t="str">
        <f>"10903228"</f>
        <v>10903228</v>
      </c>
    </row>
    <row r="380" spans="1:6" x14ac:dyDescent="0.25">
      <c r="A380" t="s">
        <v>465</v>
      </c>
      <c r="C380" t="s">
        <v>257</v>
      </c>
      <c r="E380" t="str">
        <f>"44333397"</f>
        <v>44333397</v>
      </c>
      <c r="F380" t="str">
        <f>"00380881"</f>
        <v>00380881</v>
      </c>
    </row>
    <row r="381" spans="1:6" x14ac:dyDescent="0.25">
      <c r="A381" t="s">
        <v>466</v>
      </c>
      <c r="C381" t="s">
        <v>467</v>
      </c>
      <c r="F381" t="str">
        <f>"00437541"</f>
        <v>00437541</v>
      </c>
    </row>
    <row r="382" spans="1:6" x14ac:dyDescent="0.25">
      <c r="A382" t="s">
        <v>468</v>
      </c>
      <c r="C382" t="s">
        <v>30</v>
      </c>
      <c r="E382" t="str">
        <f>"36395831"</f>
        <v>36395831</v>
      </c>
      <c r="F382" t="str">
        <f>"00347872"</f>
        <v>00347872</v>
      </c>
    </row>
    <row r="383" spans="1:6" x14ac:dyDescent="0.25">
      <c r="A383" t="s">
        <v>469</v>
      </c>
      <c r="C383" t="s">
        <v>470</v>
      </c>
      <c r="E383" t="str">
        <f>"20191914"</f>
        <v>20191914</v>
      </c>
      <c r="F383" t="str">
        <f>"00426247"</f>
        <v>00426247</v>
      </c>
    </row>
    <row r="384" spans="1:6" x14ac:dyDescent="0.25">
      <c r="A384" t="s">
        <v>471</v>
      </c>
      <c r="C384" t="s">
        <v>472</v>
      </c>
      <c r="E384" t="str">
        <f>"22722072"</f>
        <v>22722072</v>
      </c>
      <c r="F384" t="str">
        <f>"00658294"</f>
        <v>00658294</v>
      </c>
    </row>
    <row r="385" spans="1:6" x14ac:dyDescent="0.25">
      <c r="A385" t="s">
        <v>473</v>
      </c>
      <c r="C385" t="s">
        <v>474</v>
      </c>
      <c r="E385" t="str">
        <f>"36305238"</f>
        <v>36305238</v>
      </c>
      <c r="F385" t="str">
        <f>"00803409"</f>
        <v>00803409</v>
      </c>
    </row>
    <row r="386" spans="1:6" x14ac:dyDescent="0.25">
      <c r="A386" t="s">
        <v>475</v>
      </c>
      <c r="C386" t="s">
        <v>476</v>
      </c>
      <c r="E386" t="str">
        <f>"46989600"</f>
        <v>46989600</v>
      </c>
      <c r="F386" t="str">
        <f>"21104903"</f>
        <v>21104903</v>
      </c>
    </row>
    <row r="387" spans="1:6" x14ac:dyDescent="0.25">
      <c r="A387" t="s">
        <v>477</v>
      </c>
      <c r="C387" t="s">
        <v>478</v>
      </c>
      <c r="E387" t="str">
        <f>"22616760"</f>
        <v>22616760</v>
      </c>
      <c r="F387" t="str">
        <f>"21106676"</f>
        <v>21106676</v>
      </c>
    </row>
    <row r="388" spans="1:6" x14ac:dyDescent="0.25">
      <c r="A388" t="s">
        <v>479</v>
      </c>
      <c r="E388" t="str">
        <f>"46456210"</f>
        <v>46456210</v>
      </c>
      <c r="F388" t="str">
        <f>"01177641"</f>
        <v>01177641</v>
      </c>
    </row>
    <row r="389" spans="1:6" x14ac:dyDescent="0.25">
      <c r="A389" t="s">
        <v>480</v>
      </c>
      <c r="C389" t="s">
        <v>9</v>
      </c>
      <c r="E389" t="str">
        <f>"25000078"</f>
        <v>25000078</v>
      </c>
      <c r="F389" t="str">
        <f>"00029942"</f>
        <v>00029942</v>
      </c>
    </row>
    <row r="390" spans="1:6" x14ac:dyDescent="0.25">
      <c r="A390" t="s">
        <v>481</v>
      </c>
      <c r="E390" t="str">
        <f>"36130034"</f>
        <v>36130034</v>
      </c>
      <c r="F390" t="str">
        <f>"01201862"</f>
        <v>01201862</v>
      </c>
    </row>
    <row r="391" spans="1:6" x14ac:dyDescent="0.25">
      <c r="A391" t="s">
        <v>482</v>
      </c>
      <c r="C391" t="s">
        <v>483</v>
      </c>
      <c r="E391" t="s">
        <v>484</v>
      </c>
      <c r="F391" t="str">
        <f>"00250522"</f>
        <v>00250522</v>
      </c>
    </row>
    <row r="392" spans="1:6" x14ac:dyDescent="0.25">
      <c r="A392" t="s">
        <v>485</v>
      </c>
      <c r="C392" t="s">
        <v>486</v>
      </c>
      <c r="E392" t="str">
        <f>"45212235"</f>
        <v>45212235</v>
      </c>
      <c r="F392" t="str">
        <f>"21101032"</f>
        <v>21101032</v>
      </c>
    </row>
    <row r="393" spans="1:6" x14ac:dyDescent="0.25">
      <c r="A393" t="s">
        <v>487</v>
      </c>
      <c r="C393" t="s">
        <v>488</v>
      </c>
      <c r="E393" t="str">
        <f>"36314718"</f>
        <v>36314718</v>
      </c>
      <c r="F393" t="str">
        <f>"00876631"</f>
        <v>00876631</v>
      </c>
    </row>
    <row r="394" spans="1:6" x14ac:dyDescent="0.25">
      <c r="A394" t="s">
        <v>489</v>
      </c>
      <c r="C394" t="s">
        <v>27</v>
      </c>
      <c r="E394" t="str">
        <f>"49111101"</f>
        <v>49111101</v>
      </c>
      <c r="F394" t="str">
        <f>"11105546"</f>
        <v>11105546</v>
      </c>
    </row>
    <row r="395" spans="1:6" x14ac:dyDescent="0.25">
      <c r="A395" t="s">
        <v>490</v>
      </c>
      <c r="C395" t="s">
        <v>30</v>
      </c>
      <c r="E395" t="str">
        <f>"45240748"</f>
        <v>45240748</v>
      </c>
      <c r="F395" t="str">
        <f>"00423756"</f>
        <v>00423756</v>
      </c>
    </row>
    <row r="396" spans="1:6" x14ac:dyDescent="0.25">
      <c r="A396" t="s">
        <v>491</v>
      </c>
      <c r="C396" t="s">
        <v>30</v>
      </c>
      <c r="E396" t="str">
        <f>"45242873"</f>
        <v>45242873</v>
      </c>
      <c r="F396" t="str">
        <f>"11107344"</f>
        <v>11107344</v>
      </c>
    </row>
    <row r="397" spans="1:6" x14ac:dyDescent="0.25">
      <c r="A397" t="s">
        <v>492</v>
      </c>
      <c r="C397" t="s">
        <v>493</v>
      </c>
      <c r="E397" t="str">
        <f>"22435508"</f>
        <v>22435508</v>
      </c>
      <c r="F397" t="str">
        <f>"00888024"</f>
        <v>00888024</v>
      </c>
    </row>
    <row r="398" spans="1:6" x14ac:dyDescent="0.25">
      <c r="A398" t="s">
        <v>494</v>
      </c>
      <c r="C398" t="s">
        <v>495</v>
      </c>
      <c r="E398" t="str">
        <f>"46436950"</f>
        <v>46436950</v>
      </c>
      <c r="F398" t="str">
        <f>"01215056"</f>
        <v>01215056</v>
      </c>
    </row>
    <row r="399" spans="1:6" x14ac:dyDescent="0.25">
      <c r="A399" t="s">
        <v>496</v>
      </c>
      <c r="C399" t="s">
        <v>486</v>
      </c>
      <c r="E399" t="str">
        <f>"36300877"</f>
        <v>36300877</v>
      </c>
      <c r="F399" t="str">
        <f>"00785766"</f>
        <v>00785766</v>
      </c>
    </row>
    <row r="400" spans="1:6" x14ac:dyDescent="0.25">
      <c r="A400" t="s">
        <v>497</v>
      </c>
      <c r="C400" t="s">
        <v>30</v>
      </c>
      <c r="E400" t="str">
        <f>"36630866"</f>
        <v>36630866</v>
      </c>
      <c r="F400" t="str">
        <f>"00830885"</f>
        <v>00830885</v>
      </c>
    </row>
    <row r="401" spans="1:6" x14ac:dyDescent="0.25">
      <c r="A401" t="s">
        <v>498</v>
      </c>
      <c r="C401" t="s">
        <v>30</v>
      </c>
      <c r="E401" t="str">
        <f>"4840505"</f>
        <v>4840505</v>
      </c>
      <c r="F401" t="str">
        <f>"00368746"</f>
        <v>00368746</v>
      </c>
    </row>
    <row r="402" spans="1:6" x14ac:dyDescent="0.25">
      <c r="A402" t="s">
        <v>499</v>
      </c>
      <c r="C402" t="s">
        <v>435</v>
      </c>
      <c r="E402" t="str">
        <f>"43437051"</f>
        <v>43437051</v>
      </c>
      <c r="F402" t="str">
        <f>"00616474"</f>
        <v>00616474</v>
      </c>
    </row>
    <row r="403" spans="1:6" x14ac:dyDescent="0.25">
      <c r="A403" t="s">
        <v>500</v>
      </c>
      <c r="C403" t="s">
        <v>30</v>
      </c>
      <c r="E403" t="str">
        <f>"36302090"</f>
        <v>36302090</v>
      </c>
      <c r="F403" t="str">
        <f>"00844613"</f>
        <v>00844613</v>
      </c>
    </row>
    <row r="404" spans="1:6" x14ac:dyDescent="0.25">
      <c r="A404" t="s">
        <v>501</v>
      </c>
      <c r="C404" t="s">
        <v>502</v>
      </c>
      <c r="E404" t="str">
        <f>"46469201"</f>
        <v>46469201</v>
      </c>
      <c r="F404" t="str">
        <f>"00288506"</f>
        <v>00288506</v>
      </c>
    </row>
    <row r="405" spans="1:6" x14ac:dyDescent="0.25">
      <c r="A405" t="s">
        <v>503</v>
      </c>
      <c r="C405" t="s">
        <v>504</v>
      </c>
      <c r="E405" t="str">
        <f>"46876561"</f>
        <v>46876561</v>
      </c>
      <c r="F405" t="str">
        <f>"00435511"</f>
        <v>00435511</v>
      </c>
    </row>
    <row r="406" spans="1:6" x14ac:dyDescent="0.25">
      <c r="A406" t="s">
        <v>505</v>
      </c>
      <c r="C406" t="s">
        <v>472</v>
      </c>
      <c r="E406" t="str">
        <f>"22484001"</f>
        <v>22484001</v>
      </c>
      <c r="F406" t="str">
        <f>"10710546"</f>
        <v>10710546</v>
      </c>
    </row>
    <row r="407" spans="1:6" x14ac:dyDescent="0.25">
      <c r="A407" t="s">
        <v>506</v>
      </c>
      <c r="C407" t="s">
        <v>486</v>
      </c>
      <c r="E407" t="str">
        <f>"26595960"</f>
        <v>26595960</v>
      </c>
      <c r="F407" t="str">
        <f>"00346312"</f>
        <v>00346312</v>
      </c>
    </row>
    <row r="408" spans="1:6" x14ac:dyDescent="0.25">
      <c r="A408" t="s">
        <v>507</v>
      </c>
      <c r="C408" t="s">
        <v>508</v>
      </c>
      <c r="E408" t="str">
        <f>"26664070"</f>
        <v>26664070</v>
      </c>
      <c r="F408" t="str">
        <f>"00687541"</f>
        <v>00687541</v>
      </c>
    </row>
    <row r="409" spans="1:6" x14ac:dyDescent="0.25">
      <c r="A409" t="s">
        <v>509</v>
      </c>
      <c r="C409" t="s">
        <v>30</v>
      </c>
      <c r="E409" t="str">
        <f>"43333177"</f>
        <v>43333177</v>
      </c>
      <c r="F409" t="str">
        <f>"00238741"</f>
        <v>00238741</v>
      </c>
    </row>
    <row r="410" spans="1:6" x14ac:dyDescent="0.25">
      <c r="A410" t="s">
        <v>510</v>
      </c>
      <c r="C410" t="s">
        <v>27</v>
      </c>
      <c r="E410" t="str">
        <f>"22662345"</f>
        <v>22662345</v>
      </c>
      <c r="F410" t="str">
        <f>"10722699"</f>
        <v>10722699</v>
      </c>
    </row>
    <row r="411" spans="1:6" x14ac:dyDescent="0.25">
      <c r="A411" t="s">
        <v>511</v>
      </c>
      <c r="C411" t="s">
        <v>27</v>
      </c>
      <c r="E411" t="str">
        <f>"34603360"</f>
        <v>34603360</v>
      </c>
      <c r="F411" t="str">
        <f>"00088021"</f>
        <v>00088021</v>
      </c>
    </row>
    <row r="412" spans="1:6" x14ac:dyDescent="0.25">
      <c r="A412" t="s">
        <v>512</v>
      </c>
      <c r="C412" t="s">
        <v>27</v>
      </c>
      <c r="E412" t="str">
        <f>"46410060"</f>
        <v>46410060</v>
      </c>
      <c r="F412" t="str">
        <f>"10706965"</f>
        <v>10706965</v>
      </c>
    </row>
    <row r="413" spans="1:6" x14ac:dyDescent="0.25">
      <c r="A413" t="s">
        <v>513</v>
      </c>
      <c r="C413" t="s">
        <v>486</v>
      </c>
      <c r="E413" t="str">
        <f>"22029295"</f>
        <v>22029295</v>
      </c>
      <c r="F413" t="str">
        <f>"10603103"</f>
        <v>10603103</v>
      </c>
    </row>
    <row r="414" spans="1:6" x14ac:dyDescent="0.25">
      <c r="A414" t="s">
        <v>514</v>
      </c>
      <c r="C414" t="s">
        <v>27</v>
      </c>
      <c r="E414" t="str">
        <f>"43232387"</f>
        <v>43232387</v>
      </c>
      <c r="F414" t="str">
        <f>"00623314"</f>
        <v>00623314</v>
      </c>
    </row>
    <row r="415" spans="1:6" x14ac:dyDescent="0.25">
      <c r="A415" t="s">
        <v>515</v>
      </c>
    </row>
    <row r="416" spans="1:6" x14ac:dyDescent="0.25">
      <c r="A416" t="s">
        <v>516</v>
      </c>
    </row>
    <row r="417" spans="1:6" x14ac:dyDescent="0.25">
      <c r="A417" t="s">
        <v>517</v>
      </c>
    </row>
    <row r="418" spans="1:6" x14ac:dyDescent="0.25">
      <c r="A418" t="s">
        <v>518</v>
      </c>
      <c r="C418" t="s">
        <v>9</v>
      </c>
      <c r="E418" t="str">
        <f>"46746763"</f>
        <v>46746763</v>
      </c>
      <c r="F418" t="str">
        <f>"10711759"</f>
        <v>10711759</v>
      </c>
    </row>
    <row r="419" spans="1:6" x14ac:dyDescent="0.25">
      <c r="A419" t="s">
        <v>519</v>
      </c>
    </row>
    <row r="420" spans="1:6" x14ac:dyDescent="0.25">
      <c r="A420" t="s">
        <v>520</v>
      </c>
    </row>
    <row r="421" spans="1:6" x14ac:dyDescent="0.25">
      <c r="A421" t="s">
        <v>521</v>
      </c>
    </row>
    <row r="422" spans="1:6" x14ac:dyDescent="0.25">
      <c r="A422" t="s">
        <v>522</v>
      </c>
    </row>
    <row r="423" spans="1:6" x14ac:dyDescent="0.25">
      <c r="A423" t="s">
        <v>523</v>
      </c>
    </row>
    <row r="424" spans="1:6" x14ac:dyDescent="0.25">
      <c r="A424" t="s">
        <v>524</v>
      </c>
      <c r="C424" t="s">
        <v>525</v>
      </c>
      <c r="E424" t="str">
        <f>"36305156"</f>
        <v>36305156</v>
      </c>
      <c r="F424" t="str">
        <f>"11108805"</f>
        <v>11108805</v>
      </c>
    </row>
    <row r="425" spans="1:6" x14ac:dyDescent="0.25">
      <c r="A425" t="s">
        <v>526</v>
      </c>
      <c r="C425" t="s">
        <v>472</v>
      </c>
      <c r="E425" t="str">
        <f>"33964565"</f>
        <v>33964565</v>
      </c>
      <c r="F425" t="str">
        <f>"11101461"</f>
        <v>11101461</v>
      </c>
    </row>
    <row r="426" spans="1:6" x14ac:dyDescent="0.25">
      <c r="A426" t="s">
        <v>527</v>
      </c>
    </row>
    <row r="427" spans="1:6" x14ac:dyDescent="0.25">
      <c r="A427" t="s">
        <v>528</v>
      </c>
      <c r="C427" t="s">
        <v>470</v>
      </c>
      <c r="E427" t="str">
        <f>"36626962"</f>
        <v>36626962</v>
      </c>
      <c r="F427" t="str">
        <f>"11101727"</f>
        <v>11101727</v>
      </c>
    </row>
    <row r="428" spans="1:6" x14ac:dyDescent="0.25">
      <c r="A428" t="s">
        <v>529</v>
      </c>
      <c r="C428" t="s">
        <v>530</v>
      </c>
      <c r="E428" t="str">
        <f>"22959563"</f>
        <v>22959563</v>
      </c>
      <c r="F428" t="str">
        <f>"00720037"</f>
        <v>00720037</v>
      </c>
    </row>
    <row r="429" spans="1:6" x14ac:dyDescent="0.25">
      <c r="A429" t="s">
        <v>531</v>
      </c>
      <c r="C429" t="s">
        <v>30</v>
      </c>
      <c r="E429" t="str">
        <f>"37313161"</f>
        <v>37313161</v>
      </c>
      <c r="F429" t="str">
        <f>"00824086"</f>
        <v>00824086</v>
      </c>
    </row>
    <row r="430" spans="1:6" x14ac:dyDescent="0.25">
      <c r="A430" t="s">
        <v>532</v>
      </c>
      <c r="C430" t="s">
        <v>472</v>
      </c>
      <c r="E430" t="s">
        <v>533</v>
      </c>
      <c r="F430" t="str">
        <f>"00833384"</f>
        <v>00833384</v>
      </c>
    </row>
    <row r="431" spans="1:6" x14ac:dyDescent="0.25">
      <c r="A431" t="s">
        <v>534</v>
      </c>
      <c r="C431" t="s">
        <v>30</v>
      </c>
      <c r="E431" t="str">
        <f>"36302180"</f>
        <v>36302180</v>
      </c>
      <c r="F431" t="str">
        <f>"20704143"</f>
        <v>20704143</v>
      </c>
    </row>
    <row r="432" spans="1:6" x14ac:dyDescent="0.25">
      <c r="A432" t="s">
        <v>535</v>
      </c>
      <c r="F432" t="str">
        <f>"00033407"</f>
        <v>00033407</v>
      </c>
    </row>
    <row r="433" spans="1:6" x14ac:dyDescent="0.25">
      <c r="A433" t="s">
        <v>79</v>
      </c>
    </row>
    <row r="434" spans="1:6" x14ac:dyDescent="0.25">
      <c r="A434" t="s">
        <v>536</v>
      </c>
      <c r="C434" t="s">
        <v>231</v>
      </c>
      <c r="E434" t="str">
        <f>"26282709"</f>
        <v>26282709</v>
      </c>
      <c r="F434" t="str">
        <f>"00771287"</f>
        <v>00771287</v>
      </c>
    </row>
    <row r="435" spans="1:6" x14ac:dyDescent="0.25">
      <c r="A435" t="s">
        <v>537</v>
      </c>
      <c r="C435" t="s">
        <v>538</v>
      </c>
      <c r="E435" t="str">
        <f>"46077390"</f>
        <v>46077390</v>
      </c>
      <c r="F435" t="str">
        <f>"00536656"</f>
        <v>00536656</v>
      </c>
    </row>
    <row r="436" spans="1:6" x14ac:dyDescent="0.25">
      <c r="A436" t="s">
        <v>539</v>
      </c>
      <c r="C436" t="s">
        <v>486</v>
      </c>
      <c r="E436" t="str">
        <f>"49994791"</f>
        <v>49994791</v>
      </c>
      <c r="F436" t="str">
        <f>"0036814"</f>
        <v>0036814</v>
      </c>
    </row>
    <row r="437" spans="1:6" x14ac:dyDescent="0.25">
      <c r="A437" t="s">
        <v>540</v>
      </c>
      <c r="C437" t="s">
        <v>27</v>
      </c>
      <c r="E437" t="str">
        <f>"36370092"</f>
        <v>36370092</v>
      </c>
      <c r="F437" t="str">
        <f>"00885848"</f>
        <v>00885848</v>
      </c>
    </row>
    <row r="438" spans="1:6" x14ac:dyDescent="0.25">
      <c r="A438" t="s">
        <v>541</v>
      </c>
      <c r="E438" t="str">
        <f>"37121246"</f>
        <v>37121246</v>
      </c>
      <c r="F438" t="str">
        <f>"00838854"</f>
        <v>00838854</v>
      </c>
    </row>
    <row r="439" spans="1:6" x14ac:dyDescent="0.25">
      <c r="A439" t="s">
        <v>542</v>
      </c>
      <c r="C439" t="s">
        <v>543</v>
      </c>
      <c r="E439" t="str">
        <f>"27450000"</f>
        <v>27450000</v>
      </c>
      <c r="F439" t="str">
        <f>"00771287"</f>
        <v>00771287</v>
      </c>
    </row>
    <row r="440" spans="1:6" x14ac:dyDescent="0.25">
      <c r="A440" t="s">
        <v>544</v>
      </c>
      <c r="C440" t="s">
        <v>27</v>
      </c>
      <c r="F440" t="str">
        <f>"01240167"</f>
        <v>01240167</v>
      </c>
    </row>
    <row r="441" spans="1:6" x14ac:dyDescent="0.25">
      <c r="A441" t="s">
        <v>545</v>
      </c>
      <c r="C441" t="s">
        <v>27</v>
      </c>
      <c r="E441" t="str">
        <f>"47070107"</f>
        <v>47070107</v>
      </c>
      <c r="F441" t="str">
        <f>"00488734"</f>
        <v>00488734</v>
      </c>
    </row>
    <row r="442" spans="1:6" x14ac:dyDescent="0.25">
      <c r="A442" t="s">
        <v>546</v>
      </c>
      <c r="C442" t="s">
        <v>27</v>
      </c>
      <c r="F442" t="str">
        <f>"00723692"</f>
        <v>00723692</v>
      </c>
    </row>
    <row r="443" spans="1:6" x14ac:dyDescent="0.25">
      <c r="A443" t="s">
        <v>547</v>
      </c>
      <c r="C443" t="s">
        <v>30</v>
      </c>
      <c r="E443" t="str">
        <f>"46837648"</f>
        <v>46837648</v>
      </c>
    </row>
    <row r="444" spans="1:6" x14ac:dyDescent="0.25">
      <c r="A444" t="s">
        <v>548</v>
      </c>
      <c r="C444" t="s">
        <v>27</v>
      </c>
      <c r="E444" t="str">
        <f>"43818181"</f>
        <v>43818181</v>
      </c>
      <c r="F444" t="str">
        <f>"10706304"</f>
        <v>10706304</v>
      </c>
    </row>
    <row r="445" spans="1:6" x14ac:dyDescent="0.25">
      <c r="A445" t="s">
        <v>549</v>
      </c>
      <c r="C445" t="s">
        <v>488</v>
      </c>
      <c r="E445" t="str">
        <f>"36385525"</f>
        <v>36385525</v>
      </c>
      <c r="F445" t="str">
        <f>"00864900"</f>
        <v>00864900</v>
      </c>
    </row>
    <row r="446" spans="1:6" x14ac:dyDescent="0.25">
      <c r="A446" t="s">
        <v>550</v>
      </c>
      <c r="C446" t="s">
        <v>551</v>
      </c>
      <c r="E446" t="str">
        <f>"45298318"</f>
        <v>45298318</v>
      </c>
    </row>
    <row r="447" spans="1:6" x14ac:dyDescent="0.25">
      <c r="A447" t="s">
        <v>552</v>
      </c>
      <c r="C447" t="s">
        <v>553</v>
      </c>
      <c r="F447" t="str">
        <f>"00846972"</f>
        <v>00846972</v>
      </c>
    </row>
    <row r="448" spans="1:6" x14ac:dyDescent="0.25">
      <c r="A448" t="s">
        <v>554</v>
      </c>
      <c r="C448" t="s">
        <v>555</v>
      </c>
      <c r="E448" t="str">
        <f>"+330235708090"</f>
        <v>+330235708090</v>
      </c>
    </row>
    <row r="449" spans="1:6" x14ac:dyDescent="0.25">
      <c r="A449" t="s">
        <v>556</v>
      </c>
      <c r="C449" t="s">
        <v>557</v>
      </c>
      <c r="E449" t="str">
        <f>"34340454"</f>
        <v>34340454</v>
      </c>
      <c r="F449" t="str">
        <f>"00688721"</f>
        <v>00688721</v>
      </c>
    </row>
    <row r="450" spans="1:6" x14ac:dyDescent="0.25">
      <c r="A450" t="s">
        <v>558</v>
      </c>
      <c r="F450" t="str">
        <f>"00492745"</f>
        <v>00492745</v>
      </c>
    </row>
    <row r="451" spans="1:6" x14ac:dyDescent="0.25">
      <c r="A451" t="s">
        <v>559</v>
      </c>
    </row>
    <row r="452" spans="1:6" x14ac:dyDescent="0.25">
      <c r="A452" t="s">
        <v>560</v>
      </c>
      <c r="C452" t="s">
        <v>231</v>
      </c>
      <c r="E452" t="str">
        <f>"20508788"</f>
        <v>20508788</v>
      </c>
      <c r="F452" t="str">
        <f>"00502963"</f>
        <v>00502963</v>
      </c>
    </row>
    <row r="453" spans="1:6" x14ac:dyDescent="0.25">
      <c r="A453" t="s">
        <v>561</v>
      </c>
      <c r="C453" t="s">
        <v>562</v>
      </c>
      <c r="E453" t="str">
        <f>"34453240"</f>
        <v>34453240</v>
      </c>
      <c r="F453" t="str">
        <f>"01517283"</f>
        <v>01517283</v>
      </c>
    </row>
    <row r="454" spans="1:6" x14ac:dyDescent="0.25">
      <c r="A454" t="s">
        <v>563</v>
      </c>
      <c r="C454" t="s">
        <v>530</v>
      </c>
      <c r="E454" t="str">
        <f>"30548801"</f>
        <v>30548801</v>
      </c>
      <c r="F454" t="str">
        <f>"01484195"</f>
        <v>01484195</v>
      </c>
    </row>
    <row r="455" spans="1:6" x14ac:dyDescent="0.25">
      <c r="A455" t="s">
        <v>564</v>
      </c>
      <c r="C455" t="s">
        <v>488</v>
      </c>
      <c r="E455" t="str">
        <f>"32741039"</f>
        <v>32741039</v>
      </c>
      <c r="F455" t="str">
        <f>"00531525"</f>
        <v>00531525</v>
      </c>
    </row>
    <row r="456" spans="1:6" x14ac:dyDescent="0.25">
      <c r="A456" t="s">
        <v>565</v>
      </c>
      <c r="C456" t="s">
        <v>27</v>
      </c>
      <c r="E456" t="str">
        <f>"46411076"</f>
        <v>46411076</v>
      </c>
      <c r="F456" t="str">
        <f>"00405464"</f>
        <v>00405464</v>
      </c>
    </row>
    <row r="457" spans="1:6" x14ac:dyDescent="0.25">
      <c r="A457" t="s">
        <v>566</v>
      </c>
      <c r="C457" t="s">
        <v>567</v>
      </c>
      <c r="E457" t="str">
        <f>"47771869"</f>
        <v>47771869</v>
      </c>
      <c r="F457" t="str">
        <f>"00801522"</f>
        <v>00801522</v>
      </c>
    </row>
    <row r="458" spans="1:6" x14ac:dyDescent="0.25">
      <c r="A458" t="s">
        <v>568</v>
      </c>
      <c r="C458" t="s">
        <v>277</v>
      </c>
      <c r="E458" t="str">
        <f>"46917503"</f>
        <v>46917503</v>
      </c>
      <c r="F458" t="str">
        <f>"01398981"</f>
        <v>01398981</v>
      </c>
    </row>
    <row r="459" spans="1:6" x14ac:dyDescent="0.25">
      <c r="A459" t="s">
        <v>569</v>
      </c>
      <c r="C459" t="s">
        <v>530</v>
      </c>
      <c r="E459" t="str">
        <f>"46416951"</f>
        <v>46416951</v>
      </c>
      <c r="F459" t="str">
        <f>"10719265"</f>
        <v>10719265</v>
      </c>
    </row>
    <row r="460" spans="1:6" x14ac:dyDescent="0.25">
      <c r="A460" t="s">
        <v>570</v>
      </c>
      <c r="C460" t="s">
        <v>27</v>
      </c>
      <c r="E460" t="str">
        <f>"26961248"</f>
        <v>26961248</v>
      </c>
      <c r="F460" t="str">
        <f>"00585414"</f>
        <v>00585414</v>
      </c>
    </row>
    <row r="461" spans="1:6" x14ac:dyDescent="0.25">
      <c r="A461" t="s">
        <v>571</v>
      </c>
      <c r="C461" t="s">
        <v>27</v>
      </c>
      <c r="E461" t="str">
        <f>"42990009"</f>
        <v>42990009</v>
      </c>
      <c r="F461" t="str">
        <f>"21107104"</f>
        <v>21107104</v>
      </c>
    </row>
    <row r="462" spans="1:6" x14ac:dyDescent="0.25">
      <c r="A462" t="s">
        <v>572</v>
      </c>
      <c r="C462" t="s">
        <v>530</v>
      </c>
      <c r="E462" t="str">
        <f>"46585975"</f>
        <v>46585975</v>
      </c>
      <c r="F462" t="str">
        <f>"00596718"</f>
        <v>00596718</v>
      </c>
    </row>
    <row r="463" spans="1:6" x14ac:dyDescent="0.25">
      <c r="A463" t="s">
        <v>573</v>
      </c>
      <c r="C463" t="s">
        <v>574</v>
      </c>
      <c r="E463" t="str">
        <f>"36361546"</f>
        <v>36361546</v>
      </c>
      <c r="F463" t="str">
        <f>"00412114"</f>
        <v>00412114</v>
      </c>
    </row>
    <row r="464" spans="1:6" x14ac:dyDescent="0.25">
      <c r="A464" t="s">
        <v>575</v>
      </c>
      <c r="F464" t="str">
        <f>"00734004"</f>
        <v>00734004</v>
      </c>
    </row>
    <row r="465" spans="1:6" x14ac:dyDescent="0.25">
      <c r="A465" t="s">
        <v>576</v>
      </c>
      <c r="C465" t="s">
        <v>577</v>
      </c>
      <c r="E465" t="str">
        <f>"41878944"</f>
        <v>41878944</v>
      </c>
      <c r="F465" t="str">
        <f>"01200666"</f>
        <v>01200666</v>
      </c>
    </row>
    <row r="466" spans="1:6" x14ac:dyDescent="0.25">
      <c r="A466" t="s">
        <v>578</v>
      </c>
      <c r="C466" t="s">
        <v>486</v>
      </c>
      <c r="E466" t="str">
        <f>"36621180"</f>
        <v>36621180</v>
      </c>
      <c r="F466" t="str">
        <f>"00319608"</f>
        <v>00319608</v>
      </c>
    </row>
    <row r="467" spans="1:6" x14ac:dyDescent="0.25">
      <c r="A467" t="s">
        <v>579</v>
      </c>
      <c r="C467" t="s">
        <v>580</v>
      </c>
      <c r="E467">
        <v>22503029</v>
      </c>
      <c r="F467" t="str">
        <f>"00488221"</f>
        <v>00488221</v>
      </c>
    </row>
    <row r="468" spans="1:6" x14ac:dyDescent="0.25">
      <c r="A468" t="s">
        <v>581</v>
      </c>
      <c r="C468" t="s">
        <v>231</v>
      </c>
      <c r="E468" t="str">
        <f>"20600094"</f>
        <v>20600094</v>
      </c>
      <c r="F468" t="str">
        <f>"00756783"</f>
        <v>00756783</v>
      </c>
    </row>
    <row r="469" spans="1:6" x14ac:dyDescent="0.25">
      <c r="A469" t="s">
        <v>582</v>
      </c>
      <c r="C469" t="s">
        <v>27</v>
      </c>
      <c r="E469" t="str">
        <f>"41133505"</f>
        <v>41133505</v>
      </c>
      <c r="F469" t="str">
        <f>"00830208"</f>
        <v>00830208</v>
      </c>
    </row>
    <row r="470" spans="1:6" x14ac:dyDescent="0.25">
      <c r="A470" t="s">
        <v>583</v>
      </c>
      <c r="C470" t="s">
        <v>277</v>
      </c>
      <c r="E470" t="str">
        <f>"22367869"</f>
        <v>22367869</v>
      </c>
      <c r="F470" t="str">
        <f>"00219683"</f>
        <v>00219683</v>
      </c>
    </row>
    <row r="471" spans="1:6" x14ac:dyDescent="0.25">
      <c r="A471" t="s">
        <v>584</v>
      </c>
      <c r="C471" t="s">
        <v>419</v>
      </c>
      <c r="E471" t="str">
        <f>"26994720"</f>
        <v>26994720</v>
      </c>
      <c r="F471" t="str">
        <f>"00653493"</f>
        <v>00653493</v>
      </c>
    </row>
    <row r="472" spans="1:6" x14ac:dyDescent="0.25">
      <c r="A472" t="s">
        <v>585</v>
      </c>
      <c r="C472" t="s">
        <v>586</v>
      </c>
      <c r="E472" t="str">
        <f>"33333059"</f>
        <v>33333059</v>
      </c>
      <c r="F472" t="str">
        <f>"65664"</f>
        <v>65664</v>
      </c>
    </row>
    <row r="473" spans="1:6" x14ac:dyDescent="0.25">
      <c r="A473" t="s">
        <v>587</v>
      </c>
      <c r="C473" t="s">
        <v>588</v>
      </c>
      <c r="E473" t="str">
        <f>"31585811"</f>
        <v>31585811</v>
      </c>
      <c r="F473" t="str">
        <f>"01188663"</f>
        <v>01188663</v>
      </c>
    </row>
    <row r="474" spans="1:6" x14ac:dyDescent="0.25">
      <c r="A474" t="s">
        <v>589</v>
      </c>
      <c r="C474" t="s">
        <v>340</v>
      </c>
      <c r="E474" t="str">
        <f>"22316050"</f>
        <v>22316050</v>
      </c>
      <c r="F474" t="str">
        <f>"11101115"</f>
        <v>11101115</v>
      </c>
    </row>
    <row r="475" spans="1:6" x14ac:dyDescent="0.25">
      <c r="A475" t="s">
        <v>590</v>
      </c>
      <c r="C475" t="s">
        <v>591</v>
      </c>
      <c r="E475" t="str">
        <f>"313118585"</f>
        <v>313118585</v>
      </c>
      <c r="F475" t="str">
        <f>"00606731"</f>
        <v>00606731</v>
      </c>
    </row>
    <row r="476" spans="1:6" x14ac:dyDescent="0.25">
      <c r="A476" t="s">
        <v>592</v>
      </c>
      <c r="C476" t="s">
        <v>467</v>
      </c>
      <c r="E476" t="str">
        <f>"20251956"</f>
        <v>20251956</v>
      </c>
      <c r="F476" t="str">
        <f>"01255520"</f>
        <v>01255520</v>
      </c>
    </row>
    <row r="477" spans="1:6" x14ac:dyDescent="0.25">
      <c r="A477" t="s">
        <v>593</v>
      </c>
      <c r="C477" t="s">
        <v>594</v>
      </c>
      <c r="E477" t="str">
        <f>"36311772"</f>
        <v>36311772</v>
      </c>
      <c r="F477" t="str">
        <f>"11102352"</f>
        <v>11102352</v>
      </c>
    </row>
    <row r="478" spans="1:6" x14ac:dyDescent="0.25">
      <c r="A478" t="s">
        <v>595</v>
      </c>
      <c r="C478" t="s">
        <v>27</v>
      </c>
      <c r="E478" t="str">
        <f>"46481046"</f>
        <v>46481046</v>
      </c>
      <c r="F478" t="str">
        <f>"01214923"</f>
        <v>01214923</v>
      </c>
    </row>
    <row r="479" spans="1:6" x14ac:dyDescent="0.25">
      <c r="A479" t="s">
        <v>596</v>
      </c>
      <c r="C479" t="s">
        <v>597</v>
      </c>
      <c r="E479" t="str">
        <f>"47035448"</f>
        <v>47035448</v>
      </c>
      <c r="F479" t="str">
        <f>"01262930"</f>
        <v>01262930</v>
      </c>
    </row>
    <row r="480" spans="1:6" x14ac:dyDescent="0.25">
      <c r="A480" t="s">
        <v>598</v>
      </c>
      <c r="C480" t="s">
        <v>27</v>
      </c>
      <c r="E480" t="str">
        <f>"48484884"</f>
        <v>48484884</v>
      </c>
      <c r="F480" t="str">
        <f>"00674192"</f>
        <v>00674192</v>
      </c>
    </row>
    <row r="481" spans="1:6" x14ac:dyDescent="0.25">
      <c r="A481" t="s">
        <v>599</v>
      </c>
      <c r="C481" t="s">
        <v>467</v>
      </c>
      <c r="E481" t="str">
        <f>"49969600"</f>
        <v>49969600</v>
      </c>
      <c r="F481" t="str">
        <f>"00779348"</f>
        <v>00779348</v>
      </c>
    </row>
    <row r="482" spans="1:6" x14ac:dyDescent="0.25">
      <c r="A482" t="s">
        <v>600</v>
      </c>
      <c r="C482" t="s">
        <v>601</v>
      </c>
      <c r="E482" t="str">
        <f>"20471987"</f>
        <v>20471987</v>
      </c>
      <c r="F482" t="str">
        <f>"10702626"</f>
        <v>10702626</v>
      </c>
    </row>
    <row r="483" spans="1:6" x14ac:dyDescent="0.25">
      <c r="A483" t="s">
        <v>548</v>
      </c>
      <c r="C483" t="s">
        <v>275</v>
      </c>
      <c r="F483" t="str">
        <f>"10706304"</f>
        <v>10706304</v>
      </c>
    </row>
    <row r="484" spans="1:6" x14ac:dyDescent="0.25">
      <c r="A484" t="s">
        <v>602</v>
      </c>
      <c r="C484" t="s">
        <v>603</v>
      </c>
      <c r="E484" t="s">
        <v>604</v>
      </c>
      <c r="F484" t="str">
        <f>"00780171"</f>
        <v>00780171</v>
      </c>
    </row>
    <row r="485" spans="1:6" x14ac:dyDescent="0.25">
      <c r="A485" t="s">
        <v>605</v>
      </c>
      <c r="E485" t="s">
        <v>606</v>
      </c>
      <c r="F485" t="str">
        <f>"30600547"</f>
        <v>30600547</v>
      </c>
    </row>
    <row r="486" spans="1:6" x14ac:dyDescent="0.25">
      <c r="A486" t="s">
        <v>607</v>
      </c>
      <c r="C486" t="s">
        <v>275</v>
      </c>
      <c r="E486" t="str">
        <f>"32717241"</f>
        <v>32717241</v>
      </c>
      <c r="F486" t="str">
        <f>"00830257"</f>
        <v>00830257</v>
      </c>
    </row>
    <row r="487" spans="1:6" x14ac:dyDescent="0.25">
      <c r="A487" t="s">
        <v>608</v>
      </c>
      <c r="C487" t="s">
        <v>467</v>
      </c>
      <c r="E487" t="str">
        <f>"36634239"</f>
        <v>36634239</v>
      </c>
      <c r="F487" t="str">
        <f>"00385013"</f>
        <v>00385013</v>
      </c>
    </row>
    <row r="488" spans="1:6" x14ac:dyDescent="0.25">
      <c r="A488" t="s">
        <v>609</v>
      </c>
      <c r="C488" t="s">
        <v>472</v>
      </c>
      <c r="E488" t="str">
        <f>"26470747"</f>
        <v>26470747</v>
      </c>
      <c r="F488" t="str">
        <f>"00417766"</f>
        <v>00417766</v>
      </c>
    </row>
    <row r="489" spans="1:6" x14ac:dyDescent="0.25">
      <c r="A489" t="s">
        <v>610</v>
      </c>
      <c r="C489" t="s">
        <v>27</v>
      </c>
      <c r="E489" t="str">
        <f>"36822879"</f>
        <v>36822879</v>
      </c>
      <c r="F489" t="str">
        <f>"00127571"</f>
        <v>00127571</v>
      </c>
    </row>
    <row r="490" spans="1:6" x14ac:dyDescent="0.25">
      <c r="A490" t="s">
        <v>611</v>
      </c>
      <c r="C490" t="s">
        <v>32</v>
      </c>
      <c r="E490" t="str">
        <f>"36325857"</f>
        <v>36325857</v>
      </c>
      <c r="F490" t="str">
        <f>"00248898"</f>
        <v>00248898</v>
      </c>
    </row>
    <row r="491" spans="1:6" x14ac:dyDescent="0.25">
      <c r="A491" t="s">
        <v>612</v>
      </c>
      <c r="C491" t="s">
        <v>613</v>
      </c>
      <c r="E491" t="str">
        <f>"36343241"</f>
        <v>36343241</v>
      </c>
      <c r="F491" t="str">
        <f>"10600174"</f>
        <v>10600174</v>
      </c>
    </row>
    <row r="492" spans="1:6" x14ac:dyDescent="0.25">
      <c r="A492" t="s">
        <v>614</v>
      </c>
      <c r="C492" t="s">
        <v>615</v>
      </c>
      <c r="E492" t="str">
        <f>"46593520"</f>
        <v>46593520</v>
      </c>
      <c r="F492" t="str">
        <f>"00339002"</f>
        <v>00339002</v>
      </c>
    </row>
    <row r="493" spans="1:6" x14ac:dyDescent="0.25">
      <c r="A493" t="s">
        <v>616</v>
      </c>
      <c r="C493" t="s">
        <v>472</v>
      </c>
      <c r="E493" t="str">
        <f>"22940348"</f>
        <v>22940348</v>
      </c>
      <c r="F493" t="str">
        <f>"10709613"</f>
        <v>10709613</v>
      </c>
    </row>
    <row r="494" spans="1:6" x14ac:dyDescent="0.25">
      <c r="A494" t="s">
        <v>617</v>
      </c>
      <c r="C494" t="s">
        <v>618</v>
      </c>
      <c r="E494" t="s">
        <v>619</v>
      </c>
      <c r="F494" t="str">
        <f>"10711759"</f>
        <v>10711759</v>
      </c>
    </row>
    <row r="495" spans="1:6" x14ac:dyDescent="0.25">
      <c r="A495" t="s">
        <v>620</v>
      </c>
      <c r="C495" t="s">
        <v>621</v>
      </c>
      <c r="F495" t="str">
        <f>"1092170"</f>
        <v>1092170</v>
      </c>
    </row>
    <row r="496" spans="1:6" x14ac:dyDescent="0.25">
      <c r="A496" t="s">
        <v>622</v>
      </c>
      <c r="C496" t="s">
        <v>623</v>
      </c>
      <c r="E496" t="str">
        <f>"46638151"</f>
        <v>46638151</v>
      </c>
    </row>
    <row r="497" spans="1:6" x14ac:dyDescent="0.25">
      <c r="A497" t="s">
        <v>624</v>
      </c>
      <c r="C497" t="s">
        <v>486</v>
      </c>
      <c r="E497" t="str">
        <f>"49650205"</f>
        <v>49650205</v>
      </c>
      <c r="F497" t="str">
        <f>"00859595"</f>
        <v>00859595</v>
      </c>
    </row>
    <row r="498" spans="1:6" x14ac:dyDescent="0.25">
      <c r="A498" t="s">
        <v>625</v>
      </c>
      <c r="C498" t="s">
        <v>27</v>
      </c>
      <c r="E498" t="str">
        <f>"36961265"</f>
        <v>36961265</v>
      </c>
      <c r="F498" t="str">
        <f>"00765867"</f>
        <v>00765867</v>
      </c>
    </row>
    <row r="499" spans="1:6" x14ac:dyDescent="0.25">
      <c r="A499" t="s">
        <v>626</v>
      </c>
      <c r="C499" t="s">
        <v>627</v>
      </c>
      <c r="E499" t="str">
        <f>"47294111"</f>
        <v>47294111</v>
      </c>
      <c r="F499" t="str">
        <f>"00821934"</f>
        <v>00821934</v>
      </c>
    </row>
    <row r="500" spans="1:6" x14ac:dyDescent="0.25">
      <c r="A500" t="s">
        <v>628</v>
      </c>
      <c r="C500" t="s">
        <v>27</v>
      </c>
      <c r="E500" t="str">
        <f>"45293838"</f>
        <v>45293838</v>
      </c>
      <c r="F500" t="str">
        <f>"20704598"</f>
        <v>20704598</v>
      </c>
    </row>
    <row r="501" spans="1:6" x14ac:dyDescent="0.25">
      <c r="A501" t="s">
        <v>629</v>
      </c>
      <c r="C501" t="s">
        <v>27</v>
      </c>
      <c r="E501" t="str">
        <f>"36623566"</f>
        <v>36623566</v>
      </c>
      <c r="F501" t="str">
        <f>"00062158"</f>
        <v>00062158</v>
      </c>
    </row>
    <row r="502" spans="1:6" x14ac:dyDescent="0.25">
      <c r="A502" t="s">
        <v>630</v>
      </c>
      <c r="C502" t="s">
        <v>631</v>
      </c>
      <c r="E502" t="str">
        <f>"45296218"</f>
        <v>45296218</v>
      </c>
      <c r="F502" t="str">
        <f>"00618702"</f>
        <v>00618702</v>
      </c>
    </row>
    <row r="503" spans="1:6" x14ac:dyDescent="0.25">
      <c r="A503" t="s">
        <v>632</v>
      </c>
      <c r="C503" t="s">
        <v>633</v>
      </c>
      <c r="E503" t="str">
        <f>"46585809"</f>
        <v>46585809</v>
      </c>
      <c r="F503" t="str">
        <f>"00251488"</f>
        <v>00251488</v>
      </c>
    </row>
    <row r="504" spans="1:6" x14ac:dyDescent="0.25">
      <c r="A504" t="s">
        <v>634</v>
      </c>
      <c r="C504" t="s">
        <v>9</v>
      </c>
      <c r="E504" t="str">
        <f>"49370000"</f>
        <v>49370000</v>
      </c>
      <c r="F504" t="str">
        <f>"00813857"</f>
        <v>00813857</v>
      </c>
    </row>
    <row r="505" spans="1:6" x14ac:dyDescent="0.25">
      <c r="A505" t="s">
        <v>635</v>
      </c>
      <c r="C505" t="s">
        <v>32</v>
      </c>
      <c r="E505" t="str">
        <f>"47137743"</f>
        <v>47137743</v>
      </c>
      <c r="F505" t="str">
        <f>"01188663"</f>
        <v>01188663</v>
      </c>
    </row>
    <row r="506" spans="1:6" x14ac:dyDescent="0.25">
      <c r="A506" t="s">
        <v>636</v>
      </c>
      <c r="C506" t="s">
        <v>7</v>
      </c>
      <c r="E506" t="str">
        <f>"46666666"</f>
        <v>46666666</v>
      </c>
      <c r="F506" t="str">
        <f>"01210152"</f>
        <v>01210152</v>
      </c>
    </row>
    <row r="507" spans="1:6" x14ac:dyDescent="0.25">
      <c r="A507" t="s">
        <v>637</v>
      </c>
      <c r="C507" t="s">
        <v>27</v>
      </c>
      <c r="E507" t="str">
        <f>"47636180"</f>
        <v>47636180</v>
      </c>
      <c r="F507" t="str">
        <f>"00453589"</f>
        <v>00453589</v>
      </c>
    </row>
    <row r="508" spans="1:6" x14ac:dyDescent="0.25">
      <c r="A508" t="s">
        <v>638</v>
      </c>
      <c r="C508" t="s">
        <v>27</v>
      </c>
      <c r="E508" t="str">
        <f>"22652682"</f>
        <v>22652682</v>
      </c>
      <c r="F508" t="str">
        <f>"21106569"</f>
        <v>21106569</v>
      </c>
    </row>
    <row r="509" spans="1:6" x14ac:dyDescent="0.25">
      <c r="A509" t="s">
        <v>639</v>
      </c>
      <c r="C509" t="s">
        <v>231</v>
      </c>
      <c r="E509" t="str">
        <f>"46382736"</f>
        <v>46382736</v>
      </c>
      <c r="F509" t="str">
        <f>"00685156"</f>
        <v>00685156</v>
      </c>
    </row>
    <row r="510" spans="1:6" x14ac:dyDescent="0.25">
      <c r="A510" t="s">
        <v>640</v>
      </c>
      <c r="C510" t="s">
        <v>641</v>
      </c>
      <c r="E510" t="str">
        <f>"22616580"</f>
        <v>22616580</v>
      </c>
      <c r="F510" t="str">
        <f>"10701107"</f>
        <v>10701107</v>
      </c>
    </row>
    <row r="511" spans="1:6" x14ac:dyDescent="0.25">
      <c r="A511" t="s">
        <v>642</v>
      </c>
      <c r="C511" t="s">
        <v>493</v>
      </c>
      <c r="E511" t="str">
        <f>"42041571"</f>
        <v>42041571</v>
      </c>
      <c r="F511" t="str">
        <f>"01290329"</f>
        <v>01290329</v>
      </c>
    </row>
    <row r="512" spans="1:6" x14ac:dyDescent="0.25">
      <c r="A512" t="s">
        <v>643</v>
      </c>
      <c r="C512" t="s">
        <v>530</v>
      </c>
      <c r="E512" t="str">
        <f>"36304931"</f>
        <v>36304931</v>
      </c>
      <c r="F512" t="str">
        <f>"00868695"</f>
        <v>00868695</v>
      </c>
    </row>
    <row r="513" spans="1:6" x14ac:dyDescent="0.25">
      <c r="A513" t="s">
        <v>644</v>
      </c>
      <c r="C513" t="s">
        <v>645</v>
      </c>
      <c r="E513" t="str">
        <f>"22683690"</f>
        <v>22683690</v>
      </c>
      <c r="F513" t="str">
        <f>"00918466"</f>
        <v>00918466</v>
      </c>
    </row>
    <row r="514" spans="1:6" x14ac:dyDescent="0.25">
      <c r="A514" t="s">
        <v>646</v>
      </c>
      <c r="C514" t="s">
        <v>647</v>
      </c>
      <c r="E514" t="str">
        <f>"22298051"</f>
        <v>22298051</v>
      </c>
      <c r="F514" t="str">
        <f>"00352690"</f>
        <v>00352690</v>
      </c>
    </row>
    <row r="515" spans="1:6" x14ac:dyDescent="0.25">
      <c r="A515" t="s">
        <v>648</v>
      </c>
      <c r="C515" t="s">
        <v>649</v>
      </c>
      <c r="E515" t="str">
        <f>"36307275"</f>
        <v>36307275</v>
      </c>
      <c r="F515" t="str">
        <f>"00361782"</f>
        <v>00361782</v>
      </c>
    </row>
    <row r="516" spans="1:6" x14ac:dyDescent="0.25">
      <c r="A516" t="s">
        <v>650</v>
      </c>
      <c r="C516" t="s">
        <v>651</v>
      </c>
      <c r="E516" t="str">
        <f>"42151565"</f>
        <v>42151565</v>
      </c>
      <c r="F516" t="str">
        <f>"00751461"</f>
        <v>00751461</v>
      </c>
    </row>
    <row r="517" spans="1:6" x14ac:dyDescent="0.25">
      <c r="A517" t="s">
        <v>652</v>
      </c>
      <c r="C517" t="s">
        <v>653</v>
      </c>
      <c r="F517" t="str">
        <f>"01244052"</f>
        <v>01244052</v>
      </c>
    </row>
    <row r="518" spans="1:6" x14ac:dyDescent="0.25">
      <c r="A518" t="s">
        <v>654</v>
      </c>
      <c r="C518" t="s">
        <v>30</v>
      </c>
      <c r="E518" t="str">
        <f>"49555513"</f>
        <v>49555513</v>
      </c>
      <c r="F518" t="str">
        <f>"00149963"</f>
        <v>00149963</v>
      </c>
    </row>
    <row r="519" spans="1:6" x14ac:dyDescent="0.25">
      <c r="A519" t="s">
        <v>655</v>
      </c>
      <c r="C519" t="s">
        <v>597</v>
      </c>
      <c r="E519" t="str">
        <f>"36314254"</f>
        <v>36314254</v>
      </c>
    </row>
    <row r="520" spans="1:6" x14ac:dyDescent="0.25">
      <c r="A520" t="s">
        <v>656</v>
      </c>
      <c r="C520" t="s">
        <v>30</v>
      </c>
      <c r="E520" t="str">
        <f>"44292626"</f>
        <v>44292626</v>
      </c>
      <c r="F520" t="str">
        <f>"00884627"</f>
        <v>00884627</v>
      </c>
    </row>
    <row r="521" spans="1:6" x14ac:dyDescent="0.25">
      <c r="A521" t="s">
        <v>657</v>
      </c>
      <c r="C521" t="s">
        <v>658</v>
      </c>
      <c r="E521" t="str">
        <f>"46553200"</f>
        <v>46553200</v>
      </c>
      <c r="F521" t="str">
        <f>"00841189"</f>
        <v>00841189</v>
      </c>
    </row>
    <row r="522" spans="1:6" x14ac:dyDescent="0.25">
      <c r="A522" t="s">
        <v>659</v>
      </c>
      <c r="C522" t="s">
        <v>30</v>
      </c>
      <c r="F522" t="str">
        <f>"10712088"</f>
        <v>10712088</v>
      </c>
    </row>
    <row r="523" spans="1:6" x14ac:dyDescent="0.25">
      <c r="A523" t="s">
        <v>52</v>
      </c>
      <c r="C523" t="s">
        <v>30</v>
      </c>
    </row>
    <row r="524" spans="1:6" x14ac:dyDescent="0.25">
      <c r="A524" t="s">
        <v>660</v>
      </c>
      <c r="C524" t="s">
        <v>661</v>
      </c>
    </row>
    <row r="525" spans="1:6" x14ac:dyDescent="0.25">
      <c r="A525" t="s">
        <v>662</v>
      </c>
      <c r="C525" t="s">
        <v>30</v>
      </c>
      <c r="F525" t="str">
        <f>"00136424"</f>
        <v>00136424</v>
      </c>
    </row>
    <row r="526" spans="1:6" x14ac:dyDescent="0.25">
      <c r="A526" t="s">
        <v>663</v>
      </c>
      <c r="C526" t="s">
        <v>27</v>
      </c>
      <c r="E526" t="str">
        <f>"46491203"</f>
        <v>46491203</v>
      </c>
      <c r="F526" t="str">
        <f>"20704218"</f>
        <v>20704218</v>
      </c>
    </row>
    <row r="527" spans="1:6" x14ac:dyDescent="0.25">
      <c r="A527" t="s">
        <v>664</v>
      </c>
      <c r="C527" t="s">
        <v>665</v>
      </c>
      <c r="E527" t="str">
        <f>"46560061"</f>
        <v>46560061</v>
      </c>
      <c r="F527" t="str">
        <f>"00617951"</f>
        <v>00617951</v>
      </c>
    </row>
    <row r="528" spans="1:6" x14ac:dyDescent="0.25">
      <c r="A528" t="s">
        <v>666</v>
      </c>
      <c r="C528" t="s">
        <v>530</v>
      </c>
      <c r="E528" t="str">
        <f>"32302619"</f>
        <v>32302619</v>
      </c>
      <c r="F528" t="str">
        <f>"01246446"</f>
        <v>01246446</v>
      </c>
    </row>
    <row r="529" spans="1:6" x14ac:dyDescent="0.25">
      <c r="A529" t="s">
        <v>667</v>
      </c>
      <c r="C529" t="s">
        <v>27</v>
      </c>
      <c r="E529" t="str">
        <f>"30700109"</f>
        <v>30700109</v>
      </c>
      <c r="F529" t="str">
        <f>"30700109"</f>
        <v>30700109</v>
      </c>
    </row>
    <row r="530" spans="1:6" x14ac:dyDescent="0.25">
      <c r="A530" t="s">
        <v>668</v>
      </c>
      <c r="C530" t="s">
        <v>27</v>
      </c>
      <c r="E530" t="str">
        <f>"43685443"</f>
        <v>43685443</v>
      </c>
      <c r="F530" t="str">
        <f>"01253046"</f>
        <v>01253046</v>
      </c>
    </row>
    <row r="531" spans="1:6" x14ac:dyDescent="0.25">
      <c r="A531" t="s">
        <v>669</v>
      </c>
      <c r="C531" t="s">
        <v>670</v>
      </c>
      <c r="E531" t="str">
        <f>"36251388"</f>
        <v>36251388</v>
      </c>
      <c r="F531" t="str">
        <f>"10724182"</f>
        <v>10724182</v>
      </c>
    </row>
    <row r="532" spans="1:6" x14ac:dyDescent="0.25">
      <c r="A532" t="s">
        <v>671</v>
      </c>
      <c r="C532" t="s">
        <v>231</v>
      </c>
      <c r="E532" t="str">
        <f>"444009342"</f>
        <v>444009342</v>
      </c>
      <c r="F532" t="str">
        <f>"00704536"</f>
        <v>00704536</v>
      </c>
    </row>
    <row r="533" spans="1:6" x14ac:dyDescent="0.25">
      <c r="A533" t="s">
        <v>672</v>
      </c>
      <c r="C533" t="s">
        <v>27</v>
      </c>
      <c r="E533" t="str">
        <f>"45251070"</f>
        <v>45251070</v>
      </c>
      <c r="F533" t="str">
        <f>"20703673"</f>
        <v>20703673</v>
      </c>
    </row>
    <row r="534" spans="1:6" x14ac:dyDescent="0.25">
      <c r="A534" t="s">
        <v>673</v>
      </c>
      <c r="C534" t="s">
        <v>30</v>
      </c>
      <c r="E534" t="str">
        <f>"38230102"</f>
        <v>38230102</v>
      </c>
      <c r="F534" t="str">
        <f>"00861765"</f>
        <v>00861765</v>
      </c>
    </row>
    <row r="535" spans="1:6" x14ac:dyDescent="0.25">
      <c r="A535" t="s">
        <v>674</v>
      </c>
      <c r="C535" t="s">
        <v>27</v>
      </c>
      <c r="E535" t="str">
        <f>"45253005"</f>
        <v>45253005</v>
      </c>
      <c r="F535" t="str">
        <f>"21104580"</f>
        <v>21104580</v>
      </c>
    </row>
    <row r="536" spans="1:6" x14ac:dyDescent="0.25">
      <c r="A536" t="s">
        <v>675</v>
      </c>
      <c r="C536" t="s">
        <v>658</v>
      </c>
      <c r="E536" t="str">
        <f>"36800808"</f>
        <v>36800808</v>
      </c>
      <c r="F536" t="str">
        <f>"00545467"</f>
        <v>00545467</v>
      </c>
    </row>
    <row r="537" spans="1:6" x14ac:dyDescent="0.25">
      <c r="A537" t="s">
        <v>676</v>
      </c>
      <c r="C537" t="s">
        <v>677</v>
      </c>
      <c r="E537" t="str">
        <f>"36767987"</f>
        <v>36767987</v>
      </c>
      <c r="F537" t="str">
        <f>"11103889"</f>
        <v>11103889</v>
      </c>
    </row>
    <row r="538" spans="1:6" x14ac:dyDescent="0.25">
      <c r="A538" t="s">
        <v>678</v>
      </c>
      <c r="C538" t="s">
        <v>658</v>
      </c>
      <c r="E538" t="str">
        <f>"49994790"</f>
        <v>49994790</v>
      </c>
      <c r="F538" t="str">
        <f>"00630236"</f>
        <v>00630236</v>
      </c>
    </row>
    <row r="539" spans="1:6" x14ac:dyDescent="0.25">
      <c r="A539" t="s">
        <v>679</v>
      </c>
      <c r="C539" t="s">
        <v>658</v>
      </c>
      <c r="E539" t="str">
        <f>"22025949"</f>
        <v>22025949</v>
      </c>
      <c r="F539" t="str">
        <f>"11101990"</f>
        <v>11101990</v>
      </c>
    </row>
    <row r="540" spans="1:6" x14ac:dyDescent="0.25">
      <c r="A540" t="s">
        <v>680</v>
      </c>
      <c r="C540" t="s">
        <v>435</v>
      </c>
      <c r="E540" t="str">
        <f>"20205757"</f>
        <v>20205757</v>
      </c>
      <c r="F540" t="str">
        <f>"01284421"</f>
        <v>01284421</v>
      </c>
    </row>
    <row r="541" spans="1:6" x14ac:dyDescent="0.25">
      <c r="A541" t="s">
        <v>681</v>
      </c>
      <c r="C541" t="s">
        <v>682</v>
      </c>
      <c r="E541" t="s">
        <v>683</v>
      </c>
      <c r="F541" t="str">
        <f>"20705181"</f>
        <v>20705181</v>
      </c>
    </row>
    <row r="542" spans="1:6" x14ac:dyDescent="0.25">
      <c r="A542" t="s">
        <v>684</v>
      </c>
      <c r="C542" t="s">
        <v>9</v>
      </c>
      <c r="E542" t="str">
        <f>"33777177"</f>
        <v>33777177</v>
      </c>
      <c r="F542" t="str">
        <f>"10742128"</f>
        <v>10742128</v>
      </c>
    </row>
    <row r="543" spans="1:6" x14ac:dyDescent="0.25">
      <c r="A543" t="s">
        <v>685</v>
      </c>
      <c r="C543" t="s">
        <v>670</v>
      </c>
      <c r="E543" t="str">
        <f>"45292902"</f>
        <v>45292902</v>
      </c>
      <c r="F543" t="str">
        <f>"10702485"</f>
        <v>10702485</v>
      </c>
    </row>
    <row r="544" spans="1:6" x14ac:dyDescent="0.25">
      <c r="A544" t="s">
        <v>686</v>
      </c>
      <c r="C544" t="s">
        <v>486</v>
      </c>
      <c r="E544" t="str">
        <f>"46418211"</f>
        <v>46418211</v>
      </c>
      <c r="F544" t="str">
        <f>"00403006"</f>
        <v>00403006</v>
      </c>
    </row>
    <row r="545" spans="1:6" x14ac:dyDescent="0.25">
      <c r="A545" t="s">
        <v>687</v>
      </c>
      <c r="C545" t="s">
        <v>658</v>
      </c>
      <c r="E545" t="str">
        <f>"36602615"</f>
        <v>36602615</v>
      </c>
      <c r="F545" t="str">
        <f>"00933184"</f>
        <v>00933184</v>
      </c>
    </row>
    <row r="546" spans="1:6" x14ac:dyDescent="0.25">
      <c r="A546" t="s">
        <v>688</v>
      </c>
      <c r="C546" t="s">
        <v>23</v>
      </c>
      <c r="E546" t="str">
        <f>"462608007"</f>
        <v>462608007</v>
      </c>
      <c r="F546" t="str">
        <f>"00504936"</f>
        <v>00504936</v>
      </c>
    </row>
    <row r="547" spans="1:6" x14ac:dyDescent="0.25">
      <c r="A547" t="s">
        <v>689</v>
      </c>
      <c r="C547" t="s">
        <v>486</v>
      </c>
      <c r="E547" t="str">
        <f>"22244424"</f>
        <v>22244424</v>
      </c>
      <c r="F547" t="str">
        <f>"20704937"</f>
        <v>20704937</v>
      </c>
    </row>
    <row r="548" spans="1:6" x14ac:dyDescent="0.25">
      <c r="A548" t="s">
        <v>690</v>
      </c>
      <c r="C548" t="s">
        <v>486</v>
      </c>
      <c r="E548" t="str">
        <f>"22244424"</f>
        <v>22244424</v>
      </c>
      <c r="F548" t="str">
        <f>"01268432"</f>
        <v>01268432</v>
      </c>
    </row>
    <row r="549" spans="1:6" x14ac:dyDescent="0.25">
      <c r="A549" t="s">
        <v>691</v>
      </c>
      <c r="C549" t="s">
        <v>9</v>
      </c>
      <c r="E549" t="str">
        <f>"45291538"</f>
        <v>45291538</v>
      </c>
      <c r="F549" t="str">
        <f>"20600117"</f>
        <v>20600117</v>
      </c>
    </row>
    <row r="550" spans="1:6" x14ac:dyDescent="0.25">
      <c r="A550" t="s">
        <v>692</v>
      </c>
      <c r="C550" t="s">
        <v>340</v>
      </c>
      <c r="E550" t="str">
        <f>"36303579"</f>
        <v>36303579</v>
      </c>
      <c r="F550" t="str">
        <f>"00495804"</f>
        <v>00495804</v>
      </c>
    </row>
    <row r="551" spans="1:6" x14ac:dyDescent="0.25">
      <c r="A551" t="s">
        <v>693</v>
      </c>
      <c r="C551" t="s">
        <v>27</v>
      </c>
      <c r="E551" t="str">
        <f>"45243454"</f>
        <v>45243454</v>
      </c>
      <c r="F551" t="str">
        <f>"21101909"</f>
        <v>21101909</v>
      </c>
    </row>
    <row r="552" spans="1:6" x14ac:dyDescent="0.25">
      <c r="A552" t="s">
        <v>694</v>
      </c>
      <c r="C552" t="s">
        <v>27</v>
      </c>
      <c r="E552" t="str">
        <f>"36301714"</f>
        <v>36301714</v>
      </c>
      <c r="F552" t="str">
        <f>"11108284"</f>
        <v>11108284</v>
      </c>
    </row>
    <row r="553" spans="1:6" x14ac:dyDescent="0.25">
      <c r="A553" t="s">
        <v>695</v>
      </c>
      <c r="C553" t="s">
        <v>277</v>
      </c>
      <c r="E553" t="str">
        <f>"46418518"</f>
        <v>46418518</v>
      </c>
      <c r="F553" t="str">
        <f>"00773895"</f>
        <v>00773895</v>
      </c>
    </row>
    <row r="554" spans="1:6" x14ac:dyDescent="0.25">
      <c r="A554" t="s">
        <v>696</v>
      </c>
      <c r="C554" t="s">
        <v>27</v>
      </c>
      <c r="E554" t="str">
        <f>"47301714"</f>
        <v>47301714</v>
      </c>
      <c r="F554" t="str">
        <f>"00845933"</f>
        <v>00845933</v>
      </c>
    </row>
    <row r="555" spans="1:6" x14ac:dyDescent="0.25">
      <c r="A555" t="s">
        <v>697</v>
      </c>
      <c r="C555" t="s">
        <v>32</v>
      </c>
      <c r="E555" t="str">
        <f>"36133487"</f>
        <v>36133487</v>
      </c>
      <c r="F555" t="str">
        <f>"01305507"</f>
        <v>01305507</v>
      </c>
    </row>
    <row r="556" spans="1:6" x14ac:dyDescent="0.25">
      <c r="A556" t="s">
        <v>698</v>
      </c>
      <c r="C556" t="s">
        <v>27</v>
      </c>
      <c r="E556" t="str">
        <f>"44485207"</f>
        <v>44485207</v>
      </c>
      <c r="F556" t="str">
        <f>"01207109"</f>
        <v>01207109</v>
      </c>
    </row>
    <row r="557" spans="1:6" x14ac:dyDescent="0.25">
      <c r="A557" t="s">
        <v>699</v>
      </c>
      <c r="C557" t="s">
        <v>27</v>
      </c>
      <c r="E557" t="str">
        <f>"36386723"</f>
        <v>36386723</v>
      </c>
      <c r="F557" t="str">
        <f>"00410787"</f>
        <v>00410787</v>
      </c>
    </row>
    <row r="558" spans="1:6" x14ac:dyDescent="0.25">
      <c r="A558" t="s">
        <v>700</v>
      </c>
      <c r="C558" t="s">
        <v>435</v>
      </c>
      <c r="E558" t="str">
        <f>"46594646"</f>
        <v>46594646</v>
      </c>
      <c r="F558" t="str">
        <f>"00766485"</f>
        <v>00766485</v>
      </c>
    </row>
    <row r="559" spans="1:6" x14ac:dyDescent="0.25">
      <c r="A559" t="s">
        <v>701</v>
      </c>
      <c r="C559" t="s">
        <v>702</v>
      </c>
      <c r="E559" t="str">
        <f>"36262676"</f>
        <v>36262676</v>
      </c>
      <c r="F559" t="str">
        <f>"00644880"</f>
        <v>00644880</v>
      </c>
    </row>
    <row r="560" spans="1:6" x14ac:dyDescent="0.25">
      <c r="A560" t="s">
        <v>703</v>
      </c>
      <c r="C560" t="s">
        <v>467</v>
      </c>
      <c r="E560" t="str">
        <f>"20602576"</f>
        <v>20602576</v>
      </c>
      <c r="F560" t="str">
        <f>"20602576"</f>
        <v>20602576</v>
      </c>
    </row>
    <row r="561" spans="1:6" x14ac:dyDescent="0.25">
      <c r="A561" t="s">
        <v>704</v>
      </c>
      <c r="C561" t="s">
        <v>27</v>
      </c>
      <c r="E561" t="str">
        <f>"22303824"</f>
        <v>22303824</v>
      </c>
      <c r="F561" t="str">
        <f>"00739227"</f>
        <v>00739227</v>
      </c>
    </row>
    <row r="562" spans="1:6" x14ac:dyDescent="0.25">
      <c r="A562" t="s">
        <v>705</v>
      </c>
      <c r="C562" t="s">
        <v>32</v>
      </c>
      <c r="E562" t="str">
        <f>"36690197"</f>
        <v>36690197</v>
      </c>
      <c r="F562" t="str">
        <f>"01304070"</f>
        <v>01304070</v>
      </c>
    </row>
    <row r="563" spans="1:6" x14ac:dyDescent="0.25">
      <c r="A563" t="s">
        <v>706</v>
      </c>
      <c r="C563" t="s">
        <v>467</v>
      </c>
      <c r="E563" t="str">
        <f>"36307664"</f>
        <v>36307664</v>
      </c>
      <c r="F563" t="str">
        <f>"01312099"</f>
        <v>01312099</v>
      </c>
    </row>
    <row r="564" spans="1:6" x14ac:dyDescent="0.25">
      <c r="A564" t="s">
        <v>707</v>
      </c>
      <c r="C564" t="s">
        <v>435</v>
      </c>
      <c r="E564" t="str">
        <f>"46060700"</f>
        <v>46060700</v>
      </c>
      <c r="F564" t="str">
        <f>"01314103"</f>
        <v>01314103</v>
      </c>
    </row>
    <row r="565" spans="1:6" x14ac:dyDescent="0.25">
      <c r="A565" t="s">
        <v>708</v>
      </c>
      <c r="C565" t="s">
        <v>709</v>
      </c>
      <c r="E565" t="str">
        <f>"47295533"</f>
        <v>47295533</v>
      </c>
      <c r="F565" t="str">
        <f>"00518142"</f>
        <v>00518142</v>
      </c>
    </row>
    <row r="566" spans="1:6" x14ac:dyDescent="0.25">
      <c r="A566" t="s">
        <v>710</v>
      </c>
      <c r="C566" t="s">
        <v>467</v>
      </c>
      <c r="E566" t="str">
        <f>"46300557"</f>
        <v>46300557</v>
      </c>
      <c r="F566" t="str">
        <f>"00739128"</f>
        <v>00739128</v>
      </c>
    </row>
    <row r="567" spans="1:6" x14ac:dyDescent="0.25">
      <c r="A567" t="s">
        <v>711</v>
      </c>
      <c r="F567" t="str">
        <f>"00841205"</f>
        <v>00841205</v>
      </c>
    </row>
    <row r="568" spans="1:6" x14ac:dyDescent="0.25">
      <c r="A568" t="s">
        <v>712</v>
      </c>
      <c r="C568" t="s">
        <v>27</v>
      </c>
      <c r="E568" t="str">
        <f>"47114412"</f>
        <v>47114412</v>
      </c>
      <c r="F568" t="str">
        <f>"00423731"</f>
        <v>00423731</v>
      </c>
    </row>
    <row r="569" spans="1:6" x14ac:dyDescent="0.25">
      <c r="A569" t="s">
        <v>713</v>
      </c>
      <c r="C569" t="s">
        <v>467</v>
      </c>
      <c r="E569" t="str">
        <f>"36639966"</f>
        <v>36639966</v>
      </c>
      <c r="F569" t="str">
        <f>"10901727"</f>
        <v>10901727</v>
      </c>
    </row>
    <row r="570" spans="1:6" x14ac:dyDescent="0.25">
      <c r="A570" t="s">
        <v>714</v>
      </c>
      <c r="C570" t="s">
        <v>715</v>
      </c>
      <c r="E570" t="str">
        <f>"33274036"</f>
        <v>33274036</v>
      </c>
      <c r="F570" t="str">
        <f>"00712109"</f>
        <v>00712109</v>
      </c>
    </row>
    <row r="571" spans="1:6" x14ac:dyDescent="0.25">
      <c r="A571" t="s">
        <v>716</v>
      </c>
    </row>
    <row r="572" spans="1:6" x14ac:dyDescent="0.25">
      <c r="A572" t="s">
        <v>717</v>
      </c>
      <c r="F572" t="str">
        <f>"20705157"</f>
        <v>20705157</v>
      </c>
    </row>
    <row r="573" spans="1:6" x14ac:dyDescent="0.25">
      <c r="A573" t="s">
        <v>718</v>
      </c>
      <c r="C573" t="s">
        <v>467</v>
      </c>
      <c r="E573" t="str">
        <f>"27377681"</f>
        <v>27377681</v>
      </c>
      <c r="F573" t="str">
        <f>"00368415"</f>
        <v>00368415</v>
      </c>
    </row>
    <row r="574" spans="1:6" x14ac:dyDescent="0.25">
      <c r="A574" t="s">
        <v>719</v>
      </c>
      <c r="C574" t="s">
        <v>467</v>
      </c>
      <c r="E574" t="str">
        <f>"26114300"</f>
        <v>26114300</v>
      </c>
      <c r="F574" t="str">
        <f>"01053859"</f>
        <v>01053859</v>
      </c>
    </row>
    <row r="575" spans="1:6" x14ac:dyDescent="0.25">
      <c r="A575" t="s">
        <v>720</v>
      </c>
      <c r="C575" t="s">
        <v>467</v>
      </c>
      <c r="E575" t="str">
        <f>"45251510"</f>
        <v>45251510</v>
      </c>
      <c r="F575" t="str">
        <f>"00512772"</f>
        <v>00512772</v>
      </c>
    </row>
    <row r="576" spans="1:6" x14ac:dyDescent="0.25">
      <c r="A576" t="s">
        <v>721</v>
      </c>
      <c r="C576" t="s">
        <v>467</v>
      </c>
      <c r="E576" t="str">
        <f>"36636324"</f>
        <v>36636324</v>
      </c>
      <c r="F576" t="str">
        <f>"00392712"</f>
        <v>00392712</v>
      </c>
    </row>
    <row r="577" spans="1:6" x14ac:dyDescent="0.25">
      <c r="A577" t="s">
        <v>722</v>
      </c>
      <c r="C577" t="s">
        <v>27</v>
      </c>
      <c r="E577" t="str">
        <f>"22664464"</f>
        <v>22664464</v>
      </c>
      <c r="F577" t="str">
        <f>"20901354"</f>
        <v>20901354</v>
      </c>
    </row>
    <row r="578" spans="1:6" x14ac:dyDescent="0.25">
      <c r="A578" t="s">
        <v>723</v>
      </c>
      <c r="F578" t="str">
        <f>"00841353"</f>
        <v>00841353</v>
      </c>
    </row>
    <row r="579" spans="1:6" x14ac:dyDescent="0.25">
      <c r="A579" t="s">
        <v>724</v>
      </c>
      <c r="F579" t="str">
        <f>"01232404"</f>
        <v>01232404</v>
      </c>
    </row>
    <row r="580" spans="1:6" x14ac:dyDescent="0.25">
      <c r="A580" t="s">
        <v>725</v>
      </c>
      <c r="F580" t="str">
        <f>"10902204"</f>
        <v>10902204</v>
      </c>
    </row>
    <row r="581" spans="1:6" x14ac:dyDescent="0.25">
      <c r="A581" t="s">
        <v>726</v>
      </c>
      <c r="C581" t="s">
        <v>727</v>
      </c>
    </row>
    <row r="582" spans="1:6" x14ac:dyDescent="0.25">
      <c r="A582" t="s">
        <v>728</v>
      </c>
      <c r="C582" t="s">
        <v>435</v>
      </c>
      <c r="E582" t="str">
        <f>"37309090"</f>
        <v>37309090</v>
      </c>
      <c r="F582" t="str">
        <f>"00881607"</f>
        <v>00881607</v>
      </c>
    </row>
    <row r="583" spans="1:6" x14ac:dyDescent="0.25">
      <c r="A583" t="s">
        <v>729</v>
      </c>
      <c r="C583" t="s">
        <v>597</v>
      </c>
      <c r="E583" t="str">
        <f>"47035448"</f>
        <v>47035448</v>
      </c>
      <c r="F583" t="str">
        <f>"01262930"</f>
        <v>01262930</v>
      </c>
    </row>
    <row r="584" spans="1:6" x14ac:dyDescent="0.25">
      <c r="A584" t="s">
        <v>536</v>
      </c>
      <c r="C584" t="s">
        <v>231</v>
      </c>
      <c r="E584" t="str">
        <f>"44544471"</f>
        <v>44544471</v>
      </c>
      <c r="F584" t="str">
        <f>"00771287"</f>
        <v>00771287</v>
      </c>
    </row>
    <row r="585" spans="1:6" x14ac:dyDescent="0.25">
      <c r="A585" t="s">
        <v>730</v>
      </c>
      <c r="C585" t="s">
        <v>731</v>
      </c>
      <c r="E585" t="str">
        <f>"33033113"</f>
        <v>33033113</v>
      </c>
      <c r="F585" t="str">
        <f>"00200915"</f>
        <v>00200915</v>
      </c>
    </row>
    <row r="586" spans="1:6" x14ac:dyDescent="0.25">
      <c r="A586" t="s">
        <v>732</v>
      </c>
      <c r="C586" t="s">
        <v>27</v>
      </c>
      <c r="E586" t="str">
        <f>"48881700"</f>
        <v>48881700</v>
      </c>
      <c r="F586" t="str">
        <f>"00459107"</f>
        <v>00459107</v>
      </c>
    </row>
    <row r="587" spans="1:6" x14ac:dyDescent="0.25">
      <c r="A587" t="s">
        <v>733</v>
      </c>
      <c r="C587" t="s">
        <v>530</v>
      </c>
      <c r="E587" t="str">
        <f>"27510501"</f>
        <v>27510501</v>
      </c>
      <c r="F587" t="str">
        <f>"00448944"</f>
        <v>00448944</v>
      </c>
    </row>
    <row r="588" spans="1:6" x14ac:dyDescent="0.25">
      <c r="A588" t="s">
        <v>734</v>
      </c>
    </row>
    <row r="589" spans="1:6" x14ac:dyDescent="0.25">
      <c r="A589" t="s">
        <v>735</v>
      </c>
      <c r="C589" t="s">
        <v>493</v>
      </c>
      <c r="E589" t="str">
        <f>"22302370"</f>
        <v>22302370</v>
      </c>
      <c r="F589" t="str">
        <f>"0056515"</f>
        <v>0056515</v>
      </c>
    </row>
    <row r="590" spans="1:6" x14ac:dyDescent="0.25">
      <c r="A590" t="s">
        <v>736</v>
      </c>
      <c r="F590" t="str">
        <f>"11106767"</f>
        <v>11106767</v>
      </c>
    </row>
    <row r="591" spans="1:6" x14ac:dyDescent="0.25">
      <c r="A591" t="s">
        <v>737</v>
      </c>
    </row>
    <row r="592" spans="1:6" x14ac:dyDescent="0.25">
      <c r="A592" t="s">
        <v>738</v>
      </c>
      <c r="E592" t="str">
        <f>"45256645"</f>
        <v>45256645</v>
      </c>
      <c r="F592" t="str">
        <f>"11100422"</f>
        <v>11100422</v>
      </c>
    </row>
    <row r="593" spans="1:6" x14ac:dyDescent="0.25">
      <c r="A593" t="s">
        <v>739</v>
      </c>
      <c r="E593" t="str">
        <f>"+244850240"</f>
        <v>+244850240</v>
      </c>
    </row>
    <row r="594" spans="1:6" x14ac:dyDescent="0.25">
      <c r="A594" t="s">
        <v>740</v>
      </c>
      <c r="E594" t="str">
        <f>"36112683"</f>
        <v>36112683</v>
      </c>
      <c r="F594" t="str">
        <f>"00652495"</f>
        <v>00652495</v>
      </c>
    </row>
    <row r="595" spans="1:6" x14ac:dyDescent="0.25">
      <c r="A595" t="s">
        <v>741</v>
      </c>
      <c r="E595" t="str">
        <f>"22030467"</f>
        <v>22030467</v>
      </c>
      <c r="F595" t="str">
        <f>"001659969"</f>
        <v>001659969</v>
      </c>
    </row>
    <row r="596" spans="1:6" x14ac:dyDescent="0.25">
      <c r="A596" t="s">
        <v>742</v>
      </c>
      <c r="E596" t="str">
        <f>"49272919"</f>
        <v>49272919</v>
      </c>
      <c r="F596" t="str">
        <f>"00753673"</f>
        <v>00753673</v>
      </c>
    </row>
    <row r="597" spans="1:6" x14ac:dyDescent="0.25">
      <c r="A597" t="s">
        <v>743</v>
      </c>
      <c r="E597" t="str">
        <f>"42230303"</f>
        <v>42230303</v>
      </c>
      <c r="F597" t="str">
        <f>"00383547"</f>
        <v>00383547</v>
      </c>
    </row>
    <row r="598" spans="1:6" x14ac:dyDescent="0.25">
      <c r="A598" t="s">
        <v>744</v>
      </c>
      <c r="E598" t="str">
        <f>"46796848"</f>
        <v>46796848</v>
      </c>
      <c r="F598" t="str">
        <f>"00604553"</f>
        <v>00604553</v>
      </c>
    </row>
    <row r="599" spans="1:6" x14ac:dyDescent="0.25">
      <c r="A599" t="s">
        <v>745</v>
      </c>
      <c r="E599" t="str">
        <f>"26363435"</f>
        <v>26363435</v>
      </c>
    </row>
    <row r="600" spans="1:6" x14ac:dyDescent="0.25">
      <c r="A600" t="s">
        <v>746</v>
      </c>
      <c r="E600" t="str">
        <f>"45251682"</f>
        <v>45251682</v>
      </c>
      <c r="F600" t="str">
        <f>"20600323"</f>
        <v>20600323</v>
      </c>
    </row>
    <row r="601" spans="1:6" x14ac:dyDescent="0.25">
      <c r="A601" t="s">
        <v>747</v>
      </c>
      <c r="C601" t="s">
        <v>748</v>
      </c>
      <c r="E601" t="str">
        <f>"36663038"</f>
        <v>36663038</v>
      </c>
      <c r="F601" t="str">
        <f>"00238428"</f>
        <v>00238428</v>
      </c>
    </row>
    <row r="602" spans="1:6" x14ac:dyDescent="0.25">
      <c r="A602" t="s">
        <v>749</v>
      </c>
      <c r="E602" t="str">
        <f>"33721012"</f>
        <v>33721012</v>
      </c>
      <c r="F602" t="str">
        <f>"00872952"</f>
        <v>00872952</v>
      </c>
    </row>
    <row r="603" spans="1:6" x14ac:dyDescent="0.25">
      <c r="A603" t="s">
        <v>750</v>
      </c>
      <c r="E603" t="str">
        <f>"48488828"</f>
        <v>48488828</v>
      </c>
      <c r="F603" t="str">
        <f>"01198050"</f>
        <v>01198050</v>
      </c>
    </row>
    <row r="604" spans="1:6" x14ac:dyDescent="0.25">
      <c r="A604" t="s">
        <v>751</v>
      </c>
      <c r="C604" t="s">
        <v>27</v>
      </c>
      <c r="E604" t="str">
        <f>"27829072"</f>
        <v>27829072</v>
      </c>
      <c r="F604" t="str">
        <f>"01195445"</f>
        <v>01195445</v>
      </c>
    </row>
    <row r="605" spans="1:6" x14ac:dyDescent="0.25">
      <c r="A605" t="s">
        <v>752</v>
      </c>
      <c r="E605" t="str">
        <f>"20262683"</f>
        <v>20262683</v>
      </c>
      <c r="F605" t="str">
        <f>"00530196"</f>
        <v>00530196</v>
      </c>
    </row>
    <row r="606" spans="1:6" x14ac:dyDescent="0.25">
      <c r="A606" t="s">
        <v>753</v>
      </c>
      <c r="C606" t="s">
        <v>754</v>
      </c>
      <c r="E606" t="str">
        <f>"22977325"</f>
        <v>22977325</v>
      </c>
      <c r="F606" t="str">
        <f>"00188292"</f>
        <v>00188292</v>
      </c>
    </row>
    <row r="607" spans="1:6" x14ac:dyDescent="0.25">
      <c r="A607" t="s">
        <v>755</v>
      </c>
      <c r="E607" t="str">
        <f>"45295656"</f>
        <v>45295656</v>
      </c>
    </row>
    <row r="608" spans="1:6" x14ac:dyDescent="0.25">
      <c r="A608" t="s">
        <v>756</v>
      </c>
      <c r="C608" t="s">
        <v>493</v>
      </c>
      <c r="E608" t="str">
        <f>"36373512"</f>
        <v>36373512</v>
      </c>
      <c r="F608" t="str">
        <f>"00551994"</f>
        <v>00551994</v>
      </c>
    </row>
    <row r="609" spans="1:6" x14ac:dyDescent="0.25">
      <c r="A609" t="s">
        <v>757</v>
      </c>
      <c r="C609" t="s">
        <v>758</v>
      </c>
      <c r="E609" t="str">
        <f>"26186640"</f>
        <v>26186640</v>
      </c>
      <c r="F609" t="str">
        <f>"01194901"</f>
        <v>01194901</v>
      </c>
    </row>
    <row r="610" spans="1:6" x14ac:dyDescent="0.25">
      <c r="A610" t="s">
        <v>759</v>
      </c>
      <c r="C610" t="s">
        <v>30</v>
      </c>
      <c r="E610" t="str">
        <f>"46964601"</f>
        <v>46964601</v>
      </c>
      <c r="F610" t="str">
        <f>"00078311"</f>
        <v>00078311</v>
      </c>
    </row>
    <row r="611" spans="1:6" x14ac:dyDescent="0.25">
      <c r="A611" t="s">
        <v>760</v>
      </c>
      <c r="C611" t="s">
        <v>493</v>
      </c>
      <c r="E611" t="str">
        <f>"26202221"</f>
        <v>26202221</v>
      </c>
    </row>
    <row r="612" spans="1:6" x14ac:dyDescent="0.25">
      <c r="A612" t="s">
        <v>761</v>
      </c>
      <c r="C612" t="s">
        <v>762</v>
      </c>
      <c r="E612" t="str">
        <f>"36112683"</f>
        <v>36112683</v>
      </c>
      <c r="F612" t="str">
        <f>"00652495"</f>
        <v>00652495</v>
      </c>
    </row>
    <row r="613" spans="1:6" x14ac:dyDescent="0.25">
      <c r="A613" t="s">
        <v>763</v>
      </c>
      <c r="C613" t="s">
        <v>493</v>
      </c>
    </row>
    <row r="614" spans="1:6" x14ac:dyDescent="0.25">
      <c r="A614" t="s">
        <v>764</v>
      </c>
      <c r="E614" t="str">
        <f>"45257915"</f>
        <v>45257915</v>
      </c>
      <c r="F614" t="str">
        <f>"21102642"</f>
        <v>21102642</v>
      </c>
    </row>
    <row r="615" spans="1:6" x14ac:dyDescent="0.25">
      <c r="A615" t="s">
        <v>765</v>
      </c>
      <c r="E615" t="str">
        <f>"36171414"</f>
        <v>36171414</v>
      </c>
      <c r="F615" t="str">
        <f>"00567883"</f>
        <v>00567883</v>
      </c>
    </row>
    <row r="616" spans="1:6" x14ac:dyDescent="0.25">
      <c r="A616" t="s">
        <v>766</v>
      </c>
      <c r="C616" t="s">
        <v>486</v>
      </c>
      <c r="F616" t="str">
        <f>"01189943"</f>
        <v>01189943</v>
      </c>
    </row>
    <row r="617" spans="1:6" x14ac:dyDescent="0.25">
      <c r="A617" t="s">
        <v>767</v>
      </c>
      <c r="C617" t="s">
        <v>27</v>
      </c>
      <c r="E617" t="str">
        <f>"44306952"</f>
        <v>44306952</v>
      </c>
      <c r="F617" t="str">
        <f>"00541011"</f>
        <v>00541011</v>
      </c>
    </row>
    <row r="618" spans="1:6" x14ac:dyDescent="0.25">
      <c r="A618" t="s">
        <v>768</v>
      </c>
      <c r="C618" t="s">
        <v>27</v>
      </c>
      <c r="E618" t="str">
        <f>"22368645"</f>
        <v>22368645</v>
      </c>
      <c r="F618" t="str">
        <f>"10708474"</f>
        <v>10708474</v>
      </c>
    </row>
    <row r="619" spans="1:6" x14ac:dyDescent="0.25">
      <c r="A619" t="s">
        <v>769</v>
      </c>
      <c r="E619" t="str">
        <f>"45290019"</f>
        <v>45290019</v>
      </c>
      <c r="F619" t="str">
        <f>"30500059"</f>
        <v>30500059</v>
      </c>
    </row>
    <row r="620" spans="1:6" x14ac:dyDescent="0.25">
      <c r="A620" t="s">
        <v>770</v>
      </c>
      <c r="C620" t="s">
        <v>9</v>
      </c>
      <c r="E620" t="s">
        <v>771</v>
      </c>
      <c r="F620" t="str">
        <f>"00066043"</f>
        <v>00066043</v>
      </c>
    </row>
    <row r="621" spans="1:6" x14ac:dyDescent="0.25">
      <c r="A621" t="s">
        <v>772</v>
      </c>
      <c r="C621" t="s">
        <v>773</v>
      </c>
      <c r="E621" t="str">
        <f>"47254041"</f>
        <v>47254041</v>
      </c>
      <c r="F621" t="str">
        <f>"01310705"</f>
        <v>01310705</v>
      </c>
    </row>
    <row r="622" spans="1:6" x14ac:dyDescent="0.25">
      <c r="A622" t="s">
        <v>774</v>
      </c>
      <c r="C622" t="s">
        <v>493</v>
      </c>
      <c r="E622" t="str">
        <f>"42230303"</f>
        <v>42230303</v>
      </c>
      <c r="F622" t="str">
        <f>"00383547"</f>
        <v>00383547</v>
      </c>
    </row>
    <row r="623" spans="1:6" x14ac:dyDescent="0.25">
      <c r="A623" t="s">
        <v>775</v>
      </c>
      <c r="C623" t="s">
        <v>776</v>
      </c>
      <c r="E623" t="str">
        <f>"36615696"</f>
        <v>36615696</v>
      </c>
      <c r="F623" t="str">
        <f>"01232339"</f>
        <v>01232339</v>
      </c>
    </row>
    <row r="624" spans="1:6" x14ac:dyDescent="0.25">
      <c r="A624" t="s">
        <v>752</v>
      </c>
      <c r="C624" t="s">
        <v>493</v>
      </c>
      <c r="E624" t="str">
        <f>"26052421"</f>
        <v>26052421</v>
      </c>
      <c r="F624" t="str">
        <f>"00530196"</f>
        <v>00530196</v>
      </c>
    </row>
    <row r="625" spans="1:6" x14ac:dyDescent="0.25">
      <c r="A625" t="s">
        <v>777</v>
      </c>
      <c r="C625" t="s">
        <v>493</v>
      </c>
      <c r="E625" t="str">
        <f>"46422080"</f>
        <v>46422080</v>
      </c>
      <c r="F625" t="str">
        <f>"00158519"</f>
        <v>00158519</v>
      </c>
    </row>
    <row r="626" spans="1:6" x14ac:dyDescent="0.25">
      <c r="A626" t="s">
        <v>778</v>
      </c>
      <c r="C626" t="s">
        <v>779</v>
      </c>
      <c r="E626" t="str">
        <f>"36713334"</f>
        <v>36713334</v>
      </c>
      <c r="F626" t="str">
        <f>"01186139"</f>
        <v>01186139</v>
      </c>
    </row>
    <row r="627" spans="1:6" x14ac:dyDescent="0.25">
      <c r="A627" t="s">
        <v>780</v>
      </c>
      <c r="C627" t="s">
        <v>623</v>
      </c>
      <c r="E627" t="str">
        <f>"36641865"</f>
        <v>36641865</v>
      </c>
      <c r="F627" t="str">
        <f>"00799999"</f>
        <v>00799999</v>
      </c>
    </row>
    <row r="628" spans="1:6" x14ac:dyDescent="0.25">
      <c r="A628" t="s">
        <v>781</v>
      </c>
      <c r="C628" t="s">
        <v>782</v>
      </c>
      <c r="E628" t="str">
        <f>"37475424"</f>
        <v>37475424</v>
      </c>
      <c r="F628" t="str">
        <f>"00066738"</f>
        <v>00066738</v>
      </c>
    </row>
    <row r="629" spans="1:6" x14ac:dyDescent="0.25">
      <c r="A629" t="s">
        <v>783</v>
      </c>
      <c r="C629" t="s">
        <v>493</v>
      </c>
      <c r="F629" t="str">
        <f>"00816348"</f>
        <v>00816348</v>
      </c>
    </row>
    <row r="630" spans="1:6" x14ac:dyDescent="0.25">
      <c r="A630" t="s">
        <v>784</v>
      </c>
      <c r="C630" t="s">
        <v>785</v>
      </c>
      <c r="E630" t="str">
        <f>"36337433"</f>
        <v>36337433</v>
      </c>
      <c r="F630" t="str">
        <f>"01284314"</f>
        <v>01284314</v>
      </c>
    </row>
    <row r="631" spans="1:6" x14ac:dyDescent="0.25">
      <c r="A631" t="s">
        <v>786</v>
      </c>
      <c r="C631" t="s">
        <v>27</v>
      </c>
      <c r="E631" t="str">
        <f>"36320002"</f>
        <v>36320002</v>
      </c>
      <c r="F631" t="str">
        <f>"00579490"</f>
        <v>00579490</v>
      </c>
    </row>
    <row r="632" spans="1:6" x14ac:dyDescent="0.25">
      <c r="A632" t="s">
        <v>787</v>
      </c>
      <c r="C632" t="s">
        <v>788</v>
      </c>
      <c r="F632" t="str">
        <f>"00426999"</f>
        <v>00426999</v>
      </c>
    </row>
    <row r="633" spans="1:6" x14ac:dyDescent="0.25">
      <c r="A633" t="s">
        <v>789</v>
      </c>
      <c r="C633" t="s">
        <v>790</v>
      </c>
      <c r="E633" t="str">
        <f>"36300062"</f>
        <v>36300062</v>
      </c>
      <c r="F633" t="str">
        <f>"00743096"</f>
        <v>00743096</v>
      </c>
    </row>
    <row r="634" spans="1:6" x14ac:dyDescent="0.25">
      <c r="A634" t="s">
        <v>791</v>
      </c>
      <c r="C634" t="s">
        <v>623</v>
      </c>
      <c r="E634" t="str">
        <f>"27731877"</f>
        <v>27731877</v>
      </c>
      <c r="F634" t="str">
        <f>"01204072"</f>
        <v>01204072</v>
      </c>
    </row>
    <row r="635" spans="1:6" x14ac:dyDescent="0.25">
      <c r="A635" t="s">
        <v>792</v>
      </c>
      <c r="C635" t="s">
        <v>793</v>
      </c>
      <c r="E635" t="str">
        <f>"45251817"</f>
        <v>45251817</v>
      </c>
      <c r="F635" t="str">
        <f>"00269035"</f>
        <v>00269035</v>
      </c>
    </row>
    <row r="636" spans="1:6" x14ac:dyDescent="0.25">
      <c r="A636" t="s">
        <v>794</v>
      </c>
      <c r="C636" t="s">
        <v>795</v>
      </c>
      <c r="E636" t="str">
        <f>"42825723"</f>
        <v>42825723</v>
      </c>
      <c r="F636" t="str">
        <f>"00783142"</f>
        <v>00783142</v>
      </c>
    </row>
    <row r="637" spans="1:6" x14ac:dyDescent="0.25">
      <c r="A637" t="s">
        <v>796</v>
      </c>
      <c r="C637" t="s">
        <v>797</v>
      </c>
      <c r="E637" t="str">
        <f>"20000070"</f>
        <v>20000070</v>
      </c>
      <c r="F637" t="str">
        <f>"01231919"</f>
        <v>01231919</v>
      </c>
    </row>
    <row r="638" spans="1:6" x14ac:dyDescent="0.25">
      <c r="A638" t="s">
        <v>798</v>
      </c>
      <c r="C638" t="s">
        <v>799</v>
      </c>
      <c r="E638" t="str">
        <f>"36308781"</f>
        <v>36308781</v>
      </c>
      <c r="F638" t="str">
        <f>"00549964"</f>
        <v>00549964</v>
      </c>
    </row>
    <row r="639" spans="1:6" x14ac:dyDescent="0.25">
      <c r="A639" t="s">
        <v>800</v>
      </c>
      <c r="C639" t="s">
        <v>801</v>
      </c>
      <c r="E639" t="str">
        <f>"36573232"</f>
        <v>36573232</v>
      </c>
      <c r="F639" t="str">
        <f>"00828582"</f>
        <v>00828582</v>
      </c>
    </row>
    <row r="640" spans="1:6" x14ac:dyDescent="0.25">
      <c r="A640" t="s">
        <v>802</v>
      </c>
      <c r="C640" t="s">
        <v>495</v>
      </c>
      <c r="E640" t="str">
        <f>"36686406"</f>
        <v>36686406</v>
      </c>
      <c r="F640" t="str">
        <f>"00301697"</f>
        <v>00301697</v>
      </c>
    </row>
    <row r="641" spans="1:6" x14ac:dyDescent="0.25">
      <c r="A641" t="s">
        <v>803</v>
      </c>
      <c r="C641" t="s">
        <v>804</v>
      </c>
      <c r="E641" t="str">
        <f>"46433430"</f>
        <v>46433430</v>
      </c>
      <c r="F641" t="str">
        <f>"21106353"</f>
        <v>21106353</v>
      </c>
    </row>
    <row r="642" spans="1:6" x14ac:dyDescent="0.25">
      <c r="A642" t="s">
        <v>805</v>
      </c>
      <c r="C642" t="s">
        <v>658</v>
      </c>
      <c r="E642" t="str">
        <f>"37888885"</f>
        <v>37888885</v>
      </c>
      <c r="F642" t="str">
        <f>"01256452"</f>
        <v>01256452</v>
      </c>
    </row>
    <row r="643" spans="1:6" x14ac:dyDescent="0.25">
      <c r="A643" t="s">
        <v>806</v>
      </c>
      <c r="C643" t="s">
        <v>486</v>
      </c>
      <c r="E643" t="str">
        <f>"20833007"</f>
        <v>20833007</v>
      </c>
      <c r="F643" t="str">
        <f>"01180249"</f>
        <v>01180249</v>
      </c>
    </row>
    <row r="644" spans="1:6" x14ac:dyDescent="0.25">
      <c r="A644" t="s">
        <v>807</v>
      </c>
      <c r="C644" t="s">
        <v>748</v>
      </c>
      <c r="E644" t="str">
        <f>"41003909"</f>
        <v>41003909</v>
      </c>
      <c r="F644" t="str">
        <f>"00361873"</f>
        <v>00361873</v>
      </c>
    </row>
    <row r="645" spans="1:6" x14ac:dyDescent="0.25">
      <c r="A645" t="s">
        <v>808</v>
      </c>
      <c r="E645" t="str">
        <f>"36306110"</f>
        <v>36306110</v>
      </c>
      <c r="F645" t="str">
        <f>"00674762"</f>
        <v>00674762</v>
      </c>
    </row>
    <row r="646" spans="1:6" x14ac:dyDescent="0.25">
      <c r="A646" t="s">
        <v>809</v>
      </c>
    </row>
    <row r="647" spans="1:6" x14ac:dyDescent="0.25">
      <c r="A647" t="s">
        <v>810</v>
      </c>
      <c r="C647" t="s">
        <v>493</v>
      </c>
      <c r="E647" t="str">
        <f>"44444451"</f>
        <v>44444451</v>
      </c>
      <c r="F647" t="str">
        <f>"20902071"</f>
        <v>20902071</v>
      </c>
    </row>
    <row r="648" spans="1:6" x14ac:dyDescent="0.25">
      <c r="A648" t="s">
        <v>811</v>
      </c>
      <c r="C648" t="s">
        <v>27</v>
      </c>
      <c r="F648" t="str">
        <f>"01220136"</f>
        <v>01220136</v>
      </c>
    </row>
    <row r="649" spans="1:6" x14ac:dyDescent="0.25">
      <c r="A649" t="s">
        <v>812</v>
      </c>
      <c r="C649" t="s">
        <v>435</v>
      </c>
      <c r="E649" t="str">
        <f>"43337008"</f>
        <v>43337008</v>
      </c>
      <c r="F649" t="str">
        <f>"00511337"</f>
        <v>00511337</v>
      </c>
    </row>
    <row r="650" spans="1:6" x14ac:dyDescent="0.25">
      <c r="A650" t="s">
        <v>813</v>
      </c>
      <c r="C650" t="s">
        <v>32</v>
      </c>
      <c r="F650" t="str">
        <f>"00901439"</f>
        <v>00901439</v>
      </c>
    </row>
    <row r="651" spans="1:6" x14ac:dyDescent="0.25">
      <c r="A651" t="s">
        <v>814</v>
      </c>
      <c r="C651" t="s">
        <v>815</v>
      </c>
      <c r="F651" t="str">
        <f>"01331586"</f>
        <v>01331586</v>
      </c>
    </row>
    <row r="652" spans="1:6" x14ac:dyDescent="0.25">
      <c r="A652" t="s">
        <v>816</v>
      </c>
    </row>
    <row r="653" spans="1:6" x14ac:dyDescent="0.25">
      <c r="A653" t="s">
        <v>817</v>
      </c>
      <c r="F653" t="str">
        <f>"01316066"</f>
        <v>01316066</v>
      </c>
    </row>
    <row r="654" spans="1:6" x14ac:dyDescent="0.25">
      <c r="A654" t="s">
        <v>818</v>
      </c>
      <c r="C654" t="s">
        <v>748</v>
      </c>
      <c r="F654" t="str">
        <f>"00038893"</f>
        <v>00038893</v>
      </c>
    </row>
    <row r="655" spans="1:6" x14ac:dyDescent="0.25">
      <c r="A655" t="s">
        <v>819</v>
      </c>
      <c r="C655" t="s">
        <v>820</v>
      </c>
      <c r="F655" t="str">
        <f>"00422774"</f>
        <v>00422774</v>
      </c>
    </row>
    <row r="656" spans="1:6" x14ac:dyDescent="0.25">
      <c r="A656" t="s">
        <v>821</v>
      </c>
      <c r="C656" t="s">
        <v>822</v>
      </c>
      <c r="F656" t="str">
        <f>"00196766"</f>
        <v>00196766</v>
      </c>
    </row>
    <row r="657" spans="1:6" x14ac:dyDescent="0.25">
      <c r="A657" t="s">
        <v>823</v>
      </c>
      <c r="C657" t="s">
        <v>748</v>
      </c>
      <c r="F657" t="str">
        <f>"00485748"</f>
        <v>00485748</v>
      </c>
    </row>
    <row r="658" spans="1:6" x14ac:dyDescent="0.25">
      <c r="A658" t="s">
        <v>824</v>
      </c>
      <c r="C658" t="s">
        <v>231</v>
      </c>
      <c r="F658" t="str">
        <f>"01193598"</f>
        <v>01193598</v>
      </c>
    </row>
    <row r="659" spans="1:6" x14ac:dyDescent="0.25">
      <c r="A659" t="s">
        <v>825</v>
      </c>
      <c r="C659" t="s">
        <v>257</v>
      </c>
      <c r="F659" t="str">
        <f>"20700711"</f>
        <v>20700711</v>
      </c>
    </row>
    <row r="660" spans="1:6" x14ac:dyDescent="0.25">
      <c r="A660" t="s">
        <v>826</v>
      </c>
      <c r="C660" t="s">
        <v>827</v>
      </c>
      <c r="F660" t="str">
        <f>"00582288"</f>
        <v>00582288</v>
      </c>
    </row>
    <row r="661" spans="1:6" x14ac:dyDescent="0.25">
      <c r="A661" t="s">
        <v>828</v>
      </c>
      <c r="E661" t="str">
        <f>"31401609"</f>
        <v>31401609</v>
      </c>
      <c r="F661" t="str">
        <f>"00870642"</f>
        <v>00870642</v>
      </c>
    </row>
    <row r="662" spans="1:6" x14ac:dyDescent="0.25">
      <c r="A662" t="s">
        <v>829</v>
      </c>
      <c r="E662" t="str">
        <f>"27300009"</f>
        <v>27300009</v>
      </c>
      <c r="F662" t="str">
        <f>"00816579"</f>
        <v>00816579</v>
      </c>
    </row>
    <row r="663" spans="1:6" x14ac:dyDescent="0.25">
      <c r="A663" t="s">
        <v>814</v>
      </c>
      <c r="C663" t="s">
        <v>597</v>
      </c>
      <c r="F663" t="str">
        <f>"01331586"</f>
        <v>01331586</v>
      </c>
    </row>
    <row r="664" spans="1:6" x14ac:dyDescent="0.25">
      <c r="A664" t="s">
        <v>830</v>
      </c>
      <c r="C664" t="s">
        <v>831</v>
      </c>
      <c r="F664" t="str">
        <f>"00028548"</f>
        <v>00028548</v>
      </c>
    </row>
    <row r="665" spans="1:6" x14ac:dyDescent="0.25">
      <c r="A665" t="s">
        <v>832</v>
      </c>
      <c r="C665" t="s">
        <v>827</v>
      </c>
      <c r="F665" t="str">
        <f>"01243658"</f>
        <v>01243658</v>
      </c>
    </row>
    <row r="666" spans="1:6" x14ac:dyDescent="0.25">
      <c r="A666" t="s">
        <v>833</v>
      </c>
      <c r="E666" t="str">
        <f>"20324417"</f>
        <v>20324417</v>
      </c>
      <c r="F666" t="str">
        <f>"00719708"</f>
        <v>00719708</v>
      </c>
    </row>
    <row r="667" spans="1:6" x14ac:dyDescent="0.25">
      <c r="A667" t="s">
        <v>834</v>
      </c>
      <c r="C667" t="s">
        <v>231</v>
      </c>
      <c r="E667" t="str">
        <f>"36301669"</f>
        <v>36301669</v>
      </c>
      <c r="F667" t="str">
        <f>"11107518"</f>
        <v>11107518</v>
      </c>
    </row>
    <row r="668" spans="1:6" x14ac:dyDescent="0.25">
      <c r="A668" t="s">
        <v>835</v>
      </c>
      <c r="C668" t="s">
        <v>493</v>
      </c>
      <c r="F668" t="str">
        <f>"00704890"</f>
        <v>00704890</v>
      </c>
    </row>
    <row r="669" spans="1:6" x14ac:dyDescent="0.25">
      <c r="A669" t="s">
        <v>836</v>
      </c>
      <c r="C669" t="s">
        <v>9</v>
      </c>
      <c r="E669" t="str">
        <f>"36200000"</f>
        <v>36200000</v>
      </c>
      <c r="F669" t="str">
        <f>"00057802"</f>
        <v>00057802</v>
      </c>
    </row>
    <row r="670" spans="1:6" x14ac:dyDescent="0.25">
      <c r="A670" t="s">
        <v>837</v>
      </c>
      <c r="C670" t="s">
        <v>827</v>
      </c>
      <c r="E670" t="str">
        <f>"46440201"</f>
        <v>46440201</v>
      </c>
      <c r="F670" t="str">
        <f>"00595066"</f>
        <v>00595066</v>
      </c>
    </row>
    <row r="671" spans="1:6" x14ac:dyDescent="0.25">
      <c r="A671" t="s">
        <v>838</v>
      </c>
      <c r="C671" t="s">
        <v>839</v>
      </c>
      <c r="F671" t="str">
        <f>"01245026"</f>
        <v>01245026</v>
      </c>
    </row>
    <row r="672" spans="1:6" x14ac:dyDescent="0.25">
      <c r="A672" t="s">
        <v>840</v>
      </c>
      <c r="C672" t="s">
        <v>493</v>
      </c>
      <c r="F672" t="str">
        <f>"00749713"</f>
        <v>00749713</v>
      </c>
    </row>
    <row r="673" spans="1:6" x14ac:dyDescent="0.25">
      <c r="A673" t="s">
        <v>841</v>
      </c>
      <c r="C673" t="s">
        <v>842</v>
      </c>
      <c r="F673" t="str">
        <f>"00816579"</f>
        <v>00816579</v>
      </c>
    </row>
    <row r="674" spans="1:6" x14ac:dyDescent="0.25">
      <c r="A674" t="s">
        <v>843</v>
      </c>
      <c r="C674" t="s">
        <v>493</v>
      </c>
      <c r="F674" t="str">
        <f>"00595637"</f>
        <v>00595637</v>
      </c>
    </row>
    <row r="675" spans="1:6" x14ac:dyDescent="0.25">
      <c r="A675" t="s">
        <v>844</v>
      </c>
      <c r="C675" t="s">
        <v>845</v>
      </c>
      <c r="E675" t="str">
        <f>"22394987"</f>
        <v>22394987</v>
      </c>
      <c r="F675" t="str">
        <f>"00066415"</f>
        <v>00066415</v>
      </c>
    </row>
    <row r="676" spans="1:6" x14ac:dyDescent="0.25">
      <c r="A676" t="s">
        <v>846</v>
      </c>
      <c r="C676" t="s">
        <v>827</v>
      </c>
      <c r="E676" t="str">
        <f>"25066315"</f>
        <v>25066315</v>
      </c>
      <c r="F676" t="str">
        <f>"00140624"</f>
        <v>00140624</v>
      </c>
    </row>
    <row r="677" spans="1:6" x14ac:dyDescent="0.25">
      <c r="A677" t="s">
        <v>847</v>
      </c>
      <c r="E677" t="str">
        <f>"22041614"</f>
        <v>22041614</v>
      </c>
      <c r="F677" t="str">
        <f>"00521534"</f>
        <v>00521534</v>
      </c>
    </row>
    <row r="678" spans="1:6" x14ac:dyDescent="0.25">
      <c r="A678" t="s">
        <v>848</v>
      </c>
    </row>
    <row r="679" spans="1:6" x14ac:dyDescent="0.25">
      <c r="A679" t="s">
        <v>849</v>
      </c>
      <c r="C679" t="s">
        <v>257</v>
      </c>
      <c r="F679" t="str">
        <f>"00272617"</f>
        <v>00272617</v>
      </c>
    </row>
    <row r="680" spans="1:6" x14ac:dyDescent="0.25">
      <c r="A680" t="s">
        <v>850</v>
      </c>
      <c r="C680" t="s">
        <v>851</v>
      </c>
      <c r="E680" t="str">
        <f>"+33 01 44301960"</f>
        <v>+33 01 44301960</v>
      </c>
    </row>
    <row r="681" spans="1:6" x14ac:dyDescent="0.25">
      <c r="A681" t="s">
        <v>852</v>
      </c>
      <c r="C681" t="s">
        <v>257</v>
      </c>
      <c r="F681" t="str">
        <f>"00321547"</f>
        <v>00321547</v>
      </c>
    </row>
    <row r="682" spans="1:6" x14ac:dyDescent="0.25">
      <c r="A682" t="s">
        <v>853</v>
      </c>
      <c r="C682" t="s">
        <v>854</v>
      </c>
      <c r="F682" t="str">
        <f>"01178870"</f>
        <v>01178870</v>
      </c>
    </row>
    <row r="683" spans="1:6" x14ac:dyDescent="0.25">
      <c r="A683" t="s">
        <v>855</v>
      </c>
      <c r="C683" t="s">
        <v>670</v>
      </c>
      <c r="F683" t="str">
        <f>"00073379"</f>
        <v>00073379</v>
      </c>
    </row>
    <row r="684" spans="1:6" x14ac:dyDescent="0.25">
      <c r="A684" t="s">
        <v>856</v>
      </c>
      <c r="C684" t="s">
        <v>857</v>
      </c>
      <c r="F684" t="str">
        <f>"01231018"</f>
        <v>01231018</v>
      </c>
    </row>
    <row r="685" spans="1:6" x14ac:dyDescent="0.25">
      <c r="A685" t="s">
        <v>858</v>
      </c>
      <c r="C685" t="s">
        <v>857</v>
      </c>
      <c r="E685" t="str">
        <f>"42400090"</f>
        <v>42400090</v>
      </c>
      <c r="F685" t="str">
        <f>"20703590"</f>
        <v>20703590</v>
      </c>
    </row>
    <row r="686" spans="1:6" x14ac:dyDescent="0.25">
      <c r="A686" t="s">
        <v>859</v>
      </c>
      <c r="C686" t="s">
        <v>827</v>
      </c>
      <c r="E686" t="str">
        <f>"26449090"</f>
        <v>26449090</v>
      </c>
      <c r="F686" t="str">
        <f>"11106312"</f>
        <v>11106312</v>
      </c>
    </row>
    <row r="687" spans="1:6" x14ac:dyDescent="0.25">
      <c r="A687" t="s">
        <v>860</v>
      </c>
      <c r="C687" t="s">
        <v>861</v>
      </c>
      <c r="E687" t="str">
        <f>"45257457"</f>
        <v>45257457</v>
      </c>
      <c r="F687" t="str">
        <f>"21102279"</f>
        <v>21102279</v>
      </c>
    </row>
    <row r="688" spans="1:6" x14ac:dyDescent="0.25">
      <c r="A688" t="s">
        <v>862</v>
      </c>
      <c r="C688" t="s">
        <v>827</v>
      </c>
      <c r="E688" t="str">
        <f>"22104150"</f>
        <v>22104150</v>
      </c>
      <c r="F688" t="str">
        <f>"00418145"</f>
        <v>00418145</v>
      </c>
    </row>
    <row r="689" spans="1:6" x14ac:dyDescent="0.25">
      <c r="A689" t="s">
        <v>863</v>
      </c>
      <c r="C689" t="s">
        <v>23</v>
      </c>
      <c r="E689" t="str">
        <f>"36454505"</f>
        <v>36454505</v>
      </c>
      <c r="F689" t="str">
        <f>"01252170"</f>
        <v>01252170</v>
      </c>
    </row>
    <row r="690" spans="1:6" x14ac:dyDescent="0.25">
      <c r="A690" t="s">
        <v>864</v>
      </c>
      <c r="C690" t="s">
        <v>493</v>
      </c>
      <c r="E690" t="str">
        <f>"44036738"</f>
        <v>44036738</v>
      </c>
      <c r="F690" t="str">
        <f>"00663179"</f>
        <v>00663179</v>
      </c>
    </row>
    <row r="691" spans="1:6" x14ac:dyDescent="0.25">
      <c r="A691" t="s">
        <v>865</v>
      </c>
      <c r="C691" t="s">
        <v>866</v>
      </c>
      <c r="E691" t="str">
        <f>"26110888"</f>
        <v>26110888</v>
      </c>
      <c r="F691" t="str">
        <f>"01358399"</f>
        <v>01358399</v>
      </c>
    </row>
    <row r="692" spans="1:6" x14ac:dyDescent="0.25">
      <c r="A692" t="s">
        <v>867</v>
      </c>
      <c r="C692" t="s">
        <v>827</v>
      </c>
      <c r="E692" t="str">
        <f>"32221315"</f>
        <v>32221315</v>
      </c>
      <c r="F692" t="str">
        <f>"00361873"</f>
        <v>00361873</v>
      </c>
    </row>
    <row r="693" spans="1:6" x14ac:dyDescent="0.25">
      <c r="A693" t="s">
        <v>868</v>
      </c>
      <c r="C693" t="s">
        <v>493</v>
      </c>
      <c r="F693" t="str">
        <f>"00626820"</f>
        <v>00626820</v>
      </c>
    </row>
    <row r="694" spans="1:6" x14ac:dyDescent="0.25">
      <c r="A694" t="s">
        <v>869</v>
      </c>
      <c r="C694" t="s">
        <v>827</v>
      </c>
      <c r="F694" t="str">
        <f>"00791111"</f>
        <v>00791111</v>
      </c>
    </row>
    <row r="695" spans="1:6" x14ac:dyDescent="0.25">
      <c r="A695" t="s">
        <v>870</v>
      </c>
      <c r="C695" t="s">
        <v>827</v>
      </c>
      <c r="E695" t="str">
        <f>"27249961"</f>
        <v>27249961</v>
      </c>
      <c r="F695" t="str">
        <f>"00538629"</f>
        <v>00538629</v>
      </c>
    </row>
    <row r="696" spans="1:6" x14ac:dyDescent="0.25">
      <c r="A696" t="s">
        <v>871</v>
      </c>
      <c r="C696" t="s">
        <v>623</v>
      </c>
      <c r="E696" t="str">
        <f>"44378355"</f>
        <v>44378355</v>
      </c>
      <c r="F696" t="str">
        <f>"00605410"</f>
        <v>00605410</v>
      </c>
    </row>
    <row r="697" spans="1:6" x14ac:dyDescent="0.25">
      <c r="A697" t="s">
        <v>872</v>
      </c>
      <c r="C697" t="s">
        <v>827</v>
      </c>
      <c r="E697" t="str">
        <f>"37303678"</f>
        <v>37303678</v>
      </c>
      <c r="F697" t="str">
        <f>"01184712"</f>
        <v>01184712</v>
      </c>
    </row>
    <row r="698" spans="1:6" x14ac:dyDescent="0.25">
      <c r="A698" t="s">
        <v>873</v>
      </c>
      <c r="C698" t="s">
        <v>842</v>
      </c>
      <c r="E698" t="str">
        <f>"36199999"</f>
        <v>36199999</v>
      </c>
      <c r="F698" t="str">
        <f>"00808899"</f>
        <v>00808899</v>
      </c>
    </row>
    <row r="699" spans="1:6" x14ac:dyDescent="0.25">
      <c r="A699" t="s">
        <v>874</v>
      </c>
      <c r="C699" t="s">
        <v>827</v>
      </c>
      <c r="E699" t="str">
        <f>"31401609"</f>
        <v>31401609</v>
      </c>
      <c r="F699" t="str">
        <f>"00870642"</f>
        <v>00870642</v>
      </c>
    </row>
    <row r="700" spans="1:6" x14ac:dyDescent="0.25">
      <c r="A700" t="s">
        <v>875</v>
      </c>
      <c r="C700" t="s">
        <v>9</v>
      </c>
      <c r="E700" t="str">
        <f>"44481904"</f>
        <v>44481904</v>
      </c>
      <c r="F700" t="str">
        <f>"00384578"</f>
        <v>00384578</v>
      </c>
    </row>
    <row r="701" spans="1:6" x14ac:dyDescent="0.25">
      <c r="A701" t="s">
        <v>876</v>
      </c>
      <c r="C701" t="s">
        <v>231</v>
      </c>
      <c r="E701" t="str">
        <f>"20977791"</f>
        <v>20977791</v>
      </c>
      <c r="F701" t="str">
        <f>"00661116"</f>
        <v>00661116</v>
      </c>
    </row>
    <row r="702" spans="1:6" x14ac:dyDescent="0.25">
      <c r="A702" t="s">
        <v>877</v>
      </c>
      <c r="C702" t="s">
        <v>878</v>
      </c>
      <c r="E702" t="str">
        <f>"49639616"</f>
        <v>49639616</v>
      </c>
      <c r="F702" t="str">
        <f>"00633768"</f>
        <v>00633768</v>
      </c>
    </row>
    <row r="703" spans="1:6" x14ac:dyDescent="0.25">
      <c r="A703" t="s">
        <v>879</v>
      </c>
      <c r="C703" t="s">
        <v>658</v>
      </c>
      <c r="E703" t="str">
        <f>"32205232"</f>
        <v>32205232</v>
      </c>
      <c r="F703" t="str">
        <f>"00694125"</f>
        <v>00694125</v>
      </c>
    </row>
    <row r="704" spans="1:6" x14ac:dyDescent="0.25">
      <c r="A704" t="s">
        <v>880</v>
      </c>
      <c r="C704" t="s">
        <v>881</v>
      </c>
      <c r="E704" t="str">
        <f>"46979777"</f>
        <v>46979777</v>
      </c>
      <c r="F704" t="str">
        <f>"01212992"</f>
        <v>01212992</v>
      </c>
    </row>
    <row r="705" spans="1:6" x14ac:dyDescent="0.25">
      <c r="A705" t="s">
        <v>882</v>
      </c>
      <c r="C705" t="s">
        <v>827</v>
      </c>
      <c r="E705" t="str">
        <f>"22476219"</f>
        <v>22476219</v>
      </c>
      <c r="F705" t="str">
        <f>"10603533"</f>
        <v>10603533</v>
      </c>
    </row>
    <row r="706" spans="1:6" x14ac:dyDescent="0.25">
      <c r="A706" t="s">
        <v>883</v>
      </c>
      <c r="C706" t="s">
        <v>884</v>
      </c>
      <c r="E706" t="str">
        <f>"46648104"</f>
        <v>46648104</v>
      </c>
      <c r="F706" t="str">
        <f>"01358738"</f>
        <v>01358738</v>
      </c>
    </row>
    <row r="707" spans="1:6" x14ac:dyDescent="0.25">
      <c r="A707" t="s">
        <v>885</v>
      </c>
      <c r="C707" t="s">
        <v>493</v>
      </c>
      <c r="E707" t="str">
        <f>"48606649"</f>
        <v>48606649</v>
      </c>
      <c r="F707" t="str">
        <f>"01348309"</f>
        <v>01348309</v>
      </c>
    </row>
    <row r="708" spans="1:6" x14ac:dyDescent="0.25">
      <c r="A708" t="s">
        <v>886</v>
      </c>
      <c r="C708" t="s">
        <v>748</v>
      </c>
      <c r="E708" t="str">
        <f>"48484896"</f>
        <v>48484896</v>
      </c>
      <c r="F708" t="str">
        <f>"01292226"</f>
        <v>01292226</v>
      </c>
    </row>
    <row r="709" spans="1:6" x14ac:dyDescent="0.25">
      <c r="A709" t="s">
        <v>887</v>
      </c>
      <c r="C709" t="s">
        <v>340</v>
      </c>
      <c r="F709" t="str">
        <f>"00674242"</f>
        <v>00674242</v>
      </c>
    </row>
    <row r="710" spans="1:6" x14ac:dyDescent="0.25">
      <c r="A710" t="s">
        <v>828</v>
      </c>
      <c r="C710" t="s">
        <v>827</v>
      </c>
      <c r="F710" t="str">
        <f>"00870642"</f>
        <v>00870642</v>
      </c>
    </row>
    <row r="711" spans="1:6" x14ac:dyDescent="0.25">
      <c r="A711" t="s">
        <v>888</v>
      </c>
      <c r="C711" t="s">
        <v>231</v>
      </c>
      <c r="E711" t="str">
        <f>"46636861"</f>
        <v>46636861</v>
      </c>
      <c r="F711" t="str">
        <f>"00636670"</f>
        <v>00636670</v>
      </c>
    </row>
    <row r="712" spans="1:6" x14ac:dyDescent="0.25">
      <c r="A712" t="s">
        <v>889</v>
      </c>
      <c r="C712" t="s">
        <v>231</v>
      </c>
      <c r="E712" t="str">
        <f>"37288081"</f>
        <v>37288081</v>
      </c>
      <c r="F712" t="str">
        <f>"01346741"</f>
        <v>01346741</v>
      </c>
    </row>
    <row r="713" spans="1:6" x14ac:dyDescent="0.25">
      <c r="A713" t="s">
        <v>890</v>
      </c>
      <c r="C713" t="s">
        <v>435</v>
      </c>
      <c r="E713" t="str">
        <f>"36665353"</f>
        <v>36665353</v>
      </c>
      <c r="F713" t="str">
        <f>"00058362"</f>
        <v>00058362</v>
      </c>
    </row>
    <row r="714" spans="1:6" x14ac:dyDescent="0.25">
      <c r="A714" t="s">
        <v>891</v>
      </c>
      <c r="C714" t="s">
        <v>435</v>
      </c>
      <c r="E714" t="str">
        <f>"47404747"</f>
        <v>47404747</v>
      </c>
      <c r="F714" t="str">
        <f>"01364207"</f>
        <v>01364207</v>
      </c>
    </row>
    <row r="715" spans="1:6" x14ac:dyDescent="0.25">
      <c r="A715" t="s">
        <v>892</v>
      </c>
      <c r="E715" t="str">
        <f>"45252179"</f>
        <v>45252179</v>
      </c>
      <c r="F715" t="str">
        <f>"00614990"</f>
        <v>00614990</v>
      </c>
    </row>
    <row r="716" spans="1:6" x14ac:dyDescent="0.25">
      <c r="A716" t="s">
        <v>893</v>
      </c>
      <c r="C716" t="s">
        <v>827</v>
      </c>
      <c r="E716" t="str">
        <f>"20526481"</f>
        <v>20526481</v>
      </c>
      <c r="F716" t="str">
        <f>"20526481"</f>
        <v>20526481</v>
      </c>
    </row>
    <row r="717" spans="1:6" x14ac:dyDescent="0.25">
      <c r="A717" t="s">
        <v>894</v>
      </c>
      <c r="C717" t="s">
        <v>895</v>
      </c>
      <c r="E717" t="str">
        <f>"48111330"</f>
        <v>48111330</v>
      </c>
      <c r="F717" t="str">
        <f>"01296573"</f>
        <v>01296573</v>
      </c>
    </row>
    <row r="718" spans="1:6" x14ac:dyDescent="0.25">
      <c r="A718" t="s">
        <v>896</v>
      </c>
      <c r="C718" t="s">
        <v>827</v>
      </c>
      <c r="E718" t="str">
        <f>"33337747"</f>
        <v>33337747</v>
      </c>
      <c r="F718" t="str">
        <f>"01356311"</f>
        <v>01356311</v>
      </c>
    </row>
    <row r="719" spans="1:6" x14ac:dyDescent="0.25">
      <c r="A719" t="s">
        <v>897</v>
      </c>
      <c r="C719" t="s">
        <v>827</v>
      </c>
      <c r="F719" t="str">
        <f>"01261536"</f>
        <v>01261536</v>
      </c>
    </row>
    <row r="720" spans="1:6" x14ac:dyDescent="0.25">
      <c r="A720" t="s">
        <v>898</v>
      </c>
      <c r="C720" t="s">
        <v>827</v>
      </c>
      <c r="E720" t="str">
        <f>"36162929"</f>
        <v>36162929</v>
      </c>
      <c r="F720" t="str">
        <f>"01325596"</f>
        <v>01325596</v>
      </c>
    </row>
    <row r="721" spans="1:6" x14ac:dyDescent="0.25">
      <c r="A721" t="s">
        <v>899</v>
      </c>
      <c r="C721" t="s">
        <v>677</v>
      </c>
      <c r="E721" t="str">
        <f>"22356061"</f>
        <v>22356061</v>
      </c>
      <c r="F721" t="str">
        <f>"00449009"</f>
        <v>00449009</v>
      </c>
    </row>
    <row r="722" spans="1:6" x14ac:dyDescent="0.25">
      <c r="A722" t="s">
        <v>900</v>
      </c>
      <c r="C722" t="s">
        <v>901</v>
      </c>
      <c r="E722" t="str">
        <f>"43077819"</f>
        <v>43077819</v>
      </c>
      <c r="F722" t="str">
        <f>"01231008"</f>
        <v>01231008</v>
      </c>
    </row>
    <row r="723" spans="1:6" x14ac:dyDescent="0.25">
      <c r="A723" t="s">
        <v>902</v>
      </c>
      <c r="C723" t="s">
        <v>7</v>
      </c>
      <c r="E723" t="str">
        <f>"46440201"</f>
        <v>46440201</v>
      </c>
      <c r="F723" t="str">
        <f>"00595066"</f>
        <v>00595066</v>
      </c>
    </row>
    <row r="724" spans="1:6" x14ac:dyDescent="0.25">
      <c r="A724" t="s">
        <v>903</v>
      </c>
      <c r="C724" t="s">
        <v>27</v>
      </c>
      <c r="E724" t="str">
        <f>"28222261"</f>
        <v>28222261</v>
      </c>
      <c r="F724" t="str">
        <f>"00520338"</f>
        <v>00520338</v>
      </c>
    </row>
    <row r="725" spans="1:6" x14ac:dyDescent="0.25">
      <c r="A725" t="s">
        <v>904</v>
      </c>
      <c r="C725" t="s">
        <v>257</v>
      </c>
      <c r="E725" t="str">
        <f>"46593520"</f>
        <v>46593520</v>
      </c>
      <c r="F725" t="str">
        <f>"00081257"</f>
        <v>00081257</v>
      </c>
    </row>
    <row r="726" spans="1:6" x14ac:dyDescent="0.25">
      <c r="A726" t="s">
        <v>905</v>
      </c>
      <c r="C726" t="s">
        <v>23</v>
      </c>
      <c r="E726" s="1">
        <v>2225254274</v>
      </c>
      <c r="F726" t="str">
        <f>"20600232"</f>
        <v>20600232</v>
      </c>
    </row>
    <row r="727" spans="1:6" x14ac:dyDescent="0.25">
      <c r="A727" t="s">
        <v>906</v>
      </c>
      <c r="C727" t="s">
        <v>907</v>
      </c>
      <c r="E727" t="str">
        <f>"47303403"</f>
        <v>47303403</v>
      </c>
      <c r="F727" t="str">
        <f>"00932160"</f>
        <v>00932160</v>
      </c>
    </row>
    <row r="728" spans="1:6" x14ac:dyDescent="0.25">
      <c r="A728" t="s">
        <v>908</v>
      </c>
      <c r="C728" t="s">
        <v>658</v>
      </c>
      <c r="F728" t="str">
        <f>"00811703"</f>
        <v>00811703</v>
      </c>
    </row>
    <row r="729" spans="1:6" x14ac:dyDescent="0.25">
      <c r="A729" t="s">
        <v>909</v>
      </c>
      <c r="C729" t="s">
        <v>9</v>
      </c>
      <c r="E729" t="str">
        <f>"38333373"</f>
        <v>38333373</v>
      </c>
      <c r="F729" t="str">
        <f>"01305085"</f>
        <v>01305085</v>
      </c>
    </row>
    <row r="730" spans="1:6" x14ac:dyDescent="0.25">
      <c r="A730" t="s">
        <v>910</v>
      </c>
      <c r="C730" t="s">
        <v>9</v>
      </c>
      <c r="F730" t="str">
        <f>"10900372"</f>
        <v>10900372</v>
      </c>
    </row>
    <row r="731" spans="1:6" x14ac:dyDescent="0.25">
      <c r="A731" t="s">
        <v>911</v>
      </c>
      <c r="C731" t="s">
        <v>748</v>
      </c>
      <c r="F731" t="str">
        <f>"00034850"</f>
        <v>00034850</v>
      </c>
    </row>
    <row r="732" spans="1:6" x14ac:dyDescent="0.25">
      <c r="A732" t="s">
        <v>912</v>
      </c>
      <c r="C732" t="s">
        <v>9</v>
      </c>
      <c r="E732" t="str">
        <f>"45253396"</f>
        <v>45253396</v>
      </c>
      <c r="F732" t="str">
        <f>"00853861"</f>
        <v>00853861</v>
      </c>
    </row>
    <row r="733" spans="1:6" x14ac:dyDescent="0.25">
      <c r="A733" t="s">
        <v>913</v>
      </c>
      <c r="C733" t="s">
        <v>677</v>
      </c>
      <c r="E733" t="str">
        <f>"41435055"</f>
        <v>41435055</v>
      </c>
      <c r="F733" t="str">
        <f>"00544080"</f>
        <v>00544080</v>
      </c>
    </row>
    <row r="734" spans="1:6" x14ac:dyDescent="0.25">
      <c r="A734" t="s">
        <v>914</v>
      </c>
      <c r="C734" t="s">
        <v>677</v>
      </c>
      <c r="E734" t="str">
        <f>"32120968"</f>
        <v>32120968</v>
      </c>
      <c r="F734" t="str">
        <f>"00719708"</f>
        <v>00719708</v>
      </c>
    </row>
    <row r="735" spans="1:6" x14ac:dyDescent="0.25">
      <c r="A735" t="s">
        <v>915</v>
      </c>
      <c r="C735" t="s">
        <v>827</v>
      </c>
      <c r="E735" t="str">
        <f>"48111330"</f>
        <v>48111330</v>
      </c>
      <c r="F735" t="str">
        <f>"00827402"</f>
        <v>00827402</v>
      </c>
    </row>
    <row r="736" spans="1:6" x14ac:dyDescent="0.25">
      <c r="A736" t="s">
        <v>916</v>
      </c>
      <c r="C736" t="s">
        <v>9</v>
      </c>
      <c r="E736" t="str">
        <f>"37206375"</f>
        <v>37206375</v>
      </c>
      <c r="F736" t="str">
        <f>"00231126"</f>
        <v>00231126</v>
      </c>
    </row>
    <row r="737" spans="1:6" x14ac:dyDescent="0.25">
      <c r="A737" t="s">
        <v>917</v>
      </c>
      <c r="C737" t="s">
        <v>827</v>
      </c>
      <c r="F737" t="str">
        <f>"00346700"</f>
        <v>00346700</v>
      </c>
    </row>
    <row r="738" spans="1:6" x14ac:dyDescent="0.25">
      <c r="A738" t="s">
        <v>918</v>
      </c>
      <c r="C738" t="s">
        <v>9</v>
      </c>
      <c r="E738" t="str">
        <f>"45251894"</f>
        <v>45251894</v>
      </c>
      <c r="F738" t="str">
        <f>"00127498"</f>
        <v>00127498</v>
      </c>
    </row>
    <row r="739" spans="1:6" x14ac:dyDescent="0.25">
      <c r="A739" t="s">
        <v>919</v>
      </c>
      <c r="C739" t="s">
        <v>920</v>
      </c>
      <c r="E739" t="str">
        <f>"34154401"</f>
        <v>34154401</v>
      </c>
      <c r="F739" t="str">
        <f>"01367655"</f>
        <v>01367655</v>
      </c>
    </row>
    <row r="740" spans="1:6" x14ac:dyDescent="0.25">
      <c r="A740" t="s">
        <v>921</v>
      </c>
      <c r="C740" t="s">
        <v>19</v>
      </c>
      <c r="E740" t="str">
        <f>"46705064"</f>
        <v>46705064</v>
      </c>
      <c r="F740" t="str">
        <f>"20703657"</f>
        <v>20703657</v>
      </c>
    </row>
    <row r="741" spans="1:6" x14ac:dyDescent="0.25">
      <c r="A741" t="s">
        <v>922</v>
      </c>
      <c r="C741" t="s">
        <v>827</v>
      </c>
      <c r="E741" t="str">
        <f>"46502020"</f>
        <v>46502020</v>
      </c>
      <c r="F741" t="str">
        <f>"00309104"</f>
        <v>00309104</v>
      </c>
    </row>
    <row r="742" spans="1:6" x14ac:dyDescent="0.25">
      <c r="A742" t="s">
        <v>923</v>
      </c>
      <c r="C742" t="s">
        <v>530</v>
      </c>
      <c r="E742" t="str">
        <f>"27622433"</f>
        <v>27622433</v>
      </c>
      <c r="F742" t="str">
        <f>"01333335"</f>
        <v>01333335</v>
      </c>
    </row>
    <row r="743" spans="1:6" x14ac:dyDescent="0.25">
      <c r="A743" t="s">
        <v>924</v>
      </c>
      <c r="C743" t="s">
        <v>530</v>
      </c>
      <c r="E743" t="str">
        <f>"27777740"</f>
        <v>27777740</v>
      </c>
      <c r="F743" t="str">
        <f>"00231456"</f>
        <v>00231456</v>
      </c>
    </row>
    <row r="744" spans="1:6" x14ac:dyDescent="0.25">
      <c r="A744" t="s">
        <v>925</v>
      </c>
      <c r="C744" t="s">
        <v>27</v>
      </c>
      <c r="E744" t="str">
        <f>"42260202"</f>
        <v>42260202</v>
      </c>
      <c r="F744" t="str">
        <f>"00490490"</f>
        <v>00490490</v>
      </c>
    </row>
    <row r="745" spans="1:6" x14ac:dyDescent="0.25">
      <c r="A745" t="s">
        <v>926</v>
      </c>
      <c r="C745" t="s">
        <v>927</v>
      </c>
      <c r="E745" t="str">
        <f>"22405756"</f>
        <v>22405756</v>
      </c>
      <c r="F745" t="str">
        <f>"00521740"</f>
        <v>00521740</v>
      </c>
    </row>
    <row r="746" spans="1:6" x14ac:dyDescent="0.25">
      <c r="A746" t="s">
        <v>928</v>
      </c>
      <c r="C746" t="s">
        <v>435</v>
      </c>
      <c r="E746" t="str">
        <f>"48585799"</f>
        <v>48585799</v>
      </c>
      <c r="F746" t="str">
        <f>"01324102"</f>
        <v>01324102</v>
      </c>
    </row>
    <row r="747" spans="1:6" x14ac:dyDescent="0.25">
      <c r="A747" t="s">
        <v>929</v>
      </c>
      <c r="C747" t="s">
        <v>435</v>
      </c>
      <c r="E747" t="str">
        <f>"36368006"</f>
        <v>36368006</v>
      </c>
      <c r="F747" t="str">
        <f>"21101420"</f>
        <v>21101420</v>
      </c>
    </row>
    <row r="748" spans="1:6" x14ac:dyDescent="0.25">
      <c r="A748" t="s">
        <v>930</v>
      </c>
      <c r="C748" t="s">
        <v>27</v>
      </c>
      <c r="E748" t="str">
        <f>"36361606"</f>
        <v>36361606</v>
      </c>
      <c r="F748" t="str">
        <f>"20702618"</f>
        <v>20702618</v>
      </c>
    </row>
    <row r="749" spans="1:6" x14ac:dyDescent="0.25">
      <c r="A749" t="s">
        <v>931</v>
      </c>
      <c r="C749" t="s">
        <v>231</v>
      </c>
      <c r="E749" t="str">
        <f>"46496464"</f>
        <v>46496464</v>
      </c>
      <c r="F749" t="str">
        <f>"01357805"</f>
        <v>01357805</v>
      </c>
    </row>
    <row r="750" spans="1:6" x14ac:dyDescent="0.25">
      <c r="A750" t="s">
        <v>932</v>
      </c>
      <c r="C750" t="s">
        <v>27</v>
      </c>
      <c r="E750" t="str">
        <f>"45166948"</f>
        <v>45166948</v>
      </c>
      <c r="F750" t="str">
        <f>"10701982"</f>
        <v>10701982</v>
      </c>
    </row>
    <row r="751" spans="1:6" x14ac:dyDescent="0.25">
      <c r="A751" t="s">
        <v>933</v>
      </c>
      <c r="C751" t="s">
        <v>530</v>
      </c>
      <c r="E751" t="str">
        <f>"31500101"</f>
        <v>31500101</v>
      </c>
      <c r="F751" t="str">
        <f>"01357250"</f>
        <v>01357250</v>
      </c>
    </row>
    <row r="752" spans="1:6" x14ac:dyDescent="0.25">
      <c r="A752" t="s">
        <v>934</v>
      </c>
      <c r="F752" t="str">
        <f>"21101073"</f>
        <v>21101073</v>
      </c>
    </row>
    <row r="753" spans="1:6" x14ac:dyDescent="0.25">
      <c r="A753" t="s">
        <v>935</v>
      </c>
      <c r="C753" t="s">
        <v>27</v>
      </c>
      <c r="E753" t="str">
        <f>"33393939"</f>
        <v>33393939</v>
      </c>
      <c r="F753" t="str">
        <f>"00726281"</f>
        <v>00726281</v>
      </c>
    </row>
    <row r="754" spans="1:6" x14ac:dyDescent="0.25">
      <c r="A754" t="s">
        <v>936</v>
      </c>
      <c r="C754" t="s">
        <v>488</v>
      </c>
      <c r="E754" t="str">
        <f>"22940617"</f>
        <v>22940617</v>
      </c>
      <c r="F754" t="str">
        <f>"10717780"</f>
        <v>10717780</v>
      </c>
    </row>
    <row r="755" spans="1:6" x14ac:dyDescent="0.25">
      <c r="A755" t="s">
        <v>937</v>
      </c>
      <c r="C755" t="s">
        <v>27</v>
      </c>
      <c r="E755" t="str">
        <f>"22601161"</f>
        <v>22601161</v>
      </c>
      <c r="F755" t="str">
        <f>"00340307"</f>
        <v>00340307</v>
      </c>
    </row>
    <row r="756" spans="1:6" x14ac:dyDescent="0.25">
      <c r="A756" t="s">
        <v>938</v>
      </c>
      <c r="C756" t="s">
        <v>30</v>
      </c>
      <c r="E756" t="str">
        <f>"32209092"</f>
        <v>32209092</v>
      </c>
      <c r="F756" t="str">
        <f>"00755272"</f>
        <v>00755272</v>
      </c>
    </row>
    <row r="757" spans="1:6" x14ac:dyDescent="0.25">
      <c r="A757" t="s">
        <v>939</v>
      </c>
      <c r="C757" t="s">
        <v>27</v>
      </c>
      <c r="E757" t="str">
        <f>"33135340"</f>
        <v>33135340</v>
      </c>
      <c r="F757" t="str">
        <f>"01378579"</f>
        <v>01378579</v>
      </c>
    </row>
    <row r="758" spans="1:6" x14ac:dyDescent="0.25">
      <c r="A758" t="s">
        <v>940</v>
      </c>
      <c r="C758" t="s">
        <v>941</v>
      </c>
      <c r="E758" t="str">
        <f>"22358857"</f>
        <v>22358857</v>
      </c>
      <c r="F758" t="str">
        <f>"30600240"</f>
        <v>30600240</v>
      </c>
    </row>
    <row r="759" spans="1:6" x14ac:dyDescent="0.25">
      <c r="A759" t="s">
        <v>942</v>
      </c>
      <c r="C759" t="s">
        <v>27</v>
      </c>
      <c r="E759" t="str">
        <f>"47523238"</f>
        <v>47523238</v>
      </c>
      <c r="F759" t="str">
        <f>"00611798"</f>
        <v>00611798</v>
      </c>
    </row>
    <row r="760" spans="1:6" x14ac:dyDescent="0.25">
      <c r="A760" t="s">
        <v>943</v>
      </c>
      <c r="C760" t="s">
        <v>27</v>
      </c>
      <c r="E760" t="str">
        <f>"46604691"</f>
        <v>46604691</v>
      </c>
      <c r="F760" t="str">
        <f>"01378488"</f>
        <v>01378488</v>
      </c>
    </row>
    <row r="761" spans="1:6" x14ac:dyDescent="0.25">
      <c r="A761" t="s">
        <v>944</v>
      </c>
    </row>
    <row r="762" spans="1:6" x14ac:dyDescent="0.25">
      <c r="A762" t="s">
        <v>945</v>
      </c>
      <c r="C762" t="s">
        <v>827</v>
      </c>
      <c r="E762" t="str">
        <f>"27929216"</f>
        <v>27929216</v>
      </c>
      <c r="F762" t="str">
        <f>"00874164"</f>
        <v>00874164</v>
      </c>
    </row>
    <row r="763" spans="1:6" x14ac:dyDescent="0.25">
      <c r="A763" t="s">
        <v>946</v>
      </c>
      <c r="C763" t="s">
        <v>947</v>
      </c>
      <c r="E763" t="str">
        <f>"+212522975665"</f>
        <v>+212522975665</v>
      </c>
    </row>
    <row r="764" spans="1:6" x14ac:dyDescent="0.25">
      <c r="A764" t="s">
        <v>948</v>
      </c>
      <c r="C764" t="s">
        <v>435</v>
      </c>
      <c r="E764" t="str">
        <f>"46580220"</f>
        <v>46580220</v>
      </c>
      <c r="F764" t="str">
        <f>"00789933"</f>
        <v>00789933</v>
      </c>
    </row>
    <row r="765" spans="1:6" x14ac:dyDescent="0.25">
      <c r="A765" t="s">
        <v>949</v>
      </c>
      <c r="C765" t="s">
        <v>950</v>
      </c>
      <c r="E765" t="str">
        <f>"22449901"</f>
        <v>22449901</v>
      </c>
      <c r="F765" t="str">
        <f>"00150060"</f>
        <v>00150060</v>
      </c>
    </row>
    <row r="766" spans="1:6" x14ac:dyDescent="0.25">
      <c r="A766" t="s">
        <v>951</v>
      </c>
      <c r="C766" t="s">
        <v>231</v>
      </c>
      <c r="E766" t="str">
        <f>"22041848"</f>
        <v>22041848</v>
      </c>
      <c r="F766" t="str">
        <f>"01379825"</f>
        <v>01379825</v>
      </c>
    </row>
    <row r="767" spans="1:6" x14ac:dyDescent="0.25">
      <c r="A767" t="s">
        <v>952</v>
      </c>
      <c r="C767" t="s">
        <v>470</v>
      </c>
      <c r="E767" t="str">
        <f>"46864715"</f>
        <v>46864715</v>
      </c>
      <c r="F767" t="str">
        <f>"10703434"</f>
        <v>10703434</v>
      </c>
    </row>
    <row r="768" spans="1:6" x14ac:dyDescent="0.25">
      <c r="A768" t="s">
        <v>953</v>
      </c>
      <c r="C768" t="s">
        <v>27</v>
      </c>
      <c r="E768" t="str">
        <f>"46790878"</f>
        <v>46790878</v>
      </c>
      <c r="F768" t="str">
        <f>"00506915"</f>
        <v>00506915</v>
      </c>
    </row>
    <row r="769" spans="1:6" x14ac:dyDescent="0.25">
      <c r="A769" t="s">
        <v>954</v>
      </c>
      <c r="C769" t="s">
        <v>488</v>
      </c>
      <c r="E769" t="str">
        <f>"26141410"</f>
        <v>26141410</v>
      </c>
      <c r="F769" t="str">
        <f>"10707468"</f>
        <v>10707468</v>
      </c>
    </row>
    <row r="770" spans="1:6" x14ac:dyDescent="0.25">
      <c r="A770" t="s">
        <v>955</v>
      </c>
      <c r="C770" t="s">
        <v>27</v>
      </c>
      <c r="E770" t="str">
        <f>"45254508"</f>
        <v>45254508</v>
      </c>
      <c r="F770" t="str">
        <f>"00264366"</f>
        <v>00264366</v>
      </c>
    </row>
    <row r="771" spans="1:6" x14ac:dyDescent="0.25">
      <c r="A771" t="s">
        <v>956</v>
      </c>
      <c r="C771" t="s">
        <v>957</v>
      </c>
      <c r="E771" t="str">
        <f>"34367355"</f>
        <v>34367355</v>
      </c>
      <c r="F771" t="str">
        <f>"00744664"</f>
        <v>00744664</v>
      </c>
    </row>
    <row r="772" spans="1:6" x14ac:dyDescent="0.25">
      <c r="A772" t="s">
        <v>958</v>
      </c>
      <c r="C772" t="s">
        <v>27</v>
      </c>
      <c r="E772" t="str">
        <f>"22846828"</f>
        <v>22846828</v>
      </c>
      <c r="F772" t="str">
        <f>"00890640"</f>
        <v>00890640</v>
      </c>
    </row>
    <row r="773" spans="1:6" x14ac:dyDescent="0.25">
      <c r="A773" t="s">
        <v>959</v>
      </c>
      <c r="C773" t="s">
        <v>960</v>
      </c>
      <c r="E773" t="str">
        <f>"36260966"</f>
        <v>36260966</v>
      </c>
      <c r="F773" t="str">
        <f>"10706213"</f>
        <v>10706213</v>
      </c>
    </row>
    <row r="774" spans="1:6" x14ac:dyDescent="0.25">
      <c r="A774" t="s">
        <v>961</v>
      </c>
      <c r="C774" t="s">
        <v>27</v>
      </c>
      <c r="E774" t="str">
        <f>"36302373"</f>
        <v>36302373</v>
      </c>
      <c r="F774" t="str">
        <f>"10600554"</f>
        <v>10600554</v>
      </c>
    </row>
    <row r="775" spans="1:6" x14ac:dyDescent="0.25">
      <c r="A775" t="s">
        <v>962</v>
      </c>
      <c r="C775" t="s">
        <v>27</v>
      </c>
      <c r="E775" t="str">
        <f>"36353345"</f>
        <v>36353345</v>
      </c>
      <c r="F775" t="str">
        <f>"00828723"</f>
        <v>00828723</v>
      </c>
    </row>
    <row r="776" spans="1:6" x14ac:dyDescent="0.25">
      <c r="A776" t="s">
        <v>963</v>
      </c>
      <c r="C776" t="s">
        <v>27</v>
      </c>
      <c r="E776" t="str">
        <f>"27815757"</f>
        <v>27815757</v>
      </c>
      <c r="F776" t="str">
        <f>"00741678"</f>
        <v>00741678</v>
      </c>
    </row>
    <row r="777" spans="1:6" x14ac:dyDescent="0.25">
      <c r="A777" t="s">
        <v>964</v>
      </c>
      <c r="C777" t="s">
        <v>470</v>
      </c>
      <c r="E777" t="str">
        <f>"22108564"</f>
        <v>22108564</v>
      </c>
      <c r="F777" t="str">
        <f>"00233296"</f>
        <v>00233296</v>
      </c>
    </row>
    <row r="778" spans="1:6" x14ac:dyDescent="0.25">
      <c r="A778" t="s">
        <v>965</v>
      </c>
      <c r="C778" t="s">
        <v>27</v>
      </c>
      <c r="E778" t="str">
        <f>"26341044"</f>
        <v>26341044</v>
      </c>
      <c r="F778" t="str">
        <f>"00701672"</f>
        <v>00701672</v>
      </c>
    </row>
    <row r="779" spans="1:6" x14ac:dyDescent="0.25">
      <c r="A779" t="s">
        <v>966</v>
      </c>
      <c r="C779" t="s">
        <v>27</v>
      </c>
      <c r="E779" t="str">
        <f>"26303013"</f>
        <v>26303013</v>
      </c>
      <c r="F779" t="str">
        <f>"00066241"</f>
        <v>00066241</v>
      </c>
    </row>
    <row r="780" spans="1:6" x14ac:dyDescent="0.25">
      <c r="A780" t="s">
        <v>967</v>
      </c>
      <c r="C780" t="s">
        <v>231</v>
      </c>
      <c r="E780" t="str">
        <f>"22305322"</f>
        <v>22305322</v>
      </c>
      <c r="F780" t="str">
        <f>"00900316"</f>
        <v>00900316</v>
      </c>
    </row>
    <row r="781" spans="1:6" x14ac:dyDescent="0.25">
      <c r="A781" t="s">
        <v>968</v>
      </c>
      <c r="C781" t="s">
        <v>340</v>
      </c>
      <c r="E781" t="str">
        <f>"5259501"</f>
        <v>5259501</v>
      </c>
      <c r="F781" t="str">
        <f>"20700232"</f>
        <v>20700232</v>
      </c>
    </row>
    <row r="782" spans="1:6" x14ac:dyDescent="0.25">
      <c r="A782" t="s">
        <v>969</v>
      </c>
      <c r="C782" t="s">
        <v>27</v>
      </c>
      <c r="E782" t="str">
        <f>"46581158"</f>
        <v>46581158</v>
      </c>
      <c r="F782" t="str">
        <f>"01362565"</f>
        <v>01362565</v>
      </c>
    </row>
    <row r="783" spans="1:6" x14ac:dyDescent="0.25">
      <c r="A783" t="s">
        <v>970</v>
      </c>
      <c r="C783" t="s">
        <v>30</v>
      </c>
      <c r="E783" t="str">
        <f>"36129691"</f>
        <v>36129691</v>
      </c>
      <c r="F783" t="str">
        <f>"10702758"</f>
        <v>10702758</v>
      </c>
    </row>
    <row r="784" spans="1:6" x14ac:dyDescent="0.25">
      <c r="A784" t="s">
        <v>971</v>
      </c>
      <c r="C784" t="s">
        <v>972</v>
      </c>
      <c r="E784" t="str">
        <f>"36690161"</f>
        <v>36690161</v>
      </c>
      <c r="F784" t="str">
        <f>"10706007"</f>
        <v>10706007</v>
      </c>
    </row>
    <row r="785" spans="1:6" x14ac:dyDescent="0.25">
      <c r="A785" t="s">
        <v>973</v>
      </c>
      <c r="C785" t="s">
        <v>27</v>
      </c>
      <c r="E785" t="str">
        <f>"48391904"</f>
        <v>48391904</v>
      </c>
      <c r="F785" t="str">
        <f>"01190933"</f>
        <v>01190933</v>
      </c>
    </row>
    <row r="786" spans="1:6" x14ac:dyDescent="0.25">
      <c r="A786" t="s">
        <v>974</v>
      </c>
      <c r="C786" t="s">
        <v>257</v>
      </c>
      <c r="E786" t="str">
        <f>"22305173"</f>
        <v>22305173</v>
      </c>
      <c r="F786" t="str">
        <f>"00185207"</f>
        <v>00185207</v>
      </c>
    </row>
    <row r="787" spans="1:6" x14ac:dyDescent="0.25">
      <c r="A787" t="s">
        <v>975</v>
      </c>
      <c r="C787" t="s">
        <v>488</v>
      </c>
      <c r="E787" t="str">
        <f>"26908000"</f>
        <v>26908000</v>
      </c>
      <c r="F787" t="str">
        <f>"01359025"</f>
        <v>01359025</v>
      </c>
    </row>
    <row r="788" spans="1:6" x14ac:dyDescent="0.25">
      <c r="A788" t="s">
        <v>976</v>
      </c>
      <c r="C788" t="s">
        <v>972</v>
      </c>
      <c r="E788" t="str">
        <f>"36310332"</f>
        <v>36310332</v>
      </c>
      <c r="F788" t="str">
        <f>"01378025"</f>
        <v>01378025</v>
      </c>
    </row>
    <row r="789" spans="1:6" x14ac:dyDescent="0.25">
      <c r="A789" t="s">
        <v>977</v>
      </c>
      <c r="C789" t="s">
        <v>27</v>
      </c>
      <c r="E789" t="str">
        <f>"22327432"</f>
        <v>22327432</v>
      </c>
      <c r="F789" t="str">
        <f>"00665158"</f>
        <v>00665158</v>
      </c>
    </row>
    <row r="790" spans="1:6" x14ac:dyDescent="0.25">
      <c r="A790" t="s">
        <v>978</v>
      </c>
      <c r="C790" t="s">
        <v>231</v>
      </c>
      <c r="E790" t="str">
        <f>"46662888"</f>
        <v>46662888</v>
      </c>
      <c r="F790" t="str">
        <f>"01314715"</f>
        <v>01314715</v>
      </c>
    </row>
    <row r="791" spans="1:6" x14ac:dyDescent="0.25">
      <c r="A791" t="s">
        <v>979</v>
      </c>
      <c r="C791" t="s">
        <v>32</v>
      </c>
      <c r="E791" t="str">
        <f>"46777668"</f>
        <v>46777668</v>
      </c>
      <c r="F791" t="str">
        <f>"10723903"</f>
        <v>10723903</v>
      </c>
    </row>
    <row r="792" spans="1:6" x14ac:dyDescent="0.25">
      <c r="A792" t="s">
        <v>980</v>
      </c>
      <c r="F792" t="str">
        <f>"20700596"</f>
        <v>20700596</v>
      </c>
    </row>
    <row r="793" spans="1:6" x14ac:dyDescent="0.25">
      <c r="A793" t="s">
        <v>981</v>
      </c>
      <c r="F793" t="str">
        <f>"0068156"</f>
        <v>0068156</v>
      </c>
    </row>
    <row r="794" spans="1:6" x14ac:dyDescent="0.25">
      <c r="A794" t="s">
        <v>982</v>
      </c>
    </row>
    <row r="795" spans="1:6" x14ac:dyDescent="0.25">
      <c r="A795" t="s">
        <v>983</v>
      </c>
      <c r="F795" t="str">
        <f>"00796102"</f>
        <v>00796102</v>
      </c>
    </row>
    <row r="796" spans="1:6" x14ac:dyDescent="0.25">
      <c r="A796" t="s">
        <v>984</v>
      </c>
    </row>
    <row r="797" spans="1:6" x14ac:dyDescent="0.25">
      <c r="A797" t="s">
        <v>985</v>
      </c>
      <c r="F797" t="str">
        <f>"01355031"</f>
        <v>01355031</v>
      </c>
    </row>
    <row r="798" spans="1:6" x14ac:dyDescent="0.25">
      <c r="A798" t="s">
        <v>986</v>
      </c>
      <c r="C798" t="s">
        <v>987</v>
      </c>
      <c r="E798" t="str">
        <f>"36199533"</f>
        <v>36199533</v>
      </c>
      <c r="F798" t="str">
        <f>"00469734"</f>
        <v>00469734</v>
      </c>
    </row>
    <row r="799" spans="1:6" x14ac:dyDescent="0.25">
      <c r="A799" t="s">
        <v>988</v>
      </c>
      <c r="C799" t="s">
        <v>530</v>
      </c>
      <c r="E799" t="str">
        <f>"31312129"</f>
        <v>31312129</v>
      </c>
      <c r="F799" t="str">
        <f>"01392216"</f>
        <v>01392216</v>
      </c>
    </row>
    <row r="800" spans="1:6" x14ac:dyDescent="0.25">
      <c r="A800" t="s">
        <v>989</v>
      </c>
      <c r="C800" t="s">
        <v>27</v>
      </c>
      <c r="E800" t="str">
        <f>"22308889"</f>
        <v>22308889</v>
      </c>
      <c r="F800" t="str">
        <f>"00767681"</f>
        <v>00767681</v>
      </c>
    </row>
    <row r="801" spans="1:6" x14ac:dyDescent="0.25">
      <c r="A801" t="s">
        <v>990</v>
      </c>
      <c r="C801" t="s">
        <v>27</v>
      </c>
      <c r="E801" t="str">
        <f>"33003239"</f>
        <v>33003239</v>
      </c>
      <c r="F801" t="str">
        <f>"00821447"</f>
        <v>00821447</v>
      </c>
    </row>
    <row r="802" spans="1:6" x14ac:dyDescent="0.25">
      <c r="A802" t="s">
        <v>991</v>
      </c>
      <c r="C802" t="s">
        <v>27</v>
      </c>
      <c r="E802" t="str">
        <f>"22000323"</f>
        <v>22000323</v>
      </c>
      <c r="F802" t="str">
        <f>"01384049"</f>
        <v>01384049</v>
      </c>
    </row>
    <row r="803" spans="1:6" x14ac:dyDescent="0.25">
      <c r="A803" t="s">
        <v>992</v>
      </c>
      <c r="C803" t="s">
        <v>27</v>
      </c>
      <c r="E803" t="str">
        <f>"36672189"</f>
        <v>36672189</v>
      </c>
      <c r="F803" t="str">
        <f>"00617316"</f>
        <v>00617316</v>
      </c>
    </row>
    <row r="804" spans="1:6" x14ac:dyDescent="0.25">
      <c r="A804" t="s">
        <v>993</v>
      </c>
      <c r="C804" t="s">
        <v>994</v>
      </c>
      <c r="E804" t="str">
        <f>"22270680"</f>
        <v>22270680</v>
      </c>
      <c r="F804" t="str">
        <f>"00640334"</f>
        <v>00640334</v>
      </c>
    </row>
    <row r="805" spans="1:6" x14ac:dyDescent="0.25">
      <c r="A805" t="s">
        <v>995</v>
      </c>
      <c r="C805" t="s">
        <v>231</v>
      </c>
      <c r="E805" t="str">
        <f>"20213823"</f>
        <v>20213823</v>
      </c>
      <c r="F805" t="str">
        <f>"00837666"</f>
        <v>00837666</v>
      </c>
    </row>
    <row r="806" spans="1:6" x14ac:dyDescent="0.25">
      <c r="A806" t="s">
        <v>996</v>
      </c>
      <c r="C806" t="s">
        <v>277</v>
      </c>
      <c r="E806" t="str">
        <f>"46079607"</f>
        <v>46079607</v>
      </c>
      <c r="F806" t="str">
        <f>"01393651"</f>
        <v>01393651</v>
      </c>
    </row>
    <row r="807" spans="1:6" x14ac:dyDescent="0.25">
      <c r="A807" t="s">
        <v>997</v>
      </c>
      <c r="C807" t="s">
        <v>27</v>
      </c>
      <c r="E807" t="str">
        <f>"31353500"</f>
        <v>31353500</v>
      </c>
      <c r="F807" t="str">
        <f>"10718994"</f>
        <v>10718994</v>
      </c>
    </row>
    <row r="808" spans="1:6" x14ac:dyDescent="0.25">
      <c r="A808" t="s">
        <v>998</v>
      </c>
      <c r="C808" t="s">
        <v>231</v>
      </c>
      <c r="E808" t="str">
        <f>"22157804"</f>
        <v>22157804</v>
      </c>
      <c r="F808" t="str">
        <f>"00064121"</f>
        <v>00064121</v>
      </c>
    </row>
    <row r="809" spans="1:6" x14ac:dyDescent="0.25">
      <c r="A809" t="s">
        <v>999</v>
      </c>
      <c r="C809" t="s">
        <v>530</v>
      </c>
      <c r="E809" t="str">
        <f>"46444605"</f>
        <v>46444605</v>
      </c>
      <c r="F809" t="str">
        <f>"01307263"</f>
        <v>01307263</v>
      </c>
    </row>
    <row r="810" spans="1:6" x14ac:dyDescent="0.25">
      <c r="A810" t="s">
        <v>1000</v>
      </c>
      <c r="C810" t="s">
        <v>27</v>
      </c>
      <c r="E810" t="str">
        <f>"27506212"</f>
        <v>27506212</v>
      </c>
      <c r="F810" t="str">
        <f>"00104828"</f>
        <v>00104828</v>
      </c>
    </row>
    <row r="811" spans="1:6" x14ac:dyDescent="0.25">
      <c r="A811" t="s">
        <v>1001</v>
      </c>
      <c r="C811" t="s">
        <v>231</v>
      </c>
      <c r="E811" t="str">
        <f>"37150080"</f>
        <v>37150080</v>
      </c>
      <c r="F811" t="str">
        <f>"00657841"</f>
        <v>00657841</v>
      </c>
    </row>
    <row r="812" spans="1:6" x14ac:dyDescent="0.25">
      <c r="A812" t="s">
        <v>1002</v>
      </c>
      <c r="C812" t="s">
        <v>27</v>
      </c>
      <c r="E812" t="str">
        <f>"27438484"</f>
        <v>27438484</v>
      </c>
      <c r="F812" t="str">
        <f>"01313600"</f>
        <v>01313600</v>
      </c>
    </row>
    <row r="813" spans="1:6" x14ac:dyDescent="0.25">
      <c r="A813" t="s">
        <v>1003</v>
      </c>
      <c r="C813" t="s">
        <v>231</v>
      </c>
      <c r="E813" t="str">
        <f>"36319769"</f>
        <v>36319769</v>
      </c>
      <c r="F813" t="str">
        <f>"20700844"</f>
        <v>20700844</v>
      </c>
    </row>
    <row r="814" spans="1:6" x14ac:dyDescent="0.25">
      <c r="A814" t="s">
        <v>1004</v>
      </c>
      <c r="C814" t="s">
        <v>530</v>
      </c>
      <c r="E814" t="str">
        <f>"46711210"</f>
        <v>46711210</v>
      </c>
      <c r="F814" t="str">
        <f>"01302116"</f>
        <v>01302116</v>
      </c>
    </row>
    <row r="815" spans="1:6" x14ac:dyDescent="0.25">
      <c r="A815" t="s">
        <v>1005</v>
      </c>
      <c r="C815" t="s">
        <v>470</v>
      </c>
      <c r="E815" t="str">
        <f>"22374679"</f>
        <v>22374679</v>
      </c>
      <c r="F815" t="str">
        <f>"90232710"</f>
        <v>90232710</v>
      </c>
    </row>
    <row r="816" spans="1:6" x14ac:dyDescent="0.25">
      <c r="A816" t="s">
        <v>1006</v>
      </c>
      <c r="C816" t="s">
        <v>27</v>
      </c>
      <c r="E816" t="str">
        <f>"32717108"</f>
        <v>32717108</v>
      </c>
      <c r="F816" t="str">
        <f>"00842195"</f>
        <v>00842195</v>
      </c>
    </row>
    <row r="817" spans="1:6" x14ac:dyDescent="0.25">
      <c r="A817" t="s">
        <v>1007</v>
      </c>
      <c r="C817" t="s">
        <v>231</v>
      </c>
      <c r="E817" t="str">
        <f>"36603336"</f>
        <v>36603336</v>
      </c>
      <c r="F817" t="str">
        <f>"00525931"</f>
        <v>00525931</v>
      </c>
    </row>
    <row r="818" spans="1:6" x14ac:dyDescent="0.25">
      <c r="A818" t="s">
        <v>1008</v>
      </c>
      <c r="C818" t="s">
        <v>340</v>
      </c>
      <c r="E818" t="str">
        <f>"47107835"</f>
        <v>47107835</v>
      </c>
      <c r="F818" t="str">
        <f>"00351866"</f>
        <v>00351866</v>
      </c>
    </row>
    <row r="819" spans="1:6" x14ac:dyDescent="0.25">
      <c r="A819" t="s">
        <v>1009</v>
      </c>
    </row>
    <row r="820" spans="1:6" x14ac:dyDescent="0.25">
      <c r="A820" t="s">
        <v>1010</v>
      </c>
      <c r="C820" t="s">
        <v>27</v>
      </c>
      <c r="E820" t="str">
        <f>"46964025"</f>
        <v>46964025</v>
      </c>
      <c r="F820" t="str">
        <f>"21105496"</f>
        <v>21105496</v>
      </c>
    </row>
    <row r="821" spans="1:6" x14ac:dyDescent="0.25">
      <c r="A821" t="s">
        <v>1011</v>
      </c>
      <c r="C821" t="s">
        <v>530</v>
      </c>
      <c r="E821" t="str">
        <f>"22071489"</f>
        <v>22071489</v>
      </c>
      <c r="F821" t="str">
        <f>"00214098"</f>
        <v>00214098</v>
      </c>
    </row>
    <row r="822" spans="1:6" x14ac:dyDescent="0.25">
      <c r="A822" t="s">
        <v>1012</v>
      </c>
      <c r="C822" t="s">
        <v>27</v>
      </c>
      <c r="E822" t="str">
        <f>"44302898"</f>
        <v>44302898</v>
      </c>
      <c r="F822" t="str">
        <f>"01395938"</f>
        <v>01395938</v>
      </c>
    </row>
    <row r="823" spans="1:6" x14ac:dyDescent="0.25">
      <c r="A823" t="s">
        <v>1013</v>
      </c>
      <c r="C823" t="s">
        <v>530</v>
      </c>
      <c r="E823" t="str">
        <f>"36964601"</f>
        <v>36964601</v>
      </c>
      <c r="F823" t="str">
        <f>"01359587"</f>
        <v>01359587</v>
      </c>
    </row>
    <row r="824" spans="1:6" x14ac:dyDescent="0.25">
      <c r="A824" t="s">
        <v>1014</v>
      </c>
      <c r="C824" t="s">
        <v>27</v>
      </c>
      <c r="E824" t="str">
        <f>"36663560"</f>
        <v>36663560</v>
      </c>
      <c r="F824" t="str">
        <f>"00221127"</f>
        <v>00221127</v>
      </c>
    </row>
    <row r="825" spans="1:6" x14ac:dyDescent="0.25">
      <c r="A825" t="s">
        <v>1015</v>
      </c>
      <c r="C825" t="s">
        <v>530</v>
      </c>
      <c r="E825" t="str">
        <f>"49555082"</f>
        <v>49555082</v>
      </c>
      <c r="F825" t="str">
        <f>"01202811"</f>
        <v>01202811</v>
      </c>
    </row>
    <row r="826" spans="1:6" x14ac:dyDescent="0.25">
      <c r="A826" t="s">
        <v>1016</v>
      </c>
      <c r="C826" t="s">
        <v>27</v>
      </c>
      <c r="E826" t="str">
        <f>"38484848"</f>
        <v>38484848</v>
      </c>
      <c r="F826" t="str">
        <f>"00200444"</f>
        <v>00200444</v>
      </c>
    </row>
    <row r="827" spans="1:6" x14ac:dyDescent="0.25">
      <c r="A827" t="s">
        <v>1017</v>
      </c>
      <c r="C827" t="s">
        <v>27</v>
      </c>
      <c r="E827" t="str">
        <f>"36301727"</f>
        <v>36301727</v>
      </c>
      <c r="F827" t="str">
        <f>"01347301"</f>
        <v>01347301</v>
      </c>
    </row>
    <row r="828" spans="1:6" x14ac:dyDescent="0.25">
      <c r="A828" t="s">
        <v>1018</v>
      </c>
      <c r="C828" t="s">
        <v>567</v>
      </c>
      <c r="E828" t="str">
        <f>"26389579"</f>
        <v>26389579</v>
      </c>
      <c r="F828" t="str">
        <f>"01398114"</f>
        <v>01398114</v>
      </c>
    </row>
    <row r="829" spans="1:6" x14ac:dyDescent="0.25">
      <c r="A829" t="s">
        <v>1019</v>
      </c>
      <c r="C829" t="s">
        <v>231</v>
      </c>
      <c r="E829" t="str">
        <f>"48280168"</f>
        <v>48280168</v>
      </c>
      <c r="F829" t="str">
        <f>"01394881"</f>
        <v>01394881</v>
      </c>
    </row>
    <row r="830" spans="1:6" x14ac:dyDescent="0.25">
      <c r="A830" t="s">
        <v>1020</v>
      </c>
      <c r="C830" t="s">
        <v>27</v>
      </c>
      <c r="E830" t="str">
        <f>"22026859"</f>
        <v>22026859</v>
      </c>
      <c r="F830" t="str">
        <f>"00102020"</f>
        <v>00102020</v>
      </c>
    </row>
    <row r="831" spans="1:6" x14ac:dyDescent="0.25">
      <c r="A831" t="s">
        <v>1021</v>
      </c>
      <c r="C831" t="s">
        <v>231</v>
      </c>
      <c r="E831" t="str">
        <f>"49600583"</f>
        <v>49600583</v>
      </c>
      <c r="F831" t="str">
        <f>"01358001"</f>
        <v>01358001</v>
      </c>
    </row>
    <row r="832" spans="1:6" x14ac:dyDescent="0.25">
      <c r="A832" t="s">
        <v>1022</v>
      </c>
      <c r="C832" t="s">
        <v>231</v>
      </c>
      <c r="E832" t="str">
        <f>"22766040"</f>
        <v>22766040</v>
      </c>
      <c r="F832" t="str">
        <f>"00267146"</f>
        <v>00267146</v>
      </c>
    </row>
    <row r="833" spans="1:6" x14ac:dyDescent="0.25">
      <c r="A833" t="s">
        <v>1023</v>
      </c>
      <c r="C833" t="s">
        <v>27</v>
      </c>
      <c r="E833" t="str">
        <f>"32144167"</f>
        <v>32144167</v>
      </c>
      <c r="F833" t="str">
        <f>"00815944"</f>
        <v>00815944</v>
      </c>
    </row>
    <row r="834" spans="1:6" x14ac:dyDescent="0.25">
      <c r="A834" t="s">
        <v>1024</v>
      </c>
      <c r="C834" t="s">
        <v>488</v>
      </c>
      <c r="E834" t="str">
        <f>"36624063"</f>
        <v>36624063</v>
      </c>
      <c r="F834" t="str">
        <f>"00809558"</f>
        <v>00809558</v>
      </c>
    </row>
    <row r="835" spans="1:6" x14ac:dyDescent="0.25">
      <c r="A835" t="s">
        <v>1025</v>
      </c>
      <c r="C835" t="s">
        <v>562</v>
      </c>
      <c r="E835" t="str">
        <f>"27007191"</f>
        <v>27007191</v>
      </c>
      <c r="F835" t="str">
        <f>"901312255"</f>
        <v>901312255</v>
      </c>
    </row>
    <row r="836" spans="1:6" x14ac:dyDescent="0.25">
      <c r="A836" t="s">
        <v>1026</v>
      </c>
      <c r="C836" t="s">
        <v>27</v>
      </c>
      <c r="E836" t="str">
        <f>"36114432"</f>
        <v>36114432</v>
      </c>
      <c r="F836" t="str">
        <f>"10717707"</f>
        <v>10717707</v>
      </c>
    </row>
    <row r="837" spans="1:6" x14ac:dyDescent="0.25">
      <c r="A837" t="s">
        <v>1027</v>
      </c>
      <c r="F837" t="str">
        <f>"11100661"</f>
        <v>11100661</v>
      </c>
    </row>
    <row r="838" spans="1:6" x14ac:dyDescent="0.25">
      <c r="A838" t="s">
        <v>1028</v>
      </c>
      <c r="F838" t="str">
        <f>"00675504"</f>
        <v>00675504</v>
      </c>
    </row>
    <row r="839" spans="1:6" x14ac:dyDescent="0.25">
      <c r="A839" t="s">
        <v>1029</v>
      </c>
      <c r="F839" t="str">
        <f>"00701762"</f>
        <v>00701762</v>
      </c>
    </row>
    <row r="840" spans="1:6" x14ac:dyDescent="0.25">
      <c r="A840" t="s">
        <v>1030</v>
      </c>
      <c r="F840" t="str">
        <f>"00436642"</f>
        <v>00436642</v>
      </c>
    </row>
    <row r="841" spans="1:6" x14ac:dyDescent="0.25">
      <c r="A841" t="s">
        <v>1031</v>
      </c>
      <c r="F841" t="str">
        <f>"00813857"</f>
        <v>00813857</v>
      </c>
    </row>
    <row r="842" spans="1:6" x14ac:dyDescent="0.25">
      <c r="A842" t="s">
        <v>1032</v>
      </c>
      <c r="F842" t="str">
        <f>"01212992"</f>
        <v>01212992</v>
      </c>
    </row>
    <row r="843" spans="1:6" x14ac:dyDescent="0.25">
      <c r="A843" t="s">
        <v>1033</v>
      </c>
      <c r="C843" t="s">
        <v>231</v>
      </c>
      <c r="E843" t="str">
        <f>"47746415"</f>
        <v>47746415</v>
      </c>
      <c r="F843" t="str">
        <f>"01337708"</f>
        <v>01337708</v>
      </c>
    </row>
    <row r="844" spans="1:6" x14ac:dyDescent="0.25">
      <c r="A844" t="s">
        <v>1034</v>
      </c>
      <c r="C844" t="s">
        <v>435</v>
      </c>
      <c r="E844" t="str">
        <f>"43999705"</f>
        <v>43999705</v>
      </c>
      <c r="F844" t="str">
        <f>"01401678"</f>
        <v>01401678</v>
      </c>
    </row>
    <row r="845" spans="1:6" x14ac:dyDescent="0.25">
      <c r="A845" t="s">
        <v>1035</v>
      </c>
      <c r="C845" t="s">
        <v>27</v>
      </c>
      <c r="E845" t="str">
        <f>"20245275"</f>
        <v>20245275</v>
      </c>
      <c r="F845" t="str">
        <f>"01301746"</f>
        <v>01301746</v>
      </c>
    </row>
    <row r="846" spans="1:6" x14ac:dyDescent="0.25">
      <c r="A846" t="s">
        <v>1036</v>
      </c>
      <c r="C846" t="s">
        <v>27</v>
      </c>
      <c r="E846" t="str">
        <f>"46821277"</f>
        <v>46821277</v>
      </c>
      <c r="F846" t="str">
        <f>"00566687"</f>
        <v>00566687</v>
      </c>
    </row>
    <row r="847" spans="1:6" x14ac:dyDescent="0.25">
      <c r="A847" t="s">
        <v>1037</v>
      </c>
      <c r="C847" t="s">
        <v>562</v>
      </c>
      <c r="E847" t="str">
        <f>"36220380"</f>
        <v>36220380</v>
      </c>
      <c r="F847" t="str">
        <f>"01374255"</f>
        <v>01374255</v>
      </c>
    </row>
    <row r="848" spans="1:6" x14ac:dyDescent="0.25">
      <c r="A848" t="s">
        <v>1038</v>
      </c>
      <c r="C848" t="s">
        <v>470</v>
      </c>
      <c r="E848" t="s">
        <v>1039</v>
      </c>
      <c r="F848" t="str">
        <f>"00735464"</f>
        <v>00735464</v>
      </c>
    </row>
    <row r="849" spans="1:6" x14ac:dyDescent="0.25">
      <c r="A849" t="s">
        <v>1040</v>
      </c>
      <c r="C849" t="s">
        <v>597</v>
      </c>
      <c r="E849" t="str">
        <f>"22409012"</f>
        <v>22409012</v>
      </c>
      <c r="F849" t="str">
        <f>"00042648"</f>
        <v>00042648</v>
      </c>
    </row>
    <row r="850" spans="1:6" x14ac:dyDescent="0.25">
      <c r="A850" t="s">
        <v>1041</v>
      </c>
      <c r="C850" t="s">
        <v>27</v>
      </c>
      <c r="E850" t="str">
        <f>"26101211"</f>
        <v>26101211</v>
      </c>
      <c r="F850" t="str">
        <f>"20602626"</f>
        <v>20602626</v>
      </c>
    </row>
    <row r="851" spans="1:6" x14ac:dyDescent="0.25">
      <c r="A851" t="s">
        <v>1042</v>
      </c>
      <c r="C851" t="s">
        <v>530</v>
      </c>
      <c r="E851" t="str">
        <f>"22002881"</f>
        <v>22002881</v>
      </c>
      <c r="F851" t="str">
        <f>"00047076"</f>
        <v>00047076</v>
      </c>
    </row>
    <row r="852" spans="1:6" x14ac:dyDescent="0.25">
      <c r="A852" t="s">
        <v>1043</v>
      </c>
      <c r="C852" t="s">
        <v>27</v>
      </c>
      <c r="E852" t="str">
        <f>"45258507"</f>
        <v>45258507</v>
      </c>
      <c r="F852" t="str">
        <f>"20601206"</f>
        <v>20601206</v>
      </c>
    </row>
    <row r="853" spans="1:6" x14ac:dyDescent="0.25">
      <c r="A853" t="s">
        <v>1044</v>
      </c>
      <c r="C853" t="s">
        <v>340</v>
      </c>
      <c r="E853" t="str">
        <f>"46917503"</f>
        <v>46917503</v>
      </c>
      <c r="F853" t="str">
        <f>"00303362"</f>
        <v>00303362</v>
      </c>
    </row>
    <row r="854" spans="1:6" x14ac:dyDescent="0.25">
      <c r="A854" t="s">
        <v>1045</v>
      </c>
      <c r="C854" t="s">
        <v>435</v>
      </c>
      <c r="E854" t="str">
        <f>"32314121"</f>
        <v>32314121</v>
      </c>
      <c r="F854" t="str">
        <f>"01314673"</f>
        <v>01314673</v>
      </c>
    </row>
    <row r="855" spans="1:6" x14ac:dyDescent="0.25">
      <c r="A855" t="s">
        <v>1046</v>
      </c>
      <c r="C855" t="s">
        <v>27</v>
      </c>
      <c r="E855" t="str">
        <f>"46917503"</f>
        <v>46917503</v>
      </c>
      <c r="F855" t="str">
        <f>"01351964"</f>
        <v>01351964</v>
      </c>
    </row>
    <row r="856" spans="1:6" x14ac:dyDescent="0.25">
      <c r="A856" t="s">
        <v>1047</v>
      </c>
      <c r="C856" t="s">
        <v>231</v>
      </c>
      <c r="E856" t="str">
        <f>"36347944"</f>
        <v>36347944</v>
      </c>
      <c r="F856" t="str">
        <f>"00841205"</f>
        <v>00841205</v>
      </c>
    </row>
    <row r="857" spans="1:6" x14ac:dyDescent="0.25">
      <c r="A857" t="s">
        <v>1048</v>
      </c>
      <c r="C857" t="s">
        <v>27</v>
      </c>
      <c r="E857" t="str">
        <f>"37272727"</f>
        <v>37272727</v>
      </c>
      <c r="F857" t="str">
        <f>"00641464"</f>
        <v>00641464</v>
      </c>
    </row>
    <row r="858" spans="1:6" x14ac:dyDescent="0.25">
      <c r="A858" t="s">
        <v>1049</v>
      </c>
      <c r="C858" t="s">
        <v>1050</v>
      </c>
      <c r="E858" t="str">
        <f>"46870771"</f>
        <v>46870771</v>
      </c>
      <c r="F858" t="str">
        <f>"01247113"</f>
        <v>01247113</v>
      </c>
    </row>
    <row r="859" spans="1:6" x14ac:dyDescent="0.25">
      <c r="A859" t="s">
        <v>1051</v>
      </c>
      <c r="C859" t="s">
        <v>231</v>
      </c>
      <c r="E859" t="str">
        <f>"46486161"</f>
        <v>46486161</v>
      </c>
      <c r="F859" t="str">
        <f>"01234541"</f>
        <v>01234541</v>
      </c>
    </row>
    <row r="860" spans="1:6" x14ac:dyDescent="0.25">
      <c r="A860" t="s">
        <v>1052</v>
      </c>
      <c r="C860" t="s">
        <v>972</v>
      </c>
      <c r="E860" t="str">
        <f>"22259959"</f>
        <v>22259959</v>
      </c>
      <c r="F860" t="str">
        <f>"10705868"</f>
        <v>10705868</v>
      </c>
    </row>
    <row r="861" spans="1:6" x14ac:dyDescent="0.25">
      <c r="A861" t="s">
        <v>1053</v>
      </c>
      <c r="C861" t="s">
        <v>231</v>
      </c>
      <c r="E861" t="str">
        <f>"36305302"</f>
        <v>36305302</v>
      </c>
      <c r="F861" t="str">
        <f>"00682435"</f>
        <v>00682435</v>
      </c>
    </row>
    <row r="862" spans="1:6" x14ac:dyDescent="0.25">
      <c r="A862" t="s">
        <v>1054</v>
      </c>
      <c r="C862" t="s">
        <v>231</v>
      </c>
      <c r="E862" t="str">
        <f>"41405135"</f>
        <v>41405135</v>
      </c>
      <c r="F862" t="str">
        <f>"00758474"</f>
        <v>00758474</v>
      </c>
    </row>
    <row r="863" spans="1:6" x14ac:dyDescent="0.25">
      <c r="A863" t="s">
        <v>1055</v>
      </c>
      <c r="C863" t="s">
        <v>530</v>
      </c>
      <c r="E863" t="str">
        <f>"32984422"</f>
        <v>32984422</v>
      </c>
      <c r="F863" t="str">
        <f>"01270297"</f>
        <v>01270297</v>
      </c>
    </row>
    <row r="864" spans="1:6" x14ac:dyDescent="0.25">
      <c r="A864" t="s">
        <v>1056</v>
      </c>
      <c r="C864" t="s">
        <v>27</v>
      </c>
      <c r="E864" t="str">
        <f>"36274343"</f>
        <v>36274343</v>
      </c>
      <c r="F864" t="str">
        <f>"00411306"</f>
        <v>00411306</v>
      </c>
    </row>
    <row r="865" spans="1:6" x14ac:dyDescent="0.25">
      <c r="A865" t="s">
        <v>1057</v>
      </c>
      <c r="C865" t="s">
        <v>488</v>
      </c>
      <c r="E865" t="str">
        <f>"34366886"</f>
        <v>34366886</v>
      </c>
      <c r="F865" t="str">
        <f>"00624957"</f>
        <v>00624957</v>
      </c>
    </row>
    <row r="866" spans="1:6" x14ac:dyDescent="0.25">
      <c r="A866" t="s">
        <v>1058</v>
      </c>
      <c r="C866" t="s">
        <v>27</v>
      </c>
      <c r="E866" t="str">
        <f>"33330501"</f>
        <v>33330501</v>
      </c>
      <c r="F866" t="str">
        <f>"00620047"</f>
        <v>00620047</v>
      </c>
    </row>
    <row r="867" spans="1:6" x14ac:dyDescent="0.25">
      <c r="A867" t="s">
        <v>1059</v>
      </c>
      <c r="C867" t="s">
        <v>530</v>
      </c>
      <c r="E867" t="str">
        <f>"36221663"</f>
        <v>36221663</v>
      </c>
      <c r="F867" t="str">
        <f>"01214105"</f>
        <v>01214105</v>
      </c>
    </row>
    <row r="868" spans="1:6" x14ac:dyDescent="0.25">
      <c r="A868" t="s">
        <v>1060</v>
      </c>
      <c r="C868" t="s">
        <v>27</v>
      </c>
      <c r="E868" t="str">
        <f>"49595514"</f>
        <v>49595514</v>
      </c>
      <c r="F868" t="str">
        <f>"00681908"</f>
        <v>00681908</v>
      </c>
    </row>
    <row r="869" spans="1:6" x14ac:dyDescent="0.25">
      <c r="A869" t="s">
        <v>1061</v>
      </c>
      <c r="C869" t="s">
        <v>530</v>
      </c>
      <c r="E869" t="str">
        <f>"22306705"</f>
        <v>22306705</v>
      </c>
      <c r="F869" t="str">
        <f>"00069294"</f>
        <v>00069294</v>
      </c>
    </row>
    <row r="870" spans="1:6" x14ac:dyDescent="0.25">
      <c r="A870" t="s">
        <v>45</v>
      </c>
      <c r="C870" t="s">
        <v>27</v>
      </c>
      <c r="E870" t="str">
        <f>"37020202"</f>
        <v>37020202</v>
      </c>
      <c r="F870" t="str">
        <f>"00648113"</f>
        <v>00648113</v>
      </c>
    </row>
    <row r="871" spans="1:6" x14ac:dyDescent="0.25">
      <c r="A871" t="s">
        <v>1062</v>
      </c>
      <c r="C871" t="s">
        <v>27</v>
      </c>
      <c r="E871" t="str">
        <f>"26602223"</f>
        <v>26602223</v>
      </c>
      <c r="F871" t="str">
        <f>"00196105"</f>
        <v>00196105</v>
      </c>
    </row>
    <row r="872" spans="1:6" x14ac:dyDescent="0.25">
      <c r="A872" t="s">
        <v>1063</v>
      </c>
      <c r="C872" t="s">
        <v>1064</v>
      </c>
      <c r="E872" t="str">
        <f>"44043230"</f>
        <v>44043230</v>
      </c>
      <c r="F872" t="str">
        <f>"01301050"</f>
        <v>01301050</v>
      </c>
    </row>
    <row r="873" spans="1:6" x14ac:dyDescent="0.25">
      <c r="A873" t="s">
        <v>1065</v>
      </c>
      <c r="C873" t="s">
        <v>27</v>
      </c>
      <c r="E873" t="str">
        <f>"20007777"</f>
        <v>20007777</v>
      </c>
      <c r="F873" t="str">
        <f>"00027979"</f>
        <v>00027979</v>
      </c>
    </row>
    <row r="874" spans="1:6" x14ac:dyDescent="0.25">
      <c r="A874" t="s">
        <v>1066</v>
      </c>
      <c r="C874" t="s">
        <v>340</v>
      </c>
      <c r="E874" t="str">
        <f>"22419981"</f>
        <v>22419981</v>
      </c>
      <c r="F874" t="str">
        <f>"10720495"</f>
        <v>10720495</v>
      </c>
    </row>
    <row r="875" spans="1:6" x14ac:dyDescent="0.25">
      <c r="A875" t="s">
        <v>1067</v>
      </c>
      <c r="C875" t="s">
        <v>30</v>
      </c>
      <c r="E875" t="str">
        <f>"32136240"</f>
        <v>32136240</v>
      </c>
      <c r="F875" t="str">
        <f>"00729632"</f>
        <v>00729632</v>
      </c>
    </row>
    <row r="876" spans="1:6" x14ac:dyDescent="0.25">
      <c r="A876" t="s">
        <v>1068</v>
      </c>
      <c r="C876" t="s">
        <v>435</v>
      </c>
      <c r="E876" t="str">
        <f>"32267028"</f>
        <v>32267028</v>
      </c>
      <c r="F876" t="str">
        <f>"00177881"</f>
        <v>00177881</v>
      </c>
    </row>
    <row r="877" spans="1:6" x14ac:dyDescent="0.25">
      <c r="A877" t="s">
        <v>1069</v>
      </c>
      <c r="C877" t="s">
        <v>27</v>
      </c>
      <c r="E877" t="str">
        <f>"36345020"</f>
        <v>36345020</v>
      </c>
      <c r="F877" t="str">
        <f>"00693382"</f>
        <v>00693382</v>
      </c>
    </row>
    <row r="878" spans="1:6" x14ac:dyDescent="0.25">
      <c r="A878" t="s">
        <v>1070</v>
      </c>
      <c r="C878" t="s">
        <v>27</v>
      </c>
      <c r="E878" t="str">
        <f>"44582323"</f>
        <v>44582323</v>
      </c>
      <c r="F878" t="str">
        <f>"01329507"</f>
        <v>01329507</v>
      </c>
    </row>
    <row r="879" spans="1:6" x14ac:dyDescent="0.25">
      <c r="A879" t="s">
        <v>1071</v>
      </c>
      <c r="C879" t="s">
        <v>27</v>
      </c>
      <c r="E879" t="str">
        <f>"37173767"</f>
        <v>37173767</v>
      </c>
      <c r="F879" t="str">
        <f>"01367853"</f>
        <v>01367853</v>
      </c>
    </row>
    <row r="880" spans="1:6" x14ac:dyDescent="0.25">
      <c r="A880" t="s">
        <v>1072</v>
      </c>
      <c r="C880" t="s">
        <v>27</v>
      </c>
      <c r="E880" t="str">
        <f>"22322023"</f>
        <v>22322023</v>
      </c>
      <c r="F880" t="str">
        <f>"00350637"</f>
        <v>00350637</v>
      </c>
    </row>
    <row r="881" spans="1:6" x14ac:dyDescent="0.25">
      <c r="A881" t="s">
        <v>1073</v>
      </c>
      <c r="C881" t="s">
        <v>30</v>
      </c>
      <c r="E881" t="str">
        <f>"33344353"</f>
        <v>33344353</v>
      </c>
      <c r="F881" t="str">
        <f>"00319681"</f>
        <v>00319681</v>
      </c>
    </row>
    <row r="882" spans="1:6" x14ac:dyDescent="0.25">
      <c r="A882" t="s">
        <v>1074</v>
      </c>
      <c r="C882" t="s">
        <v>27</v>
      </c>
      <c r="E882" t="str">
        <f>"46094915"</f>
        <v>46094915</v>
      </c>
      <c r="F882" t="str">
        <f>"01396688"</f>
        <v>01396688</v>
      </c>
    </row>
    <row r="883" spans="1:6" x14ac:dyDescent="0.25">
      <c r="A883" t="s">
        <v>1075</v>
      </c>
      <c r="C883" t="s">
        <v>340</v>
      </c>
      <c r="E883" t="str">
        <f>"42022167"</f>
        <v>42022167</v>
      </c>
      <c r="F883" t="str">
        <f>"01348374"</f>
        <v>01348374</v>
      </c>
    </row>
    <row r="884" spans="1:6" x14ac:dyDescent="0.25">
      <c r="A884" t="s">
        <v>1076</v>
      </c>
      <c r="C884" t="s">
        <v>231</v>
      </c>
      <c r="E884" t="str">
        <f>"47669000"</f>
        <v>47669000</v>
      </c>
      <c r="F884" t="str">
        <f>"01408053"</f>
        <v>01408053</v>
      </c>
    </row>
    <row r="885" spans="1:6" x14ac:dyDescent="0.25">
      <c r="A885" t="s">
        <v>1077</v>
      </c>
      <c r="C885" t="s">
        <v>30</v>
      </c>
      <c r="E885" t="str">
        <f>"22062475"</f>
        <v>22062475</v>
      </c>
      <c r="F885" t="str">
        <f>"21102550"</f>
        <v>21102550</v>
      </c>
    </row>
    <row r="886" spans="1:6" x14ac:dyDescent="0.25">
      <c r="A886" t="s">
        <v>1078</v>
      </c>
      <c r="C886" t="s">
        <v>27</v>
      </c>
      <c r="E886" t="str">
        <f>"44487557"</f>
        <v>44487557</v>
      </c>
      <c r="F886" t="str">
        <f>"00868612"</f>
        <v>00868612</v>
      </c>
    </row>
    <row r="887" spans="1:6" x14ac:dyDescent="0.25">
      <c r="A887" t="s">
        <v>1079</v>
      </c>
      <c r="C887" t="s">
        <v>27</v>
      </c>
      <c r="E887" t="str">
        <f>"26183310"</f>
        <v>26183310</v>
      </c>
      <c r="F887" t="str">
        <f>"00794909"</f>
        <v>00794909</v>
      </c>
    </row>
    <row r="888" spans="1:6" x14ac:dyDescent="0.25">
      <c r="A888" t="s">
        <v>1080</v>
      </c>
      <c r="C888" t="s">
        <v>27</v>
      </c>
      <c r="E888" t="str">
        <f>"30780000"</f>
        <v>30780000</v>
      </c>
      <c r="F888" t="str">
        <f>"00756106"</f>
        <v>00756106</v>
      </c>
    </row>
    <row r="889" spans="1:6" x14ac:dyDescent="0.25">
      <c r="A889" t="s">
        <v>1081</v>
      </c>
      <c r="C889" t="s">
        <v>530</v>
      </c>
      <c r="F889" t="str">
        <f>"00625947"</f>
        <v>00625947</v>
      </c>
    </row>
    <row r="890" spans="1:6" x14ac:dyDescent="0.25">
      <c r="A890" t="s">
        <v>1082</v>
      </c>
      <c r="C890" t="s">
        <v>562</v>
      </c>
      <c r="E890" t="str">
        <f>"49697238"</f>
        <v>49697238</v>
      </c>
      <c r="F890" t="str">
        <f>"00382465"</f>
        <v>00382465</v>
      </c>
    </row>
    <row r="891" spans="1:6" x14ac:dyDescent="0.25">
      <c r="A891" t="s">
        <v>1083</v>
      </c>
      <c r="C891" t="s">
        <v>277</v>
      </c>
      <c r="E891" t="str">
        <f>"46766619"</f>
        <v>46766619</v>
      </c>
      <c r="F891" t="str">
        <f>"10600562"</f>
        <v>10600562</v>
      </c>
    </row>
    <row r="892" spans="1:6" x14ac:dyDescent="0.25">
      <c r="A892" t="s">
        <v>1084</v>
      </c>
      <c r="C892" t="s">
        <v>27</v>
      </c>
      <c r="E892" t="s">
        <v>1085</v>
      </c>
      <c r="F892" t="str">
        <f>"00463547"</f>
        <v>00463547</v>
      </c>
    </row>
    <row r="893" spans="1:6" x14ac:dyDescent="0.25">
      <c r="A893" t="s">
        <v>1086</v>
      </c>
      <c r="C893" t="s">
        <v>530</v>
      </c>
      <c r="E893" t="str">
        <f>"49182647"</f>
        <v>49182647</v>
      </c>
      <c r="F893" t="str">
        <f>"00497065"</f>
        <v>00497065</v>
      </c>
    </row>
    <row r="894" spans="1:6" x14ac:dyDescent="0.25">
      <c r="A894" t="s">
        <v>1087</v>
      </c>
      <c r="C894" t="s">
        <v>488</v>
      </c>
      <c r="E894" t="str">
        <f>"44606044"</f>
        <v>44606044</v>
      </c>
      <c r="F894" t="str">
        <f>"01121060"</f>
        <v>01121060</v>
      </c>
    </row>
    <row r="895" spans="1:6" x14ac:dyDescent="0.25">
      <c r="A895" t="s">
        <v>1088</v>
      </c>
      <c r="C895" t="s">
        <v>435</v>
      </c>
      <c r="E895" t="str">
        <f>"22377080"</f>
        <v>22377080</v>
      </c>
      <c r="F895" t="str">
        <f>"00383190"</f>
        <v>00383190</v>
      </c>
    </row>
    <row r="896" spans="1:6" x14ac:dyDescent="0.25">
      <c r="A896" t="s">
        <v>1089</v>
      </c>
      <c r="C896" t="s">
        <v>530</v>
      </c>
      <c r="E896" t="str">
        <f>"46742201"</f>
        <v>46742201</v>
      </c>
      <c r="F896" t="str">
        <f>"01430974"</f>
        <v>01430974</v>
      </c>
    </row>
    <row r="897" spans="1:6" x14ac:dyDescent="0.25">
      <c r="A897" t="s">
        <v>1090</v>
      </c>
      <c r="C897" t="s">
        <v>435</v>
      </c>
      <c r="E897" t="str">
        <f>"46844184"</f>
        <v>46844184</v>
      </c>
      <c r="F897" t="str">
        <f>"01429091"</f>
        <v>01429091</v>
      </c>
    </row>
    <row r="898" spans="1:6" x14ac:dyDescent="0.25">
      <c r="A898" t="s">
        <v>1091</v>
      </c>
      <c r="C898" t="s">
        <v>435</v>
      </c>
      <c r="E898" t="str">
        <f>"36311557"</f>
        <v>36311557</v>
      </c>
      <c r="F898" t="str">
        <f>"01400191"</f>
        <v>01400191</v>
      </c>
    </row>
    <row r="899" spans="1:6" x14ac:dyDescent="0.25">
      <c r="A899" t="s">
        <v>1092</v>
      </c>
      <c r="C899" t="s">
        <v>530</v>
      </c>
      <c r="E899" t="str">
        <f>"46021256"</f>
        <v>46021256</v>
      </c>
      <c r="F899" t="str">
        <f>"01397314"</f>
        <v>01397314</v>
      </c>
    </row>
    <row r="900" spans="1:6" x14ac:dyDescent="0.25">
      <c r="A900" t="s">
        <v>1093</v>
      </c>
      <c r="C900" t="s">
        <v>27</v>
      </c>
      <c r="E900" t="str">
        <f>"49390003"</f>
        <v>49390003</v>
      </c>
      <c r="F900" t="str">
        <f>"00531343"</f>
        <v>00531343</v>
      </c>
    </row>
    <row r="901" spans="1:6" x14ac:dyDescent="0.25">
      <c r="A901" t="s">
        <v>1094</v>
      </c>
      <c r="C901" t="s">
        <v>23</v>
      </c>
      <c r="E901" t="str">
        <f>"45249525"</f>
        <v>45249525</v>
      </c>
      <c r="F901" t="str">
        <f>"00051268"</f>
        <v>00051268</v>
      </c>
    </row>
    <row r="902" spans="1:6" x14ac:dyDescent="0.25">
      <c r="A902" t="s">
        <v>1095</v>
      </c>
      <c r="C902" t="s">
        <v>9</v>
      </c>
      <c r="F902" t="str">
        <f>"11100240"</f>
        <v>11100240</v>
      </c>
    </row>
    <row r="903" spans="1:6" x14ac:dyDescent="0.25">
      <c r="A903" t="s">
        <v>1096</v>
      </c>
      <c r="C903" t="s">
        <v>1097</v>
      </c>
      <c r="E903" t="str">
        <f>"37987404"</f>
        <v>37987404</v>
      </c>
      <c r="F903" t="str">
        <f>"01228170"</f>
        <v>01228170</v>
      </c>
    </row>
    <row r="904" spans="1:6" x14ac:dyDescent="0.25">
      <c r="A904" t="s">
        <v>1098</v>
      </c>
      <c r="C904" t="s">
        <v>597</v>
      </c>
      <c r="E904" t="str">
        <f>"48356067"</f>
        <v>48356067</v>
      </c>
      <c r="F904" t="str">
        <f>"01324318"</f>
        <v>01324318</v>
      </c>
    </row>
    <row r="905" spans="1:6" x14ac:dyDescent="0.25">
      <c r="A905" t="s">
        <v>1099</v>
      </c>
      <c r="C905" t="s">
        <v>9</v>
      </c>
      <c r="E905" t="str">
        <f>"20000273"</f>
        <v>20000273</v>
      </c>
      <c r="F905" t="str">
        <f>"00659979"</f>
        <v>00659979</v>
      </c>
    </row>
    <row r="906" spans="1:6" x14ac:dyDescent="0.25">
      <c r="A906" t="s">
        <v>1100</v>
      </c>
      <c r="C906" t="s">
        <v>488</v>
      </c>
      <c r="E906" t="str">
        <f>"36353515"</f>
        <v>36353515</v>
      </c>
      <c r="F906" t="str">
        <f>"00511485"</f>
        <v>00511485</v>
      </c>
    </row>
    <row r="907" spans="1:6" x14ac:dyDescent="0.25">
      <c r="A907" t="s">
        <v>1101</v>
      </c>
      <c r="C907" t="s">
        <v>435</v>
      </c>
      <c r="E907" t="str">
        <f>"34552244"</f>
        <v>34552244</v>
      </c>
      <c r="F907" t="str">
        <f>"01352327"</f>
        <v>01352327</v>
      </c>
    </row>
    <row r="908" spans="1:6" x14ac:dyDescent="0.25">
      <c r="A908" t="s">
        <v>1102</v>
      </c>
      <c r="C908" t="s">
        <v>530</v>
      </c>
      <c r="E908" t="str">
        <f>"22362776"</f>
        <v>22362776</v>
      </c>
      <c r="F908" t="str">
        <f>"00194852"</f>
        <v>00194852</v>
      </c>
    </row>
    <row r="909" spans="1:6" x14ac:dyDescent="0.25">
      <c r="A909" t="s">
        <v>1103</v>
      </c>
      <c r="C909" t="s">
        <v>27</v>
      </c>
      <c r="E909" t="str">
        <f>"41105906"</f>
        <v>41105906</v>
      </c>
      <c r="F909" t="str">
        <f>"01239532"</f>
        <v>01239532</v>
      </c>
    </row>
    <row r="910" spans="1:6" x14ac:dyDescent="0.25">
      <c r="A910" t="s">
        <v>1104</v>
      </c>
      <c r="C910" t="s">
        <v>277</v>
      </c>
      <c r="E910" t="str">
        <f>"47673889"</f>
        <v>47673889</v>
      </c>
      <c r="F910" t="str">
        <f>"01317916"</f>
        <v>01317916</v>
      </c>
    </row>
    <row r="911" spans="1:6" x14ac:dyDescent="0.25">
      <c r="A911" t="s">
        <v>1105</v>
      </c>
      <c r="C911" t="s">
        <v>27</v>
      </c>
      <c r="E911" t="str">
        <f>"36307321"</f>
        <v>36307321</v>
      </c>
      <c r="F911" t="str">
        <f>"01453661"</f>
        <v>01453661</v>
      </c>
    </row>
    <row r="912" spans="1:6" x14ac:dyDescent="0.25">
      <c r="A912" t="s">
        <v>1106</v>
      </c>
      <c r="C912" t="s">
        <v>27</v>
      </c>
      <c r="E912" t="str">
        <f>"26380996"</f>
        <v>26380996</v>
      </c>
      <c r="F912" t="str">
        <f>"00765776"</f>
        <v>00765776</v>
      </c>
    </row>
    <row r="913" spans="1:6" x14ac:dyDescent="0.25">
      <c r="A913" t="s">
        <v>1107</v>
      </c>
      <c r="C913" t="s">
        <v>231</v>
      </c>
      <c r="E913" t="s">
        <v>1108</v>
      </c>
      <c r="F913" t="str">
        <f>"10713003"</f>
        <v>10713003</v>
      </c>
    </row>
    <row r="914" spans="1:6" x14ac:dyDescent="0.25">
      <c r="A914" t="s">
        <v>1109</v>
      </c>
      <c r="C914" t="s">
        <v>435</v>
      </c>
      <c r="E914" t="str">
        <f>"27024747"</f>
        <v>27024747</v>
      </c>
      <c r="F914" t="str">
        <f>"00379602"</f>
        <v>00379602</v>
      </c>
    </row>
    <row r="915" spans="1:6" x14ac:dyDescent="0.25">
      <c r="A915" t="s">
        <v>1110</v>
      </c>
      <c r="C915" t="s">
        <v>1111</v>
      </c>
      <c r="E915" t="str">
        <f>"46595264"</f>
        <v>46595264</v>
      </c>
      <c r="F915" t="str">
        <f>"10722350"</f>
        <v>10722350</v>
      </c>
    </row>
    <row r="916" spans="1:6" x14ac:dyDescent="0.25">
      <c r="A916" t="s">
        <v>1112</v>
      </c>
      <c r="C916" t="s">
        <v>27</v>
      </c>
      <c r="E916" t="str">
        <f>"46207000"</f>
        <v>46207000</v>
      </c>
      <c r="F916" t="str">
        <f>"00076299"</f>
        <v>00076299</v>
      </c>
    </row>
    <row r="917" spans="1:6" x14ac:dyDescent="0.25">
      <c r="A917" t="s">
        <v>1113</v>
      </c>
      <c r="C917" t="s">
        <v>27</v>
      </c>
      <c r="E917" t="str">
        <f>"37471029"</f>
        <v>37471029</v>
      </c>
      <c r="F917" t="str">
        <f>"00503631"</f>
        <v>00503631</v>
      </c>
    </row>
    <row r="918" spans="1:6" x14ac:dyDescent="0.25">
      <c r="A918" t="s">
        <v>1114</v>
      </c>
      <c r="C918" t="s">
        <v>27</v>
      </c>
      <c r="E918" t="str">
        <f>"44114003"</f>
        <v>44114003</v>
      </c>
      <c r="F918" t="str">
        <f>"01302736"</f>
        <v>01302736</v>
      </c>
    </row>
    <row r="919" spans="1:6" x14ac:dyDescent="0.25">
      <c r="A919" t="s">
        <v>1115</v>
      </c>
      <c r="C919" t="s">
        <v>27</v>
      </c>
      <c r="E919" t="str">
        <f>"46220000"</f>
        <v>46220000</v>
      </c>
      <c r="F919" t="str">
        <f>"01190065"</f>
        <v>01190065</v>
      </c>
    </row>
    <row r="920" spans="1:6" x14ac:dyDescent="0.25">
      <c r="A920" t="s">
        <v>1116</v>
      </c>
      <c r="C920" t="s">
        <v>257</v>
      </c>
      <c r="E920" t="str">
        <f>"45253681"</f>
        <v>45253681</v>
      </c>
      <c r="F920" t="str">
        <f>"00144782"</f>
        <v>00144782</v>
      </c>
    </row>
    <row r="921" spans="1:6" x14ac:dyDescent="0.25">
      <c r="A921" t="s">
        <v>1117</v>
      </c>
      <c r="C921" t="s">
        <v>30</v>
      </c>
      <c r="E921" t="str">
        <f>"46495777"</f>
        <v>46495777</v>
      </c>
      <c r="F921" t="str">
        <f>"20900539"</f>
        <v>20900539</v>
      </c>
    </row>
    <row r="922" spans="1:6" x14ac:dyDescent="0.25">
      <c r="A922" t="s">
        <v>1118</v>
      </c>
      <c r="E922" t="str">
        <f>"36353345"</f>
        <v>36353345</v>
      </c>
      <c r="F922" t="str">
        <f>"01442078"</f>
        <v>01442078</v>
      </c>
    </row>
    <row r="923" spans="1:6" x14ac:dyDescent="0.25">
      <c r="A923" t="s">
        <v>1119</v>
      </c>
      <c r="C923" t="s">
        <v>277</v>
      </c>
      <c r="E923" t="str">
        <f>"46778033"</f>
        <v>46778033</v>
      </c>
      <c r="F923" t="str">
        <f>"00772178"</f>
        <v>00772178</v>
      </c>
    </row>
    <row r="924" spans="1:6" x14ac:dyDescent="0.25">
      <c r="A924" t="s">
        <v>1120</v>
      </c>
      <c r="C924" t="s">
        <v>27</v>
      </c>
      <c r="E924" t="str">
        <f>"36375511"</f>
        <v>36375511</v>
      </c>
      <c r="F924" t="str">
        <f>"01400001"</f>
        <v>01400001</v>
      </c>
    </row>
    <row r="925" spans="1:6" x14ac:dyDescent="0.25">
      <c r="A925" t="s">
        <v>1121</v>
      </c>
      <c r="E925" t="str">
        <f>"46338200"</f>
        <v>46338200</v>
      </c>
    </row>
    <row r="926" spans="1:6" x14ac:dyDescent="0.25">
      <c r="A926" t="s">
        <v>1122</v>
      </c>
      <c r="C926" t="s">
        <v>231</v>
      </c>
      <c r="E926" t="str">
        <f>"48002679"</f>
        <v>48002679</v>
      </c>
      <c r="F926" t="str">
        <f>"01437276"</f>
        <v>01437276</v>
      </c>
    </row>
    <row r="927" spans="1:6" x14ac:dyDescent="0.25">
      <c r="A927" t="s">
        <v>1123</v>
      </c>
      <c r="C927" t="s">
        <v>27</v>
      </c>
      <c r="E927" t="str">
        <f>"36874144"</f>
        <v>36874144</v>
      </c>
      <c r="F927" t="str">
        <f>"01458108"</f>
        <v>01458108</v>
      </c>
    </row>
    <row r="928" spans="1:6" x14ac:dyDescent="0.25">
      <c r="A928" t="s">
        <v>1124</v>
      </c>
      <c r="C928" t="s">
        <v>27</v>
      </c>
      <c r="E928" t="str">
        <f>"36389680"</f>
        <v>36389680</v>
      </c>
      <c r="F928" t="str">
        <f>"01459957"</f>
        <v>01459957</v>
      </c>
    </row>
    <row r="929" spans="1:6" x14ac:dyDescent="0.25">
      <c r="A929" t="s">
        <v>1125</v>
      </c>
      <c r="C929" t="s">
        <v>27</v>
      </c>
      <c r="E929" t="str">
        <f>"31314343"</f>
        <v>31314343</v>
      </c>
      <c r="F929" t="str">
        <f>"01457126"</f>
        <v>01457126</v>
      </c>
    </row>
    <row r="930" spans="1:6" x14ac:dyDescent="0.25">
      <c r="A930" t="s">
        <v>1126</v>
      </c>
      <c r="C930" t="s">
        <v>231</v>
      </c>
      <c r="E930" t="str">
        <f>"22608060"</f>
        <v>22608060</v>
      </c>
      <c r="F930" t="str">
        <f>"00418079"</f>
        <v>00418079</v>
      </c>
    </row>
    <row r="931" spans="1:6" x14ac:dyDescent="0.25">
      <c r="A931" t="s">
        <v>1127</v>
      </c>
      <c r="C931" t="s">
        <v>257</v>
      </c>
      <c r="E931" t="str">
        <f>"36319841"</f>
        <v>36319841</v>
      </c>
      <c r="F931" t="str">
        <f>"01119643"</f>
        <v>01119643</v>
      </c>
    </row>
    <row r="932" spans="1:6" x14ac:dyDescent="0.25">
      <c r="A932" t="s">
        <v>1128</v>
      </c>
      <c r="C932" t="s">
        <v>27</v>
      </c>
      <c r="E932" t="str">
        <f>"36282420"</f>
        <v>36282420</v>
      </c>
      <c r="F932" t="str">
        <f>"01364488"</f>
        <v>01364488</v>
      </c>
    </row>
    <row r="933" spans="1:6" x14ac:dyDescent="0.25">
      <c r="A933" t="s">
        <v>1129</v>
      </c>
      <c r="C933" t="s">
        <v>530</v>
      </c>
      <c r="E933" t="str">
        <f>"32019010"</f>
        <v>32019010</v>
      </c>
      <c r="F933" t="str">
        <f>"01439355"</f>
        <v>01439355</v>
      </c>
    </row>
    <row r="934" spans="1:6" x14ac:dyDescent="0.25">
      <c r="A934" t="s">
        <v>1130</v>
      </c>
      <c r="C934" t="s">
        <v>488</v>
      </c>
      <c r="E934" t="str">
        <f>"42669906"</f>
        <v>42669906</v>
      </c>
      <c r="F934" t="str">
        <f>"01445824"</f>
        <v>01445824</v>
      </c>
    </row>
    <row r="935" spans="1:6" x14ac:dyDescent="0.25">
      <c r="A935" t="s">
        <v>1131</v>
      </c>
      <c r="E935" t="str">
        <f>"26307743"</f>
        <v>26307743</v>
      </c>
      <c r="F935" t="str">
        <f>"10710249"</f>
        <v>10710249</v>
      </c>
    </row>
    <row r="936" spans="1:6" x14ac:dyDescent="0.25">
      <c r="A936" t="s">
        <v>1132</v>
      </c>
      <c r="E936" t="str">
        <f>"32686801"</f>
        <v>32686801</v>
      </c>
      <c r="F936" t="str">
        <f>"01411073"</f>
        <v>01411073</v>
      </c>
    </row>
    <row r="937" spans="1:6" x14ac:dyDescent="0.25">
      <c r="A937" t="s">
        <v>1133</v>
      </c>
      <c r="E937" t="str">
        <f>"42562445"</f>
        <v>42562445</v>
      </c>
      <c r="F937" t="str">
        <f>"00360966"</f>
        <v>00360966</v>
      </c>
    </row>
    <row r="938" spans="1:6" x14ac:dyDescent="0.25">
      <c r="A938" t="s">
        <v>1134</v>
      </c>
      <c r="C938" t="s">
        <v>562</v>
      </c>
      <c r="E938" t="str">
        <f>"49491689"</f>
        <v>49491689</v>
      </c>
      <c r="F938" t="str">
        <f>"00059659"</f>
        <v>00059659</v>
      </c>
    </row>
    <row r="939" spans="1:6" x14ac:dyDescent="0.25">
      <c r="A939" t="s">
        <v>1135</v>
      </c>
      <c r="C939" t="s">
        <v>1136</v>
      </c>
      <c r="E939" t="str">
        <f>"36305363"</f>
        <v>36305363</v>
      </c>
      <c r="F939" t="str">
        <f>"00735647"</f>
        <v>00735647</v>
      </c>
    </row>
    <row r="940" spans="1:6" x14ac:dyDescent="0.25">
      <c r="A940" t="s">
        <v>1137</v>
      </c>
      <c r="E940" t="str">
        <f>"22434489"</f>
        <v>22434489</v>
      </c>
      <c r="F940" t="str">
        <f>"01239151"</f>
        <v>01239151</v>
      </c>
    </row>
    <row r="941" spans="1:6" x14ac:dyDescent="0.25">
      <c r="A941" t="s">
        <v>1138</v>
      </c>
      <c r="C941" t="s">
        <v>27</v>
      </c>
      <c r="E941" t="str">
        <f>"22471615"</f>
        <v>22471615</v>
      </c>
      <c r="F941" t="str">
        <f>"00867127"</f>
        <v>00867127</v>
      </c>
    </row>
    <row r="942" spans="1:6" x14ac:dyDescent="0.25">
      <c r="A942" t="s">
        <v>1139</v>
      </c>
      <c r="C942" t="s">
        <v>1140</v>
      </c>
      <c r="E942" t="str">
        <f>"34471615"</f>
        <v>34471615</v>
      </c>
      <c r="F942" t="str">
        <f>"00866905"</f>
        <v>00866905</v>
      </c>
    </row>
    <row r="943" spans="1:6" x14ac:dyDescent="0.25">
      <c r="A943" t="s">
        <v>1141</v>
      </c>
      <c r="C943" t="s">
        <v>27</v>
      </c>
      <c r="E943" t="str">
        <f>"5746871"</f>
        <v>5746871</v>
      </c>
    </row>
    <row r="944" spans="1:6" x14ac:dyDescent="0.25">
      <c r="A944" t="s">
        <v>1142</v>
      </c>
      <c r="F944" t="str">
        <f>"00866897"</f>
        <v>00866897</v>
      </c>
    </row>
    <row r="945" spans="1:6" x14ac:dyDescent="0.25">
      <c r="A945" t="s">
        <v>1143</v>
      </c>
      <c r="C945" t="s">
        <v>257</v>
      </c>
      <c r="E945" t="str">
        <f>"44438800"</f>
        <v>44438800</v>
      </c>
      <c r="F945" t="str">
        <f>"00263731"</f>
        <v>00263731</v>
      </c>
    </row>
    <row r="946" spans="1:6" x14ac:dyDescent="0.25">
      <c r="A946" t="s">
        <v>1144</v>
      </c>
      <c r="C946" t="s">
        <v>257</v>
      </c>
      <c r="E946" t="str">
        <f>"36305220"</f>
        <v>36305220</v>
      </c>
      <c r="F946" t="str">
        <f>"01468941"</f>
        <v>01468941</v>
      </c>
    </row>
    <row r="947" spans="1:6" x14ac:dyDescent="0.25">
      <c r="A947" t="s">
        <v>1145</v>
      </c>
      <c r="C947" t="s">
        <v>27</v>
      </c>
      <c r="E947" t="str">
        <f>"37606465"</f>
        <v>37606465</v>
      </c>
      <c r="F947" t="str">
        <f>"01389907"</f>
        <v>01389907</v>
      </c>
    </row>
    <row r="948" spans="1:6" x14ac:dyDescent="0.25">
      <c r="A948" t="s">
        <v>1146</v>
      </c>
      <c r="C948" t="s">
        <v>231</v>
      </c>
      <c r="E948" t="str">
        <f>"22333979"</f>
        <v>22333979</v>
      </c>
      <c r="F948" t="str">
        <f>"10702261"</f>
        <v>10702261</v>
      </c>
    </row>
    <row r="949" spans="1:6" x14ac:dyDescent="0.25">
      <c r="A949" t="s">
        <v>1147</v>
      </c>
      <c r="C949" t="s">
        <v>27</v>
      </c>
      <c r="E949" t="str">
        <f>"34416236"</f>
        <v>34416236</v>
      </c>
      <c r="F949" t="str">
        <f>"00545608"</f>
        <v>00545608</v>
      </c>
    </row>
    <row r="950" spans="1:6" x14ac:dyDescent="0.25">
      <c r="A950" t="s">
        <v>1148</v>
      </c>
      <c r="C950" t="s">
        <v>530</v>
      </c>
      <c r="E950" t="str">
        <f>"22102939"</f>
        <v>22102939</v>
      </c>
      <c r="F950" t="str">
        <f>"01447937"</f>
        <v>01447937</v>
      </c>
    </row>
    <row r="951" spans="1:6" x14ac:dyDescent="0.25">
      <c r="A951" t="s">
        <v>1149</v>
      </c>
      <c r="C951" t="s">
        <v>530</v>
      </c>
      <c r="E951" t="str">
        <f>"46803402"</f>
        <v>46803402</v>
      </c>
      <c r="F951" t="str">
        <f>"00800862"</f>
        <v>00800862</v>
      </c>
    </row>
    <row r="952" spans="1:6" x14ac:dyDescent="0.25">
      <c r="A952" t="s">
        <v>1150</v>
      </c>
      <c r="C952" t="s">
        <v>488</v>
      </c>
      <c r="E952" t="str">
        <f>"46323300"</f>
        <v>46323300</v>
      </c>
      <c r="F952" t="str">
        <f>"00329003"</f>
        <v>00329003</v>
      </c>
    </row>
    <row r="953" spans="1:6" x14ac:dyDescent="0.25">
      <c r="A953" t="s">
        <v>1151</v>
      </c>
      <c r="C953" t="s">
        <v>562</v>
      </c>
      <c r="E953" t="str">
        <f>"22057570"</f>
        <v>22057570</v>
      </c>
      <c r="F953" t="str">
        <f>"00713495"</f>
        <v>00713495</v>
      </c>
    </row>
    <row r="954" spans="1:6" x14ac:dyDescent="0.25">
      <c r="A954" t="s">
        <v>1152</v>
      </c>
      <c r="C954" t="s">
        <v>27</v>
      </c>
      <c r="E954" t="str">
        <f>"36331130"</f>
        <v>36331130</v>
      </c>
      <c r="F954" t="str">
        <f>"00735100"</f>
        <v>00735100</v>
      </c>
    </row>
    <row r="955" spans="1:6" x14ac:dyDescent="0.25">
      <c r="A955" t="s">
        <v>1153</v>
      </c>
      <c r="C955" t="s">
        <v>562</v>
      </c>
      <c r="E955" t="str">
        <f>"41347333"</f>
        <v>41347333</v>
      </c>
      <c r="F955" t="str">
        <f>"01240555"</f>
        <v>01240555</v>
      </c>
    </row>
    <row r="956" spans="1:6" x14ac:dyDescent="0.25">
      <c r="A956" t="s">
        <v>1154</v>
      </c>
      <c r="C956" t="s">
        <v>231</v>
      </c>
      <c r="E956" t="str">
        <f>"36305718"</f>
        <v>36305718</v>
      </c>
      <c r="F956" t="str">
        <f>"01305515"</f>
        <v>01305515</v>
      </c>
    </row>
    <row r="957" spans="1:6" x14ac:dyDescent="0.25">
      <c r="A957" t="s">
        <v>1155</v>
      </c>
    </row>
    <row r="958" spans="1:6" x14ac:dyDescent="0.25">
      <c r="A958" t="s">
        <v>1156</v>
      </c>
      <c r="C958" t="s">
        <v>567</v>
      </c>
      <c r="E958" t="str">
        <f>"46928289"</f>
        <v>46928289</v>
      </c>
      <c r="F958" t="str">
        <f>"00833681"</f>
        <v>00833681</v>
      </c>
    </row>
    <row r="959" spans="1:6" x14ac:dyDescent="0.25">
      <c r="A959" t="s">
        <v>1157</v>
      </c>
      <c r="C959" t="s">
        <v>27</v>
      </c>
      <c r="E959" t="str">
        <f>"46413980"</f>
        <v>46413980</v>
      </c>
      <c r="F959" t="str">
        <f>"01493162"</f>
        <v>01493162</v>
      </c>
    </row>
    <row r="960" spans="1:6" x14ac:dyDescent="0.25">
      <c r="A960" t="s">
        <v>1158</v>
      </c>
      <c r="C960" t="s">
        <v>488</v>
      </c>
      <c r="E960" t="str">
        <f>"22488237"</f>
        <v>22488237</v>
      </c>
      <c r="F960" t="str">
        <f>"00269126"</f>
        <v>00269126</v>
      </c>
    </row>
    <row r="961" spans="1:6" x14ac:dyDescent="0.25">
      <c r="A961" t="s">
        <v>1159</v>
      </c>
      <c r="C961" t="s">
        <v>27</v>
      </c>
      <c r="E961" t="str">
        <f>"36680301"</f>
        <v>36680301</v>
      </c>
      <c r="F961" t="str">
        <f>"00746685"</f>
        <v>00746685</v>
      </c>
    </row>
    <row r="962" spans="1:6" x14ac:dyDescent="0.25">
      <c r="A962" t="s">
        <v>1160</v>
      </c>
      <c r="C962" t="s">
        <v>231</v>
      </c>
      <c r="E962" t="str">
        <f>"22432329"</f>
        <v>22432329</v>
      </c>
      <c r="F962" t="str">
        <f>"00081182"</f>
        <v>00081182</v>
      </c>
    </row>
    <row r="963" spans="1:6" x14ac:dyDescent="0.25">
      <c r="A963" t="s">
        <v>1161</v>
      </c>
      <c r="C963" t="s">
        <v>231</v>
      </c>
      <c r="E963" t="str">
        <f>"36340081"</f>
        <v>36340081</v>
      </c>
      <c r="F963" t="str">
        <f>"10602089"</f>
        <v>10602089</v>
      </c>
    </row>
    <row r="964" spans="1:6" x14ac:dyDescent="0.25">
      <c r="A964" t="s">
        <v>1162</v>
      </c>
      <c r="C964" t="s">
        <v>567</v>
      </c>
      <c r="E964" t="str">
        <f>"41733189"</f>
        <v>41733189</v>
      </c>
      <c r="F964" t="str">
        <f>"00731471"</f>
        <v>00731471</v>
      </c>
    </row>
    <row r="965" spans="1:6" x14ac:dyDescent="0.25">
      <c r="A965" t="s">
        <v>1163</v>
      </c>
      <c r="C965" t="s">
        <v>435</v>
      </c>
      <c r="E965" t="str">
        <f>"33333690"</f>
        <v>33333690</v>
      </c>
      <c r="F965" t="str">
        <f>"10719190"</f>
        <v>10719190</v>
      </c>
    </row>
    <row r="966" spans="1:6" x14ac:dyDescent="0.25">
      <c r="A966" t="s">
        <v>1164</v>
      </c>
      <c r="C966" t="s">
        <v>27</v>
      </c>
      <c r="E966" t="str">
        <f>"32230961"</f>
        <v>32230961</v>
      </c>
      <c r="F966" t="str">
        <f>"01277664"</f>
        <v>01277664</v>
      </c>
    </row>
    <row r="967" spans="1:6" x14ac:dyDescent="0.25">
      <c r="A967" t="s">
        <v>1165</v>
      </c>
      <c r="C967" t="s">
        <v>231</v>
      </c>
      <c r="E967" t="str">
        <f>"33062633"</f>
        <v>33062633</v>
      </c>
      <c r="F967" t="str">
        <f>"01400381"</f>
        <v>01400381</v>
      </c>
    </row>
    <row r="968" spans="1:6" x14ac:dyDescent="0.25">
      <c r="A968" t="s">
        <v>1166</v>
      </c>
      <c r="E968" t="str">
        <f>"36066152"</f>
        <v>36066152</v>
      </c>
      <c r="F968" t="str">
        <f>"01446160"</f>
        <v>01446160</v>
      </c>
    </row>
    <row r="969" spans="1:6" x14ac:dyDescent="0.25">
      <c r="A969" t="s">
        <v>1167</v>
      </c>
      <c r="C969" t="s">
        <v>27</v>
      </c>
      <c r="E969" t="str">
        <f>"43130760"</f>
        <v>43130760</v>
      </c>
      <c r="F969" t="str">
        <f>"01403898"</f>
        <v>01403898</v>
      </c>
    </row>
    <row r="970" spans="1:6" x14ac:dyDescent="0.25">
      <c r="A970" t="s">
        <v>1168</v>
      </c>
      <c r="C970" t="s">
        <v>1169</v>
      </c>
      <c r="E970" t="str">
        <f>"46835655"</f>
        <v>46835655</v>
      </c>
      <c r="F970" t="str">
        <f>"00485599"</f>
        <v>00485599</v>
      </c>
    </row>
    <row r="971" spans="1:6" x14ac:dyDescent="0.25">
      <c r="A971" t="s">
        <v>1170</v>
      </c>
      <c r="C971" t="s">
        <v>27</v>
      </c>
      <c r="E971" t="str">
        <f>"31027838"</f>
        <v>31027838</v>
      </c>
      <c r="F971" t="str">
        <f>"00612200"</f>
        <v>00612200</v>
      </c>
    </row>
    <row r="972" spans="1:6" x14ac:dyDescent="0.25">
      <c r="A972" t="s">
        <v>1171</v>
      </c>
      <c r="C972" t="s">
        <v>567</v>
      </c>
      <c r="E972" t="str">
        <f>"46456539"</f>
        <v>46456539</v>
      </c>
      <c r="F972" t="str">
        <f>"01366921"</f>
        <v>01366921</v>
      </c>
    </row>
    <row r="973" spans="1:6" x14ac:dyDescent="0.25">
      <c r="A973" t="s">
        <v>1172</v>
      </c>
      <c r="C973" t="s">
        <v>530</v>
      </c>
      <c r="E973" t="str">
        <f>"46050133"</f>
        <v>46050133</v>
      </c>
      <c r="F973" t="str">
        <f>"00183335"</f>
        <v>00183335</v>
      </c>
    </row>
    <row r="974" spans="1:6" x14ac:dyDescent="0.25">
      <c r="A974" t="s">
        <v>1173</v>
      </c>
      <c r="C974" t="s">
        <v>488</v>
      </c>
      <c r="E974" t="str">
        <f>"38088581"</f>
        <v>38088581</v>
      </c>
      <c r="F974" t="str">
        <f>"01494723"</f>
        <v>01494723</v>
      </c>
    </row>
    <row r="975" spans="1:6" x14ac:dyDescent="0.25">
      <c r="A975" t="s">
        <v>1174</v>
      </c>
      <c r="C975" t="s">
        <v>27</v>
      </c>
      <c r="E975" t="str">
        <f>"22157226"</f>
        <v>22157226</v>
      </c>
      <c r="F975" t="str">
        <f>"00471888"</f>
        <v>00471888</v>
      </c>
    </row>
    <row r="976" spans="1:6" x14ac:dyDescent="0.25">
      <c r="A976" t="s">
        <v>1175</v>
      </c>
      <c r="C976" t="s">
        <v>27</v>
      </c>
      <c r="E976" t="str">
        <f>"42999971"</f>
        <v>42999971</v>
      </c>
      <c r="F976" t="str">
        <f>"00820639"</f>
        <v>00820639</v>
      </c>
    </row>
    <row r="977" spans="1:6" x14ac:dyDescent="0.25">
      <c r="A977" t="s">
        <v>1176</v>
      </c>
      <c r="C977" t="s">
        <v>567</v>
      </c>
      <c r="E977" t="str">
        <f>"22347734"</f>
        <v>22347734</v>
      </c>
      <c r="F977" t="str">
        <f>"10706577"</f>
        <v>10706577</v>
      </c>
    </row>
    <row r="978" spans="1:6" x14ac:dyDescent="0.25">
      <c r="A978" t="s">
        <v>1177</v>
      </c>
      <c r="F978" t="str">
        <f>"00140624"</f>
        <v>00140624</v>
      </c>
    </row>
    <row r="979" spans="1:6" x14ac:dyDescent="0.25">
      <c r="A979" t="s">
        <v>1178</v>
      </c>
      <c r="F979" t="str">
        <f>"00257972"</f>
        <v>00257972</v>
      </c>
    </row>
    <row r="980" spans="1:6" x14ac:dyDescent="0.25">
      <c r="A980" t="s">
        <v>1179</v>
      </c>
      <c r="F980" t="str">
        <f>"0135800"</f>
        <v>0135800</v>
      </c>
    </row>
    <row r="981" spans="1:6" x14ac:dyDescent="0.25">
      <c r="A981" t="s">
        <v>1180</v>
      </c>
    </row>
    <row r="982" spans="1:6" x14ac:dyDescent="0.25">
      <c r="A982" t="s">
        <v>1181</v>
      </c>
      <c r="C982" t="s">
        <v>27</v>
      </c>
      <c r="E982" t="str">
        <f>"20211986"</f>
        <v>20211986</v>
      </c>
      <c r="F982" t="str">
        <f>"00638593"</f>
        <v>00638593</v>
      </c>
    </row>
    <row r="983" spans="1:6" x14ac:dyDescent="0.25">
      <c r="A983" t="s">
        <v>1182</v>
      </c>
      <c r="C983" t="s">
        <v>530</v>
      </c>
      <c r="E983" t="str">
        <f>"22646183"</f>
        <v>22646183</v>
      </c>
      <c r="F983" t="str">
        <f>"00701565"</f>
        <v>00701565</v>
      </c>
    </row>
    <row r="984" spans="1:6" x14ac:dyDescent="0.25">
      <c r="A984" t="s">
        <v>1183</v>
      </c>
      <c r="C984" t="s">
        <v>27</v>
      </c>
      <c r="E984" t="str">
        <f>"36311057"</f>
        <v>36311057</v>
      </c>
      <c r="F984" t="str">
        <f>"00376533"</f>
        <v>00376533</v>
      </c>
    </row>
    <row r="985" spans="1:6" x14ac:dyDescent="0.25">
      <c r="A985" t="s">
        <v>1184</v>
      </c>
      <c r="C985" t="s">
        <v>231</v>
      </c>
      <c r="E985" t="str">
        <f>"22240512"</f>
        <v>22240512</v>
      </c>
      <c r="F985" t="str">
        <f>"10710017"</f>
        <v>10710017</v>
      </c>
    </row>
    <row r="986" spans="1:6" x14ac:dyDescent="0.25">
      <c r="A986" t="s">
        <v>1185</v>
      </c>
      <c r="C986" t="s">
        <v>257</v>
      </c>
      <c r="E986" t="str">
        <f>"36199382"</f>
        <v>36199382</v>
      </c>
      <c r="F986" t="str">
        <f>"00857847"</f>
        <v>00857847</v>
      </c>
    </row>
    <row r="987" spans="1:6" x14ac:dyDescent="0.25">
      <c r="A987" t="s">
        <v>1186</v>
      </c>
      <c r="C987" t="s">
        <v>435</v>
      </c>
      <c r="E987" t="str">
        <f>"46496665"</f>
        <v>46496665</v>
      </c>
      <c r="F987" t="str">
        <f>"01197417"</f>
        <v>01197417</v>
      </c>
    </row>
    <row r="988" spans="1:6" x14ac:dyDescent="0.25">
      <c r="A988" t="s">
        <v>1187</v>
      </c>
      <c r="C988" t="s">
        <v>530</v>
      </c>
      <c r="E988" t="str">
        <f>"46431470"</f>
        <v>46431470</v>
      </c>
      <c r="F988" t="str">
        <f>"10491042"</f>
        <v>10491042</v>
      </c>
    </row>
    <row r="989" spans="1:6" x14ac:dyDescent="0.25">
      <c r="A989" t="s">
        <v>1188</v>
      </c>
      <c r="C989" t="s">
        <v>488</v>
      </c>
      <c r="E989" t="str">
        <f>"46787276"</f>
        <v>46787276</v>
      </c>
      <c r="F989" t="str">
        <f>"10704838"</f>
        <v>10704838</v>
      </c>
    </row>
    <row r="990" spans="1:6" x14ac:dyDescent="0.25">
      <c r="A990" t="s">
        <v>1189</v>
      </c>
      <c r="C990" t="s">
        <v>27</v>
      </c>
      <c r="E990" t="str">
        <f>"43433815"</f>
        <v>43433815</v>
      </c>
      <c r="F990" t="str">
        <f>"01355882"</f>
        <v>01355882</v>
      </c>
    </row>
    <row r="991" spans="1:6" x14ac:dyDescent="0.25">
      <c r="A991" t="s">
        <v>1190</v>
      </c>
      <c r="C991" t="s">
        <v>530</v>
      </c>
      <c r="E991" t="str">
        <f>"46630866"</f>
        <v>46630866</v>
      </c>
      <c r="F991" t="str">
        <f>"01407048"</f>
        <v>01407048</v>
      </c>
    </row>
    <row r="992" spans="1:6" x14ac:dyDescent="0.25">
      <c r="A992" t="s">
        <v>1191</v>
      </c>
      <c r="C992" t="s">
        <v>562</v>
      </c>
      <c r="E992" t="str">
        <f>"22104302"</f>
        <v>22104302</v>
      </c>
      <c r="F992" t="str">
        <f>"01515980"</f>
        <v>01515980</v>
      </c>
    </row>
    <row r="993" spans="1:6" x14ac:dyDescent="0.25">
      <c r="A993" t="s">
        <v>1192</v>
      </c>
      <c r="C993" t="s">
        <v>1193</v>
      </c>
      <c r="E993" t="str">
        <f>"46482271"</f>
        <v>46482271</v>
      </c>
      <c r="F993" t="str">
        <f>"10701008"</f>
        <v>10701008</v>
      </c>
    </row>
    <row r="994" spans="1:6" x14ac:dyDescent="0.25">
      <c r="A994" t="s">
        <v>1194</v>
      </c>
      <c r="C994" t="s">
        <v>435</v>
      </c>
      <c r="E994" t="str">
        <f>"22314168"</f>
        <v>22314168</v>
      </c>
      <c r="F994" t="str">
        <f>"10700158"</f>
        <v>10700158</v>
      </c>
    </row>
    <row r="995" spans="1:6" x14ac:dyDescent="0.25">
      <c r="A995" t="s">
        <v>1195</v>
      </c>
      <c r="C995" t="s">
        <v>1196</v>
      </c>
      <c r="E995" t="str">
        <f>"46485565"</f>
        <v>46485565</v>
      </c>
      <c r="F995" t="str">
        <f>"01342104"</f>
        <v>01342104</v>
      </c>
    </row>
    <row r="996" spans="1:6" x14ac:dyDescent="0.25">
      <c r="A996" t="s">
        <v>1197</v>
      </c>
      <c r="C996" t="s">
        <v>562</v>
      </c>
      <c r="E996" t="str">
        <f>"26242400"</f>
        <v>26242400</v>
      </c>
      <c r="F996" t="str">
        <f>"00605790"</f>
        <v>00605790</v>
      </c>
    </row>
    <row r="997" spans="1:6" x14ac:dyDescent="0.25">
      <c r="A997" t="s">
        <v>1198</v>
      </c>
      <c r="C997" t="s">
        <v>27</v>
      </c>
      <c r="E997" t="str">
        <f>"41347333"</f>
        <v>41347333</v>
      </c>
      <c r="F997" t="str">
        <f>"01224708"</f>
        <v>01224708</v>
      </c>
    </row>
    <row r="998" spans="1:6" x14ac:dyDescent="0.25">
      <c r="A998" t="s">
        <v>1199</v>
      </c>
      <c r="C998" t="s">
        <v>562</v>
      </c>
      <c r="E998" t="str">
        <f>"22117350"</f>
        <v>22117350</v>
      </c>
      <c r="F998" t="str">
        <f>"10723093"</f>
        <v>10723093</v>
      </c>
    </row>
    <row r="999" spans="1:6" x14ac:dyDescent="0.25">
      <c r="A999" t="s">
        <v>1200</v>
      </c>
      <c r="C999" t="s">
        <v>27</v>
      </c>
      <c r="E999" t="str">
        <f>"20906627"</f>
        <v>20906627</v>
      </c>
      <c r="F999" t="str">
        <f>"00605956"</f>
        <v>00605956</v>
      </c>
    </row>
    <row r="1000" spans="1:6" x14ac:dyDescent="0.25">
      <c r="A1000" t="s">
        <v>1201</v>
      </c>
      <c r="C1000" t="s">
        <v>27</v>
      </c>
      <c r="E1000" t="str">
        <f>"32798888"</f>
        <v>32798888</v>
      </c>
      <c r="F1000" t="str">
        <f>"00862219"</f>
        <v>00862219</v>
      </c>
    </row>
    <row r="1001" spans="1:6" x14ac:dyDescent="0.25">
      <c r="A1001" t="s">
        <v>1202</v>
      </c>
      <c r="C1001" t="s">
        <v>530</v>
      </c>
      <c r="E1001" t="str">
        <f>"36637416"</f>
        <v>36637416</v>
      </c>
      <c r="F1001" t="str">
        <f>"00677484"</f>
        <v>00677484</v>
      </c>
    </row>
    <row r="1002" spans="1:6" x14ac:dyDescent="0.25">
      <c r="A1002" t="s">
        <v>1203</v>
      </c>
      <c r="C1002" t="s">
        <v>530</v>
      </c>
      <c r="E1002" t="str">
        <f>"41170710"</f>
        <v>41170710</v>
      </c>
      <c r="F1002" t="str">
        <f>"10600877"</f>
        <v>10600877</v>
      </c>
    </row>
    <row r="1003" spans="1:6" x14ac:dyDescent="0.25">
      <c r="A1003" t="s">
        <v>1204</v>
      </c>
      <c r="C1003" t="s">
        <v>27</v>
      </c>
      <c r="E1003" t="str">
        <f>"36674848"</f>
        <v>36674848</v>
      </c>
      <c r="F1003" t="str">
        <f>"00718494"</f>
        <v>00718494</v>
      </c>
    </row>
    <row r="1004" spans="1:6" x14ac:dyDescent="0.25">
      <c r="A1004" t="s">
        <v>1205</v>
      </c>
      <c r="C1004" t="s">
        <v>1206</v>
      </c>
      <c r="E1004" t="str">
        <f>"42104321"</f>
        <v>42104321</v>
      </c>
      <c r="F1004" t="str">
        <f>"00499699"</f>
        <v>00499699</v>
      </c>
    </row>
    <row r="1005" spans="1:6" x14ac:dyDescent="0.25">
      <c r="A1005" t="s">
        <v>1207</v>
      </c>
      <c r="C1005" t="s">
        <v>1208</v>
      </c>
      <c r="E1005" t="str">
        <f>"36439690"</f>
        <v>36439690</v>
      </c>
      <c r="F1005" t="str">
        <f>"00154518"</f>
        <v>00154518</v>
      </c>
    </row>
    <row r="1006" spans="1:6" x14ac:dyDescent="0.25">
      <c r="A1006" t="s">
        <v>1209</v>
      </c>
      <c r="C1006" t="s">
        <v>1210</v>
      </c>
      <c r="D1006" t="s">
        <v>10</v>
      </c>
      <c r="E1006" t="str">
        <f>"22220090"</f>
        <v>22220090</v>
      </c>
      <c r="F1006" t="str">
        <f>"00278838"</f>
        <v>00278838</v>
      </c>
    </row>
    <row r="1007" spans="1:6" x14ac:dyDescent="0.25">
      <c r="A1007" t="s">
        <v>1211</v>
      </c>
      <c r="C1007" t="s">
        <v>1212</v>
      </c>
      <c r="E1007" t="s">
        <v>1213</v>
      </c>
      <c r="F1007" t="str">
        <f>"21103954"</f>
        <v>21103954</v>
      </c>
    </row>
    <row r="1008" spans="1:6" x14ac:dyDescent="0.25">
      <c r="A1008" t="s">
        <v>1214</v>
      </c>
      <c r="C1008" t="s">
        <v>1215</v>
      </c>
      <c r="E1008" t="str">
        <f>"27802435"</f>
        <v>27802435</v>
      </c>
      <c r="F1008" t="str">
        <f>"10600877"</f>
        <v>10600877</v>
      </c>
    </row>
    <row r="1009" spans="1:6" x14ac:dyDescent="0.25">
      <c r="A1009" t="s">
        <v>1216</v>
      </c>
      <c r="C1009" t="s">
        <v>1217</v>
      </c>
      <c r="E1009" t="str">
        <f>"46477859"</f>
        <v>46477859</v>
      </c>
      <c r="F1009" t="str">
        <f>"01290378"</f>
        <v>01290378</v>
      </c>
    </row>
    <row r="1010" spans="1:6" x14ac:dyDescent="0.25">
      <c r="A1010" t="s">
        <v>1218</v>
      </c>
      <c r="C1010" t="s">
        <v>1219</v>
      </c>
      <c r="E1010" t="str">
        <f>"26164816"</f>
        <v>26164816</v>
      </c>
      <c r="F1010" t="str">
        <f>"01313253"</f>
        <v>01313253</v>
      </c>
    </row>
    <row r="1011" spans="1:6" x14ac:dyDescent="0.25">
      <c r="A1011" t="s">
        <v>1220</v>
      </c>
      <c r="C1011" t="s">
        <v>1221</v>
      </c>
      <c r="E1011" t="str">
        <f>"32137673"</f>
        <v>32137673</v>
      </c>
      <c r="F1011" t="str">
        <f>"00780601"</f>
        <v>00780601</v>
      </c>
    </row>
    <row r="1012" spans="1:6" x14ac:dyDescent="0.25">
      <c r="A1012" t="s">
        <v>1222</v>
      </c>
      <c r="C1012" t="s">
        <v>1223</v>
      </c>
      <c r="E1012" t="str">
        <f>"22661375"</f>
        <v>22661375</v>
      </c>
      <c r="F1012" t="str">
        <f>"01551829"</f>
        <v>01551829</v>
      </c>
    </row>
    <row r="1013" spans="1:6" x14ac:dyDescent="0.25">
      <c r="A1013" t="s">
        <v>1224</v>
      </c>
      <c r="C1013" t="s">
        <v>1225</v>
      </c>
      <c r="E1013" t="str">
        <f>"46485090"</f>
        <v>46485090</v>
      </c>
      <c r="F1013" t="str">
        <f>"01526029"</f>
        <v>01526029</v>
      </c>
    </row>
    <row r="1014" spans="1:6" x14ac:dyDescent="0.25">
      <c r="A1014" t="s">
        <v>1226</v>
      </c>
      <c r="C1014" t="s">
        <v>1227</v>
      </c>
      <c r="E1014" t="str">
        <f>"22366367"</f>
        <v>22366367</v>
      </c>
      <c r="F1014" t="str">
        <f>"01333798"</f>
        <v>01333798</v>
      </c>
    </row>
    <row r="1015" spans="1:6" x14ac:dyDescent="0.25">
      <c r="A1015" t="s">
        <v>1228</v>
      </c>
      <c r="C1015" t="s">
        <v>1229</v>
      </c>
      <c r="E1015" t="str">
        <f>"26523772"</f>
        <v>26523772</v>
      </c>
      <c r="F1015" t="str">
        <f>"01552751"</f>
        <v>01552751</v>
      </c>
    </row>
    <row r="1016" spans="1:6" x14ac:dyDescent="0.25">
      <c r="A1016" t="s">
        <v>1230</v>
      </c>
      <c r="C1016" t="s">
        <v>1231</v>
      </c>
      <c r="E1016" t="str">
        <f>"46613339"</f>
        <v>46613339</v>
      </c>
      <c r="F1016" t="str">
        <f>"00413179"</f>
        <v>00413179</v>
      </c>
    </row>
    <row r="1017" spans="1:6" x14ac:dyDescent="0.25">
      <c r="A1017" t="s">
        <v>1232</v>
      </c>
      <c r="C1017" t="s">
        <v>1233</v>
      </c>
      <c r="E1017" t="str">
        <f>"36312824"</f>
        <v>36312824</v>
      </c>
      <c r="F1017" t="str">
        <f>"00503698"</f>
        <v>00503698</v>
      </c>
    </row>
    <row r="1018" spans="1:6" x14ac:dyDescent="0.25">
      <c r="A1018" t="s">
        <v>1234</v>
      </c>
      <c r="C1018" t="s">
        <v>1235</v>
      </c>
      <c r="E1018" t="str">
        <f>"22041848"</f>
        <v>22041848</v>
      </c>
      <c r="F1018" t="str">
        <f>"00794628"</f>
        <v>00794628</v>
      </c>
    </row>
    <row r="1019" spans="1:6" x14ac:dyDescent="0.25">
      <c r="A1019" t="s">
        <v>1236</v>
      </c>
      <c r="C1019" t="s">
        <v>1237</v>
      </c>
      <c r="E1019" t="str">
        <f>"20202033"</f>
        <v>20202033</v>
      </c>
      <c r="F1019" t="str">
        <f>"00568485"</f>
        <v>00568485</v>
      </c>
    </row>
    <row r="1020" spans="1:6" x14ac:dyDescent="0.25">
      <c r="A1020" t="s">
        <v>1238</v>
      </c>
      <c r="C1020" t="s">
        <v>1239</v>
      </c>
      <c r="E1020" t="str">
        <f>"22011330"</f>
        <v>22011330</v>
      </c>
      <c r="F1020" t="str">
        <f>"00513572"</f>
        <v>00513572</v>
      </c>
    </row>
    <row r="1021" spans="1:6" x14ac:dyDescent="0.25">
      <c r="A1021" t="s">
        <v>1240</v>
      </c>
      <c r="C1021" t="s">
        <v>1241</v>
      </c>
      <c r="E1021" t="str">
        <f>"36637994"</f>
        <v>36637994</v>
      </c>
      <c r="F1021" t="str">
        <f>"01406164"</f>
        <v>01406164</v>
      </c>
    </row>
    <row r="1022" spans="1:6" x14ac:dyDescent="0.25">
      <c r="A1022" t="s">
        <v>1242</v>
      </c>
      <c r="C1022" t="s">
        <v>1243</v>
      </c>
      <c r="E1022" t="str">
        <f>"46905299"</f>
        <v>46905299</v>
      </c>
      <c r="F1022" t="str">
        <f>"00213603"</f>
        <v>00213603</v>
      </c>
    </row>
    <row r="1023" spans="1:6" x14ac:dyDescent="0.25">
      <c r="A1023" t="s">
        <v>1244</v>
      </c>
      <c r="C1023" t="s">
        <v>257</v>
      </c>
    </row>
    <row r="1024" spans="1:6" x14ac:dyDescent="0.25">
      <c r="A1024" t="s">
        <v>1245</v>
      </c>
      <c r="C1024" t="s">
        <v>1246</v>
      </c>
      <c r="E1024" t="str">
        <f>"46464481"</f>
        <v>46464481</v>
      </c>
      <c r="F1024" t="str">
        <f>"00941419"</f>
        <v>00941419</v>
      </c>
    </row>
    <row r="1025" spans="1:6" x14ac:dyDescent="0.25">
      <c r="A1025" t="s">
        <v>1247</v>
      </c>
      <c r="C1025" t="s">
        <v>1248</v>
      </c>
      <c r="E1025" t="str">
        <f>"46550585"</f>
        <v>46550585</v>
      </c>
      <c r="F1025" t="str">
        <f>"01508886"</f>
        <v>01508886</v>
      </c>
    </row>
    <row r="1026" spans="1:6" x14ac:dyDescent="0.25">
      <c r="A1026" t="s">
        <v>1249</v>
      </c>
      <c r="C1026" t="s">
        <v>1250</v>
      </c>
      <c r="E1026" t="str">
        <f>"47672715"</f>
        <v>47672715</v>
      </c>
      <c r="F1026" t="str">
        <f>"11108326"</f>
        <v>11108326</v>
      </c>
    </row>
    <row r="1027" spans="1:6" x14ac:dyDescent="0.25">
      <c r="A1027" t="s">
        <v>1251</v>
      </c>
      <c r="C1027" t="s">
        <v>1252</v>
      </c>
      <c r="E1027" t="s">
        <v>1253</v>
      </c>
      <c r="F1027" t="str">
        <f>"10723218"</f>
        <v>10723218</v>
      </c>
    </row>
    <row r="1028" spans="1:6" x14ac:dyDescent="0.25">
      <c r="A1028" t="s">
        <v>1254</v>
      </c>
      <c r="C1028" t="s">
        <v>1255</v>
      </c>
      <c r="E1028" t="str">
        <f>"36302424"</f>
        <v>36302424</v>
      </c>
      <c r="F1028" t="str">
        <f>"00249490"</f>
        <v>00249490</v>
      </c>
    </row>
    <row r="1029" spans="1:6" x14ac:dyDescent="0.25">
      <c r="A1029" t="s">
        <v>1256</v>
      </c>
      <c r="C1029" t="s">
        <v>1257</v>
      </c>
      <c r="E1029" t="str">
        <f>"43554322"</f>
        <v>43554322</v>
      </c>
      <c r="F1029" t="str">
        <f>"01119692"</f>
        <v>01119692</v>
      </c>
    </row>
    <row r="1030" spans="1:6" x14ac:dyDescent="0.25">
      <c r="A1030" t="s">
        <v>1258</v>
      </c>
      <c r="C1030" t="s">
        <v>1241</v>
      </c>
      <c r="E1030" t="str">
        <f>"46503940"</f>
        <v>46503940</v>
      </c>
      <c r="F1030" t="str">
        <f>"00453407"</f>
        <v>00453407</v>
      </c>
    </row>
    <row r="1031" spans="1:6" x14ac:dyDescent="0.25">
      <c r="A1031" t="s">
        <v>1259</v>
      </c>
      <c r="C1031" t="s">
        <v>1260</v>
      </c>
      <c r="E1031" t="str">
        <f>"36341690"</f>
        <v>36341690</v>
      </c>
      <c r="F1031" t="str">
        <f>"01174358"</f>
        <v>01174358</v>
      </c>
    </row>
    <row r="1032" spans="1:6" x14ac:dyDescent="0.25">
      <c r="A1032" t="s">
        <v>1261</v>
      </c>
      <c r="C1032" t="s">
        <v>488</v>
      </c>
      <c r="E1032" t="str">
        <f>"36311037"</f>
        <v>36311037</v>
      </c>
      <c r="F1032" t="str">
        <f>"01372226"</f>
        <v>01372226</v>
      </c>
    </row>
    <row r="1033" spans="1:6" x14ac:dyDescent="0.25">
      <c r="A1033" t="s">
        <v>1262</v>
      </c>
      <c r="C1033" t="s">
        <v>1263</v>
      </c>
      <c r="E1033" t="str">
        <f>"22049796"</f>
        <v>22049796</v>
      </c>
      <c r="F1033" t="str">
        <f>"00119032"</f>
        <v>00119032</v>
      </c>
    </row>
    <row r="1034" spans="1:6" x14ac:dyDescent="0.25">
      <c r="A1034" t="s">
        <v>1264</v>
      </c>
      <c r="C1034" t="s">
        <v>1265</v>
      </c>
      <c r="E1034" t="str">
        <f>"22352722"</f>
        <v>22352722</v>
      </c>
      <c r="F1034" t="str">
        <f>"00714808"</f>
        <v>00714808</v>
      </c>
    </row>
    <row r="1035" spans="1:6" x14ac:dyDescent="0.25">
      <c r="A1035" t="s">
        <v>1266</v>
      </c>
      <c r="C1035" t="s">
        <v>1267</v>
      </c>
      <c r="E1035" t="str">
        <f>"22939616"</f>
        <v>22939616</v>
      </c>
      <c r="F1035" t="str">
        <f>"00410951"</f>
        <v>00410951</v>
      </c>
    </row>
    <row r="1036" spans="1:6" x14ac:dyDescent="0.25">
      <c r="A1036" t="s">
        <v>1268</v>
      </c>
      <c r="C1036" t="s">
        <v>1269</v>
      </c>
      <c r="E1036" t="str">
        <f>"36682930"</f>
        <v>36682930</v>
      </c>
      <c r="F1036" t="str">
        <f>"00830315"</f>
        <v>00830315</v>
      </c>
    </row>
    <row r="1037" spans="1:6" x14ac:dyDescent="0.25">
      <c r="A1037" t="s">
        <v>1270</v>
      </c>
      <c r="C1037" t="s">
        <v>1271</v>
      </c>
      <c r="E1037" t="str">
        <f>"26184626"</f>
        <v>26184626</v>
      </c>
      <c r="F1037" t="str">
        <f>"00467076"</f>
        <v>00467076</v>
      </c>
    </row>
    <row r="1038" spans="1:6" x14ac:dyDescent="0.25">
      <c r="A1038" t="s">
        <v>1272</v>
      </c>
      <c r="C1038" t="s">
        <v>1273</v>
      </c>
      <c r="E1038" t="str">
        <f>"46500998"</f>
        <v>46500998</v>
      </c>
      <c r="F1038" t="str">
        <f>"10602055"</f>
        <v>10602055</v>
      </c>
    </row>
    <row r="1039" spans="1:6" x14ac:dyDescent="0.25">
      <c r="A1039" t="s">
        <v>1274</v>
      </c>
      <c r="E1039" t="str">
        <f>"45246086"</f>
        <v>45246086</v>
      </c>
      <c r="F1039" t="str">
        <f>"11105793"</f>
        <v>11105793</v>
      </c>
    </row>
    <row r="1040" spans="1:6" x14ac:dyDescent="0.25">
      <c r="A1040" t="s">
        <v>1275</v>
      </c>
      <c r="C1040" t="s">
        <v>1276</v>
      </c>
      <c r="E1040" t="str">
        <f>"49634949"</f>
        <v>49634949</v>
      </c>
      <c r="F1040" t="str">
        <f>"01570811"</f>
        <v>01570811</v>
      </c>
    </row>
    <row r="1041" spans="1:6" x14ac:dyDescent="0.25">
      <c r="A1041" t="s">
        <v>1277</v>
      </c>
      <c r="C1041" t="s">
        <v>27</v>
      </c>
      <c r="E1041" t="str">
        <f>"36300800"</f>
        <v>36300800</v>
      </c>
      <c r="F1041" t="str">
        <f>"11106460"</f>
        <v>11106460</v>
      </c>
    </row>
    <row r="1042" spans="1:6" x14ac:dyDescent="0.25">
      <c r="A1042" t="s">
        <v>1278</v>
      </c>
      <c r="C1042" t="s">
        <v>27</v>
      </c>
      <c r="E1042" t="str">
        <f>"36161666"</f>
        <v>36161666</v>
      </c>
      <c r="F1042" t="str">
        <f>"01174275"</f>
        <v>01174275</v>
      </c>
    </row>
    <row r="1043" spans="1:6" x14ac:dyDescent="0.25">
      <c r="A1043" t="s">
        <v>1279</v>
      </c>
      <c r="C1043" t="s">
        <v>27</v>
      </c>
      <c r="E1043" t="str">
        <f>"46411432"</f>
        <v>46411432</v>
      </c>
      <c r="F1043" t="str">
        <f>"01351345"</f>
        <v>01351345</v>
      </c>
    </row>
    <row r="1044" spans="1:6" x14ac:dyDescent="0.25">
      <c r="A1044" t="s">
        <v>1280</v>
      </c>
      <c r="C1044" t="s">
        <v>562</v>
      </c>
      <c r="E1044" t="str">
        <f>"46829394"</f>
        <v>46829394</v>
      </c>
      <c r="F1044" t="str">
        <f>"01309087"</f>
        <v>01309087</v>
      </c>
    </row>
    <row r="1045" spans="1:6" x14ac:dyDescent="0.25">
      <c r="A1045" t="s">
        <v>1281</v>
      </c>
      <c r="C1045" t="s">
        <v>562</v>
      </c>
      <c r="E1045" t="str">
        <f>"38125859"</f>
        <v>38125859</v>
      </c>
      <c r="F1045" t="str">
        <f>"00624742"</f>
        <v>00624742</v>
      </c>
    </row>
    <row r="1046" spans="1:6" x14ac:dyDescent="0.25">
      <c r="A1046" t="s">
        <v>1282</v>
      </c>
      <c r="C1046" t="s">
        <v>27</v>
      </c>
      <c r="E1046" t="str">
        <f>"46810451"</f>
        <v>46810451</v>
      </c>
      <c r="F1046" t="str">
        <f>"01217272"</f>
        <v>01217272</v>
      </c>
    </row>
    <row r="1047" spans="1:6" x14ac:dyDescent="0.25">
      <c r="A1047" t="s">
        <v>1283</v>
      </c>
      <c r="C1047" t="s">
        <v>27</v>
      </c>
      <c r="E1047" t="str">
        <f>"36648910"</f>
        <v>36648910</v>
      </c>
      <c r="F1047" t="str">
        <f>"10603038"</f>
        <v>10603038</v>
      </c>
    </row>
    <row r="1048" spans="1:6" x14ac:dyDescent="0.25">
      <c r="A1048" t="s">
        <v>1284</v>
      </c>
      <c r="C1048" t="s">
        <v>30</v>
      </c>
      <c r="E1048" t="str">
        <f>"45253505"</f>
        <v>45253505</v>
      </c>
      <c r="F1048" t="str">
        <f>"20900166"</f>
        <v>20900166</v>
      </c>
    </row>
    <row r="1049" spans="1:6" x14ac:dyDescent="0.25">
      <c r="A1049" t="s">
        <v>1285</v>
      </c>
      <c r="C1049" t="s">
        <v>257</v>
      </c>
      <c r="E1049" t="str">
        <f>"37774857"</f>
        <v>37774857</v>
      </c>
      <c r="F1049" t="str">
        <f>"00615047"</f>
        <v>00615047</v>
      </c>
    </row>
    <row r="1050" spans="1:6" x14ac:dyDescent="0.25">
      <c r="A1050" t="s">
        <v>1286</v>
      </c>
      <c r="C1050" t="s">
        <v>435</v>
      </c>
      <c r="E1050" t="str">
        <f>"46505133"</f>
        <v>46505133</v>
      </c>
      <c r="F1050" t="str">
        <f>"00680397"</f>
        <v>00680397</v>
      </c>
    </row>
    <row r="1051" spans="1:6" x14ac:dyDescent="0.25">
      <c r="A1051" t="s">
        <v>1287</v>
      </c>
      <c r="C1051" t="s">
        <v>1288</v>
      </c>
      <c r="E1051" t="str">
        <f>"33264060"</f>
        <v>33264060</v>
      </c>
      <c r="F1051" t="str">
        <f>"01471572"</f>
        <v>01471572</v>
      </c>
    </row>
    <row r="1052" spans="1:6" x14ac:dyDescent="0.25">
      <c r="A1052" t="s">
        <v>1289</v>
      </c>
      <c r="C1052" t="s">
        <v>27</v>
      </c>
      <c r="E1052" t="s">
        <v>1290</v>
      </c>
      <c r="F1052" t="str">
        <f>"10700315"</f>
        <v>10700315</v>
      </c>
    </row>
    <row r="1053" spans="1:6" x14ac:dyDescent="0.25">
      <c r="A1053" t="s">
        <v>1291</v>
      </c>
      <c r="C1053" t="s">
        <v>530</v>
      </c>
      <c r="E1053" t="str">
        <f>"49891217"</f>
        <v>49891217</v>
      </c>
      <c r="F1053" t="str">
        <f>"00856641"</f>
        <v>00856641</v>
      </c>
    </row>
    <row r="1054" spans="1:6" x14ac:dyDescent="0.25">
      <c r="A1054" t="s">
        <v>1292</v>
      </c>
      <c r="C1054" t="s">
        <v>27</v>
      </c>
      <c r="E1054" t="str">
        <f>"36305937"</f>
        <v>36305937</v>
      </c>
      <c r="F1054" t="str">
        <f>"01459726"</f>
        <v>01459726</v>
      </c>
    </row>
    <row r="1055" spans="1:6" x14ac:dyDescent="0.25">
      <c r="A1055" t="s">
        <v>1293</v>
      </c>
      <c r="C1055" t="s">
        <v>530</v>
      </c>
      <c r="E1055" t="str">
        <f>"20160454"</f>
        <v>20160454</v>
      </c>
      <c r="F1055" t="str">
        <f>"00801514"</f>
        <v>00801514</v>
      </c>
    </row>
    <row r="1056" spans="1:6" x14ac:dyDescent="0.25">
      <c r="A1056" t="s">
        <v>1294</v>
      </c>
      <c r="C1056" t="s">
        <v>32</v>
      </c>
      <c r="E1056" t="str">
        <f>"46844684"</f>
        <v>46844684</v>
      </c>
      <c r="F1056" t="str">
        <f>"00241844"</f>
        <v>00241844</v>
      </c>
    </row>
    <row r="1057" spans="1:6" x14ac:dyDescent="0.25">
      <c r="A1057" t="s">
        <v>1295</v>
      </c>
      <c r="C1057" t="s">
        <v>27</v>
      </c>
      <c r="E1057" t="str">
        <f>"20218633"</f>
        <v>20218633</v>
      </c>
      <c r="F1057" t="str">
        <f>"01397686"</f>
        <v>01397686</v>
      </c>
    </row>
    <row r="1058" spans="1:6" x14ac:dyDescent="0.25">
      <c r="A1058" t="s">
        <v>1296</v>
      </c>
      <c r="C1058" t="s">
        <v>231</v>
      </c>
      <c r="E1058" t="str">
        <f>"41440337"</f>
        <v>41440337</v>
      </c>
      <c r="F1058" t="str">
        <f>"01359736"</f>
        <v>01359736</v>
      </c>
    </row>
    <row r="1059" spans="1:6" x14ac:dyDescent="0.25">
      <c r="A1059" t="s">
        <v>1297</v>
      </c>
      <c r="C1059" t="s">
        <v>277</v>
      </c>
      <c r="E1059" t="str">
        <f>"36665678"</f>
        <v>36665678</v>
      </c>
      <c r="F1059" t="str">
        <f>"11600034"</f>
        <v>11600034</v>
      </c>
    </row>
    <row r="1060" spans="1:6" x14ac:dyDescent="0.25">
      <c r="A1060" t="s">
        <v>1298</v>
      </c>
      <c r="C1060" t="s">
        <v>435</v>
      </c>
      <c r="E1060" t="str">
        <f>"47714444"</f>
        <v>47714444</v>
      </c>
      <c r="F1060" t="str">
        <f>"01285808"</f>
        <v>01285808</v>
      </c>
    </row>
    <row r="1061" spans="1:6" x14ac:dyDescent="0.25">
      <c r="A1061" t="s">
        <v>1299</v>
      </c>
      <c r="C1061" t="s">
        <v>231</v>
      </c>
      <c r="E1061" t="str">
        <f>"36237231"</f>
        <v>36237231</v>
      </c>
      <c r="F1061" t="str">
        <f>"00614537"</f>
        <v>00614537</v>
      </c>
    </row>
    <row r="1062" spans="1:6" x14ac:dyDescent="0.25">
      <c r="A1062" t="s">
        <v>1300</v>
      </c>
      <c r="C1062" t="s">
        <v>27</v>
      </c>
      <c r="E1062" t="str">
        <f>"31101991"</f>
        <v>31101991</v>
      </c>
      <c r="F1062" t="str">
        <f>"01471671"</f>
        <v>01471671</v>
      </c>
    </row>
    <row r="1063" spans="1:6" x14ac:dyDescent="0.25">
      <c r="A1063" t="s">
        <v>1301</v>
      </c>
      <c r="C1063" t="s">
        <v>27</v>
      </c>
      <c r="E1063" t="str">
        <f>"26308700"</f>
        <v>26308700</v>
      </c>
      <c r="F1063" t="str">
        <f>"01576057"</f>
        <v>01576057</v>
      </c>
    </row>
    <row r="1064" spans="1:6" x14ac:dyDescent="0.25">
      <c r="A1064" t="s">
        <v>1302</v>
      </c>
      <c r="C1064" t="s">
        <v>231</v>
      </c>
      <c r="E1064" t="str">
        <f>"22333102"</f>
        <v>22333102</v>
      </c>
      <c r="F1064" t="str">
        <f>"11100182"</f>
        <v>11100182</v>
      </c>
    </row>
    <row r="1065" spans="1:6" x14ac:dyDescent="0.25">
      <c r="A1065" t="s">
        <v>1303</v>
      </c>
      <c r="C1065" t="s">
        <v>231</v>
      </c>
      <c r="E1065" t="str">
        <f>"36619990"</f>
        <v>36619990</v>
      </c>
      <c r="F1065" t="str">
        <f>"00529602"</f>
        <v>00529602</v>
      </c>
    </row>
    <row r="1066" spans="1:6" x14ac:dyDescent="0.25">
      <c r="A1066" t="s">
        <v>1304</v>
      </c>
      <c r="C1066" t="s">
        <v>27</v>
      </c>
      <c r="E1066" t="str">
        <f>"32401609"</f>
        <v>32401609</v>
      </c>
      <c r="F1066" t="str">
        <f>"00890434"</f>
        <v>00890434</v>
      </c>
    </row>
    <row r="1067" spans="1:6" x14ac:dyDescent="0.25">
      <c r="A1067" t="s">
        <v>1305</v>
      </c>
      <c r="C1067" t="s">
        <v>530</v>
      </c>
      <c r="E1067" t="str">
        <f>"46479585"</f>
        <v>46479585</v>
      </c>
      <c r="F1067" t="str">
        <f>"01578103"</f>
        <v>01578103</v>
      </c>
    </row>
    <row r="1068" spans="1:6" x14ac:dyDescent="0.25">
      <c r="A1068" t="s">
        <v>1306</v>
      </c>
      <c r="C1068" t="s">
        <v>27</v>
      </c>
      <c r="E1068" t="str">
        <f>"22336671"</f>
        <v>22336671</v>
      </c>
      <c r="F1068" t="str">
        <f>"00227900"</f>
        <v>00227900</v>
      </c>
    </row>
    <row r="1069" spans="1:6" x14ac:dyDescent="0.25">
      <c r="A1069" t="s">
        <v>1307</v>
      </c>
      <c r="C1069" t="s">
        <v>27</v>
      </c>
      <c r="E1069" t="str">
        <f>"49942916"</f>
        <v>49942916</v>
      </c>
      <c r="F1069" t="str">
        <f>"01382720"</f>
        <v>01382720</v>
      </c>
    </row>
    <row r="1070" spans="1:6" x14ac:dyDescent="0.25">
      <c r="A1070" t="s">
        <v>1308</v>
      </c>
      <c r="C1070" t="s">
        <v>32</v>
      </c>
      <c r="E1070" t="str">
        <f>"22092954"</f>
        <v>22092954</v>
      </c>
      <c r="F1070" t="str">
        <f>"10712534"</f>
        <v>10712534</v>
      </c>
    </row>
    <row r="1071" spans="1:6" x14ac:dyDescent="0.25">
      <c r="A1071" t="s">
        <v>1309</v>
      </c>
      <c r="C1071" t="s">
        <v>435</v>
      </c>
      <c r="E1071">
        <v>22303706</v>
      </c>
      <c r="F1071" t="str">
        <f>"20704242"</f>
        <v>20704242</v>
      </c>
    </row>
    <row r="1072" spans="1:6" x14ac:dyDescent="0.25">
      <c r="A1072" t="s">
        <v>1310</v>
      </c>
      <c r="C1072" t="s">
        <v>257</v>
      </c>
      <c r="E1072" t="str">
        <f>"48549588"</f>
        <v>48549588</v>
      </c>
      <c r="F1072" t="str">
        <f>"20704556"</f>
        <v>20704556</v>
      </c>
    </row>
    <row r="1073" spans="1:6" x14ac:dyDescent="0.25">
      <c r="A1073" t="s">
        <v>1311</v>
      </c>
      <c r="C1073" t="s">
        <v>257</v>
      </c>
      <c r="E1073" t="str">
        <f>"45292424"</f>
        <v>45292424</v>
      </c>
      <c r="F1073" t="str">
        <f>"11101461"</f>
        <v>11101461</v>
      </c>
    </row>
    <row r="1074" spans="1:6" x14ac:dyDescent="0.25">
      <c r="A1074" t="s">
        <v>1312</v>
      </c>
      <c r="E1074" t="str">
        <f>"20833007"</f>
        <v>20833007</v>
      </c>
    </row>
    <row r="1075" spans="1:6" x14ac:dyDescent="0.25">
      <c r="A1075" t="s">
        <v>1313</v>
      </c>
      <c r="C1075" t="s">
        <v>27</v>
      </c>
      <c r="E1075" t="str">
        <f>"46733335"</f>
        <v>46733335</v>
      </c>
      <c r="F1075" t="str">
        <f>"00613398"</f>
        <v>00613398</v>
      </c>
    </row>
    <row r="1076" spans="1:6" x14ac:dyDescent="0.25">
      <c r="A1076" t="s">
        <v>1314</v>
      </c>
      <c r="C1076" t="s">
        <v>257</v>
      </c>
      <c r="E1076" t="str">
        <f>"45291130"</f>
        <v>45291130</v>
      </c>
      <c r="F1076" t="str">
        <f>"10700885"</f>
        <v>10700885</v>
      </c>
    </row>
    <row r="1077" spans="1:6" x14ac:dyDescent="0.25">
      <c r="A1077" t="s">
        <v>1315</v>
      </c>
      <c r="C1077" t="s">
        <v>831</v>
      </c>
      <c r="E1077" t="str">
        <f>"22003657"</f>
        <v>22003657</v>
      </c>
      <c r="F1077" t="str">
        <f>"00640326"</f>
        <v>00640326</v>
      </c>
    </row>
    <row r="1078" spans="1:6" x14ac:dyDescent="0.25">
      <c r="A1078" t="s">
        <v>1316</v>
      </c>
      <c r="C1078" t="s">
        <v>231</v>
      </c>
      <c r="E1078" t="str">
        <f>"33060363"</f>
        <v>33060363</v>
      </c>
      <c r="F1078" t="str">
        <f>"10603442"</f>
        <v>10603442</v>
      </c>
    </row>
    <row r="1079" spans="1:6" x14ac:dyDescent="0.25">
      <c r="A1079" t="s">
        <v>1317</v>
      </c>
      <c r="C1079" t="s">
        <v>530</v>
      </c>
      <c r="E1079" t="str">
        <f>"48329905"</f>
        <v>48329905</v>
      </c>
      <c r="F1079" t="str">
        <f>"01363266"</f>
        <v>01363266</v>
      </c>
    </row>
    <row r="1080" spans="1:6" x14ac:dyDescent="0.25">
      <c r="A1080" t="s">
        <v>1318</v>
      </c>
      <c r="C1080" t="s">
        <v>530</v>
      </c>
      <c r="E1080" t="str">
        <f>"22314108"</f>
        <v>22314108</v>
      </c>
      <c r="F1080" t="str">
        <f>"00262113"</f>
        <v>00262113</v>
      </c>
    </row>
    <row r="1081" spans="1:6" x14ac:dyDescent="0.25">
      <c r="A1081" t="s">
        <v>1319</v>
      </c>
      <c r="C1081" t="s">
        <v>27</v>
      </c>
      <c r="E1081" t="str">
        <f>"46563866"</f>
        <v>46563866</v>
      </c>
      <c r="F1081" t="str">
        <f>"00511899"</f>
        <v>00511899</v>
      </c>
    </row>
    <row r="1082" spans="1:6" x14ac:dyDescent="0.25">
      <c r="A1082" t="s">
        <v>1320</v>
      </c>
      <c r="C1082" t="s">
        <v>467</v>
      </c>
      <c r="E1082" t="str">
        <f>"47577777"</f>
        <v>47577777</v>
      </c>
      <c r="F1082" t="str">
        <f>"00794628"</f>
        <v>00794628</v>
      </c>
    </row>
    <row r="1083" spans="1:6" x14ac:dyDescent="0.25">
      <c r="A1083" t="s">
        <v>1321</v>
      </c>
      <c r="C1083" t="s">
        <v>27</v>
      </c>
      <c r="E1083" t="str">
        <f>"45255500"</f>
        <v>45255500</v>
      </c>
      <c r="F1083" t="str">
        <f>"90900083"</f>
        <v>90900083</v>
      </c>
    </row>
    <row r="1084" spans="1:6" x14ac:dyDescent="0.25">
      <c r="A1084" t="s">
        <v>1322</v>
      </c>
      <c r="C1084" t="s">
        <v>27</v>
      </c>
      <c r="E1084" t="str">
        <f>"46019449"</f>
        <v>46019449</v>
      </c>
      <c r="F1084" t="str">
        <f>"00523738"</f>
        <v>00523738</v>
      </c>
    </row>
    <row r="1085" spans="1:6" x14ac:dyDescent="0.25">
      <c r="A1085" t="s">
        <v>1323</v>
      </c>
      <c r="C1085" t="s">
        <v>27</v>
      </c>
      <c r="E1085" t="str">
        <f>"34111388"</f>
        <v>34111388</v>
      </c>
    </row>
    <row r="1086" spans="1:6" x14ac:dyDescent="0.25">
      <c r="A1086" t="s">
        <v>1324</v>
      </c>
      <c r="C1086" t="s">
        <v>488</v>
      </c>
      <c r="E1086" t="str">
        <f>"43178808"</f>
        <v>43178808</v>
      </c>
      <c r="F1086" t="str">
        <f>"01329630"</f>
        <v>01329630</v>
      </c>
    </row>
    <row r="1087" spans="1:6" x14ac:dyDescent="0.25">
      <c r="A1087" t="s">
        <v>1325</v>
      </c>
      <c r="C1087" t="s">
        <v>530</v>
      </c>
      <c r="E1087" t="str">
        <f>"46027177"</f>
        <v>46027177</v>
      </c>
      <c r="F1087" t="str">
        <f>"01395854"</f>
        <v>01395854</v>
      </c>
    </row>
    <row r="1088" spans="1:6" x14ac:dyDescent="0.25">
      <c r="A1088" t="s">
        <v>1326</v>
      </c>
      <c r="C1088" t="s">
        <v>231</v>
      </c>
      <c r="E1088" t="str">
        <f>"44117799"</f>
        <v>44117799</v>
      </c>
      <c r="F1088" t="str">
        <f>"01176189"</f>
        <v>01176189</v>
      </c>
    </row>
    <row r="1089" spans="1:6" x14ac:dyDescent="0.25">
      <c r="A1089" t="s">
        <v>1327</v>
      </c>
      <c r="C1089" t="s">
        <v>27</v>
      </c>
      <c r="E1089" t="str">
        <f>"42300007"</f>
        <v>42300007</v>
      </c>
      <c r="F1089" t="str">
        <f>"00502971"</f>
        <v>00502971</v>
      </c>
    </row>
    <row r="1090" spans="1:6" x14ac:dyDescent="0.25">
      <c r="A1090" t="s">
        <v>1328</v>
      </c>
      <c r="C1090" t="s">
        <v>257</v>
      </c>
      <c r="E1090" t="str">
        <f>"22078544"</f>
        <v>22078544</v>
      </c>
      <c r="F1090" t="str">
        <f>"00754739"</f>
        <v>00754739</v>
      </c>
    </row>
    <row r="1091" spans="1:6" x14ac:dyDescent="0.25">
      <c r="A1091" t="s">
        <v>1329</v>
      </c>
      <c r="C1091" t="s">
        <v>27</v>
      </c>
      <c r="E1091" t="str">
        <f>"26155555"</f>
        <v>26155555</v>
      </c>
      <c r="F1091" t="str">
        <f>"00066688"</f>
        <v>00066688</v>
      </c>
    </row>
    <row r="1092" spans="1:6" x14ac:dyDescent="0.25">
      <c r="A1092" t="s">
        <v>1330</v>
      </c>
      <c r="C1092" t="s">
        <v>27</v>
      </c>
      <c r="E1092" t="str">
        <f>"26320070"</f>
        <v>26320070</v>
      </c>
      <c r="F1092" t="str">
        <f>"20705702"</f>
        <v>20705702</v>
      </c>
    </row>
    <row r="1093" spans="1:6" x14ac:dyDescent="0.25">
      <c r="A1093" t="s">
        <v>1331</v>
      </c>
      <c r="C1093" t="s">
        <v>257</v>
      </c>
      <c r="E1093" t="str">
        <f>"36304141"</f>
        <v>36304141</v>
      </c>
      <c r="F1093" t="str">
        <f>"00766634"</f>
        <v>00766634</v>
      </c>
    </row>
    <row r="1094" spans="1:6" x14ac:dyDescent="0.25">
      <c r="A1094" t="s">
        <v>1332</v>
      </c>
      <c r="C1094" t="s">
        <v>231</v>
      </c>
      <c r="E1094" t="s">
        <v>1333</v>
      </c>
      <c r="F1094" t="str">
        <f>"10721121"</f>
        <v>10721121</v>
      </c>
    </row>
    <row r="1095" spans="1:6" x14ac:dyDescent="0.25">
      <c r="A1095" t="s">
        <v>1334</v>
      </c>
      <c r="C1095" t="s">
        <v>257</v>
      </c>
      <c r="E1095" t="str">
        <f>"46715504"</f>
        <v>46715504</v>
      </c>
      <c r="F1095" t="str">
        <f>"00249532"</f>
        <v>00249532</v>
      </c>
    </row>
    <row r="1096" spans="1:6" x14ac:dyDescent="0.25">
      <c r="A1096" t="s">
        <v>1335</v>
      </c>
      <c r="C1096" t="s">
        <v>470</v>
      </c>
      <c r="E1096" t="str">
        <f>"46430330"</f>
        <v>46430330</v>
      </c>
      <c r="F1096" t="str">
        <f>"10713177"</f>
        <v>10713177</v>
      </c>
    </row>
    <row r="1097" spans="1:6" x14ac:dyDescent="0.25">
      <c r="A1097" t="s">
        <v>1336</v>
      </c>
      <c r="C1097" t="s">
        <v>340</v>
      </c>
      <c r="E1097" t="str">
        <f>"46515055"</f>
        <v>46515055</v>
      </c>
      <c r="F1097" t="str">
        <f>"01307206"</f>
        <v>01307206</v>
      </c>
    </row>
    <row r="1098" spans="1:6" x14ac:dyDescent="0.25">
      <c r="A1098" t="s">
        <v>1337</v>
      </c>
      <c r="C1098" t="s">
        <v>27</v>
      </c>
      <c r="E1098" t="str">
        <f>"43577777"</f>
        <v>43577777</v>
      </c>
      <c r="F1098" t="str">
        <f>"00676080"</f>
        <v>00676080</v>
      </c>
    </row>
    <row r="1099" spans="1:6" x14ac:dyDescent="0.25">
      <c r="A1099" t="s">
        <v>1338</v>
      </c>
      <c r="C1099" t="s">
        <v>257</v>
      </c>
      <c r="E1099" t="str">
        <f>"46405151"</f>
        <v>46405151</v>
      </c>
      <c r="F1099" t="str">
        <f>"10705496"</f>
        <v>10705496</v>
      </c>
    </row>
    <row r="1100" spans="1:6" x14ac:dyDescent="0.25">
      <c r="A1100" t="s">
        <v>1339</v>
      </c>
      <c r="C1100" t="s">
        <v>435</v>
      </c>
      <c r="E1100" t="str">
        <f>"22030151"</f>
        <v>22030151</v>
      </c>
      <c r="F1100" t="str">
        <f>"00527291"</f>
        <v>00527291</v>
      </c>
    </row>
    <row r="1101" spans="1:6" x14ac:dyDescent="0.25">
      <c r="A1101" t="s">
        <v>1340</v>
      </c>
      <c r="C1101" t="s">
        <v>435</v>
      </c>
      <c r="E1101" t="str">
        <f>"41016060"</f>
        <v>41016060</v>
      </c>
      <c r="F1101" t="str">
        <f>"00686709"</f>
        <v>00686709</v>
      </c>
    </row>
    <row r="1102" spans="1:6" x14ac:dyDescent="0.25">
      <c r="A1102" t="s">
        <v>1341</v>
      </c>
      <c r="C1102" t="s">
        <v>231</v>
      </c>
      <c r="E1102" t="str">
        <f>"36642426"</f>
        <v>36642426</v>
      </c>
      <c r="F1102" t="str">
        <f>"00334854"</f>
        <v>00334854</v>
      </c>
    </row>
    <row r="1103" spans="1:6" x14ac:dyDescent="0.25">
      <c r="A1103" t="s">
        <v>1342</v>
      </c>
      <c r="C1103" t="s">
        <v>27</v>
      </c>
      <c r="E1103" t="str">
        <f>"33525756"</f>
        <v>33525756</v>
      </c>
      <c r="F1103" t="str">
        <f>"01363928"</f>
        <v>01363928</v>
      </c>
    </row>
    <row r="1104" spans="1:6" x14ac:dyDescent="0.25">
      <c r="A1104" t="s">
        <v>1343</v>
      </c>
      <c r="C1104" t="s">
        <v>231</v>
      </c>
      <c r="E1104" t="str">
        <f>"34804444"</f>
        <v>34804444</v>
      </c>
      <c r="F1104" t="str">
        <f>"01210145"</f>
        <v>01210145</v>
      </c>
    </row>
    <row r="1105" spans="1:6" x14ac:dyDescent="0.25">
      <c r="A1105" t="s">
        <v>1344</v>
      </c>
      <c r="C1105" t="s">
        <v>435</v>
      </c>
      <c r="E1105" t="str">
        <f>"36664750"</f>
        <v>36664750</v>
      </c>
      <c r="F1105" t="str">
        <f>"01401041"</f>
        <v>01401041</v>
      </c>
    </row>
    <row r="1106" spans="1:6" x14ac:dyDescent="0.25">
      <c r="A1106" t="s">
        <v>1345</v>
      </c>
      <c r="C1106" t="s">
        <v>27</v>
      </c>
      <c r="E1106" t="str">
        <f>"46525673"</f>
        <v>46525673</v>
      </c>
      <c r="F1106" t="str">
        <f>"01554468"</f>
        <v>01554468</v>
      </c>
    </row>
    <row r="1107" spans="1:6" x14ac:dyDescent="0.25">
      <c r="A1107" t="s">
        <v>1346</v>
      </c>
      <c r="C1107" t="s">
        <v>340</v>
      </c>
      <c r="E1107" t="str">
        <f>"20682103"</f>
        <v>20682103</v>
      </c>
      <c r="F1107" t="str">
        <f>"01199702"</f>
        <v>01199702</v>
      </c>
    </row>
    <row r="1108" spans="1:6" x14ac:dyDescent="0.25">
      <c r="A1108" t="s">
        <v>1347</v>
      </c>
      <c r="C1108" t="s">
        <v>27</v>
      </c>
      <c r="E1108" t="str">
        <f>"20841700"</f>
        <v>20841700</v>
      </c>
      <c r="F1108" t="str">
        <f>"10903038"</f>
        <v>10903038</v>
      </c>
    </row>
    <row r="1109" spans="1:6" x14ac:dyDescent="0.25">
      <c r="A1109" t="s">
        <v>1348</v>
      </c>
      <c r="C1109" t="s">
        <v>27</v>
      </c>
      <c r="E1109" t="str">
        <f>"47541741"</f>
        <v>47541741</v>
      </c>
      <c r="F1109" t="str">
        <f>"00257022"</f>
        <v>00257022</v>
      </c>
    </row>
    <row r="1110" spans="1:6" x14ac:dyDescent="0.25">
      <c r="A1110" t="s">
        <v>1349</v>
      </c>
      <c r="C1110" t="s">
        <v>231</v>
      </c>
      <c r="E1110" t="str">
        <f>"36302391"</f>
        <v>36302391</v>
      </c>
      <c r="F1110" t="str">
        <f>"01559939"</f>
        <v>01559939</v>
      </c>
    </row>
    <row r="1111" spans="1:6" x14ac:dyDescent="0.25">
      <c r="A1111" t="s">
        <v>1350</v>
      </c>
      <c r="C1111" t="s">
        <v>530</v>
      </c>
      <c r="E1111" t="str">
        <f>"33039460"</f>
        <v>33039460</v>
      </c>
      <c r="F1111" t="str">
        <f>"00119750"</f>
        <v>00119750</v>
      </c>
    </row>
    <row r="1112" spans="1:6" x14ac:dyDescent="0.25">
      <c r="A1112" t="s">
        <v>1351</v>
      </c>
      <c r="C1112" t="s">
        <v>27</v>
      </c>
      <c r="E1112" t="str">
        <f>"33331963"</f>
        <v>33331963</v>
      </c>
      <c r="F1112" t="str">
        <f>"00620302"</f>
        <v>00620302</v>
      </c>
    </row>
    <row r="1113" spans="1:6" x14ac:dyDescent="0.25">
      <c r="A1113" t="s">
        <v>1352</v>
      </c>
      <c r="C1113" t="s">
        <v>231</v>
      </c>
      <c r="E1113" t="str">
        <f>"36302934"</f>
        <v>36302934</v>
      </c>
      <c r="F1113" t="str">
        <f>"21102873"</f>
        <v>21102873</v>
      </c>
    </row>
    <row r="1114" spans="1:6" x14ac:dyDescent="0.25">
      <c r="A1114" t="s">
        <v>1353</v>
      </c>
      <c r="C1114" t="s">
        <v>27</v>
      </c>
      <c r="E1114" t="str">
        <f>"36302934"</f>
        <v>36302934</v>
      </c>
      <c r="F1114" t="str">
        <f>"01233121"</f>
        <v>01233121</v>
      </c>
    </row>
    <row r="1115" spans="1:6" x14ac:dyDescent="0.25">
      <c r="A1115" t="s">
        <v>1354</v>
      </c>
      <c r="C1115" t="s">
        <v>27</v>
      </c>
      <c r="E1115" t="str">
        <f>"22878182"</f>
        <v>22878182</v>
      </c>
      <c r="F1115" t="str">
        <f>"00783159"</f>
        <v>00783159</v>
      </c>
    </row>
    <row r="1116" spans="1:6" x14ac:dyDescent="0.25">
      <c r="A1116" t="s">
        <v>1355</v>
      </c>
      <c r="C1116" t="s">
        <v>530</v>
      </c>
      <c r="E1116" t="str">
        <f>"32927070"</f>
        <v>32927070</v>
      </c>
      <c r="F1116" t="str">
        <f>"01572874"</f>
        <v>01572874</v>
      </c>
    </row>
    <row r="1117" spans="1:6" x14ac:dyDescent="0.25">
      <c r="A1117" t="s">
        <v>1356</v>
      </c>
      <c r="C1117" t="s">
        <v>562</v>
      </c>
      <c r="E1117" t="str">
        <f>"46555310"</f>
        <v>46555310</v>
      </c>
      <c r="F1117" t="str">
        <f>"00632869"</f>
        <v>00632869</v>
      </c>
    </row>
    <row r="1118" spans="1:6" x14ac:dyDescent="0.25">
      <c r="A1118" t="s">
        <v>1357</v>
      </c>
      <c r="C1118" t="s">
        <v>530</v>
      </c>
      <c r="E1118" t="str">
        <f>"46994940"</f>
        <v>46994940</v>
      </c>
      <c r="F1118" t="str">
        <f>"01442235"</f>
        <v>01442235</v>
      </c>
    </row>
    <row r="1119" spans="1:6" x14ac:dyDescent="0.25">
      <c r="A1119" t="s">
        <v>1358</v>
      </c>
      <c r="C1119" t="s">
        <v>748</v>
      </c>
      <c r="E1119" t="str">
        <f>"36307983"</f>
        <v>36307983</v>
      </c>
      <c r="F1119" t="str">
        <f>"20600083"</f>
        <v>20600083</v>
      </c>
    </row>
    <row r="1120" spans="1:6" x14ac:dyDescent="0.25">
      <c r="A1120" t="s">
        <v>1359</v>
      </c>
      <c r="C1120" t="s">
        <v>27</v>
      </c>
      <c r="E1120" t="str">
        <f>"36061154"</f>
        <v>36061154</v>
      </c>
      <c r="F1120" t="str">
        <f>"01245398"</f>
        <v>01245398</v>
      </c>
    </row>
    <row r="1121" spans="1:6" x14ac:dyDescent="0.25">
      <c r="A1121" t="s">
        <v>1360</v>
      </c>
      <c r="C1121" t="s">
        <v>530</v>
      </c>
      <c r="E1121" t="str">
        <f>"36365976"</f>
        <v>36365976</v>
      </c>
      <c r="F1121" t="str">
        <f>"01203900"</f>
        <v>01203900</v>
      </c>
    </row>
    <row r="1122" spans="1:6" x14ac:dyDescent="0.25">
      <c r="A1122" t="s">
        <v>1361</v>
      </c>
      <c r="C1122" t="s">
        <v>27</v>
      </c>
      <c r="E1122" t="str">
        <f>"22488600"</f>
        <v>22488600</v>
      </c>
      <c r="F1122" t="str">
        <f>"10603202"</f>
        <v>10603202</v>
      </c>
    </row>
    <row r="1123" spans="1:6" x14ac:dyDescent="0.25">
      <c r="A1123" t="s">
        <v>1362</v>
      </c>
      <c r="C1123" t="s">
        <v>27</v>
      </c>
      <c r="E1123" t="str">
        <f>"36266400"</f>
        <v>36266400</v>
      </c>
      <c r="F1123" t="str">
        <f>"00621292"</f>
        <v>00621292</v>
      </c>
    </row>
    <row r="1124" spans="1:6" x14ac:dyDescent="0.25">
      <c r="A1124" t="s">
        <v>1363</v>
      </c>
      <c r="C1124" t="s">
        <v>231</v>
      </c>
      <c r="E1124" t="str">
        <f>"26286698"</f>
        <v>26286698</v>
      </c>
      <c r="F1124" t="str">
        <f>"00739623"</f>
        <v>00739623</v>
      </c>
    </row>
    <row r="1125" spans="1:6" x14ac:dyDescent="0.25">
      <c r="A1125" t="s">
        <v>1364</v>
      </c>
      <c r="C1125" t="s">
        <v>27</v>
      </c>
      <c r="E1125" t="str">
        <f>"41225183"</f>
        <v>41225183</v>
      </c>
      <c r="F1125" t="str">
        <f>"00830265"</f>
        <v>00830265</v>
      </c>
    </row>
    <row r="1126" spans="1:6" x14ac:dyDescent="0.25">
      <c r="A1126" t="s">
        <v>1365</v>
      </c>
      <c r="C1126" t="s">
        <v>27</v>
      </c>
      <c r="E1126" t="str">
        <f>"49718874"</f>
        <v>49718874</v>
      </c>
      <c r="F1126" t="str">
        <f>"01598622"</f>
        <v>01598622</v>
      </c>
    </row>
    <row r="1127" spans="1:6" x14ac:dyDescent="0.25">
      <c r="A1127" t="s">
        <v>1366</v>
      </c>
      <c r="C1127" t="s">
        <v>488</v>
      </c>
      <c r="E1127" t="s">
        <v>1367</v>
      </c>
      <c r="F1127" t="str">
        <f>"11102113"</f>
        <v>11102113</v>
      </c>
    </row>
    <row r="1128" spans="1:6" x14ac:dyDescent="0.25">
      <c r="A1128" t="s">
        <v>1368</v>
      </c>
      <c r="C1128" t="s">
        <v>27</v>
      </c>
      <c r="E1128" t="str">
        <f>"48734689"</f>
        <v>48734689</v>
      </c>
      <c r="F1128" t="str">
        <f>"00457663"</f>
        <v>00457663</v>
      </c>
    </row>
    <row r="1129" spans="1:6" x14ac:dyDescent="0.25">
      <c r="A1129" t="s">
        <v>1369</v>
      </c>
      <c r="C1129" t="s">
        <v>530</v>
      </c>
      <c r="E1129" t="str">
        <f>"31475225"</f>
        <v>31475225</v>
      </c>
      <c r="F1129" t="str">
        <f>"01251016"</f>
        <v>01251016</v>
      </c>
    </row>
    <row r="1130" spans="1:6" x14ac:dyDescent="0.25">
      <c r="A1130" t="s">
        <v>1370</v>
      </c>
      <c r="F1130" t="str">
        <f>"01575703"</f>
        <v>01575703</v>
      </c>
    </row>
    <row r="1131" spans="1:6" x14ac:dyDescent="0.25">
      <c r="A1131" t="s">
        <v>1371</v>
      </c>
      <c r="C1131" t="s">
        <v>972</v>
      </c>
      <c r="E1131" t="str">
        <f>"36060673"</f>
        <v>36060673</v>
      </c>
      <c r="F1131" t="str">
        <f>"00901710"</f>
        <v>00901710</v>
      </c>
    </row>
    <row r="1132" spans="1:6" x14ac:dyDescent="0.25">
      <c r="A1132" t="s">
        <v>1372</v>
      </c>
      <c r="C1132" t="s">
        <v>530</v>
      </c>
      <c r="E1132" t="str">
        <f>"46475560"</f>
        <v>46475560</v>
      </c>
      <c r="F1132" t="str">
        <f>"00392019"</f>
        <v>00392019</v>
      </c>
    </row>
    <row r="1133" spans="1:6" x14ac:dyDescent="0.25">
      <c r="A1133" t="s">
        <v>1373</v>
      </c>
      <c r="C1133" t="s">
        <v>231</v>
      </c>
      <c r="E1133" t="str">
        <f>"46463578"</f>
        <v>46463578</v>
      </c>
      <c r="F1133" t="str">
        <f>"00224972"</f>
        <v>00224972</v>
      </c>
    </row>
    <row r="1134" spans="1:6" x14ac:dyDescent="0.25">
      <c r="A1134" t="s">
        <v>1374</v>
      </c>
      <c r="C1134" t="s">
        <v>277</v>
      </c>
      <c r="E1134" t="str">
        <f>"32422670"</f>
        <v>32422670</v>
      </c>
      <c r="F1134" t="str">
        <f>"00716084"</f>
        <v>00716084</v>
      </c>
    </row>
    <row r="1135" spans="1:6" x14ac:dyDescent="0.25">
      <c r="A1135" t="s">
        <v>1375</v>
      </c>
      <c r="C1135" t="s">
        <v>27</v>
      </c>
      <c r="E1135" t="str">
        <f>"22305247"</f>
        <v>22305247</v>
      </c>
      <c r="F1135" t="str">
        <f>"01397967"</f>
        <v>01397967</v>
      </c>
    </row>
    <row r="1136" spans="1:6" x14ac:dyDescent="0.25">
      <c r="A1136" t="s">
        <v>1376</v>
      </c>
      <c r="C1136" t="s">
        <v>530</v>
      </c>
      <c r="E1136" t="str">
        <f>"22806858"</f>
        <v>22806858</v>
      </c>
      <c r="F1136" t="str">
        <f>"00381749"</f>
        <v>00381749</v>
      </c>
    </row>
    <row r="1137" spans="1:6" x14ac:dyDescent="0.25">
      <c r="A1137" t="s">
        <v>1377</v>
      </c>
      <c r="C1137" t="s">
        <v>567</v>
      </c>
      <c r="E1137" t="str">
        <f>"26102650"</f>
        <v>26102650</v>
      </c>
      <c r="F1137" t="str">
        <f>"00739391"</f>
        <v>00739391</v>
      </c>
    </row>
    <row r="1138" spans="1:6" x14ac:dyDescent="0.25">
      <c r="A1138" t="s">
        <v>1378</v>
      </c>
      <c r="C1138" t="s">
        <v>30</v>
      </c>
      <c r="E1138" t="str">
        <f>"46439323"</f>
        <v>46439323</v>
      </c>
      <c r="F1138" t="str">
        <f>"30600448"</f>
        <v>30600448</v>
      </c>
    </row>
    <row r="1139" spans="1:6" x14ac:dyDescent="0.25">
      <c r="A1139" t="s">
        <v>1379</v>
      </c>
      <c r="C1139" t="s">
        <v>530</v>
      </c>
      <c r="E1139" t="str">
        <f>"41133329"</f>
        <v>41133329</v>
      </c>
      <c r="F1139" t="str">
        <f>"00177444"</f>
        <v>00177444</v>
      </c>
    </row>
    <row r="1140" spans="1:6" x14ac:dyDescent="0.25">
      <c r="A1140" t="s">
        <v>1380</v>
      </c>
      <c r="C1140" t="s">
        <v>30</v>
      </c>
      <c r="E1140" t="str">
        <f>"34344284"</f>
        <v>34344284</v>
      </c>
      <c r="F1140" t="str">
        <f>"01480144"</f>
        <v>01480144</v>
      </c>
    </row>
    <row r="1141" spans="1:6" x14ac:dyDescent="0.25">
      <c r="A1141" t="s">
        <v>1381</v>
      </c>
      <c r="C1141" t="s">
        <v>435</v>
      </c>
      <c r="E1141" t="str">
        <f>"47707179"</f>
        <v>47707179</v>
      </c>
      <c r="F1141" t="str">
        <f>"00554790"</f>
        <v>00554790</v>
      </c>
    </row>
    <row r="1142" spans="1:6" x14ac:dyDescent="0.25">
      <c r="A1142" t="s">
        <v>1382</v>
      </c>
      <c r="C1142" t="s">
        <v>231</v>
      </c>
      <c r="E1142" t="str">
        <f>"22411150"</f>
        <v>22411150</v>
      </c>
      <c r="F1142" t="str">
        <f>"00030411"</f>
        <v>00030411</v>
      </c>
    </row>
    <row r="1143" spans="1:6" x14ac:dyDescent="0.25">
      <c r="A1143" t="s">
        <v>1383</v>
      </c>
      <c r="C1143" t="s">
        <v>27</v>
      </c>
      <c r="E1143" t="str">
        <f>"47271802"</f>
        <v>47271802</v>
      </c>
      <c r="F1143" t="str">
        <f>"00584094"</f>
        <v>00584094</v>
      </c>
    </row>
    <row r="1144" spans="1:6" x14ac:dyDescent="0.25">
      <c r="A1144" t="s">
        <v>1384</v>
      </c>
      <c r="C1144" t="s">
        <v>530</v>
      </c>
      <c r="E1144" t="str">
        <f>"49434343"</f>
        <v>49434343</v>
      </c>
      <c r="F1144" t="str">
        <f>"00831859"</f>
        <v>00831859</v>
      </c>
    </row>
    <row r="1145" spans="1:6" x14ac:dyDescent="0.25">
      <c r="A1145" t="s">
        <v>1385</v>
      </c>
      <c r="C1145" t="s">
        <v>27</v>
      </c>
      <c r="E1145" t="str">
        <f>"36623040"</f>
        <v>36623040</v>
      </c>
      <c r="F1145" t="str">
        <f>"00735407"</f>
        <v>00735407</v>
      </c>
    </row>
    <row r="1146" spans="1:6" x14ac:dyDescent="0.25">
      <c r="A1146" t="s">
        <v>1386</v>
      </c>
      <c r="C1146" t="s">
        <v>1064</v>
      </c>
      <c r="E1146" t="str">
        <f>"36837699"</f>
        <v>36837699</v>
      </c>
      <c r="F1146" t="str">
        <f>"00192088"</f>
        <v>00192088</v>
      </c>
    </row>
    <row r="1147" spans="1:6" x14ac:dyDescent="0.25">
      <c r="A1147" t="s">
        <v>1387</v>
      </c>
      <c r="C1147" t="s">
        <v>231</v>
      </c>
      <c r="E1147" t="str">
        <f>"36302997"</f>
        <v>36302997</v>
      </c>
      <c r="F1147" t="str">
        <f>"00553925"</f>
        <v>00553925</v>
      </c>
    </row>
    <row r="1148" spans="1:6" x14ac:dyDescent="0.25">
      <c r="A1148" t="s">
        <v>1388</v>
      </c>
      <c r="C1148" t="s">
        <v>1064</v>
      </c>
      <c r="E1148" t="str">
        <f>"41323532"</f>
        <v>41323532</v>
      </c>
      <c r="F1148" t="str">
        <f>"01607555"</f>
        <v>01607555</v>
      </c>
    </row>
    <row r="1149" spans="1:6" x14ac:dyDescent="0.25">
      <c r="A1149" t="s">
        <v>1389</v>
      </c>
      <c r="C1149" t="s">
        <v>530</v>
      </c>
      <c r="E1149" t="str">
        <f>"36613637"</f>
        <v>36613637</v>
      </c>
      <c r="F1149" t="str">
        <f>"01602218"</f>
        <v>01602218</v>
      </c>
    </row>
    <row r="1150" spans="1:6" x14ac:dyDescent="0.25">
      <c r="A1150" t="s">
        <v>1390</v>
      </c>
      <c r="C1150" t="s">
        <v>340</v>
      </c>
      <c r="E1150" t="str">
        <f>"22404778"</f>
        <v>22404778</v>
      </c>
      <c r="F1150" t="str">
        <f>"00616078"</f>
        <v>00616078</v>
      </c>
    </row>
    <row r="1151" spans="1:6" x14ac:dyDescent="0.25">
      <c r="A1151" t="s">
        <v>1391</v>
      </c>
      <c r="C1151" t="s">
        <v>488</v>
      </c>
      <c r="E1151" t="str">
        <f>"36607230"</f>
        <v>36607230</v>
      </c>
      <c r="F1151" t="str">
        <f>"11108342"</f>
        <v>11108342</v>
      </c>
    </row>
    <row r="1152" spans="1:6" x14ac:dyDescent="0.25">
      <c r="A1152" t="s">
        <v>1392</v>
      </c>
      <c r="C1152" t="s">
        <v>435</v>
      </c>
      <c r="E1152" t="str">
        <f>"44694828"</f>
        <v>44694828</v>
      </c>
      <c r="F1152" t="str">
        <f>"11105652"</f>
        <v>11105652</v>
      </c>
    </row>
    <row r="1153" spans="1:6" x14ac:dyDescent="0.25">
      <c r="A1153" t="s">
        <v>1393</v>
      </c>
      <c r="C1153" t="s">
        <v>27</v>
      </c>
      <c r="E1153" t="str">
        <f>"36338820"</f>
        <v>36338820</v>
      </c>
      <c r="F1153" t="str">
        <f>"00575894"</f>
        <v>00575894</v>
      </c>
    </row>
    <row r="1154" spans="1:6" x14ac:dyDescent="0.25">
      <c r="A1154" t="s">
        <v>1394</v>
      </c>
      <c r="C1154" t="s">
        <v>530</v>
      </c>
      <c r="E1154" t="str">
        <f>"46702365"</f>
        <v>46702365</v>
      </c>
      <c r="F1154" t="str">
        <f>"10721204"</f>
        <v>10721204</v>
      </c>
    </row>
    <row r="1155" spans="1:6" x14ac:dyDescent="0.25">
      <c r="A1155" t="s">
        <v>1395</v>
      </c>
      <c r="C1155" t="s">
        <v>231</v>
      </c>
      <c r="E1155" t="str">
        <f>"45243134"</f>
        <v>45243134</v>
      </c>
      <c r="F1155" t="str">
        <f>"00605501"</f>
        <v>00605501</v>
      </c>
    </row>
    <row r="1156" spans="1:6" x14ac:dyDescent="0.25">
      <c r="A1156" t="s">
        <v>1396</v>
      </c>
      <c r="C1156" t="s">
        <v>27</v>
      </c>
      <c r="E1156" t="str">
        <f>"46465553"</f>
        <v>46465553</v>
      </c>
      <c r="F1156" t="str">
        <f>"00463372"</f>
        <v>00463372</v>
      </c>
    </row>
    <row r="1157" spans="1:6" x14ac:dyDescent="0.25">
      <c r="A1157" t="s">
        <v>1397</v>
      </c>
      <c r="C1157" t="s">
        <v>30</v>
      </c>
      <c r="E1157" t="str">
        <f>"47851942"</f>
        <v>47851942</v>
      </c>
      <c r="F1157" t="str">
        <f>"01352020"</f>
        <v>01352020</v>
      </c>
    </row>
    <row r="1158" spans="1:6" x14ac:dyDescent="0.25">
      <c r="A1158" t="s">
        <v>1398</v>
      </c>
      <c r="C1158" t="s">
        <v>27</v>
      </c>
      <c r="E1158" t="str">
        <f>"34760867"</f>
        <v>34760867</v>
      </c>
      <c r="F1158" t="str">
        <f>"00137315"</f>
        <v>00137315</v>
      </c>
    </row>
    <row r="1159" spans="1:6" x14ac:dyDescent="0.25">
      <c r="A1159" t="s">
        <v>1399</v>
      </c>
      <c r="C1159" t="s">
        <v>27</v>
      </c>
      <c r="E1159" t="str">
        <f>"26484801"</f>
        <v>26484801</v>
      </c>
      <c r="F1159" t="str">
        <f>"01190396"</f>
        <v>01190396</v>
      </c>
    </row>
    <row r="1160" spans="1:6" x14ac:dyDescent="0.25">
      <c r="A1160" t="s">
        <v>1400</v>
      </c>
      <c r="C1160" t="s">
        <v>257</v>
      </c>
      <c r="F1160" t="str">
        <f>"10700950"</f>
        <v>10700950</v>
      </c>
    </row>
    <row r="1161" spans="1:6" x14ac:dyDescent="0.25">
      <c r="A1161" t="s">
        <v>1401</v>
      </c>
      <c r="C1161" t="s">
        <v>435</v>
      </c>
      <c r="E1161" t="str">
        <f>"44848494"</f>
        <v>44848494</v>
      </c>
      <c r="F1161" t="str">
        <f>"00867705"</f>
        <v>00867705</v>
      </c>
    </row>
    <row r="1162" spans="1:6" x14ac:dyDescent="0.25">
      <c r="A1162" t="s">
        <v>1402</v>
      </c>
      <c r="C1162" t="s">
        <v>562</v>
      </c>
      <c r="E1162" t="str">
        <f>"46850490"</f>
        <v>46850490</v>
      </c>
      <c r="F1162" t="str">
        <f>"01359058"</f>
        <v>01359058</v>
      </c>
    </row>
    <row r="1163" spans="1:6" x14ac:dyDescent="0.25">
      <c r="A1163" t="s">
        <v>1403</v>
      </c>
      <c r="C1163" t="s">
        <v>27</v>
      </c>
      <c r="E1163" t="str">
        <f>"36305171"</f>
        <v>36305171</v>
      </c>
      <c r="F1163" t="str">
        <f>"10723864"</f>
        <v>10723864</v>
      </c>
    </row>
    <row r="1164" spans="1:6" x14ac:dyDescent="0.25">
      <c r="A1164" t="s">
        <v>1404</v>
      </c>
      <c r="C1164" t="s">
        <v>231</v>
      </c>
      <c r="E1164" t="str">
        <f>"22033534"</f>
        <v>22033534</v>
      </c>
      <c r="F1164" t="str">
        <f>"10700976"</f>
        <v>10700976</v>
      </c>
    </row>
    <row r="1165" spans="1:6" x14ac:dyDescent="0.25">
      <c r="A1165" t="s">
        <v>1405</v>
      </c>
      <c r="C1165" t="s">
        <v>488</v>
      </c>
      <c r="E1165" t="str">
        <f>"34601033"</f>
        <v>34601033</v>
      </c>
      <c r="F1165" t="str">
        <f>"00465443"</f>
        <v>00465443</v>
      </c>
    </row>
    <row r="1166" spans="1:6" x14ac:dyDescent="0.25">
      <c r="A1166" t="s">
        <v>1406</v>
      </c>
      <c r="C1166" t="s">
        <v>530</v>
      </c>
      <c r="E1166" t="str">
        <f>"42315491"</f>
        <v>42315491</v>
      </c>
      <c r="F1166" t="str">
        <f>"01603323"</f>
        <v>01603323</v>
      </c>
    </row>
    <row r="1167" spans="1:6" x14ac:dyDescent="0.25">
      <c r="A1167" t="s">
        <v>1407</v>
      </c>
      <c r="D1167" t="s">
        <v>530</v>
      </c>
      <c r="E1167" t="str">
        <f>"32178269"</f>
        <v>32178269</v>
      </c>
      <c r="F1167" t="str">
        <f>"00197798"</f>
        <v>00197798</v>
      </c>
    </row>
    <row r="1168" spans="1:6" x14ac:dyDescent="0.25">
      <c r="A1168" t="s">
        <v>936</v>
      </c>
      <c r="C1168" t="s">
        <v>530</v>
      </c>
      <c r="E1168" t="str">
        <f>"42672624"</f>
        <v>42672624</v>
      </c>
      <c r="F1168" t="str">
        <f>"01598382"</f>
        <v>01598382</v>
      </c>
    </row>
    <row r="1169" spans="1:6" x14ac:dyDescent="0.25">
      <c r="A1169" t="s">
        <v>1403</v>
      </c>
      <c r="C1169" t="s">
        <v>27</v>
      </c>
      <c r="E1169" t="str">
        <f>"36305171"</f>
        <v>36305171</v>
      </c>
      <c r="F1169" t="str">
        <f>"10723846"</f>
        <v>10723846</v>
      </c>
    </row>
    <row r="1170" spans="1:6" x14ac:dyDescent="0.25">
      <c r="A1170" t="s">
        <v>1408</v>
      </c>
      <c r="C1170" t="s">
        <v>27</v>
      </c>
      <c r="E1170" t="str">
        <f>"25018978"</f>
        <v>25018978</v>
      </c>
      <c r="F1170" t="str">
        <f>"10602394"</f>
        <v>10602394</v>
      </c>
    </row>
    <row r="1171" spans="1:6" x14ac:dyDescent="0.25">
      <c r="A1171" t="s">
        <v>1409</v>
      </c>
      <c r="C1171" t="s">
        <v>231</v>
      </c>
      <c r="E1171" t="str">
        <f>"36307791"</f>
        <v>36307791</v>
      </c>
      <c r="F1171" t="str">
        <f>"20901545"</f>
        <v>20901545</v>
      </c>
    </row>
    <row r="1172" spans="1:6" x14ac:dyDescent="0.25">
      <c r="A1172" t="s">
        <v>1410</v>
      </c>
      <c r="C1172" t="s">
        <v>340</v>
      </c>
      <c r="E1172" t="str">
        <f>"46450107"</f>
        <v>46450107</v>
      </c>
      <c r="F1172" t="str">
        <f>"00268508"</f>
        <v>00268508</v>
      </c>
    </row>
    <row r="1173" spans="1:6" x14ac:dyDescent="0.25">
      <c r="A1173" t="s">
        <v>1411</v>
      </c>
      <c r="C1173" t="s">
        <v>530</v>
      </c>
      <c r="E1173" t="str">
        <f>"49087707"</f>
        <v>49087707</v>
      </c>
      <c r="F1173" t="str">
        <f>"00539817"</f>
        <v>00539817</v>
      </c>
    </row>
    <row r="1174" spans="1:6" x14ac:dyDescent="0.25">
      <c r="A1174" t="s">
        <v>1412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ETER INFO2</dc:creator>
  <cp:lastModifiedBy>Lenovo</cp:lastModifiedBy>
  <dcterms:created xsi:type="dcterms:W3CDTF">2025-08-26T13:41:51Z</dcterms:created>
  <dcterms:modified xsi:type="dcterms:W3CDTF">2025-08-26T17:52:20Z</dcterms:modified>
</cp:coreProperties>
</file>