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Pemograman\"/>
    </mc:Choice>
  </mc:AlternateContent>
  <xr:revisionPtr revIDLastSave="0" documentId="13_ncr:1_{1344FFB9-8E83-4CF0-9AB0-EEECD55FBD2D}" xr6:coauthVersionLast="47" xr6:coauthVersionMax="47" xr10:uidLastSave="{00000000-0000-0000-0000-000000000000}"/>
  <bookViews>
    <workbookView xWindow="-120" yWindow="-120" windowWidth="20730" windowHeight="11040" firstSheet="4" activeTab="7" xr2:uid="{CB4514ED-CF9E-4559-9CCE-107E021CFD40}"/>
  </bookViews>
  <sheets>
    <sheet name="Tahun" sheetId="3" r:id="rId1"/>
    <sheet name="Bulan" sheetId="4" r:id="rId2"/>
    <sheet name="TahunMaj" sheetId="10" r:id="rId3"/>
    <sheet name="TahunMab" sheetId="7" r:id="rId4"/>
    <sheet name="Hari" sheetId="8" r:id="rId5"/>
    <sheet name="Jam" sheetId="9" r:id="rId6"/>
    <sheet name="Menit" sheetId="6" r:id="rId7"/>
    <sheet name="Tafawut" sheetId="15" r:id="rId8"/>
    <sheet name="TadilA0" sheetId="5" r:id="rId9"/>
    <sheet name="TadilC0D0" sheetId="13" r:id="rId10"/>
    <sheet name="TadilC1D1" sheetId="14" r:id="rId11"/>
    <sheet name="TadilC2" sheetId="11" r:id="rId12"/>
    <sheet name="TadilC3" sheetId="12" r:id="rId13"/>
    <sheet name="TadilE0" sheetId="1" r:id="rId14"/>
    <sheet name="TadilC4" sheetId="2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3" l="1"/>
  <c r="M30" i="13"/>
  <c r="B4" i="13"/>
  <c r="B3" i="13"/>
  <c r="K31" i="12"/>
  <c r="I20" i="12"/>
  <c r="I8" i="12"/>
  <c r="M32" i="12"/>
  <c r="L32" i="12"/>
  <c r="K32" i="12"/>
  <c r="J32" i="12"/>
  <c r="I32" i="12"/>
  <c r="H32" i="12"/>
  <c r="M31" i="12"/>
  <c r="L31" i="12"/>
  <c r="J31" i="12"/>
  <c r="I31" i="12"/>
  <c r="H31" i="12"/>
  <c r="M30" i="12"/>
  <c r="L30" i="12"/>
  <c r="K30" i="12"/>
  <c r="J30" i="12"/>
  <c r="I30" i="12"/>
  <c r="H30" i="12"/>
  <c r="M29" i="12"/>
  <c r="L29" i="12"/>
  <c r="K29" i="12"/>
  <c r="J29" i="12"/>
  <c r="I29" i="12"/>
  <c r="H29" i="12"/>
  <c r="M28" i="12"/>
  <c r="L28" i="12"/>
  <c r="K28" i="12"/>
  <c r="J28" i="12"/>
  <c r="I28" i="12"/>
  <c r="H28" i="12"/>
  <c r="M27" i="12"/>
  <c r="L27" i="12"/>
  <c r="K27" i="12"/>
  <c r="J27" i="12"/>
  <c r="I27" i="12"/>
  <c r="H27" i="12"/>
  <c r="M26" i="12"/>
  <c r="L26" i="12"/>
  <c r="K26" i="12"/>
  <c r="J26" i="12"/>
  <c r="I26" i="12"/>
  <c r="H26" i="12"/>
  <c r="M25" i="12"/>
  <c r="L25" i="12"/>
  <c r="K25" i="12"/>
  <c r="J25" i="12"/>
  <c r="I25" i="12"/>
  <c r="H25" i="12"/>
  <c r="M24" i="12"/>
  <c r="L24" i="12"/>
  <c r="K24" i="12"/>
  <c r="J24" i="12"/>
  <c r="I24" i="12"/>
  <c r="H24" i="12"/>
  <c r="M23" i="12"/>
  <c r="L23" i="12"/>
  <c r="K23" i="12"/>
  <c r="J23" i="12"/>
  <c r="I23" i="12"/>
  <c r="H23" i="12"/>
  <c r="M22" i="12"/>
  <c r="L22" i="12"/>
  <c r="K22" i="12"/>
  <c r="J22" i="12"/>
  <c r="I22" i="12"/>
  <c r="H22" i="12"/>
  <c r="M21" i="12"/>
  <c r="L21" i="12"/>
  <c r="K21" i="12"/>
  <c r="J21" i="12"/>
  <c r="I21" i="12"/>
  <c r="H21" i="12"/>
  <c r="M20" i="12"/>
  <c r="L20" i="12"/>
  <c r="K20" i="12"/>
  <c r="J20" i="12"/>
  <c r="H20" i="12"/>
  <c r="M19" i="12"/>
  <c r="L19" i="12"/>
  <c r="K19" i="12"/>
  <c r="J19" i="12"/>
  <c r="I19" i="12"/>
  <c r="H19" i="12"/>
  <c r="M18" i="12"/>
  <c r="L18" i="12"/>
  <c r="K18" i="12"/>
  <c r="J18" i="12"/>
  <c r="I18" i="12"/>
  <c r="H18" i="12"/>
  <c r="M17" i="12"/>
  <c r="L17" i="12"/>
  <c r="K17" i="12"/>
  <c r="J17" i="12"/>
  <c r="I17" i="12"/>
  <c r="H17" i="12"/>
  <c r="M16" i="12"/>
  <c r="L16" i="12"/>
  <c r="K16" i="12"/>
  <c r="J16" i="12"/>
  <c r="I16" i="12"/>
  <c r="H16" i="12"/>
  <c r="M15" i="12"/>
  <c r="L15" i="12"/>
  <c r="K15" i="12"/>
  <c r="J15" i="12"/>
  <c r="I15" i="12"/>
  <c r="H15" i="12"/>
  <c r="M14" i="12"/>
  <c r="L14" i="12"/>
  <c r="K14" i="12"/>
  <c r="J14" i="12"/>
  <c r="I14" i="12"/>
  <c r="H14" i="12"/>
  <c r="M13" i="12"/>
  <c r="L13" i="12"/>
  <c r="K13" i="12"/>
  <c r="J13" i="12"/>
  <c r="I13" i="12"/>
  <c r="H13" i="12"/>
  <c r="M12" i="12"/>
  <c r="L12" i="12"/>
  <c r="K12" i="12"/>
  <c r="J12" i="12"/>
  <c r="I12" i="12"/>
  <c r="H12" i="12"/>
  <c r="M11" i="12"/>
  <c r="L11" i="12"/>
  <c r="K11" i="12"/>
  <c r="J11" i="12"/>
  <c r="I11" i="12"/>
  <c r="H11" i="12"/>
  <c r="M10" i="12"/>
  <c r="L10" i="12"/>
  <c r="K10" i="12"/>
  <c r="J10" i="12"/>
  <c r="I10" i="12"/>
  <c r="H10" i="12"/>
  <c r="M9" i="12"/>
  <c r="L9" i="12"/>
  <c r="K9" i="12"/>
  <c r="J9" i="12"/>
  <c r="I9" i="12"/>
  <c r="H9" i="12"/>
  <c r="M8" i="12"/>
  <c r="L8" i="12"/>
  <c r="K8" i="12"/>
  <c r="J8" i="12"/>
  <c r="H8" i="12"/>
  <c r="M7" i="12"/>
  <c r="L7" i="12"/>
  <c r="K7" i="12"/>
  <c r="J7" i="12"/>
  <c r="I7" i="12"/>
  <c r="H7" i="12"/>
  <c r="M6" i="12"/>
  <c r="L6" i="12"/>
  <c r="K6" i="12"/>
  <c r="J6" i="12"/>
  <c r="I6" i="12"/>
  <c r="H6" i="12"/>
  <c r="M5" i="12"/>
  <c r="L5" i="12"/>
  <c r="K5" i="12"/>
  <c r="J5" i="12"/>
  <c r="I5" i="12"/>
  <c r="H5" i="12"/>
  <c r="M4" i="12"/>
  <c r="L4" i="12"/>
  <c r="K4" i="12"/>
  <c r="J4" i="12"/>
  <c r="I4" i="12"/>
  <c r="H4" i="12"/>
  <c r="M3" i="12"/>
  <c r="L3" i="12"/>
  <c r="K3" i="12"/>
  <c r="J3" i="12"/>
  <c r="I3" i="12"/>
  <c r="H3" i="12"/>
  <c r="M2" i="12"/>
  <c r="L2" i="12"/>
  <c r="K2" i="12"/>
  <c r="J2" i="12"/>
  <c r="I2" i="12"/>
  <c r="H2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J31" i="11"/>
  <c r="J32" i="11"/>
  <c r="J30" i="11"/>
  <c r="J29" i="11"/>
  <c r="J28" i="11"/>
  <c r="J27" i="11"/>
  <c r="J26" i="11"/>
  <c r="J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C32" i="11"/>
  <c r="C31" i="11"/>
  <c r="C30" i="11"/>
  <c r="C26" i="11"/>
  <c r="C27" i="11"/>
  <c r="C29" i="11"/>
  <c r="C28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2" i="11"/>
  <c r="C11" i="11"/>
  <c r="C10" i="11"/>
  <c r="C9" i="11"/>
  <c r="C8" i="11"/>
  <c r="C7" i="11"/>
  <c r="C6" i="11"/>
  <c r="C5" i="11"/>
  <c r="C4" i="11"/>
  <c r="C3" i="11"/>
  <c r="C2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H2" i="11"/>
  <c r="I2" i="11"/>
  <c r="J2" i="11"/>
  <c r="K2" i="11"/>
  <c r="L2" i="11"/>
  <c r="M2" i="11"/>
  <c r="G32" i="11"/>
  <c r="H3" i="11"/>
  <c r="I3" i="11"/>
  <c r="J3" i="11"/>
  <c r="K3" i="11"/>
  <c r="L3" i="11"/>
  <c r="M3" i="11"/>
  <c r="G31" i="11"/>
  <c r="H4" i="11"/>
  <c r="I4" i="11"/>
  <c r="J4" i="11"/>
  <c r="K4" i="11"/>
  <c r="L4" i="11"/>
  <c r="M4" i="11"/>
  <c r="G30" i="11"/>
  <c r="H5" i="11"/>
  <c r="I5" i="11"/>
  <c r="J5" i="11"/>
  <c r="K5" i="11"/>
  <c r="L5" i="11"/>
  <c r="M5" i="11"/>
  <c r="G29" i="11"/>
  <c r="H6" i="11"/>
  <c r="I6" i="11"/>
  <c r="J6" i="11"/>
  <c r="K6" i="11"/>
  <c r="L6" i="11"/>
  <c r="M6" i="11"/>
  <c r="G28" i="11"/>
  <c r="H7" i="11"/>
  <c r="I7" i="11"/>
  <c r="J7" i="11"/>
  <c r="K7" i="11"/>
  <c r="L7" i="11"/>
  <c r="M7" i="11"/>
  <c r="G27" i="11"/>
  <c r="H8" i="11"/>
  <c r="I8" i="11"/>
  <c r="J8" i="11"/>
  <c r="K8" i="11"/>
  <c r="L8" i="11"/>
  <c r="M8" i="11"/>
  <c r="G26" i="11"/>
  <c r="H9" i="11"/>
  <c r="I9" i="11"/>
  <c r="J9" i="11"/>
  <c r="K9" i="11"/>
  <c r="L9" i="11"/>
  <c r="M9" i="11"/>
  <c r="G25" i="11"/>
  <c r="H10" i="11"/>
  <c r="I10" i="11"/>
  <c r="J10" i="11"/>
  <c r="K10" i="11"/>
  <c r="L10" i="11"/>
  <c r="M10" i="11"/>
  <c r="H11" i="11"/>
  <c r="I11" i="11"/>
  <c r="J11" i="11"/>
  <c r="K11" i="11"/>
  <c r="L11" i="11"/>
  <c r="M11" i="11"/>
  <c r="H12" i="11"/>
  <c r="I12" i="11"/>
  <c r="J12" i="11"/>
  <c r="K12" i="11"/>
  <c r="L12" i="11"/>
  <c r="M12" i="11"/>
  <c r="H13" i="11"/>
  <c r="I13" i="11"/>
  <c r="J13" i="11"/>
  <c r="K13" i="11"/>
  <c r="L13" i="11"/>
  <c r="M13" i="11"/>
  <c r="H14" i="11"/>
  <c r="I14" i="11"/>
  <c r="J14" i="11"/>
  <c r="K14" i="11"/>
  <c r="L14" i="11"/>
  <c r="M14" i="11"/>
  <c r="H15" i="11"/>
  <c r="I15" i="11"/>
  <c r="J15" i="11"/>
  <c r="K15" i="11"/>
  <c r="L15" i="11"/>
  <c r="M15" i="11"/>
  <c r="H16" i="11"/>
  <c r="I16" i="11"/>
  <c r="J16" i="11"/>
  <c r="K16" i="11"/>
  <c r="L16" i="11"/>
  <c r="M16" i="11"/>
  <c r="H17" i="11"/>
  <c r="I17" i="11"/>
  <c r="J17" i="11"/>
  <c r="K17" i="11"/>
  <c r="L17" i="11"/>
  <c r="M17" i="11"/>
  <c r="H18" i="11"/>
  <c r="I18" i="11"/>
  <c r="J18" i="11"/>
  <c r="K18" i="11"/>
  <c r="L18" i="11"/>
  <c r="M18" i="11"/>
  <c r="H19" i="11"/>
  <c r="I19" i="11"/>
  <c r="J19" i="11"/>
  <c r="K19" i="11"/>
  <c r="L19" i="11"/>
  <c r="M19" i="11"/>
  <c r="H20" i="11"/>
  <c r="I20" i="11"/>
  <c r="J20" i="11"/>
  <c r="K20" i="11"/>
  <c r="L20" i="11"/>
  <c r="M20" i="11"/>
  <c r="H21" i="11"/>
  <c r="I21" i="11"/>
  <c r="J21" i="11"/>
  <c r="K21" i="11"/>
  <c r="L21" i="11"/>
  <c r="M21" i="11"/>
  <c r="C13" i="11"/>
  <c r="H22" i="11"/>
  <c r="I22" i="11"/>
  <c r="J22" i="11"/>
  <c r="K22" i="11"/>
  <c r="L22" i="11"/>
  <c r="M22" i="11"/>
  <c r="H23" i="11"/>
  <c r="I23" i="11"/>
  <c r="J23" i="11"/>
  <c r="K23" i="11"/>
  <c r="L23" i="11"/>
  <c r="M23" i="11"/>
  <c r="B11" i="11"/>
  <c r="H24" i="11"/>
  <c r="I24" i="11"/>
  <c r="J24" i="11"/>
  <c r="K24" i="11"/>
  <c r="L24" i="11"/>
  <c r="M24" i="11"/>
  <c r="B10" i="11"/>
  <c r="H25" i="11"/>
  <c r="I25" i="11"/>
  <c r="K25" i="11"/>
  <c r="L25" i="11"/>
  <c r="M25" i="11"/>
  <c r="B9" i="11"/>
  <c r="H26" i="11"/>
  <c r="I26" i="11"/>
  <c r="K26" i="11"/>
  <c r="L26" i="11"/>
  <c r="M26" i="11"/>
  <c r="B8" i="11"/>
  <c r="H27" i="11"/>
  <c r="I27" i="11"/>
  <c r="K27" i="11"/>
  <c r="L27" i="11"/>
  <c r="M27" i="11"/>
  <c r="B7" i="11"/>
  <c r="H28" i="11"/>
  <c r="I28" i="11"/>
  <c r="K28" i="11"/>
  <c r="L28" i="11"/>
  <c r="M28" i="11"/>
  <c r="B6" i="11"/>
  <c r="H29" i="11"/>
  <c r="I29" i="11"/>
  <c r="K29" i="11"/>
  <c r="L29" i="11"/>
  <c r="M29" i="11"/>
  <c r="B5" i="11"/>
  <c r="H30" i="11"/>
  <c r="I30" i="11"/>
  <c r="K30" i="11"/>
  <c r="L30" i="11"/>
  <c r="M30" i="11"/>
  <c r="B4" i="11"/>
  <c r="H31" i="11"/>
  <c r="I31" i="11"/>
  <c r="K31" i="11"/>
  <c r="L31" i="11"/>
  <c r="M31" i="11"/>
  <c r="B3" i="11"/>
  <c r="H32" i="11"/>
  <c r="I32" i="11"/>
  <c r="K32" i="11"/>
  <c r="L32" i="11"/>
  <c r="M32" i="11"/>
  <c r="B2" i="11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F61" i="6"/>
  <c r="E61" i="6"/>
  <c r="D61" i="6"/>
  <c r="C61" i="6"/>
  <c r="B61" i="6"/>
  <c r="F31" i="6"/>
  <c r="E31" i="6"/>
  <c r="D31" i="6"/>
  <c r="C31" i="6"/>
  <c r="B31" i="6"/>
  <c r="F60" i="6"/>
  <c r="E60" i="6"/>
  <c r="D60" i="6"/>
  <c r="C60" i="6"/>
  <c r="B60" i="6"/>
  <c r="F30" i="6"/>
  <c r="E30" i="6"/>
  <c r="D30" i="6"/>
  <c r="C30" i="6"/>
  <c r="B30" i="6"/>
  <c r="F59" i="6"/>
  <c r="E59" i="6"/>
  <c r="D59" i="6"/>
  <c r="C59" i="6"/>
  <c r="B59" i="6"/>
  <c r="F29" i="6"/>
  <c r="E29" i="6"/>
  <c r="D29" i="6"/>
  <c r="C29" i="6"/>
  <c r="B29" i="6"/>
  <c r="F58" i="6"/>
  <c r="E58" i="6"/>
  <c r="D58" i="6"/>
  <c r="C58" i="6"/>
  <c r="B58" i="6"/>
  <c r="F28" i="6"/>
  <c r="E28" i="6"/>
  <c r="D28" i="6"/>
  <c r="C28" i="6"/>
  <c r="B28" i="6"/>
  <c r="F57" i="6"/>
  <c r="E57" i="6"/>
  <c r="D57" i="6"/>
  <c r="C57" i="6"/>
  <c r="B57" i="6"/>
  <c r="F27" i="6"/>
  <c r="E27" i="6"/>
  <c r="D27" i="6"/>
  <c r="C27" i="6"/>
  <c r="B27" i="6"/>
  <c r="F56" i="6"/>
  <c r="E56" i="6"/>
  <c r="D56" i="6"/>
  <c r="C56" i="6"/>
  <c r="B56" i="6"/>
  <c r="F26" i="6"/>
  <c r="E26" i="6"/>
  <c r="D26" i="6"/>
  <c r="C26" i="6"/>
  <c r="B26" i="6"/>
  <c r="F55" i="6"/>
  <c r="E55" i="6"/>
  <c r="D55" i="6"/>
  <c r="C55" i="6"/>
  <c r="B55" i="6"/>
  <c r="F25" i="6"/>
  <c r="E25" i="6"/>
  <c r="D25" i="6"/>
  <c r="C25" i="6"/>
  <c r="B25" i="6"/>
  <c r="F54" i="6"/>
  <c r="E54" i="6"/>
  <c r="D54" i="6"/>
  <c r="C54" i="6"/>
  <c r="B54" i="6"/>
  <c r="F24" i="6"/>
  <c r="E24" i="6"/>
  <c r="D24" i="6"/>
  <c r="C24" i="6"/>
  <c r="B24" i="6"/>
  <c r="F53" i="6"/>
  <c r="E53" i="6"/>
  <c r="D53" i="6"/>
  <c r="C53" i="6"/>
  <c r="B53" i="6"/>
  <c r="F23" i="6"/>
  <c r="E23" i="6"/>
  <c r="D23" i="6"/>
  <c r="C23" i="6"/>
  <c r="B23" i="6"/>
  <c r="F52" i="6"/>
  <c r="E52" i="6"/>
  <c r="D52" i="6"/>
  <c r="C52" i="6"/>
  <c r="B52" i="6"/>
  <c r="F22" i="6"/>
  <c r="E22" i="6"/>
  <c r="D22" i="6"/>
  <c r="C22" i="6"/>
  <c r="B22" i="6"/>
  <c r="F51" i="6"/>
  <c r="E51" i="6"/>
  <c r="D51" i="6"/>
  <c r="C51" i="6"/>
  <c r="B51" i="6"/>
  <c r="F21" i="6"/>
  <c r="E21" i="6"/>
  <c r="D21" i="6"/>
  <c r="C21" i="6"/>
  <c r="B21" i="6"/>
  <c r="F50" i="6"/>
  <c r="E50" i="6"/>
  <c r="D50" i="6"/>
  <c r="C50" i="6"/>
  <c r="B50" i="6"/>
  <c r="F20" i="6"/>
  <c r="E20" i="6"/>
  <c r="D20" i="6"/>
  <c r="C20" i="6"/>
  <c r="B20" i="6"/>
  <c r="F49" i="6"/>
  <c r="E49" i="6"/>
  <c r="D49" i="6"/>
  <c r="C49" i="6"/>
  <c r="B49" i="6"/>
  <c r="F19" i="6"/>
  <c r="E19" i="6"/>
  <c r="D19" i="6"/>
  <c r="C19" i="6"/>
  <c r="B19" i="6"/>
  <c r="F48" i="6"/>
  <c r="E48" i="6"/>
  <c r="D48" i="6"/>
  <c r="C48" i="6"/>
  <c r="B48" i="6"/>
  <c r="F18" i="6"/>
  <c r="E18" i="6"/>
  <c r="D18" i="6"/>
  <c r="C18" i="6"/>
  <c r="B18" i="6"/>
  <c r="F47" i="6"/>
  <c r="E47" i="6"/>
  <c r="D47" i="6"/>
  <c r="C47" i="6"/>
  <c r="B47" i="6"/>
  <c r="F17" i="6"/>
  <c r="E17" i="6"/>
  <c r="D17" i="6"/>
  <c r="C17" i="6"/>
  <c r="B17" i="6"/>
  <c r="F46" i="6"/>
  <c r="E46" i="6"/>
  <c r="D46" i="6"/>
  <c r="C46" i="6"/>
  <c r="B46" i="6"/>
  <c r="F16" i="6"/>
  <c r="E16" i="6"/>
  <c r="D16" i="6"/>
  <c r="C16" i="6"/>
  <c r="B16" i="6"/>
  <c r="F45" i="6"/>
  <c r="E45" i="6"/>
  <c r="D45" i="6"/>
  <c r="C45" i="6"/>
  <c r="B45" i="6"/>
  <c r="F15" i="6"/>
  <c r="E15" i="6"/>
  <c r="D15" i="6"/>
  <c r="C15" i="6"/>
  <c r="B15" i="6"/>
  <c r="F44" i="6"/>
  <c r="E44" i="6"/>
  <c r="D44" i="6"/>
  <c r="C44" i="6"/>
  <c r="B44" i="6"/>
  <c r="F14" i="6"/>
  <c r="E14" i="6"/>
  <c r="D14" i="6"/>
  <c r="C14" i="6"/>
  <c r="B14" i="6"/>
  <c r="F43" i="6"/>
  <c r="E43" i="6"/>
  <c r="D43" i="6"/>
  <c r="C43" i="6"/>
  <c r="B43" i="6"/>
  <c r="F13" i="6"/>
  <c r="E13" i="6"/>
  <c r="D13" i="6"/>
  <c r="C13" i="6"/>
  <c r="B13" i="6"/>
  <c r="F42" i="6"/>
  <c r="E42" i="6"/>
  <c r="D42" i="6"/>
  <c r="C42" i="6"/>
  <c r="B42" i="6"/>
  <c r="F12" i="6"/>
  <c r="E12" i="6"/>
  <c r="D12" i="6"/>
  <c r="C12" i="6"/>
  <c r="B12" i="6"/>
  <c r="F41" i="6"/>
  <c r="E41" i="6"/>
  <c r="D41" i="6"/>
  <c r="C41" i="6"/>
  <c r="B41" i="6"/>
  <c r="F11" i="6"/>
  <c r="E11" i="6"/>
  <c r="D11" i="6"/>
  <c r="C11" i="6"/>
  <c r="B11" i="6"/>
  <c r="F40" i="6"/>
  <c r="E40" i="6"/>
  <c r="D40" i="6"/>
  <c r="C40" i="6"/>
  <c r="B40" i="6"/>
  <c r="F10" i="6"/>
  <c r="E10" i="6"/>
  <c r="D10" i="6"/>
  <c r="C10" i="6"/>
  <c r="B10" i="6"/>
  <c r="F39" i="6"/>
  <c r="E39" i="6"/>
  <c r="D39" i="6"/>
  <c r="C39" i="6"/>
  <c r="B39" i="6"/>
  <c r="F9" i="6"/>
  <c r="E9" i="6"/>
  <c r="D9" i="6"/>
  <c r="C9" i="6"/>
  <c r="B9" i="6"/>
  <c r="F38" i="6"/>
  <c r="E38" i="6"/>
  <c r="D38" i="6"/>
  <c r="C38" i="6"/>
  <c r="B38" i="6"/>
  <c r="F8" i="6"/>
  <c r="E8" i="6"/>
  <c r="D8" i="6"/>
  <c r="C8" i="6"/>
  <c r="B8" i="6"/>
  <c r="F37" i="6"/>
  <c r="E37" i="6"/>
  <c r="D37" i="6"/>
  <c r="C37" i="6"/>
  <c r="B37" i="6"/>
  <c r="F7" i="6"/>
  <c r="E7" i="6"/>
  <c r="D7" i="6"/>
  <c r="C7" i="6"/>
  <c r="B7" i="6"/>
  <c r="F36" i="6"/>
  <c r="E36" i="6"/>
  <c r="D36" i="6"/>
  <c r="C36" i="6"/>
  <c r="B36" i="6"/>
  <c r="F6" i="6"/>
  <c r="E6" i="6"/>
  <c r="D6" i="6"/>
  <c r="C6" i="6"/>
  <c r="B6" i="6"/>
  <c r="F35" i="6"/>
  <c r="E35" i="6"/>
  <c r="D35" i="6"/>
  <c r="C35" i="6"/>
  <c r="B35" i="6"/>
  <c r="F5" i="6"/>
  <c r="E5" i="6"/>
  <c r="D5" i="6"/>
  <c r="C5" i="6"/>
  <c r="B5" i="6"/>
  <c r="F34" i="6"/>
  <c r="E34" i="6"/>
  <c r="D34" i="6"/>
  <c r="C34" i="6"/>
  <c r="B34" i="6"/>
  <c r="F4" i="6"/>
  <c r="E4" i="6"/>
  <c r="D4" i="6"/>
  <c r="C4" i="6"/>
  <c r="B4" i="6"/>
  <c r="F33" i="6"/>
  <c r="E33" i="6"/>
  <c r="D33" i="6"/>
  <c r="C33" i="6"/>
  <c r="B33" i="6"/>
  <c r="F3" i="6"/>
  <c r="E3" i="6"/>
  <c r="D3" i="6"/>
  <c r="C3" i="6"/>
  <c r="B3" i="6"/>
  <c r="F32" i="6"/>
  <c r="E32" i="6"/>
  <c r="D32" i="6"/>
  <c r="C32" i="6"/>
  <c r="B32" i="6"/>
  <c r="F2" i="6"/>
  <c r="E2" i="6"/>
  <c r="D2" i="6"/>
  <c r="C2" i="6"/>
  <c r="B2" i="6"/>
  <c r="M32" i="5"/>
  <c r="L32" i="5"/>
  <c r="K32" i="5"/>
  <c r="J32" i="5"/>
  <c r="I32" i="5"/>
  <c r="H32" i="5"/>
  <c r="G32" i="5"/>
  <c r="F32" i="5"/>
  <c r="E32" i="5"/>
  <c r="D32" i="5"/>
  <c r="C32" i="5"/>
  <c r="B32" i="5"/>
  <c r="M31" i="5"/>
  <c r="L31" i="5"/>
  <c r="K31" i="5"/>
  <c r="J31" i="5"/>
  <c r="I31" i="5"/>
  <c r="H31" i="5"/>
  <c r="G31" i="5"/>
  <c r="F31" i="5"/>
  <c r="E31" i="5"/>
  <c r="D31" i="5"/>
  <c r="C31" i="5"/>
  <c r="B31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8" i="5"/>
  <c r="L18" i="5"/>
  <c r="K18" i="5"/>
  <c r="J18" i="5"/>
  <c r="I18" i="5"/>
  <c r="H18" i="5"/>
  <c r="G18" i="5"/>
  <c r="F18" i="5"/>
  <c r="E18" i="5"/>
  <c r="D18" i="5"/>
  <c r="C18" i="5"/>
  <c r="B18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32" i="2"/>
  <c r="E2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9" i="2"/>
  <c r="B10" i="2"/>
  <c r="B8" i="2"/>
  <c r="B7" i="2"/>
  <c r="B6" i="2"/>
  <c r="B5" i="2"/>
  <c r="B4" i="2"/>
  <c r="B3" i="2"/>
  <c r="B2" i="2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2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30" i="1"/>
  <c r="H3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2" i="1"/>
  <c r="E31" i="1"/>
  <c r="E30" i="1"/>
  <c r="E29" i="1"/>
  <c r="E28" i="1"/>
  <c r="E27" i="1"/>
  <c r="E26" i="1"/>
  <c r="E25" i="1"/>
  <c r="E24" i="1"/>
  <c r="E22" i="1"/>
  <c r="E2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E4" i="1"/>
  <c r="E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11" i="1"/>
  <c r="D9" i="1"/>
  <c r="D8" i="1"/>
  <c r="D7" i="1"/>
  <c r="D6" i="1"/>
  <c r="D5" i="1"/>
  <c r="D4" i="1"/>
  <c r="D3" i="1"/>
  <c r="D2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<sst xmlns="http://schemas.openxmlformats.org/spreadsheetml/2006/main" count="165" uniqueCount="35">
  <si>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</si>
  <si>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</si>
  <si>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</si>
  <si>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</si>
  <si>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</si>
  <si>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</si>
  <si>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</si>
  <si>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</si>
  <si>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</si>
  <si>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</si>
  <si>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</si>
  <si>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</si>
  <si>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Tahun</t>
  </si>
  <si>
    <t>Hari</t>
  </si>
  <si>
    <t>Muharrom</t>
  </si>
  <si>
    <t>Shofar</t>
  </si>
  <si>
    <t>Robiul Awal</t>
  </si>
  <si>
    <t>Robiul Tsani</t>
  </si>
  <si>
    <t>Jumadil Awal</t>
  </si>
  <si>
    <t>Jumadil Akhir</t>
  </si>
  <si>
    <t>Rojab</t>
  </si>
  <si>
    <t>Sya'ban</t>
  </si>
  <si>
    <t>Romadhon</t>
  </si>
  <si>
    <t>Syawwal</t>
  </si>
  <si>
    <t>Dzul Qo'dah</t>
  </si>
  <si>
    <t>Dzul Hijjah B</t>
  </si>
  <si>
    <t>Dzul Hijjah K</t>
  </si>
  <si>
    <t>Bulan</t>
  </si>
  <si>
    <t>AA</t>
  </si>
  <si>
    <t>Menit</t>
  </si>
  <si>
    <t>Jam</t>
  </si>
  <si>
    <t>TahunMB</t>
  </si>
  <si>
    <t>drjt</t>
  </si>
  <si>
    <t>Drjt</t>
  </si>
  <si>
    <t>Derajat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</si>
</sst>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4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3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3" xfId="0" applyFill="1" applyBorder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2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9" borderId="0" xfId="0" applyFill="1"/>
    <xf numFmtId="0" fontId="0" fillId="9" borderId="3" xfId="0" applyFill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11" xfId="0" applyFont="1" applyBorder="1"/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28A0-E047-4089-9857-5628F09718DE}">
  <dimension ref="A1:M107"/>
  <sheetViews>
    <sheetView zoomScale="91" workbookViewId="0">
      <selection activeCell="N11" sqref="N11"/>
    </sheetView>
  </sheetViews>
  <sheetFormatPr defaultRowHeight="15" x14ac:dyDescent="0.25"/>
  <cols>
    <col min="4" max="4" width="12.7109375" customWidth="1"/>
    <col min="5" max="5" width="12.85546875" customWidth="1"/>
    <col min="6" max="6" width="12.7109375" customWidth="1"/>
    <col min="7" max="7" width="13" customWidth="1"/>
    <col min="8" max="9" width="12.7109375" customWidth="1"/>
    <col min="13" max="13" width="10.140625" bestFit="1" customWidth="1"/>
  </cols>
  <sheetData>
    <row r="1" spans="1:13" ht="15.75" x14ac:dyDescent="0.25">
      <c r="A1" s="7" t="s">
        <v>12</v>
      </c>
      <c r="B1" s="6" t="s">
        <v>13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</row>
    <row r="2" spans="1:13" ht="15.75" x14ac:dyDescent="0.25">
      <c r="A2" s="8">
        <v>1421</v>
      </c>
      <c r="B2" s="4">
        <v>1</v>
      </c>
      <c r="C2" s="5">
        <v>2.7072222222222222</v>
      </c>
      <c r="D2" s="5">
        <v>259.50111111111113</v>
      </c>
      <c r="E2" s="5">
        <v>10.501944444444444</v>
      </c>
      <c r="F2" s="5">
        <v>259.50111111111113</v>
      </c>
      <c r="G2" s="5">
        <v>56.775277777777774</v>
      </c>
      <c r="H2" s="5">
        <v>258.82722222222225</v>
      </c>
    </row>
    <row r="3" spans="1:13" ht="15.75" x14ac:dyDescent="0.25">
      <c r="A3" s="8">
        <v>1422</v>
      </c>
      <c r="B3" s="4">
        <v>5</v>
      </c>
      <c r="C3" s="5">
        <v>351.62638888888887</v>
      </c>
      <c r="D3" s="5">
        <v>248.4025</v>
      </c>
      <c r="E3" s="5">
        <v>354.94638888888892</v>
      </c>
      <c r="F3" s="5">
        <v>248.4025</v>
      </c>
      <c r="G3" s="5">
        <v>1.7813888888888889</v>
      </c>
      <c r="H3" s="5">
        <v>277.57333333333332</v>
      </c>
      <c r="K3" s="2"/>
      <c r="M3" s="2"/>
    </row>
    <row r="4" spans="1:13" ht="15.75" x14ac:dyDescent="0.25">
      <c r="A4" s="8">
        <v>1423</v>
      </c>
      <c r="B4" s="4">
        <v>3</v>
      </c>
      <c r="C4" s="5">
        <v>341.5311111111111</v>
      </c>
      <c r="D4" s="5">
        <v>238.28972222222222</v>
      </c>
      <c r="E4" s="5">
        <v>352.5672222222222</v>
      </c>
      <c r="F4" s="5">
        <v>238.28972222222222</v>
      </c>
      <c r="G4" s="5">
        <v>319.85250000000002</v>
      </c>
      <c r="H4" s="5">
        <v>296.3725</v>
      </c>
      <c r="K4" s="2"/>
      <c r="M4" s="2"/>
    </row>
    <row r="5" spans="1:13" ht="15.75" x14ac:dyDescent="0.25">
      <c r="A5" s="8">
        <v>1424</v>
      </c>
      <c r="B5" s="4">
        <v>7</v>
      </c>
      <c r="C5" s="5">
        <v>330.45027777777779</v>
      </c>
      <c r="D5" s="5">
        <v>227.19111111111113</v>
      </c>
      <c r="E5" s="5">
        <v>337.01166666666666</v>
      </c>
      <c r="F5" s="5">
        <v>227.19111111111113</v>
      </c>
      <c r="G5" s="5">
        <v>264.85833333333335</v>
      </c>
      <c r="H5" s="5">
        <v>315.11861111111114</v>
      </c>
      <c r="K5" s="2"/>
      <c r="M5" s="2"/>
    </row>
    <row r="6" spans="1:13" ht="15.75" x14ac:dyDescent="0.25">
      <c r="A6" s="8">
        <v>1425</v>
      </c>
      <c r="B6" s="4">
        <v>5</v>
      </c>
      <c r="C6" s="5">
        <v>320.35500000000002</v>
      </c>
      <c r="D6" s="5">
        <v>217.07805555555555</v>
      </c>
      <c r="E6" s="5">
        <v>334.63277777777779</v>
      </c>
      <c r="F6" s="5">
        <v>217.07805555555555</v>
      </c>
      <c r="G6" s="5">
        <v>222.92944444444444</v>
      </c>
      <c r="H6" s="5">
        <v>333.75083333333333</v>
      </c>
      <c r="K6" s="2"/>
      <c r="M6" s="2"/>
    </row>
    <row r="7" spans="1:13" ht="15.75" x14ac:dyDescent="0.25">
      <c r="A7" s="8">
        <v>1426</v>
      </c>
      <c r="B7" s="4">
        <v>2</v>
      </c>
      <c r="C7" s="5">
        <v>309.27416666666664</v>
      </c>
      <c r="D7" s="5">
        <v>205.97972222222222</v>
      </c>
      <c r="E7" s="5">
        <v>319.07722222222225</v>
      </c>
      <c r="F7" s="5">
        <v>205.97972222222222</v>
      </c>
      <c r="G7" s="5">
        <v>167.93555555555557</v>
      </c>
      <c r="H7" s="5">
        <v>352.66361111111109</v>
      </c>
      <c r="K7" s="2"/>
      <c r="M7" s="2"/>
    </row>
    <row r="8" spans="1:13" ht="15.75" x14ac:dyDescent="0.25">
      <c r="A8" s="8">
        <v>1427</v>
      </c>
      <c r="B8" s="4">
        <v>6</v>
      </c>
      <c r="C8" s="5">
        <v>298.19333333333333</v>
      </c>
      <c r="D8" s="5">
        <v>194.88111111111112</v>
      </c>
      <c r="E8" s="5">
        <v>303.52166666666665</v>
      </c>
      <c r="F8" s="5">
        <v>194.88111111111112</v>
      </c>
      <c r="G8" s="5">
        <v>112.94138888888889</v>
      </c>
      <c r="H8" s="5">
        <v>11.409722222222223</v>
      </c>
      <c r="K8" s="2"/>
      <c r="M8" s="2"/>
    </row>
    <row r="9" spans="1:13" ht="15.75" x14ac:dyDescent="0.25">
      <c r="A9" s="8">
        <v>1428</v>
      </c>
      <c r="B9" s="4">
        <v>4</v>
      </c>
      <c r="C9" s="5">
        <v>288.09805555555556</v>
      </c>
      <c r="D9" s="5">
        <v>184.76833333333335</v>
      </c>
      <c r="E9" s="5">
        <v>301.14249999999998</v>
      </c>
      <c r="F9" s="5">
        <v>184.76833333333335</v>
      </c>
      <c r="G9" s="5">
        <v>71.012500000000003</v>
      </c>
      <c r="H9" s="5">
        <v>30.20888888888889</v>
      </c>
      <c r="K9" s="2"/>
      <c r="M9" s="2"/>
    </row>
    <row r="10" spans="1:13" ht="15.75" x14ac:dyDescent="0.25">
      <c r="A10" s="8">
        <v>1429</v>
      </c>
      <c r="B10" s="4">
        <v>1</v>
      </c>
      <c r="C10" s="5">
        <v>277.01722222222219</v>
      </c>
      <c r="D10" s="5">
        <v>173.66972222222222</v>
      </c>
      <c r="E10" s="5">
        <v>285.58694444444444</v>
      </c>
      <c r="F10" s="5">
        <v>173.66972222222222</v>
      </c>
      <c r="G10" s="5">
        <v>16.01861111111111</v>
      </c>
      <c r="H10" s="5">
        <v>48.955000000000005</v>
      </c>
      <c r="K10" s="2"/>
      <c r="M10" s="2"/>
    </row>
    <row r="11" spans="1:13" ht="15.75" x14ac:dyDescent="0.25">
      <c r="A11" s="8">
        <v>1430</v>
      </c>
      <c r="B11" s="4">
        <v>5</v>
      </c>
      <c r="C11" s="5">
        <v>265.91972222222222</v>
      </c>
      <c r="D11" s="5">
        <v>162.57138888888889</v>
      </c>
      <c r="E11" s="5">
        <v>270.0313888888889</v>
      </c>
      <c r="F11" s="5">
        <v>162.57138888888889</v>
      </c>
      <c r="G11" s="5">
        <v>321.02472222222218</v>
      </c>
      <c r="H11" s="5">
        <v>67.701111111111118</v>
      </c>
      <c r="K11" s="2"/>
      <c r="M11" s="2"/>
    </row>
    <row r="12" spans="1:13" ht="15.75" x14ac:dyDescent="0.25">
      <c r="A12" s="8">
        <v>1431</v>
      </c>
      <c r="B12" s="4">
        <v>3</v>
      </c>
      <c r="C12" s="5">
        <v>255.84111111111113</v>
      </c>
      <c r="D12" s="5">
        <v>152.45833333333331</v>
      </c>
      <c r="E12" s="5">
        <v>267.65249999999997</v>
      </c>
      <c r="F12" s="5">
        <v>152.45833333333331</v>
      </c>
      <c r="G12" s="5">
        <v>279.09555555555556</v>
      </c>
      <c r="H12" s="5">
        <v>86.500277777777782</v>
      </c>
      <c r="K12" s="2"/>
      <c r="M12" s="2"/>
    </row>
    <row r="13" spans="1:13" ht="15.75" x14ac:dyDescent="0.25">
      <c r="A13" s="8">
        <v>1432</v>
      </c>
      <c r="B13" s="4">
        <v>7</v>
      </c>
      <c r="C13" s="5">
        <v>244.76027777777779</v>
      </c>
      <c r="D13" s="5">
        <v>141.35999999999999</v>
      </c>
      <c r="E13" s="5">
        <v>252.09694444444446</v>
      </c>
      <c r="F13" s="5">
        <v>141.35999999999999</v>
      </c>
      <c r="G13" s="5">
        <v>224.10166666666666</v>
      </c>
      <c r="H13" s="5">
        <v>105.24638888888889</v>
      </c>
      <c r="K13" s="2"/>
      <c r="M13" s="2"/>
    </row>
    <row r="14" spans="1:13" ht="15.75" x14ac:dyDescent="0.25">
      <c r="A14" s="8">
        <v>1433</v>
      </c>
      <c r="B14" s="4">
        <v>4</v>
      </c>
      <c r="C14" s="5">
        <v>233.67944444444444</v>
      </c>
      <c r="D14" s="5">
        <v>130.26138888888889</v>
      </c>
      <c r="E14" s="5">
        <v>236.54138888888889</v>
      </c>
      <c r="F14" s="5">
        <v>130.26138888888889</v>
      </c>
      <c r="G14" s="5">
        <v>169.10166666666666</v>
      </c>
      <c r="H14" s="5">
        <v>123.99250000000001</v>
      </c>
      <c r="K14" s="2"/>
      <c r="M14" s="2"/>
    </row>
    <row r="15" spans="1:13" ht="15.75" x14ac:dyDescent="0.25">
      <c r="A15" s="8">
        <v>1434</v>
      </c>
      <c r="B15" s="4">
        <v>2</v>
      </c>
      <c r="C15" s="5">
        <v>223.58416666666668</v>
      </c>
      <c r="D15" s="5">
        <v>120.14833333333334</v>
      </c>
      <c r="E15" s="5">
        <v>234.16222222222223</v>
      </c>
      <c r="F15" s="5">
        <v>120.14833333333334</v>
      </c>
      <c r="G15" s="5">
        <v>127.16944444444445</v>
      </c>
      <c r="H15" s="5">
        <v>142.79138888888889</v>
      </c>
      <c r="K15" s="2"/>
      <c r="M15" s="2"/>
    </row>
    <row r="16" spans="1:13" ht="15.75" x14ac:dyDescent="0.25">
      <c r="A16" s="8">
        <v>1435</v>
      </c>
      <c r="B16" s="4">
        <v>6</v>
      </c>
      <c r="C16" s="5">
        <v>212.50333333333333</v>
      </c>
      <c r="D16" s="5">
        <v>109.05</v>
      </c>
      <c r="E16" s="5">
        <v>218.60666666666665</v>
      </c>
      <c r="F16" s="5">
        <v>109.05</v>
      </c>
      <c r="G16" s="5">
        <v>72.186388888888899</v>
      </c>
      <c r="H16" s="5">
        <v>161.53749999999999</v>
      </c>
      <c r="K16" s="2"/>
      <c r="M16" s="2"/>
    </row>
    <row r="17" spans="1:13" ht="15.75" x14ac:dyDescent="0.25">
      <c r="A17" s="8">
        <v>1436</v>
      </c>
      <c r="B17" s="4">
        <v>4</v>
      </c>
      <c r="C17" s="5">
        <v>202.40805555555556</v>
      </c>
      <c r="D17" s="5">
        <v>98.93694444444445</v>
      </c>
      <c r="E17" s="5">
        <v>216.22777777777779</v>
      </c>
      <c r="F17" s="5">
        <v>98.93694444444445</v>
      </c>
      <c r="G17" s="5">
        <v>30.254166666666666</v>
      </c>
      <c r="H17" s="5">
        <v>180.33666666666667</v>
      </c>
      <c r="K17" s="2"/>
      <c r="M17" s="2"/>
    </row>
    <row r="18" spans="1:13" ht="15.75" x14ac:dyDescent="0.25">
      <c r="A18" s="8">
        <v>1437</v>
      </c>
      <c r="B18" s="4">
        <v>1</v>
      </c>
      <c r="C18" s="5">
        <v>191.32722222222222</v>
      </c>
      <c r="D18" s="5">
        <v>97.838333333333324</v>
      </c>
      <c r="E18" s="5">
        <v>200.67222222222222</v>
      </c>
      <c r="F18" s="5">
        <v>97.838333333333324</v>
      </c>
      <c r="G18" s="5">
        <v>335.25416666666666</v>
      </c>
      <c r="H18" s="5">
        <v>199.08277777777778</v>
      </c>
      <c r="K18" s="2"/>
      <c r="M18" s="2"/>
    </row>
    <row r="19" spans="1:13" ht="15.75" x14ac:dyDescent="0.25">
      <c r="A19" s="8">
        <v>1438</v>
      </c>
      <c r="B19" s="4">
        <v>5</v>
      </c>
      <c r="C19" s="5">
        <v>180.24638888888887</v>
      </c>
      <c r="D19" s="5">
        <v>76.739999999999995</v>
      </c>
      <c r="E19" s="5">
        <v>185.11666666666667</v>
      </c>
      <c r="F19" s="5">
        <v>76.739999999999995</v>
      </c>
      <c r="G19" s="5">
        <v>280.27111111111111</v>
      </c>
      <c r="H19" s="5">
        <v>217.82888888888888</v>
      </c>
      <c r="K19" s="2"/>
      <c r="M19" s="2"/>
    </row>
    <row r="20" spans="1:13" ht="15.75" x14ac:dyDescent="0.25">
      <c r="A20" s="8">
        <v>1439</v>
      </c>
      <c r="B20" s="4">
        <v>3</v>
      </c>
      <c r="C20" s="5">
        <v>170.15111111111111</v>
      </c>
      <c r="D20" s="5">
        <v>66.627222222222215</v>
      </c>
      <c r="E20" s="5">
        <v>182.73749999999998</v>
      </c>
      <c r="F20" s="5">
        <v>66.627222222222215</v>
      </c>
      <c r="G20" s="5">
        <v>238.3388888888889</v>
      </c>
      <c r="H20" s="5">
        <v>236.62777777777779</v>
      </c>
      <c r="K20" s="2"/>
      <c r="M20" s="2"/>
    </row>
    <row r="21" spans="1:13" ht="15.75" x14ac:dyDescent="0.25">
      <c r="A21" s="8">
        <v>1440</v>
      </c>
      <c r="B21" s="4">
        <v>7</v>
      </c>
      <c r="C21" s="5">
        <v>159.07027777777776</v>
      </c>
      <c r="D21" s="5">
        <v>55.528611111111111</v>
      </c>
      <c r="E21" s="5">
        <v>167.18194444444444</v>
      </c>
      <c r="F21" s="5">
        <v>55.528611111111111</v>
      </c>
      <c r="G21" s="5">
        <v>183.3388888888889</v>
      </c>
      <c r="H21" s="5">
        <v>255.3738888888889</v>
      </c>
      <c r="K21" s="2"/>
      <c r="M21" s="2"/>
    </row>
    <row r="22" spans="1:13" ht="15.75" x14ac:dyDescent="0.25">
      <c r="A22" s="8">
        <v>1441</v>
      </c>
      <c r="B22" s="4">
        <v>4</v>
      </c>
      <c r="C22" s="5">
        <v>147.98944444444444</v>
      </c>
      <c r="D22" s="5">
        <v>44.43</v>
      </c>
      <c r="E22" s="5">
        <v>151.6263888888889</v>
      </c>
      <c r="F22" s="5">
        <v>44.43</v>
      </c>
      <c r="G22" s="5">
        <v>128.35111111111109</v>
      </c>
      <c r="H22" s="5">
        <v>274.12</v>
      </c>
      <c r="K22" s="2"/>
      <c r="M22" s="2"/>
    </row>
    <row r="23" spans="1:13" ht="15.75" x14ac:dyDescent="0.25">
      <c r="A23" s="8">
        <v>1442</v>
      </c>
      <c r="B23" s="4">
        <v>2</v>
      </c>
      <c r="C23" s="5">
        <v>137.89416666666665</v>
      </c>
      <c r="D23" s="5">
        <v>34.317222222222227</v>
      </c>
      <c r="E23" s="5">
        <v>149.24722222222221</v>
      </c>
      <c r="F23" s="5">
        <v>34.317222222222227</v>
      </c>
      <c r="G23" s="5">
        <v>86.421944444444449</v>
      </c>
      <c r="H23" s="5">
        <v>292.91916666666668</v>
      </c>
      <c r="K23" s="2"/>
      <c r="M23" s="2"/>
    </row>
    <row r="24" spans="1:13" ht="15.75" x14ac:dyDescent="0.25">
      <c r="A24" s="8">
        <v>1443</v>
      </c>
      <c r="B24" s="4">
        <v>6</v>
      </c>
      <c r="C24" s="5">
        <v>126.81333333333333</v>
      </c>
      <c r="D24" s="5">
        <v>23.218611111111109</v>
      </c>
      <c r="E24" s="5">
        <v>133.69194444444446</v>
      </c>
      <c r="F24" s="5">
        <v>23.218611111111109</v>
      </c>
      <c r="G24" s="5">
        <v>31.428055555555556</v>
      </c>
      <c r="H24" s="5">
        <v>311.66527777777776</v>
      </c>
      <c r="K24" s="2"/>
      <c r="M24" s="2"/>
    </row>
    <row r="25" spans="1:13" ht="15.75" x14ac:dyDescent="0.25">
      <c r="A25" s="8">
        <v>1444</v>
      </c>
      <c r="B25" s="4">
        <v>3</v>
      </c>
      <c r="C25" s="5">
        <v>115.7325</v>
      </c>
      <c r="D25" s="5">
        <v>12.120277777777778</v>
      </c>
      <c r="E25" s="5">
        <v>118.1363888888889</v>
      </c>
      <c r="F25" s="5">
        <v>12.120277777777778</v>
      </c>
      <c r="G25" s="5">
        <v>336.43416666666667</v>
      </c>
      <c r="H25" s="5">
        <v>330.41138888888889</v>
      </c>
      <c r="K25" s="2"/>
      <c r="M25" s="2"/>
    </row>
    <row r="26" spans="1:13" ht="15.75" x14ac:dyDescent="0.25">
      <c r="A26" s="8">
        <v>1445</v>
      </c>
      <c r="B26" s="4">
        <v>1</v>
      </c>
      <c r="C26" s="5">
        <v>105.63722222222223</v>
      </c>
      <c r="D26" s="5">
        <v>2.007222222222222</v>
      </c>
      <c r="E26" s="5">
        <v>115.75722222222223</v>
      </c>
      <c r="F26" s="5">
        <v>2.007222222222222</v>
      </c>
      <c r="G26" s="5">
        <v>294.50527777777779</v>
      </c>
      <c r="H26" s="5">
        <v>349.21027777777778</v>
      </c>
      <c r="K26" s="2"/>
      <c r="M26" s="2"/>
    </row>
    <row r="27" spans="1:13" ht="15.75" x14ac:dyDescent="0.25">
      <c r="A27" s="8">
        <v>1446</v>
      </c>
      <c r="B27" s="4">
        <v>5</v>
      </c>
      <c r="C27" s="5">
        <v>94.55638888888889</v>
      </c>
      <c r="D27" s="5">
        <v>350.9086111111111</v>
      </c>
      <c r="E27" s="5">
        <v>100.20166666666667</v>
      </c>
      <c r="F27" s="5">
        <v>350.9086111111111</v>
      </c>
      <c r="G27" s="5">
        <v>239.51111111111112</v>
      </c>
      <c r="H27" s="5">
        <v>7.9563888888888892</v>
      </c>
      <c r="K27" s="2"/>
      <c r="M27" s="2"/>
    </row>
    <row r="28" spans="1:13" ht="15.75" x14ac:dyDescent="0.25">
      <c r="A28" s="8">
        <v>1447</v>
      </c>
      <c r="B28" s="4">
        <v>3</v>
      </c>
      <c r="C28" s="5">
        <v>84.461111111111109</v>
      </c>
      <c r="D28" s="5">
        <v>340.79583333333335</v>
      </c>
      <c r="E28" s="5">
        <v>97.822499999999991</v>
      </c>
      <c r="F28" s="5">
        <v>340.79583333333335</v>
      </c>
      <c r="G28" s="5">
        <v>197.58222222222221</v>
      </c>
      <c r="H28" s="5">
        <v>26.755555555555556</v>
      </c>
      <c r="K28" s="2"/>
      <c r="M28" s="2"/>
    </row>
    <row r="29" spans="1:13" ht="15.75" x14ac:dyDescent="0.25">
      <c r="A29" s="8">
        <v>1448</v>
      </c>
      <c r="B29" s="4">
        <v>7</v>
      </c>
      <c r="C29" s="5">
        <v>73.380277777777778</v>
      </c>
      <c r="D29" s="5">
        <v>329.69722222222225</v>
      </c>
      <c r="E29" s="5">
        <v>82.266944444444448</v>
      </c>
      <c r="F29" s="5">
        <v>329.69722222222225</v>
      </c>
      <c r="G29" s="5">
        <v>142.58833333333334</v>
      </c>
      <c r="H29" s="5">
        <v>45.501666666666665</v>
      </c>
      <c r="K29" s="2"/>
      <c r="M29" s="2"/>
    </row>
    <row r="30" spans="1:13" ht="15.75" x14ac:dyDescent="0.25">
      <c r="A30" s="8">
        <v>1449</v>
      </c>
      <c r="B30" s="4">
        <v>4</v>
      </c>
      <c r="C30" s="5">
        <v>62.29944444444444</v>
      </c>
      <c r="D30" s="5">
        <v>318.59888888888889</v>
      </c>
      <c r="E30" s="5">
        <v>66.711666666666673</v>
      </c>
      <c r="F30" s="5">
        <v>318.59888888888889</v>
      </c>
      <c r="G30" s="5">
        <v>87.594444444444434</v>
      </c>
      <c r="H30" s="5">
        <v>64.247777777777785</v>
      </c>
      <c r="K30" s="2"/>
      <c r="M30" s="2"/>
    </row>
    <row r="31" spans="1:13" ht="15.75" x14ac:dyDescent="0.25">
      <c r="A31" s="8">
        <v>1450</v>
      </c>
      <c r="B31" s="4">
        <v>2</v>
      </c>
      <c r="C31" s="5">
        <v>52.204166666666673</v>
      </c>
      <c r="D31" s="5">
        <v>308.48583333333335</v>
      </c>
      <c r="E31" s="5">
        <v>64.332499999999996</v>
      </c>
      <c r="F31" s="5">
        <v>308.48583333333335</v>
      </c>
      <c r="G31" s="5">
        <v>45.665277777777774</v>
      </c>
      <c r="H31" s="5">
        <v>83.046666666666667</v>
      </c>
      <c r="K31" s="2"/>
      <c r="M31" s="2"/>
    </row>
    <row r="32" spans="1:13" ht="15.75" x14ac:dyDescent="0.25">
      <c r="A32" s="8">
        <v>1451</v>
      </c>
      <c r="B32" s="4">
        <v>6</v>
      </c>
      <c r="C32" s="5">
        <v>41.123333333333335</v>
      </c>
      <c r="D32" s="5">
        <v>297.2208333333333</v>
      </c>
      <c r="E32" s="5">
        <v>48.776944444444446</v>
      </c>
      <c r="F32" s="5">
        <v>297.2208333333333</v>
      </c>
      <c r="G32" s="5">
        <v>350.67138888888888</v>
      </c>
      <c r="H32" s="5">
        <v>101.79277777777777</v>
      </c>
      <c r="K32" s="2"/>
      <c r="M32" s="2"/>
    </row>
    <row r="33" spans="1:13" ht="15.75" x14ac:dyDescent="0.25">
      <c r="A33" s="8">
        <v>1452</v>
      </c>
      <c r="B33" s="4">
        <v>3</v>
      </c>
      <c r="C33" s="5">
        <v>30.0425</v>
      </c>
      <c r="D33" s="5">
        <v>286.28888888888889</v>
      </c>
      <c r="E33" s="5">
        <v>33.221388888888889</v>
      </c>
      <c r="F33" s="5">
        <v>286.28888888888889</v>
      </c>
      <c r="G33" s="5">
        <v>295.67750000000001</v>
      </c>
      <c r="H33" s="5">
        <v>120.53888888888889</v>
      </c>
      <c r="K33" s="2"/>
      <c r="M33" s="2"/>
    </row>
    <row r="34" spans="1:13" ht="15.75" x14ac:dyDescent="0.25">
      <c r="A34" s="8">
        <v>1453</v>
      </c>
      <c r="B34" s="4">
        <v>1</v>
      </c>
      <c r="C34" s="5">
        <v>19.947222222222223</v>
      </c>
      <c r="D34" s="5">
        <v>276.17611111111114</v>
      </c>
      <c r="E34" s="5">
        <v>30.842222222222222</v>
      </c>
      <c r="F34" s="5">
        <v>276.17611111111114</v>
      </c>
      <c r="G34" s="5">
        <v>253.7486111111111</v>
      </c>
      <c r="H34" s="5">
        <v>139.33805555555557</v>
      </c>
      <c r="K34" s="2"/>
      <c r="M34" s="2"/>
    </row>
    <row r="35" spans="1:13" ht="15.75" x14ac:dyDescent="0.25">
      <c r="A35" s="8">
        <v>1454</v>
      </c>
      <c r="B35" s="4">
        <v>5</v>
      </c>
      <c r="C35" s="5">
        <v>8.8663888888888884</v>
      </c>
      <c r="D35" s="5">
        <v>265.07749999999999</v>
      </c>
      <c r="E35" s="5">
        <v>15.286666666666667</v>
      </c>
      <c r="F35" s="5">
        <v>265.07749999999999</v>
      </c>
      <c r="G35" s="5">
        <v>198.75444444444443</v>
      </c>
      <c r="H35" s="5">
        <v>158.08416666666668</v>
      </c>
      <c r="K35" s="2"/>
      <c r="M35" s="2"/>
    </row>
    <row r="36" spans="1:13" ht="15.75" x14ac:dyDescent="0.25">
      <c r="A36" s="8">
        <v>1455</v>
      </c>
      <c r="B36" s="4">
        <v>3</v>
      </c>
      <c r="C36" s="5">
        <v>358.77111111111111</v>
      </c>
      <c r="D36" s="5">
        <v>254.96444444444444</v>
      </c>
      <c r="E36" s="5">
        <v>12.907777777777778</v>
      </c>
      <c r="F36" s="5">
        <v>254.96444444444444</v>
      </c>
      <c r="G36" s="5">
        <v>156.82555555555555</v>
      </c>
      <c r="H36" s="5">
        <v>176.71638888888887</v>
      </c>
      <c r="K36" s="2"/>
      <c r="M36" s="2"/>
    </row>
    <row r="37" spans="1:13" ht="15.75" x14ac:dyDescent="0.25">
      <c r="A37" s="8">
        <v>1456</v>
      </c>
      <c r="B37" s="4">
        <v>7</v>
      </c>
      <c r="C37" s="5">
        <v>347.69027777777779</v>
      </c>
      <c r="D37" s="5">
        <v>243.86611111111111</v>
      </c>
      <c r="E37" s="5">
        <v>357.35222222222222</v>
      </c>
      <c r="F37" s="5">
        <v>243.86611111111111</v>
      </c>
      <c r="G37" s="5">
        <v>101.83166666666666</v>
      </c>
      <c r="H37" s="5">
        <v>195.62916666666666</v>
      </c>
      <c r="K37" s="2"/>
      <c r="M37" s="2"/>
    </row>
    <row r="38" spans="1:13" ht="15.75" x14ac:dyDescent="0.25">
      <c r="A38" s="8">
        <v>1457</v>
      </c>
      <c r="B38" s="4">
        <v>4</v>
      </c>
      <c r="C38" s="5">
        <v>336.59277777777777</v>
      </c>
      <c r="D38" s="5">
        <v>232.76750000000001</v>
      </c>
      <c r="E38" s="5">
        <v>341.79666666666668</v>
      </c>
      <c r="F38" s="5">
        <v>232.76750000000001</v>
      </c>
      <c r="G38" s="5">
        <v>46.837500000000006</v>
      </c>
      <c r="H38" s="5">
        <v>214.3752777777778</v>
      </c>
      <c r="K38" s="2"/>
      <c r="M38" s="2"/>
    </row>
    <row r="39" spans="1:13" ht="15.75" x14ac:dyDescent="0.25">
      <c r="A39" s="8">
        <v>1458</v>
      </c>
      <c r="B39" s="4">
        <v>2</v>
      </c>
      <c r="C39" s="5">
        <v>326.51416666666665</v>
      </c>
      <c r="D39" s="5">
        <v>222.65472222222223</v>
      </c>
      <c r="E39" s="5">
        <v>339.41750000000002</v>
      </c>
      <c r="F39" s="5">
        <v>222.65472222222223</v>
      </c>
      <c r="G39" s="5">
        <v>4.908611111111111</v>
      </c>
      <c r="H39" s="5">
        <v>233.17444444444445</v>
      </c>
      <c r="K39" s="2"/>
      <c r="M39" s="2"/>
    </row>
    <row r="40" spans="1:13" ht="15.75" x14ac:dyDescent="0.25">
      <c r="A40" s="8">
        <v>1459</v>
      </c>
      <c r="B40" s="4">
        <v>6</v>
      </c>
      <c r="C40" s="5">
        <v>315.43333333333334</v>
      </c>
      <c r="D40" s="5">
        <v>211.55611111111114</v>
      </c>
      <c r="E40" s="5">
        <v>323.86194444444448</v>
      </c>
      <c r="F40" s="5">
        <v>211.55611111111114</v>
      </c>
      <c r="G40" s="5">
        <v>309.91499999999996</v>
      </c>
      <c r="H40" s="5">
        <v>251.92055555555555</v>
      </c>
      <c r="K40" s="2"/>
      <c r="M40" s="2"/>
    </row>
    <row r="41" spans="1:13" ht="15.75" x14ac:dyDescent="0.25">
      <c r="A41" s="8">
        <v>1460</v>
      </c>
      <c r="B41" s="4">
        <v>3</v>
      </c>
      <c r="C41" s="5">
        <v>304.35250000000002</v>
      </c>
      <c r="D41" s="5">
        <v>200.45777777777778</v>
      </c>
      <c r="E41" s="5">
        <v>308.30638888888888</v>
      </c>
      <c r="F41" s="5">
        <v>200.45777777777778</v>
      </c>
      <c r="G41" s="5">
        <v>254.92083333333332</v>
      </c>
      <c r="H41" s="5">
        <v>270.66666666666669</v>
      </c>
      <c r="K41" s="2"/>
      <c r="M41" s="2"/>
    </row>
    <row r="42" spans="1:13" ht="15.75" x14ac:dyDescent="0.25">
      <c r="A42" s="8">
        <v>1461</v>
      </c>
      <c r="B42" s="4">
        <v>1</v>
      </c>
      <c r="C42" s="5">
        <v>294.2572222222222</v>
      </c>
      <c r="D42" s="5">
        <v>190.34472222222223</v>
      </c>
      <c r="E42" s="5">
        <v>305.92750000000001</v>
      </c>
      <c r="F42" s="5">
        <v>190.34472222222223</v>
      </c>
      <c r="G42" s="5">
        <v>212.99166666666665</v>
      </c>
      <c r="H42" s="5">
        <v>289.46583333333331</v>
      </c>
      <c r="K42" s="2"/>
      <c r="M42" s="2"/>
    </row>
    <row r="43" spans="1:13" ht="15.75" x14ac:dyDescent="0.25">
      <c r="A43" s="8">
        <v>1462</v>
      </c>
      <c r="B43" s="4">
        <v>5</v>
      </c>
      <c r="C43" s="5">
        <v>283.17638888888888</v>
      </c>
      <c r="D43" s="5">
        <v>179.24638888888887</v>
      </c>
      <c r="E43" s="5">
        <v>290.37194444444447</v>
      </c>
      <c r="F43" s="5">
        <v>179.24638888888887</v>
      </c>
      <c r="G43" s="5">
        <v>157.99777777777777</v>
      </c>
      <c r="H43" s="5">
        <v>308.21194444444444</v>
      </c>
      <c r="K43" s="2"/>
      <c r="M43" s="2"/>
    </row>
    <row r="44" spans="1:13" ht="15.75" x14ac:dyDescent="0.25">
      <c r="A44" s="8">
        <v>1463</v>
      </c>
      <c r="B44" s="4">
        <v>2</v>
      </c>
      <c r="C44" s="5">
        <v>272.09555555555556</v>
      </c>
      <c r="D44" s="5">
        <v>168.14777777777778</v>
      </c>
      <c r="E44" s="5">
        <v>274.81638888888892</v>
      </c>
      <c r="F44" s="5">
        <v>168.14777777777778</v>
      </c>
      <c r="G44" s="5">
        <v>103.00388888888889</v>
      </c>
      <c r="H44" s="5">
        <v>326.95805555555552</v>
      </c>
      <c r="K44" s="2"/>
      <c r="M44" s="2"/>
    </row>
    <row r="45" spans="1:13" ht="15.75" x14ac:dyDescent="0.25">
      <c r="A45" s="8">
        <v>1464</v>
      </c>
      <c r="B45" s="4">
        <v>7</v>
      </c>
      <c r="C45" s="5">
        <v>262.0002777777778</v>
      </c>
      <c r="D45" s="5">
        <v>158.03472222222223</v>
      </c>
      <c r="E45" s="5">
        <v>272.4372222222222</v>
      </c>
      <c r="F45" s="5">
        <v>158.03472222222223</v>
      </c>
      <c r="G45" s="5">
        <v>61.074722222222228</v>
      </c>
      <c r="H45" s="5">
        <v>345.75694444444446</v>
      </c>
      <c r="K45" s="2"/>
      <c r="M45" s="2"/>
    </row>
    <row r="46" spans="1:13" ht="15.75" x14ac:dyDescent="0.25">
      <c r="A46" s="8">
        <v>1465</v>
      </c>
      <c r="B46" s="4">
        <v>4</v>
      </c>
      <c r="C46" s="5">
        <v>250.91944444444442</v>
      </c>
      <c r="D46" s="5">
        <v>146.9363888888889</v>
      </c>
      <c r="E46" s="5">
        <v>256.88166666666666</v>
      </c>
      <c r="F46" s="5">
        <v>146.9363888888889</v>
      </c>
      <c r="G46" s="5">
        <v>6.0808333333333335</v>
      </c>
      <c r="H46" s="5">
        <v>4.5030555555555551</v>
      </c>
      <c r="K46" s="2"/>
      <c r="M46" s="2"/>
    </row>
    <row r="47" spans="1:13" ht="15.75" x14ac:dyDescent="0.25">
      <c r="A47" s="8">
        <v>1466</v>
      </c>
      <c r="B47" s="4">
        <v>2</v>
      </c>
      <c r="C47" s="5">
        <v>240.82416666666666</v>
      </c>
      <c r="D47" s="5">
        <v>136.82333333333332</v>
      </c>
      <c r="E47" s="5">
        <v>254.50277777777777</v>
      </c>
      <c r="F47" s="5">
        <v>136.82333333333332</v>
      </c>
      <c r="G47" s="5">
        <v>324.15194444444444</v>
      </c>
      <c r="H47" s="5">
        <v>23.302222222222223</v>
      </c>
      <c r="K47" s="2"/>
      <c r="M47" s="2"/>
    </row>
    <row r="48" spans="1:13" ht="15.75" x14ac:dyDescent="0.25">
      <c r="A48" s="8">
        <v>1467</v>
      </c>
      <c r="B48" s="4">
        <v>6</v>
      </c>
      <c r="C48" s="5">
        <v>229.74333333333331</v>
      </c>
      <c r="D48" s="5">
        <v>125.72472222222223</v>
      </c>
      <c r="E48" s="5">
        <v>238.94722222222222</v>
      </c>
      <c r="F48" s="5">
        <v>125.72472222222223</v>
      </c>
      <c r="G48" s="5">
        <v>269.15805555555551</v>
      </c>
      <c r="H48" s="5">
        <v>42.048333333333332</v>
      </c>
      <c r="K48" s="2"/>
      <c r="M48" s="2"/>
    </row>
    <row r="49" spans="1:13" ht="15.75" x14ac:dyDescent="0.25">
      <c r="A49" s="8">
        <v>1468</v>
      </c>
      <c r="B49" s="4">
        <v>3</v>
      </c>
      <c r="C49" s="5">
        <v>218.66249999999999</v>
      </c>
      <c r="D49" s="5">
        <v>114.62638888888888</v>
      </c>
      <c r="E49" s="5">
        <v>223.39166666666665</v>
      </c>
      <c r="F49" s="5">
        <v>114.62638888888888</v>
      </c>
      <c r="G49" s="5">
        <v>214.16388888888889</v>
      </c>
      <c r="H49" s="5">
        <v>60.794444444444444</v>
      </c>
      <c r="K49" s="2"/>
      <c r="M49" s="2"/>
    </row>
    <row r="50" spans="1:13" ht="15.75" x14ac:dyDescent="0.25">
      <c r="A50" s="8">
        <v>1469</v>
      </c>
      <c r="B50" s="4">
        <v>1</v>
      </c>
      <c r="C50" s="5">
        <v>208.56722222222223</v>
      </c>
      <c r="D50" s="5">
        <v>104.51361111111112</v>
      </c>
      <c r="E50" s="5">
        <v>221.01249999999999</v>
      </c>
      <c r="F50" s="5">
        <v>104.51361111111112</v>
      </c>
      <c r="G50" s="5">
        <v>172.23499999999999</v>
      </c>
      <c r="H50" s="5">
        <v>79.593333333333334</v>
      </c>
      <c r="K50" s="2"/>
      <c r="M50" s="2"/>
    </row>
    <row r="51" spans="1:13" ht="15.75" x14ac:dyDescent="0.25">
      <c r="A51" s="8">
        <v>1470</v>
      </c>
      <c r="B51" s="4">
        <v>5</v>
      </c>
      <c r="C51" s="5">
        <v>197.48638888888888</v>
      </c>
      <c r="D51" s="5">
        <v>93.415000000000006</v>
      </c>
      <c r="E51" s="5">
        <v>205.45694444444445</v>
      </c>
      <c r="F51" s="5">
        <v>93.415000000000006</v>
      </c>
      <c r="G51" s="5">
        <v>117.24111111111111</v>
      </c>
      <c r="H51" s="5">
        <v>98.339444444444439</v>
      </c>
      <c r="K51" s="2"/>
      <c r="M51" s="2"/>
    </row>
    <row r="52" spans="1:13" ht="15.75" x14ac:dyDescent="0.25">
      <c r="A52" s="8">
        <v>1471</v>
      </c>
      <c r="B52" s="4">
        <v>2</v>
      </c>
      <c r="C52" s="5">
        <v>186.40555555555557</v>
      </c>
      <c r="D52" s="5">
        <v>82.316388888888881</v>
      </c>
      <c r="E52" s="5">
        <v>189.9013888888889</v>
      </c>
      <c r="F52" s="5">
        <v>82.316388888888881</v>
      </c>
      <c r="G52" s="5">
        <v>62.24722222222222</v>
      </c>
      <c r="H52" s="5">
        <v>117.08555555555554</v>
      </c>
      <c r="K52" s="2"/>
      <c r="M52" s="2"/>
    </row>
    <row r="53" spans="1:13" ht="15.75" x14ac:dyDescent="0.25">
      <c r="A53" s="8">
        <v>1472</v>
      </c>
      <c r="B53" s="4">
        <v>7</v>
      </c>
      <c r="C53" s="5">
        <v>176.3102777777778</v>
      </c>
      <c r="D53" s="5">
        <v>72.203611111111115</v>
      </c>
      <c r="E53" s="5">
        <v>187.52222222222224</v>
      </c>
      <c r="F53" s="5">
        <v>72.203611111111115</v>
      </c>
      <c r="G53" s="5">
        <v>20.318055555555556</v>
      </c>
      <c r="H53" s="5">
        <v>135.88472222222222</v>
      </c>
      <c r="K53" s="2"/>
      <c r="M53" s="2"/>
    </row>
    <row r="54" spans="1:13" ht="15.75" x14ac:dyDescent="0.25">
      <c r="A54" s="8">
        <v>1473</v>
      </c>
      <c r="B54" s="4">
        <v>4</v>
      </c>
      <c r="C54" s="5">
        <v>165.22944444444445</v>
      </c>
      <c r="D54" s="5">
        <v>61.105000000000004</v>
      </c>
      <c r="E54" s="5">
        <v>171.96694444444444</v>
      </c>
      <c r="F54" s="5">
        <v>61.105000000000004</v>
      </c>
      <c r="G54" s="5">
        <v>325.32416666666666</v>
      </c>
      <c r="H54" s="5">
        <v>154.63083333333333</v>
      </c>
      <c r="K54" s="2"/>
      <c r="M54" s="2"/>
    </row>
    <row r="55" spans="1:13" ht="15.75" x14ac:dyDescent="0.25">
      <c r="A55" s="8">
        <v>1474</v>
      </c>
      <c r="B55" s="4">
        <v>1</v>
      </c>
      <c r="C55" s="5">
        <v>154.14861111111111</v>
      </c>
      <c r="D55" s="5">
        <v>50.006666666666668</v>
      </c>
      <c r="E55" s="5">
        <v>156.41138888888889</v>
      </c>
      <c r="F55" s="5">
        <v>50.006666666666668</v>
      </c>
      <c r="G55" s="5">
        <v>270.33027777777778</v>
      </c>
      <c r="H55" s="5">
        <v>173.37694444444446</v>
      </c>
      <c r="K55" s="2"/>
      <c r="M55" s="2"/>
    </row>
    <row r="56" spans="1:13" ht="15.75" x14ac:dyDescent="0.25">
      <c r="A56" s="8">
        <v>1475</v>
      </c>
      <c r="B56" s="4">
        <v>6</v>
      </c>
      <c r="C56" s="5">
        <v>144.05333333333334</v>
      </c>
      <c r="D56" s="5">
        <v>39.893611111111113</v>
      </c>
      <c r="E56" s="5">
        <v>154.03222222222223</v>
      </c>
      <c r="F56" s="5">
        <v>39.893611111111113</v>
      </c>
      <c r="G56" s="5">
        <v>228.4013888888889</v>
      </c>
      <c r="H56" s="5">
        <v>192.17583333333332</v>
      </c>
      <c r="K56" s="2"/>
      <c r="M56" s="2"/>
    </row>
    <row r="57" spans="1:13" ht="15.75" x14ac:dyDescent="0.25">
      <c r="A57" s="8">
        <v>1476</v>
      </c>
      <c r="B57" s="4">
        <v>3</v>
      </c>
      <c r="C57" s="5">
        <v>132.9725</v>
      </c>
      <c r="D57" s="5">
        <v>28.795000000000002</v>
      </c>
      <c r="E57" s="5">
        <v>138.47666666666666</v>
      </c>
      <c r="F57" s="5">
        <v>28.795000000000002</v>
      </c>
      <c r="G57" s="5">
        <v>173.40722222222223</v>
      </c>
      <c r="H57" s="5">
        <v>210.92194444444445</v>
      </c>
      <c r="K57" s="2"/>
      <c r="M57" s="2"/>
    </row>
    <row r="58" spans="1:13" ht="15.75" x14ac:dyDescent="0.25">
      <c r="A58" s="8">
        <v>1477</v>
      </c>
      <c r="B58" s="4">
        <v>1</v>
      </c>
      <c r="C58" s="5">
        <v>122.87722222222222</v>
      </c>
      <c r="D58" s="5">
        <v>18.682222222222222</v>
      </c>
      <c r="E58" s="5">
        <v>136.0975</v>
      </c>
      <c r="F58" s="5">
        <v>18.682222222222222</v>
      </c>
      <c r="G58" s="5">
        <v>131.47833333333332</v>
      </c>
      <c r="H58" s="5">
        <v>229.7211111111111</v>
      </c>
      <c r="K58" s="2"/>
      <c r="M58" s="2"/>
    </row>
    <row r="59" spans="1:13" ht="15.75" x14ac:dyDescent="0.25">
      <c r="A59" s="8">
        <v>1478</v>
      </c>
      <c r="B59" s="4">
        <v>5</v>
      </c>
      <c r="C59" s="5">
        <v>111.79638888888888</v>
      </c>
      <c r="D59" s="5">
        <v>7.5836111111111109</v>
      </c>
      <c r="E59" s="5">
        <v>120.54194444444444</v>
      </c>
      <c r="F59" s="5">
        <v>7.5836111111111109</v>
      </c>
      <c r="G59" s="5">
        <v>76.484444444444449</v>
      </c>
      <c r="H59" s="5">
        <v>248.46722222222223</v>
      </c>
      <c r="K59" s="2"/>
      <c r="M59" s="2"/>
    </row>
    <row r="60" spans="1:13" ht="15.75" x14ac:dyDescent="0.25">
      <c r="A60" s="8">
        <v>1479</v>
      </c>
      <c r="B60" s="4">
        <v>2</v>
      </c>
      <c r="C60" s="5">
        <v>100.71555555555555</v>
      </c>
      <c r="D60" s="5">
        <v>356.48527777777781</v>
      </c>
      <c r="E60" s="5">
        <v>104.98666666666666</v>
      </c>
      <c r="F60" s="5">
        <v>356.48527777777781</v>
      </c>
      <c r="G60" s="5">
        <v>21.490555555555556</v>
      </c>
      <c r="H60" s="5">
        <v>267.21333333333331</v>
      </c>
      <c r="K60" s="2"/>
      <c r="M60" s="2"/>
    </row>
    <row r="61" spans="1:13" ht="15.75" x14ac:dyDescent="0.25">
      <c r="A61" s="8">
        <v>1480</v>
      </c>
      <c r="B61" s="4">
        <v>7</v>
      </c>
      <c r="C61" s="5">
        <v>90.620277777777773</v>
      </c>
      <c r="D61" s="5">
        <v>346.37222222222221</v>
      </c>
      <c r="E61" s="5">
        <v>102.60749999999999</v>
      </c>
      <c r="F61" s="5">
        <v>346.37222222222221</v>
      </c>
      <c r="G61" s="5">
        <v>339.56138888888893</v>
      </c>
      <c r="H61" s="5">
        <v>286.01222222222225</v>
      </c>
      <c r="K61" s="2"/>
      <c r="M61" s="2"/>
    </row>
    <row r="62" spans="1:13" ht="15.75" x14ac:dyDescent="0.25">
      <c r="A62" s="8">
        <v>1481</v>
      </c>
      <c r="B62" s="4">
        <v>4</v>
      </c>
      <c r="C62" s="5">
        <v>79.539444444444442</v>
      </c>
      <c r="D62" s="5">
        <v>335.27388888888885</v>
      </c>
      <c r="E62" s="5">
        <v>87.051944444444445</v>
      </c>
      <c r="F62" s="5">
        <v>335.27388888888885</v>
      </c>
      <c r="G62" s="5">
        <v>284.5675</v>
      </c>
      <c r="H62" s="5">
        <v>304.75833333333333</v>
      </c>
      <c r="K62" s="2"/>
      <c r="M62" s="2"/>
    </row>
    <row r="63" spans="1:13" ht="15.75" x14ac:dyDescent="0.25">
      <c r="A63" s="8">
        <v>1482</v>
      </c>
      <c r="B63" s="4">
        <v>1</v>
      </c>
      <c r="C63" s="5">
        <v>68.458611111111111</v>
      </c>
      <c r="D63" s="5">
        <v>324.17527777777781</v>
      </c>
      <c r="E63" s="5">
        <v>71.496388888888887</v>
      </c>
      <c r="F63" s="5">
        <v>324.17527777777781</v>
      </c>
      <c r="G63" s="5">
        <v>229.57361111111112</v>
      </c>
      <c r="H63" s="5">
        <v>323.50444444444446</v>
      </c>
      <c r="K63" s="2"/>
      <c r="M63" s="2"/>
    </row>
    <row r="64" spans="1:13" ht="15.75" x14ac:dyDescent="0.25">
      <c r="A64" s="8">
        <v>1483</v>
      </c>
      <c r="B64" s="4">
        <v>6</v>
      </c>
      <c r="C64" s="5">
        <v>58.363333333333337</v>
      </c>
      <c r="D64" s="5">
        <v>314.0625</v>
      </c>
      <c r="E64" s="5">
        <v>69.11722222222221</v>
      </c>
      <c r="F64" s="5">
        <v>314.0625</v>
      </c>
      <c r="G64" s="5">
        <v>187.64472222222221</v>
      </c>
      <c r="H64" s="5">
        <v>342.30361111111114</v>
      </c>
      <c r="K64" s="2"/>
      <c r="M64" s="2"/>
    </row>
    <row r="65" spans="1:13" ht="15.75" x14ac:dyDescent="0.25">
      <c r="A65" s="8">
        <v>1484</v>
      </c>
      <c r="B65" s="4">
        <v>3</v>
      </c>
      <c r="C65" s="5">
        <v>47.282499999999999</v>
      </c>
      <c r="D65" s="5">
        <v>302.9638888888889</v>
      </c>
      <c r="E65" s="5">
        <v>53.56166666666666</v>
      </c>
      <c r="F65" s="5">
        <v>302.9638888888889</v>
      </c>
      <c r="G65" s="5">
        <v>132.65055555555557</v>
      </c>
      <c r="H65" s="5">
        <v>1.0497222222222222</v>
      </c>
      <c r="K65" s="2"/>
      <c r="M65" s="2"/>
    </row>
    <row r="66" spans="1:13" ht="15.75" x14ac:dyDescent="0.25">
      <c r="A66" s="8">
        <v>1485</v>
      </c>
      <c r="B66" s="4">
        <v>1</v>
      </c>
      <c r="C66" s="5">
        <v>37.187222222222218</v>
      </c>
      <c r="D66" s="5">
        <v>292.85083333333336</v>
      </c>
      <c r="E66" s="5">
        <v>51.182777777777773</v>
      </c>
      <c r="F66" s="5">
        <v>292.85083333333336</v>
      </c>
      <c r="G66" s="5">
        <v>90.721666666666664</v>
      </c>
      <c r="H66" s="5">
        <v>19.681944444444447</v>
      </c>
      <c r="K66" s="2"/>
      <c r="M66" s="2"/>
    </row>
    <row r="67" spans="1:13" ht="15.75" x14ac:dyDescent="0.25">
      <c r="A67" s="8">
        <v>1486</v>
      </c>
      <c r="B67" s="4">
        <v>5</v>
      </c>
      <c r="C67" s="5">
        <v>26.10638888888889</v>
      </c>
      <c r="D67" s="5">
        <v>281.7525</v>
      </c>
      <c r="E67" s="5">
        <v>35.627222222222223</v>
      </c>
      <c r="F67" s="5">
        <v>281.7525</v>
      </c>
      <c r="G67" s="5">
        <v>35.727777777777781</v>
      </c>
      <c r="H67" s="5">
        <v>38.594722222222224</v>
      </c>
      <c r="K67" s="2"/>
      <c r="M67" s="2"/>
    </row>
    <row r="68" spans="1:13" ht="15.75" x14ac:dyDescent="0.25">
      <c r="A68" s="8">
        <v>1487</v>
      </c>
      <c r="B68" s="4">
        <v>2</v>
      </c>
      <c r="C68" s="5">
        <v>15.025555555555556</v>
      </c>
      <c r="D68" s="5">
        <v>270.65388888888884</v>
      </c>
      <c r="E68" s="5">
        <v>20.071666666666665</v>
      </c>
      <c r="F68" s="5">
        <v>270.65388888888884</v>
      </c>
      <c r="G68" s="5">
        <v>340.73361111111114</v>
      </c>
      <c r="H68" s="5">
        <v>57.340833333333336</v>
      </c>
      <c r="K68" s="2"/>
      <c r="M68" s="2"/>
    </row>
    <row r="69" spans="1:13" ht="15.75" x14ac:dyDescent="0.25">
      <c r="A69" s="8">
        <v>1488</v>
      </c>
      <c r="B69" s="4">
        <v>7</v>
      </c>
      <c r="C69" s="5">
        <v>4.9302777777777784</v>
      </c>
      <c r="D69" s="5">
        <v>260.54111111111115</v>
      </c>
      <c r="E69" s="5">
        <v>17.692499999999999</v>
      </c>
      <c r="F69" s="5">
        <v>260.54111111111115</v>
      </c>
      <c r="G69" s="5">
        <v>298.80472222222221</v>
      </c>
      <c r="H69" s="5">
        <v>76.14</v>
      </c>
      <c r="K69" s="2"/>
      <c r="M69" s="2"/>
    </row>
    <row r="70" spans="1:13" ht="15.75" x14ac:dyDescent="0.25">
      <c r="A70" s="8">
        <v>1489</v>
      </c>
      <c r="B70" s="4">
        <v>4</v>
      </c>
      <c r="C70" s="5">
        <v>353.84944444444443</v>
      </c>
      <c r="D70" s="5">
        <v>249.4425</v>
      </c>
      <c r="E70" s="5">
        <v>2.1369444444444445</v>
      </c>
      <c r="F70" s="5">
        <v>249.4425</v>
      </c>
      <c r="G70" s="5">
        <v>243.81083333333333</v>
      </c>
      <c r="H70" s="5">
        <v>94.88611111111112</v>
      </c>
      <c r="K70" s="2"/>
      <c r="M70" s="2"/>
    </row>
    <row r="71" spans="1:13" ht="15.75" x14ac:dyDescent="0.25">
      <c r="A71" s="8">
        <v>1490</v>
      </c>
      <c r="B71" s="4">
        <v>1</v>
      </c>
      <c r="C71" s="5">
        <v>342.76861111111111</v>
      </c>
      <c r="D71" s="5">
        <v>238.34416666666667</v>
      </c>
      <c r="E71" s="5">
        <v>346.58138888888891</v>
      </c>
      <c r="F71" s="5">
        <v>238.34416666666667</v>
      </c>
      <c r="G71" s="5">
        <v>188.81694444444443</v>
      </c>
      <c r="H71" s="5">
        <v>113.63222222222221</v>
      </c>
      <c r="K71" s="2"/>
      <c r="M71" s="2"/>
    </row>
    <row r="72" spans="1:13" ht="15.75" x14ac:dyDescent="0.25">
      <c r="A72" s="8">
        <v>1491</v>
      </c>
      <c r="B72" s="4">
        <v>6</v>
      </c>
      <c r="C72" s="5">
        <v>332.67611111111114</v>
      </c>
      <c r="D72" s="5">
        <v>228.23111111111112</v>
      </c>
      <c r="E72" s="5">
        <v>344.20249999999999</v>
      </c>
      <c r="F72" s="5">
        <v>228.23111111111112</v>
      </c>
      <c r="G72" s="5">
        <v>146.88777777777776</v>
      </c>
      <c r="H72" s="5">
        <v>132.43138888888888</v>
      </c>
      <c r="K72" s="2"/>
      <c r="M72" s="2"/>
    </row>
    <row r="73" spans="1:13" ht="15.75" x14ac:dyDescent="0.25">
      <c r="A73" s="8">
        <v>1492</v>
      </c>
      <c r="B73" s="4">
        <v>3</v>
      </c>
      <c r="C73" s="5">
        <v>321.59249999999997</v>
      </c>
      <c r="D73" s="5">
        <v>217.13277777777779</v>
      </c>
      <c r="E73" s="5">
        <v>328.64694444444444</v>
      </c>
      <c r="F73" s="5">
        <v>217.13277777777779</v>
      </c>
      <c r="G73" s="5">
        <v>91.893888888888895</v>
      </c>
      <c r="H73" s="5">
        <v>151.17749999999998</v>
      </c>
      <c r="K73" s="2"/>
      <c r="M73" s="2"/>
    </row>
    <row r="74" spans="1:13" ht="15.75" x14ac:dyDescent="0.25">
      <c r="A74" s="8">
        <v>1493</v>
      </c>
      <c r="B74" s="4">
        <v>7</v>
      </c>
      <c r="C74" s="5">
        <v>310.51166666666666</v>
      </c>
      <c r="D74" s="5">
        <v>206.03416666666666</v>
      </c>
      <c r="E74" s="5">
        <v>313.09138888888884</v>
      </c>
      <c r="F74" s="5">
        <v>206.03416666666666</v>
      </c>
      <c r="G74" s="5">
        <v>36.9</v>
      </c>
      <c r="H74" s="5">
        <v>169.92361111111111</v>
      </c>
      <c r="K74" s="2"/>
      <c r="M74" s="2"/>
    </row>
    <row r="75" spans="1:13" ht="15.75" x14ac:dyDescent="0.25">
      <c r="A75" s="8">
        <v>1494</v>
      </c>
      <c r="B75" s="4">
        <v>5</v>
      </c>
      <c r="C75" s="5">
        <v>300.41638888888889</v>
      </c>
      <c r="D75" s="5">
        <v>195.92111111111109</v>
      </c>
      <c r="E75" s="5">
        <v>310.71222222222224</v>
      </c>
      <c r="F75" s="5">
        <v>195.92111111111109</v>
      </c>
      <c r="G75" s="5">
        <v>354.9708333333333</v>
      </c>
      <c r="H75" s="5">
        <v>188.7225</v>
      </c>
      <c r="K75" s="2"/>
      <c r="M75" s="2"/>
    </row>
    <row r="76" spans="1:13" ht="15.75" x14ac:dyDescent="0.25">
      <c r="A76" s="8">
        <v>1495</v>
      </c>
      <c r="B76" s="4">
        <v>3</v>
      </c>
      <c r="C76" s="5">
        <v>289.33555555555552</v>
      </c>
      <c r="D76" s="5">
        <v>184.82277777777779</v>
      </c>
      <c r="E76" s="5">
        <v>295.15666666666664</v>
      </c>
      <c r="F76" s="5">
        <v>184.82277777777779</v>
      </c>
      <c r="G76" s="5">
        <v>299.97694444444443</v>
      </c>
      <c r="H76" s="5">
        <v>207.4686111111111</v>
      </c>
      <c r="K76" s="2"/>
      <c r="M76" s="2"/>
    </row>
    <row r="77" spans="1:13" ht="15.75" x14ac:dyDescent="0.25">
      <c r="A77" s="8">
        <v>1496</v>
      </c>
      <c r="B77" s="4">
        <v>7</v>
      </c>
      <c r="C77" s="5">
        <v>279.24305555555554</v>
      </c>
      <c r="D77" s="5">
        <v>174.70972222222221</v>
      </c>
      <c r="E77" s="5">
        <v>292.77777777777777</v>
      </c>
      <c r="F77" s="5">
        <v>174.70972222222221</v>
      </c>
      <c r="G77" s="5">
        <v>258.04805555555561</v>
      </c>
      <c r="H77" s="5">
        <v>226.26777777777778</v>
      </c>
      <c r="K77" s="2"/>
      <c r="M77" s="2"/>
    </row>
    <row r="78" spans="1:13" ht="15.75" x14ac:dyDescent="0.25">
      <c r="A78" s="8">
        <v>1497</v>
      </c>
      <c r="B78" s="4">
        <v>4</v>
      </c>
      <c r="C78" s="5">
        <v>268.15944444444443</v>
      </c>
      <c r="D78" s="5">
        <v>163.61111111111111</v>
      </c>
      <c r="E78" s="5">
        <v>277.22222222222217</v>
      </c>
      <c r="F78" s="5">
        <v>163.61111111111111</v>
      </c>
      <c r="G78" s="5">
        <v>203.05416666666667</v>
      </c>
      <c r="H78" s="5">
        <v>245.01388888888889</v>
      </c>
      <c r="K78" s="2"/>
      <c r="M78" s="2"/>
    </row>
    <row r="79" spans="1:13" ht="15.75" x14ac:dyDescent="0.25">
      <c r="A79" s="8">
        <v>1498</v>
      </c>
      <c r="B79" s="4">
        <v>1</v>
      </c>
      <c r="C79" s="5">
        <v>257.07861111111112</v>
      </c>
      <c r="D79" s="5">
        <v>152.51277777777779</v>
      </c>
      <c r="E79" s="5">
        <v>261.66666666666669</v>
      </c>
      <c r="F79" s="5">
        <v>152.51277777777779</v>
      </c>
      <c r="G79" s="5">
        <v>148.06</v>
      </c>
      <c r="H79" s="5">
        <v>263.76</v>
      </c>
      <c r="K79" s="2"/>
      <c r="M79" s="2"/>
    </row>
    <row r="80" spans="1:13" ht="15.75" x14ac:dyDescent="0.25">
      <c r="A80" s="8">
        <v>1499</v>
      </c>
      <c r="B80" s="4">
        <v>6</v>
      </c>
      <c r="C80" s="5">
        <v>246.98333333333332</v>
      </c>
      <c r="D80" s="5">
        <v>142.4</v>
      </c>
      <c r="E80" s="5">
        <v>259.28750000000002</v>
      </c>
      <c r="F80" s="5">
        <v>142.4</v>
      </c>
      <c r="G80" s="5">
        <v>206.13111111111112</v>
      </c>
      <c r="H80" s="5">
        <v>282.55888888888887</v>
      </c>
      <c r="K80" s="2"/>
      <c r="M80" s="2"/>
    </row>
    <row r="81" spans="1:13" ht="15.75" x14ac:dyDescent="0.25">
      <c r="A81" s="8">
        <v>1500</v>
      </c>
      <c r="B81" s="4">
        <v>3</v>
      </c>
      <c r="C81" s="5">
        <v>235.9025</v>
      </c>
      <c r="D81" s="5">
        <v>131.30138888888891</v>
      </c>
      <c r="E81" s="5">
        <v>243.73194444444445</v>
      </c>
      <c r="F81" s="5">
        <v>131.30138888888891</v>
      </c>
      <c r="G81" s="5">
        <v>51.137222222222221</v>
      </c>
      <c r="H81" s="5">
        <v>301.30500000000001</v>
      </c>
      <c r="K81" s="2"/>
      <c r="M81" s="2"/>
    </row>
    <row r="82" spans="1:13" ht="15.75" x14ac:dyDescent="0.25">
      <c r="A82" s="8">
        <v>1501</v>
      </c>
      <c r="B82" s="4">
        <v>7</v>
      </c>
      <c r="C82" s="5">
        <v>224.82166666666666</v>
      </c>
      <c r="D82" s="5">
        <v>120.20277777777778</v>
      </c>
      <c r="E82" s="5">
        <v>228.17638888888888</v>
      </c>
      <c r="F82" s="5">
        <v>120.20277777777778</v>
      </c>
      <c r="G82" s="5">
        <v>356.14333333333332</v>
      </c>
      <c r="H82" s="5">
        <v>320.05111111111114</v>
      </c>
      <c r="K82" s="2"/>
      <c r="M82" s="2"/>
    </row>
    <row r="83" spans="1:13" ht="15.75" x14ac:dyDescent="0.25">
      <c r="A83" s="8">
        <v>1502</v>
      </c>
      <c r="B83" s="4">
        <v>5</v>
      </c>
      <c r="C83" s="5">
        <v>214.72638888888889</v>
      </c>
      <c r="D83" s="5">
        <v>110.08999999999999</v>
      </c>
      <c r="E83" s="5">
        <v>225.79722222222222</v>
      </c>
      <c r="F83" s="5">
        <v>110.08999999999999</v>
      </c>
      <c r="G83" s="5">
        <v>314.21416666666664</v>
      </c>
      <c r="H83" s="5">
        <v>338.85027777777782</v>
      </c>
      <c r="K83" s="2"/>
      <c r="M83" s="2"/>
    </row>
    <row r="84" spans="1:13" ht="15.75" x14ac:dyDescent="0.25">
      <c r="A84" s="8">
        <v>1503</v>
      </c>
      <c r="B84" s="4">
        <v>2</v>
      </c>
      <c r="C84" s="5">
        <v>203.64555555555555</v>
      </c>
      <c r="D84" s="5">
        <v>98.991388888888892</v>
      </c>
      <c r="E84" s="5">
        <v>210.24194444444444</v>
      </c>
      <c r="F84" s="5">
        <v>98.991388888888892</v>
      </c>
      <c r="G84" s="5">
        <v>259.22027777777777</v>
      </c>
      <c r="H84" s="5">
        <v>357.5963888888889</v>
      </c>
      <c r="K84" s="2"/>
      <c r="M84" s="2"/>
    </row>
    <row r="85" spans="1:13" ht="15.75" x14ac:dyDescent="0.25">
      <c r="A85" s="8">
        <v>1504</v>
      </c>
      <c r="B85" s="4">
        <v>6</v>
      </c>
      <c r="C85" s="5">
        <v>192.56472222222223</v>
      </c>
      <c r="D85" s="5">
        <v>87.893055555555563</v>
      </c>
      <c r="E85" s="5">
        <v>194.6863888888889</v>
      </c>
      <c r="F85" s="5">
        <v>87.893055555555563</v>
      </c>
      <c r="G85" s="5">
        <v>204.22638888888889</v>
      </c>
      <c r="H85" s="5">
        <v>16.342499999999998</v>
      </c>
      <c r="K85" s="2"/>
      <c r="M85" s="2"/>
    </row>
    <row r="86" spans="1:13" ht="15.75" x14ac:dyDescent="0.25">
      <c r="A86" s="8">
        <v>1505</v>
      </c>
      <c r="B86" s="4">
        <v>4</v>
      </c>
      <c r="C86" s="5">
        <v>182.30277777777778</v>
      </c>
      <c r="D86" s="5">
        <v>77.78</v>
      </c>
      <c r="E86" s="5">
        <v>192.30722222222224</v>
      </c>
      <c r="F86" s="5">
        <v>77.78</v>
      </c>
      <c r="G86" s="5">
        <v>162.29749999999999</v>
      </c>
      <c r="H86" s="5">
        <v>35.141388888888891</v>
      </c>
      <c r="K86" s="2"/>
      <c r="M86" s="2"/>
    </row>
    <row r="87" spans="1:13" ht="15.75" x14ac:dyDescent="0.25">
      <c r="A87" s="8">
        <v>1506</v>
      </c>
      <c r="B87" s="4">
        <v>1</v>
      </c>
      <c r="C87" s="5">
        <v>171.38861111111112</v>
      </c>
      <c r="D87" s="5">
        <v>66.68138888888889</v>
      </c>
      <c r="E87" s="5">
        <v>176.75166666666667</v>
      </c>
      <c r="F87" s="5">
        <v>66.68138888888889</v>
      </c>
      <c r="G87" s="5">
        <v>107.30333333333333</v>
      </c>
      <c r="H87" s="5">
        <v>53.887500000000003</v>
      </c>
      <c r="K87" s="2"/>
      <c r="M87" s="2"/>
    </row>
    <row r="88" spans="1:13" ht="15.75" x14ac:dyDescent="0.25">
      <c r="A88" s="8">
        <v>1507</v>
      </c>
      <c r="B88" s="4">
        <v>6</v>
      </c>
      <c r="C88" s="5">
        <v>161.29333333333332</v>
      </c>
      <c r="D88" s="5">
        <v>56.568611111111117</v>
      </c>
      <c r="E88" s="5">
        <v>174.3725</v>
      </c>
      <c r="F88" s="5">
        <v>56.568611111111117</v>
      </c>
      <c r="G88" s="5">
        <v>65.374444444444435</v>
      </c>
      <c r="H88" s="5">
        <v>72.686666666666667</v>
      </c>
      <c r="K88" s="2"/>
      <c r="M88" s="2"/>
    </row>
    <row r="89" spans="1:13" ht="15.75" x14ac:dyDescent="0.25">
      <c r="A89" s="8">
        <v>1508</v>
      </c>
      <c r="B89" s="4">
        <v>3</v>
      </c>
      <c r="C89" s="5">
        <v>150.21249999999998</v>
      </c>
      <c r="D89" s="5">
        <v>45.47</v>
      </c>
      <c r="E89" s="5">
        <v>158.81694444444443</v>
      </c>
      <c r="F89" s="5">
        <v>45.47</v>
      </c>
      <c r="G89" s="5">
        <v>10.380555555555556</v>
      </c>
      <c r="H89" s="5">
        <v>91.432777777777787</v>
      </c>
      <c r="K89" s="2"/>
      <c r="M89" s="2"/>
    </row>
    <row r="90" spans="1:13" ht="15.75" x14ac:dyDescent="0.25">
      <c r="A90" s="8">
        <v>1509</v>
      </c>
      <c r="B90" s="4">
        <v>7</v>
      </c>
      <c r="C90" s="5">
        <v>139.13166666666666</v>
      </c>
      <c r="D90" s="5">
        <v>34.37166666666667</v>
      </c>
      <c r="E90" s="5">
        <v>143.26166666666666</v>
      </c>
      <c r="F90" s="5">
        <v>34.37166666666667</v>
      </c>
      <c r="G90" s="5">
        <v>315.38666666666666</v>
      </c>
      <c r="H90" s="5">
        <v>110.17888888888889</v>
      </c>
      <c r="K90" s="2"/>
      <c r="M90" s="2"/>
    </row>
    <row r="91" spans="1:13" ht="15.75" x14ac:dyDescent="0.25">
      <c r="A91" s="8">
        <v>1510</v>
      </c>
      <c r="B91" s="4">
        <v>5</v>
      </c>
      <c r="C91" s="5">
        <v>129.03638888888889</v>
      </c>
      <c r="D91" s="5">
        <v>24.258611111111112</v>
      </c>
      <c r="E91" s="5">
        <v>140.88250000000002</v>
      </c>
      <c r="F91" s="5">
        <v>24.258611111111112</v>
      </c>
      <c r="G91" s="5">
        <v>273.45749999999998</v>
      </c>
      <c r="H91" s="5">
        <v>128.97777777777779</v>
      </c>
      <c r="K91" s="2"/>
      <c r="M91" s="2"/>
    </row>
    <row r="92" spans="1:13" ht="15.75" x14ac:dyDescent="0.25">
      <c r="A92" s="8">
        <v>1511</v>
      </c>
      <c r="B92" s="4">
        <v>2</v>
      </c>
      <c r="C92" s="5">
        <v>117.95555555555556</v>
      </c>
      <c r="D92" s="5">
        <v>13.160277777777779</v>
      </c>
      <c r="E92" s="5">
        <v>125.32694444444444</v>
      </c>
      <c r="F92" s="5">
        <v>13.160277777777779</v>
      </c>
      <c r="G92" s="5">
        <v>218.46361111111111</v>
      </c>
      <c r="H92" s="5">
        <v>147.72388888888889</v>
      </c>
      <c r="K92" s="2"/>
      <c r="M92" s="2"/>
    </row>
    <row r="93" spans="1:13" ht="15.75" x14ac:dyDescent="0.25">
      <c r="A93" s="8">
        <v>1512</v>
      </c>
      <c r="B93" s="4">
        <v>6</v>
      </c>
      <c r="C93" s="5">
        <v>106.87472222222222</v>
      </c>
      <c r="D93" s="5">
        <v>2.0616666666666665</v>
      </c>
      <c r="E93" s="5">
        <v>109.77138888888889</v>
      </c>
      <c r="F93" s="5">
        <v>2.0616666666666665</v>
      </c>
      <c r="G93" s="5">
        <v>163.46972222222223</v>
      </c>
      <c r="H93" s="5">
        <v>166.47</v>
      </c>
      <c r="K93" s="2"/>
      <c r="M93" s="2"/>
    </row>
    <row r="94" spans="1:13" ht="15.75" x14ac:dyDescent="0.25">
      <c r="A94" s="8">
        <v>1513</v>
      </c>
      <c r="B94" s="4">
        <v>4</v>
      </c>
      <c r="C94" s="5">
        <v>96.779444444444437</v>
      </c>
      <c r="D94" s="5">
        <v>351.94888888888892</v>
      </c>
      <c r="E94" s="5">
        <v>107.39222222222223</v>
      </c>
      <c r="F94" s="5">
        <v>351.94888888888892</v>
      </c>
      <c r="G94" s="5">
        <v>121.54083333333332</v>
      </c>
      <c r="H94" s="5">
        <v>185.26916666666668</v>
      </c>
      <c r="K94" s="2"/>
      <c r="M94" s="2"/>
    </row>
    <row r="95" spans="1:13" ht="15.75" x14ac:dyDescent="0.25">
      <c r="A95" s="8">
        <v>1514</v>
      </c>
      <c r="B95" s="4">
        <v>1</v>
      </c>
      <c r="C95" s="5">
        <v>85.69861111111112</v>
      </c>
      <c r="D95" s="5">
        <v>340.85027777777782</v>
      </c>
      <c r="E95" s="5">
        <v>91.836666666666659</v>
      </c>
      <c r="F95" s="5">
        <v>340.85027777777782</v>
      </c>
      <c r="G95" s="5">
        <v>66.546666666666667</v>
      </c>
      <c r="H95" s="5">
        <v>204.01527777777778</v>
      </c>
      <c r="K95" s="2"/>
      <c r="M95" s="2"/>
    </row>
    <row r="96" spans="1:13" ht="15.75" x14ac:dyDescent="0.25">
      <c r="A96" s="8">
        <v>1515</v>
      </c>
      <c r="B96" s="4">
        <v>6</v>
      </c>
      <c r="C96" s="5">
        <v>75.603333333333325</v>
      </c>
      <c r="D96" s="5">
        <v>330.73722222222221</v>
      </c>
      <c r="E96" s="5">
        <v>89.457777777777778</v>
      </c>
      <c r="F96" s="5">
        <v>330.73722222222221</v>
      </c>
      <c r="G96" s="5">
        <v>24.617777777777778</v>
      </c>
      <c r="H96" s="5">
        <v>222.64749999999998</v>
      </c>
      <c r="K96" s="2"/>
      <c r="M96" s="2"/>
    </row>
    <row r="97" spans="1:13" ht="15.75" x14ac:dyDescent="0.25">
      <c r="A97" s="8">
        <v>1516</v>
      </c>
      <c r="B97" s="4">
        <v>4</v>
      </c>
      <c r="C97" s="5">
        <v>64.522499999999994</v>
      </c>
      <c r="D97" s="5">
        <v>319.63888888888886</v>
      </c>
      <c r="E97" s="5">
        <v>73.902222222222221</v>
      </c>
      <c r="F97" s="5">
        <v>319.63888888888886</v>
      </c>
      <c r="G97" s="5">
        <v>329.62388888888887</v>
      </c>
      <c r="H97" s="5">
        <v>241.5602777777778</v>
      </c>
      <c r="K97" s="2"/>
      <c r="M97" s="2"/>
    </row>
    <row r="98" spans="1:13" ht="15.75" x14ac:dyDescent="0.25">
      <c r="A98" s="8">
        <v>1517</v>
      </c>
      <c r="B98" s="4">
        <v>7</v>
      </c>
      <c r="C98" s="5">
        <v>53.441666666666663</v>
      </c>
      <c r="D98" s="5">
        <v>308.54027777777782</v>
      </c>
      <c r="E98" s="5">
        <v>58.346666666666671</v>
      </c>
      <c r="F98" s="5">
        <v>308.54027777777782</v>
      </c>
      <c r="G98" s="5">
        <v>274.62972222222226</v>
      </c>
      <c r="H98" s="5">
        <v>260.30638888888888</v>
      </c>
      <c r="K98" s="2"/>
      <c r="M98" s="2"/>
    </row>
    <row r="99" spans="1:13" ht="15.75" x14ac:dyDescent="0.25">
      <c r="A99" s="8">
        <v>1518</v>
      </c>
      <c r="B99" s="4">
        <v>5</v>
      </c>
      <c r="C99" s="5">
        <v>43.346388888888889</v>
      </c>
      <c r="D99" s="5">
        <v>298.42750000000001</v>
      </c>
      <c r="E99" s="5">
        <v>55.967500000000001</v>
      </c>
      <c r="F99" s="5">
        <v>298.42750000000001</v>
      </c>
      <c r="G99" s="5">
        <v>232.70083333333332</v>
      </c>
      <c r="H99" s="5">
        <v>279.10555555555555</v>
      </c>
      <c r="K99" s="2"/>
      <c r="M99" s="2"/>
    </row>
    <row r="100" spans="1:13" ht="15.75" x14ac:dyDescent="0.25">
      <c r="A100" s="8">
        <v>1519</v>
      </c>
      <c r="B100" s="4">
        <v>2</v>
      </c>
      <c r="C100" s="5">
        <v>32.265555555555558</v>
      </c>
      <c r="D100" s="5">
        <v>287.32888888888891</v>
      </c>
      <c r="E100" s="5">
        <v>40.411944444444444</v>
      </c>
      <c r="F100" s="5">
        <v>287.32888888888891</v>
      </c>
      <c r="G100" s="5">
        <v>177.70694444444445</v>
      </c>
      <c r="H100" s="5">
        <v>297.85166666666669</v>
      </c>
      <c r="K100" s="2"/>
      <c r="M100" s="2"/>
    </row>
    <row r="101" spans="1:13" ht="15.75" x14ac:dyDescent="0.25">
      <c r="A101" s="8">
        <v>1520</v>
      </c>
      <c r="B101" s="4">
        <v>6</v>
      </c>
      <c r="C101" s="5">
        <v>21.184722222222224</v>
      </c>
      <c r="D101" s="5">
        <v>276.23055555555555</v>
      </c>
      <c r="E101" s="5">
        <v>24.85638888888889</v>
      </c>
      <c r="F101" s="5">
        <v>276.23055555555555</v>
      </c>
      <c r="G101" s="5">
        <v>122.71305555555556</v>
      </c>
      <c r="H101" s="5">
        <v>316.59777777777776</v>
      </c>
      <c r="K101" s="2"/>
      <c r="M101" s="2"/>
    </row>
    <row r="102" spans="1:13" ht="15.75" x14ac:dyDescent="0.25">
      <c r="A102" s="8">
        <v>1521</v>
      </c>
      <c r="B102" s="4">
        <v>4</v>
      </c>
      <c r="C102" s="5">
        <v>11.089444444444444</v>
      </c>
      <c r="D102" s="5">
        <v>266.11750000000001</v>
      </c>
      <c r="E102" s="5">
        <v>22.477499999999999</v>
      </c>
      <c r="F102" s="5">
        <v>266.11750000000001</v>
      </c>
      <c r="G102" s="5">
        <v>80.783888888888882</v>
      </c>
      <c r="H102" s="5">
        <v>335.39694444444444</v>
      </c>
      <c r="K102" s="2"/>
      <c r="M102" s="2"/>
    </row>
    <row r="103" spans="1:13" ht="15.75" x14ac:dyDescent="0.25">
      <c r="A103" s="8">
        <v>1522</v>
      </c>
      <c r="B103" s="4">
        <v>1</v>
      </c>
      <c r="C103" s="5">
        <v>8.611111111111111E-3</v>
      </c>
      <c r="D103" s="5">
        <v>255.01916666666668</v>
      </c>
      <c r="E103" s="5">
        <v>6.9219444444444447</v>
      </c>
      <c r="F103" s="5">
        <v>255.01916666666668</v>
      </c>
      <c r="G103" s="5">
        <v>25.790000000000003</v>
      </c>
      <c r="H103" s="5">
        <v>354.14305555555552</v>
      </c>
      <c r="K103" s="2"/>
      <c r="M103" s="2"/>
    </row>
    <row r="104" spans="1:13" ht="15.75" x14ac:dyDescent="0.25">
      <c r="A104" s="8">
        <v>1523</v>
      </c>
      <c r="B104" s="4">
        <v>5</v>
      </c>
      <c r="C104" s="5">
        <v>348.92777777777781</v>
      </c>
      <c r="D104" s="5">
        <v>243.92055555555555</v>
      </c>
      <c r="E104" s="5">
        <v>351.36638888888893</v>
      </c>
      <c r="F104" s="5">
        <v>243.92055555555555</v>
      </c>
      <c r="G104" s="5">
        <v>330.79611111111114</v>
      </c>
      <c r="H104" s="5">
        <v>12.889166666666666</v>
      </c>
      <c r="K104" s="2"/>
      <c r="M104" s="2"/>
    </row>
    <row r="105" spans="1:13" ht="15.75" x14ac:dyDescent="0.25">
      <c r="A105" s="8">
        <v>1524</v>
      </c>
      <c r="B105" s="4">
        <v>3</v>
      </c>
      <c r="C105" s="5">
        <v>338.83249999999998</v>
      </c>
      <c r="D105" s="5">
        <v>233.8075</v>
      </c>
      <c r="E105" s="5">
        <v>348.98722222222221</v>
      </c>
      <c r="F105" s="5">
        <v>233.8075</v>
      </c>
      <c r="G105" s="5">
        <v>288.86694444444447</v>
      </c>
      <c r="H105" s="5">
        <v>31.688055555555557</v>
      </c>
      <c r="K105" s="2"/>
      <c r="M105" s="2"/>
    </row>
    <row r="106" spans="1:13" ht="15.75" x14ac:dyDescent="0.25">
      <c r="A106" s="9"/>
      <c r="K106" s="2"/>
      <c r="M106" s="2"/>
    </row>
    <row r="107" spans="1:13" ht="15.75" x14ac:dyDescent="0.25">
      <c r="A107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590F-ED04-468D-9E55-61E9463481FE}">
  <dimension ref="A1:M32"/>
  <sheetViews>
    <sheetView zoomScale="75" zoomScaleNormal="75" workbookViewId="0">
      <selection activeCell="A2" sqref="A2"/>
    </sheetView>
  </sheetViews>
  <sheetFormatPr defaultRowHeight="15" x14ac:dyDescent="0.25"/>
  <cols>
    <col min="2" max="3" width="12.7109375" customWidth="1"/>
    <col min="4" max="4" width="13.7109375" customWidth="1"/>
    <col min="5" max="6" width="12.7109375" customWidth="1"/>
    <col min="7" max="7" width="13.7109375" customWidth="1"/>
    <col min="8" max="8" width="12.7109375" customWidth="1"/>
    <col min="9" max="9" width="13" customWidth="1"/>
    <col min="10" max="11" width="12.7109375" customWidth="1"/>
    <col min="12" max="12" width="13.140625" customWidth="1"/>
    <col min="13" max="13" width="13" customWidth="1"/>
  </cols>
  <sheetData>
    <row r="1" spans="1:13" x14ac:dyDescent="0.25">
      <c r="A1" s="16" t="s">
        <v>33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34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16">
        <v>0</v>
      </c>
      <c r="B2" s="16">
        <v>0</v>
      </c>
      <c r="C2" s="16">
        <v>9.30555555555556E-2</v>
      </c>
      <c r="D2" s="16">
        <v>0.16166666666666701</v>
      </c>
      <c r="E2" s="16">
        <v>0.18777777777777799</v>
      </c>
      <c r="F2" s="16">
        <v>0.16361111111111101</v>
      </c>
      <c r="G2" s="16">
        <v>9.5000000000000001E-2</v>
      </c>
      <c r="H2" s="16">
        <v>0</v>
      </c>
      <c r="I2" s="16">
        <v>-9.5000000000000001E-2</v>
      </c>
      <c r="J2" s="16">
        <v>-0.16361111111111101</v>
      </c>
      <c r="K2" s="16">
        <v>-0.18777777777777799</v>
      </c>
      <c r="L2" s="16">
        <v>-0.16277777777777799</v>
      </c>
      <c r="M2" s="16">
        <v>-9.30555555555556E-2</v>
      </c>
    </row>
    <row r="3" spans="1:13" x14ac:dyDescent="0.25">
      <c r="A3" s="16">
        <v>1</v>
      </c>
      <c r="B3" s="16">
        <f>ABS(0.00333333333333333)</f>
        <v>3.3333333333333301E-3</v>
      </c>
      <c r="C3" s="16">
        <v>9.5833333333333298E-2</v>
      </c>
      <c r="D3" s="16">
        <v>0.163333333333333</v>
      </c>
      <c r="E3" s="16">
        <v>0.18777777777777799</v>
      </c>
      <c r="F3" s="16">
        <v>0.161944444444444</v>
      </c>
      <c r="G3" s="16">
        <v>9.1944444444444398E-2</v>
      </c>
      <c r="H3" s="16">
        <v>-3.3333333333333301E-3</v>
      </c>
      <c r="I3" s="16">
        <v>-9.7777777777777797E-2</v>
      </c>
      <c r="J3" s="16">
        <v>-0.165277777777778</v>
      </c>
      <c r="K3" s="16">
        <v>-0.18777777777777799</v>
      </c>
      <c r="L3" s="16">
        <v>-0.16</v>
      </c>
      <c r="M3" s="16">
        <v>-0.09</v>
      </c>
    </row>
    <row r="4" spans="1:13" x14ac:dyDescent="0.25">
      <c r="A4" s="16">
        <v>2</v>
      </c>
      <c r="B4" s="16">
        <f>ABS(0.00638888888888889)</f>
        <v>6.3888888888888901E-3</v>
      </c>
      <c r="C4" s="16">
        <v>9.83333333333333E-2</v>
      </c>
      <c r="D4" s="16">
        <v>0.16500000000000001</v>
      </c>
      <c r="E4" s="16">
        <v>0.18777777777777799</v>
      </c>
      <c r="F4" s="16">
        <v>0.16027777777777799</v>
      </c>
      <c r="G4" s="16">
        <v>8.91666666666667E-2</v>
      </c>
      <c r="H4" s="16">
        <v>-6.6666666666666697E-3</v>
      </c>
      <c r="I4" s="16">
        <v>-0.10055555555555599</v>
      </c>
      <c r="J4" s="16">
        <v>-0.16666666666666699</v>
      </c>
      <c r="K4" s="16">
        <v>-0.1875</v>
      </c>
      <c r="L4" s="16">
        <v>-0.15833333333333299</v>
      </c>
      <c r="M4" s="16">
        <v>-8.7222222222222201E-2</v>
      </c>
    </row>
    <row r="5" spans="1:13" x14ac:dyDescent="0.25">
      <c r="A5" s="16">
        <v>3</v>
      </c>
      <c r="B5" s="16">
        <v>9.7222222222222206E-3</v>
      </c>
      <c r="C5" s="16">
        <v>0.101111111111111</v>
      </c>
      <c r="D5" s="16">
        <v>0.166388888888889</v>
      </c>
      <c r="E5" s="16">
        <v>0.1875</v>
      </c>
      <c r="F5" s="16">
        <v>0.15861111111111101</v>
      </c>
      <c r="G5" s="16">
        <v>8.6111111111111097E-2</v>
      </c>
      <c r="H5" s="16">
        <v>-0.01</v>
      </c>
      <c r="I5" s="16">
        <v>-0.103333333333333</v>
      </c>
      <c r="J5" s="16">
        <v>-0.168333333333333</v>
      </c>
      <c r="K5" s="16">
        <v>-0.1875</v>
      </c>
      <c r="L5" s="16">
        <v>-0.15638888888888899</v>
      </c>
      <c r="M5" s="16">
        <v>-8.4444444444444405E-2</v>
      </c>
    </row>
    <row r="6" spans="1:13" x14ac:dyDescent="0.25">
      <c r="A6" s="16">
        <v>4</v>
      </c>
      <c r="B6" s="16">
        <v>1.30555555555556E-2</v>
      </c>
      <c r="C6" s="16">
        <v>0.103888888888889</v>
      </c>
      <c r="D6" s="16">
        <v>0.16805555555555601</v>
      </c>
      <c r="E6" s="16">
        <v>0.18722222222222201</v>
      </c>
      <c r="F6" s="16">
        <v>0.15666666666666701</v>
      </c>
      <c r="G6" s="16">
        <v>8.3055555555555494E-2</v>
      </c>
      <c r="H6" s="16">
        <v>-1.3333333333333299E-2</v>
      </c>
      <c r="I6" s="16">
        <v>-0.106111111111111</v>
      </c>
      <c r="J6" s="16">
        <v>-0.169722222222222</v>
      </c>
      <c r="K6" s="16">
        <v>-0.18722222222222201</v>
      </c>
      <c r="L6" s="16">
        <v>-0.154444444444444</v>
      </c>
      <c r="M6" s="16">
        <v>-8.1388888888888899E-2</v>
      </c>
    </row>
    <row r="7" spans="1:13" x14ac:dyDescent="0.25">
      <c r="A7" s="16">
        <v>5</v>
      </c>
      <c r="B7" s="16">
        <v>1.61111111111111E-2</v>
      </c>
      <c r="C7" s="16">
        <v>0.10666666666666701</v>
      </c>
      <c r="D7" s="16">
        <v>0.16944444444444401</v>
      </c>
      <c r="E7" s="16">
        <v>0.18722222222222201</v>
      </c>
      <c r="F7" s="16">
        <v>0.155</v>
      </c>
      <c r="G7" s="16">
        <v>8.0277777777777795E-2</v>
      </c>
      <c r="H7" s="16">
        <v>-1.6666666666666701E-2</v>
      </c>
      <c r="I7" s="16">
        <v>-0.10888888888888899</v>
      </c>
      <c r="J7" s="16">
        <v>-0.17111111111111099</v>
      </c>
      <c r="K7" s="16">
        <v>-0.186944444444444</v>
      </c>
      <c r="L7" s="16">
        <v>-0.15277777777777801</v>
      </c>
      <c r="M7" s="16">
        <v>-7.8611111111111104E-2</v>
      </c>
    </row>
    <row r="8" spans="1:13" x14ac:dyDescent="0.25">
      <c r="A8" s="16">
        <v>6</v>
      </c>
      <c r="B8" s="16">
        <v>1.94444444444444E-2</v>
      </c>
      <c r="C8" s="16">
        <v>0.10916666666666699</v>
      </c>
      <c r="D8" s="16">
        <v>0.17055555555555599</v>
      </c>
      <c r="E8" s="16">
        <v>0.186944444444444</v>
      </c>
      <c r="F8" s="16">
        <v>0.153055555555556</v>
      </c>
      <c r="G8" s="16">
        <v>7.7222222222222206E-2</v>
      </c>
      <c r="H8" s="16">
        <v>-1.97222222222222E-2</v>
      </c>
      <c r="I8" s="16">
        <v>-0.111388888888889</v>
      </c>
      <c r="J8" s="16">
        <v>-0.17249999999999999</v>
      </c>
      <c r="K8" s="16">
        <v>-0.18638888888888899</v>
      </c>
      <c r="L8" s="16">
        <v>-0.15083333333333299</v>
      </c>
      <c r="M8" s="16">
        <v>-7.5555555555555598E-2</v>
      </c>
    </row>
    <row r="9" spans="1:13" x14ac:dyDescent="0.25">
      <c r="A9" s="16">
        <v>7</v>
      </c>
      <c r="B9" s="16">
        <v>2.2499999999999999E-2</v>
      </c>
      <c r="C9" s="16">
        <v>0.111944444444444</v>
      </c>
      <c r="D9" s="16">
        <v>0.17194444444444401</v>
      </c>
      <c r="E9" s="16">
        <v>0.18666666666666701</v>
      </c>
      <c r="F9" s="16">
        <v>0.151111111111111</v>
      </c>
      <c r="G9" s="16">
        <v>7.41666666666667E-2</v>
      </c>
      <c r="H9" s="16">
        <v>-2.30555555555556E-2</v>
      </c>
      <c r="I9" s="16">
        <v>-0.114166666666667</v>
      </c>
      <c r="J9" s="16">
        <v>-0.17361111111111099</v>
      </c>
      <c r="K9" s="16">
        <v>-0.18611111111111101</v>
      </c>
      <c r="L9" s="16">
        <v>-0.14888888888888899</v>
      </c>
      <c r="M9" s="16">
        <v>-7.2499999999999995E-2</v>
      </c>
    </row>
    <row r="10" spans="1:13" x14ac:dyDescent="0.25">
      <c r="A10" s="16">
        <v>8</v>
      </c>
      <c r="B10" s="16">
        <v>2.5833333333333298E-2</v>
      </c>
      <c r="C10" s="16">
        <v>0.114444444444444</v>
      </c>
      <c r="D10" s="16">
        <v>0.17333333333333301</v>
      </c>
      <c r="E10" s="16">
        <v>0.18638888888888899</v>
      </c>
      <c r="F10" s="16">
        <v>0.149166666666667</v>
      </c>
      <c r="G10" s="16">
        <v>7.1111111111111097E-2</v>
      </c>
      <c r="H10" s="16">
        <v>-2.6388888888888899E-2</v>
      </c>
      <c r="I10" s="16">
        <v>-0.116666666666667</v>
      </c>
      <c r="J10" s="16">
        <v>-0.17499999999999999</v>
      </c>
      <c r="K10" s="16">
        <v>-0.185555555555556</v>
      </c>
      <c r="L10" s="16">
        <v>-0.14694444444444399</v>
      </c>
      <c r="M10" s="16">
        <v>-6.9444444444444406E-2</v>
      </c>
    </row>
    <row r="11" spans="1:13" x14ac:dyDescent="0.25">
      <c r="A11" s="16">
        <v>9</v>
      </c>
      <c r="B11" s="16">
        <v>2.9166666666666698E-2</v>
      </c>
      <c r="C11" s="16">
        <v>0.116944444444444</v>
      </c>
      <c r="D11" s="16">
        <v>0.17444444444444401</v>
      </c>
      <c r="E11" s="16">
        <v>0.18583333333333299</v>
      </c>
      <c r="F11" s="16">
        <v>0.14694444444444399</v>
      </c>
      <c r="G11" s="16">
        <v>6.8055555555555494E-2</v>
      </c>
      <c r="H11" s="16">
        <v>-2.9722222222222199E-2</v>
      </c>
      <c r="I11" s="16">
        <v>-0.119166666666667</v>
      </c>
      <c r="J11" s="16">
        <v>-0.176111111111111</v>
      </c>
      <c r="K11" s="16">
        <v>-0.185</v>
      </c>
      <c r="L11" s="16">
        <v>-0.144722222222222</v>
      </c>
      <c r="M11" s="16">
        <v>-6.63888888888889E-2</v>
      </c>
    </row>
    <row r="12" spans="1:13" x14ac:dyDescent="0.25">
      <c r="A12" s="16">
        <v>10</v>
      </c>
      <c r="B12" s="16">
        <v>3.2222222222222201E-2</v>
      </c>
      <c r="C12" s="16">
        <v>0.11944444444444401</v>
      </c>
      <c r="D12" s="16">
        <v>0.17583333333333301</v>
      </c>
      <c r="E12" s="16">
        <v>0.18527777777777801</v>
      </c>
      <c r="F12" s="16">
        <v>0.14499999999999999</v>
      </c>
      <c r="G12" s="16">
        <v>6.5000000000000002E-2</v>
      </c>
      <c r="H12" s="16">
        <v>-3.3055555555555602E-2</v>
      </c>
      <c r="I12" s="16">
        <v>-0.12166666666666701</v>
      </c>
      <c r="J12" s="16">
        <v>-0.177222222222222</v>
      </c>
      <c r="K12" s="16">
        <v>-0.18444444444444399</v>
      </c>
      <c r="L12" s="16">
        <v>-0.142777777777778</v>
      </c>
      <c r="M12" s="16">
        <v>-6.3611111111111104E-2</v>
      </c>
    </row>
    <row r="13" spans="1:13" x14ac:dyDescent="0.25">
      <c r="A13" s="16">
        <v>11</v>
      </c>
      <c r="B13" s="16">
        <v>3.5277777777777797E-2</v>
      </c>
      <c r="C13" s="16">
        <v>0.12194444444444399</v>
      </c>
      <c r="D13" s="16">
        <v>0.17694444444444399</v>
      </c>
      <c r="E13" s="16">
        <v>0.18472222222222201</v>
      </c>
      <c r="F13" s="16">
        <v>0.142777777777778</v>
      </c>
      <c r="G13" s="16">
        <v>6.1944444444444399E-2</v>
      </c>
      <c r="H13" s="16">
        <v>-3.6111111111111101E-2</v>
      </c>
      <c r="I13" s="16">
        <v>-0.12416666666666699</v>
      </c>
      <c r="J13" s="16">
        <v>-0.17833333333333301</v>
      </c>
      <c r="K13" s="16">
        <v>-0.18388888888888899</v>
      </c>
      <c r="L13" s="16">
        <v>-0.14055555555555599</v>
      </c>
      <c r="M13" s="16">
        <v>-6.0555555555555599E-2</v>
      </c>
    </row>
    <row r="14" spans="1:13" x14ac:dyDescent="0.25">
      <c r="A14" s="16">
        <v>12</v>
      </c>
      <c r="B14" s="16">
        <v>3.8611111111111103E-2</v>
      </c>
      <c r="C14" s="16">
        <v>0.124444444444444</v>
      </c>
      <c r="D14" s="16">
        <v>0.17805555555555599</v>
      </c>
      <c r="E14" s="16">
        <v>0.18416666666666701</v>
      </c>
      <c r="F14" s="16">
        <v>0.14055555555555599</v>
      </c>
      <c r="G14" s="16">
        <v>5.86111111111111E-2</v>
      </c>
      <c r="H14" s="16">
        <v>-3.9166666666666697E-2</v>
      </c>
      <c r="I14" s="16">
        <v>-0.12666666666666701</v>
      </c>
      <c r="J14" s="16">
        <v>-0.179166666666667</v>
      </c>
      <c r="K14" s="16">
        <v>-0.183055555555556</v>
      </c>
      <c r="L14" s="16">
        <v>-0.138333333333333</v>
      </c>
      <c r="M14" s="16">
        <v>-5.7222222222222202E-2</v>
      </c>
    </row>
    <row r="15" spans="1:13" x14ac:dyDescent="0.25">
      <c r="A15" s="16">
        <v>13</v>
      </c>
      <c r="B15" s="16">
        <v>4.1666666666666699E-2</v>
      </c>
      <c r="C15" s="16">
        <v>0.126944444444444</v>
      </c>
      <c r="D15" s="16">
        <v>0.17888888888888901</v>
      </c>
      <c r="E15" s="16">
        <v>0.18333333333333299</v>
      </c>
      <c r="F15" s="16">
        <v>0.138333333333333</v>
      </c>
      <c r="G15" s="16">
        <v>5.5555555555555601E-2</v>
      </c>
      <c r="H15" s="16">
        <v>-4.2500000000000003E-2</v>
      </c>
      <c r="I15" s="16">
        <v>-0.12916666666666701</v>
      </c>
      <c r="J15" s="16">
        <v>-0.18027777777777801</v>
      </c>
      <c r="K15" s="16">
        <v>-0.1825</v>
      </c>
      <c r="L15" s="16">
        <v>-0.13611111111111099</v>
      </c>
      <c r="M15" s="16">
        <v>-5.4166666666666703E-2</v>
      </c>
    </row>
    <row r="16" spans="1:13" x14ac:dyDescent="0.25">
      <c r="A16" s="16">
        <v>14</v>
      </c>
      <c r="B16" s="16">
        <v>4.4999999999999998E-2</v>
      </c>
      <c r="C16" s="16">
        <v>0.129444444444444</v>
      </c>
      <c r="D16" s="16">
        <v>0.18</v>
      </c>
      <c r="E16" s="16">
        <v>0.18277777777777801</v>
      </c>
      <c r="F16" s="16">
        <v>0.13611111111111099</v>
      </c>
      <c r="G16" s="16">
        <v>5.2222222222222198E-2</v>
      </c>
      <c r="H16" s="16">
        <v>-4.69444444444444E-2</v>
      </c>
      <c r="I16" s="16">
        <v>-0.13166666666666699</v>
      </c>
      <c r="J16" s="16">
        <v>-0.181111111111111</v>
      </c>
      <c r="K16" s="16">
        <v>-0.181666666666667</v>
      </c>
      <c r="L16" s="16">
        <v>-0.133888888888889</v>
      </c>
      <c r="M16" s="16">
        <v>-5.11111111111111E-2</v>
      </c>
    </row>
    <row r="17" spans="1:13" x14ac:dyDescent="0.25">
      <c r="A17" s="16">
        <v>15</v>
      </c>
      <c r="B17" s="16">
        <v>4.8055555555555601E-2</v>
      </c>
      <c r="C17" s="16">
        <v>0.13166666666666699</v>
      </c>
      <c r="D17" s="16">
        <v>0.18083333333333301</v>
      </c>
      <c r="E17" s="16">
        <v>0.18194444444444399</v>
      </c>
      <c r="F17" s="16">
        <v>0.133888888888889</v>
      </c>
      <c r="G17" s="16">
        <v>4.9166666666666699E-2</v>
      </c>
      <c r="H17" s="16">
        <v>-4.9166666666666699E-2</v>
      </c>
      <c r="I17" s="16">
        <v>-0.133888888888889</v>
      </c>
      <c r="J17" s="16">
        <v>-0.18194444444444399</v>
      </c>
      <c r="K17" s="16">
        <v>-0.18083333333333301</v>
      </c>
      <c r="L17" s="16">
        <v>-0.13166666666666699</v>
      </c>
      <c r="M17" s="16">
        <v>-4.8055555555555601E-2</v>
      </c>
    </row>
    <row r="18" spans="1:13" x14ac:dyDescent="0.25">
      <c r="A18" s="16">
        <v>16</v>
      </c>
      <c r="B18" s="16">
        <v>5.11111111111111E-2</v>
      </c>
      <c r="C18" s="16">
        <v>0.133888888888889</v>
      </c>
      <c r="D18" s="16">
        <v>0.181666666666667</v>
      </c>
      <c r="E18" s="16">
        <v>0.181111111111111</v>
      </c>
      <c r="F18" s="16">
        <v>0.13166666666666699</v>
      </c>
      <c r="G18" s="16">
        <v>4.69444444444444E-2</v>
      </c>
      <c r="H18" s="16">
        <v>-5.2222222222222198E-2</v>
      </c>
      <c r="I18" s="16">
        <v>-0.13611111111111099</v>
      </c>
      <c r="J18" s="16">
        <v>-0.18277777777777801</v>
      </c>
      <c r="K18" s="16">
        <v>-0.18</v>
      </c>
      <c r="L18" s="16">
        <v>-0.129444444444444</v>
      </c>
      <c r="M18" s="16">
        <v>-4.4999999999999998E-2</v>
      </c>
    </row>
    <row r="19" spans="1:13" x14ac:dyDescent="0.25">
      <c r="A19" s="16">
        <v>17</v>
      </c>
      <c r="B19" s="16">
        <v>5.4166666666666703E-2</v>
      </c>
      <c r="C19" s="16">
        <v>0.13611111111111099</v>
      </c>
      <c r="D19" s="16">
        <v>0.1825</v>
      </c>
      <c r="E19" s="16">
        <v>0.18027777777777801</v>
      </c>
      <c r="F19" s="16">
        <v>0.12916666666666701</v>
      </c>
      <c r="G19" s="16">
        <v>4.2500000000000003E-2</v>
      </c>
      <c r="H19" s="16">
        <v>-5.5555555555555601E-2</v>
      </c>
      <c r="I19" s="16">
        <v>-0.138333333333333</v>
      </c>
      <c r="J19" s="16">
        <v>-0.18333333333333299</v>
      </c>
      <c r="K19" s="16">
        <v>-0.17888888888888901</v>
      </c>
      <c r="L19" s="16">
        <v>-0.126944444444444</v>
      </c>
      <c r="M19" s="16">
        <v>-4.1666666666666699E-2</v>
      </c>
    </row>
    <row r="20" spans="1:13" x14ac:dyDescent="0.25">
      <c r="A20" s="16">
        <v>18</v>
      </c>
      <c r="B20" s="16">
        <v>5.7222222222222202E-2</v>
      </c>
      <c r="C20" s="16">
        <v>0.138333333333333</v>
      </c>
      <c r="D20" s="16">
        <v>0.183055555555556</v>
      </c>
      <c r="E20" s="16">
        <v>0.179166666666667</v>
      </c>
      <c r="F20" s="16">
        <v>0.12666666666666701</v>
      </c>
      <c r="G20" s="16">
        <v>3.9166666666666697E-2</v>
      </c>
      <c r="H20" s="16">
        <v>-5.86111111111111E-2</v>
      </c>
      <c r="I20" s="16">
        <v>-0.14055555555555599</v>
      </c>
      <c r="J20" s="16">
        <v>-0.18416666666666701</v>
      </c>
      <c r="K20" s="16">
        <v>-0.17805555555555599</v>
      </c>
      <c r="L20" s="16">
        <v>-0.124444444444444</v>
      </c>
      <c r="M20" s="16">
        <v>-3.8611111111111103E-2</v>
      </c>
    </row>
    <row r="21" spans="1:13" x14ac:dyDescent="0.25">
      <c r="A21" s="16">
        <v>19</v>
      </c>
      <c r="B21" s="16">
        <v>6.0555555555555599E-2</v>
      </c>
      <c r="C21" s="16">
        <v>0.14055555555555599</v>
      </c>
      <c r="D21" s="16">
        <v>0.18388888888888899</v>
      </c>
      <c r="E21" s="16">
        <v>0.17833333333333301</v>
      </c>
      <c r="F21" s="16">
        <v>0.12416666666666699</v>
      </c>
      <c r="G21" s="16">
        <v>3.6111111111111101E-2</v>
      </c>
      <c r="H21" s="16">
        <v>-6.1944444444444399E-2</v>
      </c>
      <c r="I21" s="16">
        <v>-0.142777777777778</v>
      </c>
      <c r="J21" s="16">
        <v>-0.18472222222222201</v>
      </c>
      <c r="K21" s="16">
        <v>-0.17694444444444399</v>
      </c>
      <c r="L21" s="16">
        <v>-0.12194444444444399</v>
      </c>
      <c r="M21" s="16">
        <v>-3.5277777777777797E-2</v>
      </c>
    </row>
    <row r="22" spans="1:13" x14ac:dyDescent="0.25">
      <c r="A22" s="16">
        <v>20</v>
      </c>
      <c r="B22" s="16">
        <v>6.3611111111111104E-2</v>
      </c>
      <c r="C22" s="16">
        <v>0.142777777777778</v>
      </c>
      <c r="D22" s="16">
        <v>0.18444444444444399</v>
      </c>
      <c r="E22" s="16">
        <v>0.177222222222222</v>
      </c>
      <c r="F22" s="16">
        <v>0.12166666666666701</v>
      </c>
      <c r="G22" s="16">
        <v>3.3055555555555602E-2</v>
      </c>
      <c r="H22" s="16">
        <v>-6.5000000000000002E-2</v>
      </c>
      <c r="I22" s="16">
        <v>-0.14499999999999999</v>
      </c>
      <c r="J22" s="16">
        <v>-0.18527777777777801</v>
      </c>
      <c r="K22" s="16">
        <v>-0.17583333333333301</v>
      </c>
      <c r="L22" s="16">
        <v>-0.11944444444444401</v>
      </c>
      <c r="M22" s="16">
        <v>-3.2222222222222201E-2</v>
      </c>
    </row>
    <row r="23" spans="1:13" x14ac:dyDescent="0.25">
      <c r="A23" s="16">
        <v>21</v>
      </c>
      <c r="B23" s="16">
        <v>6.63888888888889E-2</v>
      </c>
      <c r="C23" s="16">
        <v>0.144722222222222</v>
      </c>
      <c r="D23" s="16">
        <v>0.185</v>
      </c>
      <c r="E23" s="16">
        <v>0.176111111111111</v>
      </c>
      <c r="F23" s="16">
        <v>0.119166666666667</v>
      </c>
      <c r="G23" s="16">
        <v>2.9722222222222199E-2</v>
      </c>
      <c r="H23" s="16">
        <v>-6.8055555555555494E-2</v>
      </c>
      <c r="I23" s="16">
        <v>-0.14694444444444399</v>
      </c>
      <c r="J23" s="16">
        <v>-0.18583333333333299</v>
      </c>
      <c r="K23" s="16">
        <v>-0.17444444444444401</v>
      </c>
      <c r="L23" s="16">
        <v>-0.116944444444444</v>
      </c>
      <c r="M23" s="16">
        <v>-2.9166666666666698E-2</v>
      </c>
    </row>
    <row r="24" spans="1:13" x14ac:dyDescent="0.25">
      <c r="A24" s="16">
        <v>22</v>
      </c>
      <c r="B24" s="16">
        <v>6.9444444444444406E-2</v>
      </c>
      <c r="C24" s="16">
        <v>0.14694444444444399</v>
      </c>
      <c r="D24" s="16">
        <v>0.185555555555556</v>
      </c>
      <c r="E24" s="16">
        <v>0.17499999999999999</v>
      </c>
      <c r="F24" s="16">
        <v>0.116666666666667</v>
      </c>
      <c r="G24" s="16">
        <v>2.6388888888888899E-2</v>
      </c>
      <c r="H24" s="16">
        <v>-7.1111111111111097E-2</v>
      </c>
      <c r="I24" s="16">
        <v>-0.149166666666667</v>
      </c>
      <c r="J24" s="16">
        <v>-0.18638888888888899</v>
      </c>
      <c r="K24" s="16">
        <v>-0.17333333333333301</v>
      </c>
      <c r="L24" s="16">
        <v>-0.114444444444444</v>
      </c>
      <c r="M24" s="16">
        <v>-2.5833333333333298E-2</v>
      </c>
    </row>
    <row r="25" spans="1:13" x14ac:dyDescent="0.25">
      <c r="A25" s="16">
        <v>23</v>
      </c>
      <c r="B25" s="16">
        <v>7.2499999999999995E-2</v>
      </c>
      <c r="C25" s="16">
        <v>0.14888888888888899</v>
      </c>
      <c r="D25" s="16">
        <v>0.18611111111111101</v>
      </c>
      <c r="E25" s="16">
        <v>0.17361111111111099</v>
      </c>
      <c r="F25" s="16">
        <v>0.114166666666667</v>
      </c>
      <c r="G25" s="16">
        <v>2.30555555555556E-2</v>
      </c>
      <c r="H25" s="16">
        <v>-7.41666666666667E-2</v>
      </c>
      <c r="I25" s="16">
        <v>-0.151111111111111</v>
      </c>
      <c r="J25" s="16">
        <v>-0.18666666666666701</v>
      </c>
      <c r="K25" s="16">
        <v>-0.17194444444444401</v>
      </c>
      <c r="L25" s="16">
        <v>-0.111944444444444</v>
      </c>
      <c r="M25" s="16">
        <v>-2.2499999999999999E-2</v>
      </c>
    </row>
    <row r="26" spans="1:13" x14ac:dyDescent="0.25">
      <c r="A26" s="16">
        <v>24</v>
      </c>
      <c r="B26" s="16">
        <v>7.5555555555555598E-2</v>
      </c>
      <c r="C26" s="16">
        <v>0.15083333333333299</v>
      </c>
      <c r="D26" s="16">
        <v>0.18638888888888899</v>
      </c>
      <c r="E26" s="16">
        <v>0.17249999999999999</v>
      </c>
      <c r="F26" s="16">
        <v>0.111388888888889</v>
      </c>
      <c r="G26" s="16">
        <v>1.97222222222222E-2</v>
      </c>
      <c r="H26" s="16">
        <v>-7.7222222222222206E-2</v>
      </c>
      <c r="I26" s="16">
        <v>-0.153055555555556</v>
      </c>
      <c r="J26" s="16">
        <v>-0.186944444444444</v>
      </c>
      <c r="K26" s="16">
        <v>-0.17055555555555599</v>
      </c>
      <c r="L26" s="16">
        <v>-0.10916666666666699</v>
      </c>
      <c r="M26" s="16">
        <v>-1.94444444444444E-2</v>
      </c>
    </row>
    <row r="27" spans="1:13" x14ac:dyDescent="0.25">
      <c r="A27" s="16">
        <v>25</v>
      </c>
      <c r="B27" s="16">
        <v>7.8611111111111104E-2</v>
      </c>
      <c r="C27" s="16">
        <v>0.15277777777777801</v>
      </c>
      <c r="D27" s="16">
        <v>0.186944444444444</v>
      </c>
      <c r="E27" s="16">
        <v>0.17111111111111099</v>
      </c>
      <c r="F27" s="16">
        <v>0.10888888888888899</v>
      </c>
      <c r="G27" s="16">
        <v>1.6666666666666701E-2</v>
      </c>
      <c r="H27" s="16">
        <v>-8.0277777777777795E-2</v>
      </c>
      <c r="I27" s="16">
        <v>-0.155</v>
      </c>
      <c r="J27" s="16">
        <v>-0.18722222222222201</v>
      </c>
      <c r="K27" s="16">
        <v>-0.16944444444444401</v>
      </c>
      <c r="L27" s="16">
        <v>-0.10666666666666701</v>
      </c>
      <c r="M27" s="16">
        <v>-1.61111111111111E-2</v>
      </c>
    </row>
    <row r="28" spans="1:13" x14ac:dyDescent="0.25">
      <c r="A28" s="16">
        <v>26</v>
      </c>
      <c r="B28" s="16">
        <v>8.1388888888888899E-2</v>
      </c>
      <c r="C28" s="16">
        <v>0.154444444444444</v>
      </c>
      <c r="D28" s="16">
        <v>0.18722222222222201</v>
      </c>
      <c r="E28" s="16">
        <v>0.169722222222222</v>
      </c>
      <c r="F28" s="16">
        <v>0.106111111111111</v>
      </c>
      <c r="G28" s="16">
        <v>1.3333333333333299E-2</v>
      </c>
      <c r="H28" s="16">
        <v>-8.3055555555555494E-2</v>
      </c>
      <c r="I28" s="16">
        <v>-0.15666666666666701</v>
      </c>
      <c r="J28" s="16">
        <v>-0.18722222222222201</v>
      </c>
      <c r="K28" s="16">
        <v>-0.16805555555555601</v>
      </c>
      <c r="L28" s="16">
        <v>-0.103888888888889</v>
      </c>
      <c r="M28" s="16">
        <v>-1.30555555555556E-2</v>
      </c>
    </row>
    <row r="29" spans="1:13" x14ac:dyDescent="0.25">
      <c r="A29" s="16">
        <v>27</v>
      </c>
      <c r="B29" s="16">
        <v>8.4444444444444405E-2</v>
      </c>
      <c r="C29" s="16">
        <v>0.15638888888888899</v>
      </c>
      <c r="D29" s="16">
        <v>0.1875</v>
      </c>
      <c r="E29" s="16">
        <v>0.168333333333333</v>
      </c>
      <c r="F29" s="16">
        <v>0.103333333333333</v>
      </c>
      <c r="G29" s="16">
        <v>0.01</v>
      </c>
      <c r="H29" s="16">
        <v>-8.6111111111111097E-2</v>
      </c>
      <c r="I29" s="16">
        <v>-0.15861111111111101</v>
      </c>
      <c r="J29" s="16">
        <v>-0.1875</v>
      </c>
      <c r="K29" s="16">
        <v>-0.166388888888889</v>
      </c>
      <c r="L29" s="16">
        <v>-0.101111111111111</v>
      </c>
      <c r="M29" s="16">
        <v>-9.7222222222222206E-3</v>
      </c>
    </row>
    <row r="30" spans="1:13" x14ac:dyDescent="0.25">
      <c r="A30" s="16">
        <v>28</v>
      </c>
      <c r="B30" s="16">
        <v>8.7222222222222201E-2</v>
      </c>
      <c r="C30" s="16">
        <v>0.15833333333333299</v>
      </c>
      <c r="D30" s="16">
        <v>0.1875</v>
      </c>
      <c r="E30" s="16">
        <v>0.16666666666666699</v>
      </c>
      <c r="F30" s="16">
        <v>0.10055555555555599</v>
      </c>
      <c r="G30" s="16">
        <v>6.6666666666666697E-3</v>
      </c>
      <c r="H30" s="16">
        <v>-8.91666666666667E-2</v>
      </c>
      <c r="I30" s="16">
        <v>-0.16027777777777799</v>
      </c>
      <c r="J30" s="16">
        <v>-0.18777777777777799</v>
      </c>
      <c r="K30" s="16">
        <v>-0.16500000000000001</v>
      </c>
      <c r="L30" s="16">
        <v>-9.83333333333333E-2</v>
      </c>
      <c r="M30" s="16">
        <f>(ABS(0.00638888888888889))*-1</f>
        <v>-6.3888888888888901E-3</v>
      </c>
    </row>
    <row r="31" spans="1:13" x14ac:dyDescent="0.25">
      <c r="A31" s="16">
        <v>29</v>
      </c>
      <c r="B31" s="16">
        <v>0.09</v>
      </c>
      <c r="C31" s="16">
        <v>0.16</v>
      </c>
      <c r="D31" s="16">
        <v>0.18777777777777799</v>
      </c>
      <c r="E31" s="16">
        <v>0.165277777777778</v>
      </c>
      <c r="F31" s="16">
        <v>9.7777777777777797E-2</v>
      </c>
      <c r="G31" s="16">
        <v>3.3333333333333301E-3</v>
      </c>
      <c r="H31" s="16">
        <v>-9.1944444444444398E-2</v>
      </c>
      <c r="I31" s="16">
        <v>-0.161944444444444</v>
      </c>
      <c r="J31" s="16">
        <v>-0.18777777777777799</v>
      </c>
      <c r="K31" s="16">
        <v>-0.163333333333333</v>
      </c>
      <c r="L31" s="16">
        <v>-9.5833333333333298E-2</v>
      </c>
      <c r="M31" s="16">
        <f>(ABS(0.00333333333333333))*-1</f>
        <v>-3.3333333333333301E-3</v>
      </c>
    </row>
    <row r="32" spans="1:13" x14ac:dyDescent="0.25">
      <c r="A32" s="16">
        <v>30</v>
      </c>
      <c r="B32" s="16">
        <v>9.30555555555556E-2</v>
      </c>
      <c r="C32" s="16">
        <v>0.16277777777777799</v>
      </c>
      <c r="D32" s="16">
        <v>0.18777777777777799</v>
      </c>
      <c r="E32" s="16">
        <v>0.16361111111111101</v>
      </c>
      <c r="F32" s="16">
        <v>9.5000000000000001E-2</v>
      </c>
      <c r="G32" s="16">
        <v>0</v>
      </c>
      <c r="H32" s="16">
        <v>-9.5000000000000001E-2</v>
      </c>
      <c r="I32" s="16">
        <v>-0.16361111111111101</v>
      </c>
      <c r="J32" s="16">
        <v>-0.18777777777777799</v>
      </c>
      <c r="K32" s="16">
        <v>-0.16166666666666701</v>
      </c>
      <c r="L32" s="16">
        <v>-9.30555555555556E-2</v>
      </c>
      <c r="M32" s="16">
        <v>0</v>
      </c>
    </row>
  </sheetData>
  <sortState xmlns:xlrd2="http://schemas.microsoft.com/office/spreadsheetml/2017/richdata2" ref="M3:M33">
    <sortCondition descending="1" ref="M3:M3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6A4-8D6B-46E3-94B0-BDF3B4CE38EA}">
  <dimension ref="A1:M32"/>
  <sheetViews>
    <sheetView zoomScale="84" zoomScaleNormal="145" workbookViewId="0">
      <selection activeCell="T5" sqref="T5"/>
    </sheetView>
  </sheetViews>
  <sheetFormatPr defaultRowHeight="15" x14ac:dyDescent="0.25"/>
  <sheetData>
    <row r="1" spans="1:13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3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</v>
      </c>
      <c r="C2">
        <v>-0.6627777777777778</v>
      </c>
      <c r="D2">
        <v>-1.1541666666666666</v>
      </c>
      <c r="E2">
        <v>-1.3425</v>
      </c>
      <c r="F2">
        <v>-1.1711111111111112</v>
      </c>
      <c r="G2">
        <v>-0.67972222222222223</v>
      </c>
      <c r="H2">
        <v>0</v>
      </c>
      <c r="I2">
        <v>0.67972222222222201</v>
      </c>
      <c r="J2">
        <v>1.1711111111111101</v>
      </c>
      <c r="K2">
        <v>1.3425</v>
      </c>
      <c r="L2">
        <v>1.1555555555555601</v>
      </c>
      <c r="M2">
        <v>0.66277777777777802</v>
      </c>
    </row>
    <row r="3" spans="1:13" x14ac:dyDescent="0.25">
      <c r="A3">
        <v>1</v>
      </c>
      <c r="B3">
        <v>-2.3055555555555555E-2</v>
      </c>
      <c r="C3">
        <v>-0.68277777777777771</v>
      </c>
      <c r="D3">
        <v>-1.1658333333333333</v>
      </c>
      <c r="E3">
        <v>-1.3427777777777776</v>
      </c>
      <c r="F3">
        <v>-1.1594444444444443</v>
      </c>
      <c r="G3">
        <v>-0.65916666666666668</v>
      </c>
      <c r="H3">
        <v>2.38888888888889E-2</v>
      </c>
      <c r="I3">
        <v>0.7</v>
      </c>
      <c r="J3">
        <v>1.1825000000000001</v>
      </c>
      <c r="K3">
        <v>1.3419444444444399</v>
      </c>
      <c r="L3">
        <v>1.1388888888888899</v>
      </c>
      <c r="M3">
        <v>0.64249999999999996</v>
      </c>
    </row>
    <row r="4" spans="1:13" x14ac:dyDescent="0.25">
      <c r="A4">
        <v>2</v>
      </c>
      <c r="B4">
        <v>-4.611111111111111E-2</v>
      </c>
      <c r="C4">
        <v>-0.7024999999999999</v>
      </c>
      <c r="D4">
        <v>-1.1772222222222224</v>
      </c>
      <c r="E4">
        <v>-1.3425</v>
      </c>
      <c r="F4">
        <v>-1.1475</v>
      </c>
      <c r="G4">
        <v>-0.63833333333333331</v>
      </c>
      <c r="H4">
        <v>4.7500000000000001E-2</v>
      </c>
      <c r="I4">
        <v>0.72</v>
      </c>
      <c r="J4">
        <v>1.1936111111111101</v>
      </c>
      <c r="K4">
        <v>1.34083333333333</v>
      </c>
      <c r="L4">
        <v>1.12222222222222</v>
      </c>
      <c r="M4">
        <v>0.62194444444444497</v>
      </c>
    </row>
    <row r="5" spans="1:13" x14ac:dyDescent="0.25">
      <c r="A5">
        <v>3</v>
      </c>
      <c r="B5">
        <v>-6.9166666666666668E-2</v>
      </c>
      <c r="C5">
        <v>-0.72222222222222221</v>
      </c>
      <c r="D5">
        <v>-1.1883333333333332</v>
      </c>
      <c r="E5">
        <v>-1.3419444444444444</v>
      </c>
      <c r="F5">
        <v>-1.135</v>
      </c>
      <c r="G5">
        <v>-0.61750000000000005</v>
      </c>
      <c r="H5">
        <v>7.1388888888888904E-2</v>
      </c>
      <c r="I5">
        <v>0.73972222222222195</v>
      </c>
      <c r="J5">
        <v>1.2041666666666699</v>
      </c>
      <c r="K5">
        <v>1.33944444444444</v>
      </c>
      <c r="L5">
        <v>1.12222222222222</v>
      </c>
      <c r="M5">
        <v>0.60138888888888897</v>
      </c>
    </row>
    <row r="6" spans="1:13" x14ac:dyDescent="0.25">
      <c r="A6">
        <v>4</v>
      </c>
      <c r="B6">
        <v>-9.2222222222222219E-2</v>
      </c>
      <c r="C6">
        <v>-0.74166666666666659</v>
      </c>
      <c r="D6">
        <v>-1.1988888888888889</v>
      </c>
      <c r="E6">
        <v>-1.3408333333333333</v>
      </c>
      <c r="F6">
        <v>-1.1222222222222222</v>
      </c>
      <c r="G6">
        <v>-0.59638888888888897</v>
      </c>
      <c r="H6">
        <v>9.5000000000000001E-2</v>
      </c>
      <c r="I6">
        <v>0.75944444444444403</v>
      </c>
      <c r="J6">
        <v>1.21444444444444</v>
      </c>
      <c r="K6">
        <v>1.33777777777778</v>
      </c>
      <c r="L6">
        <v>1.1055555555555601</v>
      </c>
      <c r="M6">
        <v>0.58055555555555505</v>
      </c>
    </row>
    <row r="7" spans="1:13" x14ac:dyDescent="0.25">
      <c r="A7">
        <v>5</v>
      </c>
      <c r="B7">
        <v>-0.11527777777777778</v>
      </c>
      <c r="C7">
        <v>-0.76083333333333336</v>
      </c>
      <c r="D7">
        <v>-1.2091666666666667</v>
      </c>
      <c r="E7">
        <v>-1.3391666666666666</v>
      </c>
      <c r="F7">
        <v>-1.108888888888889</v>
      </c>
      <c r="G7">
        <v>-0.57499999999999996</v>
      </c>
      <c r="H7">
        <v>0.118611111111111</v>
      </c>
      <c r="I7">
        <v>0.77888888888888896</v>
      </c>
      <c r="J7">
        <v>1.22416666666667</v>
      </c>
      <c r="K7">
        <v>1.3358333333333301</v>
      </c>
      <c r="L7">
        <v>1.0888888888888899</v>
      </c>
      <c r="M7">
        <v>0.55972222222222201</v>
      </c>
    </row>
    <row r="8" spans="1:13" x14ac:dyDescent="0.25">
      <c r="A8">
        <v>6</v>
      </c>
      <c r="B8">
        <v>-0.13833333333333334</v>
      </c>
      <c r="C8">
        <v>-0.77972222222222232</v>
      </c>
      <c r="D8">
        <v>-1.2191666666666667</v>
      </c>
      <c r="E8">
        <v>-1.3372222222222221</v>
      </c>
      <c r="F8">
        <v>-1.0952777777777778</v>
      </c>
      <c r="G8">
        <v>-0.55361111111111116</v>
      </c>
      <c r="H8">
        <v>0.142222222222222</v>
      </c>
      <c r="I8">
        <v>0.79805555555555596</v>
      </c>
      <c r="J8">
        <v>1.2338888888888899</v>
      </c>
      <c r="K8">
        <v>1.3333333333333299</v>
      </c>
      <c r="L8">
        <v>1.07222222222222</v>
      </c>
      <c r="M8">
        <v>0.53861111111111104</v>
      </c>
    </row>
    <row r="9" spans="1:13" x14ac:dyDescent="0.25">
      <c r="A9">
        <v>7</v>
      </c>
      <c r="B9">
        <v>-0.16111111111111109</v>
      </c>
      <c r="C9">
        <v>-0.79833333333333334</v>
      </c>
      <c r="D9">
        <v>-1.2286111111111113</v>
      </c>
      <c r="E9">
        <v>-1.3347222222222221</v>
      </c>
      <c r="F9">
        <v>-1.081388888888889</v>
      </c>
      <c r="G9">
        <v>-0.53194444444444444</v>
      </c>
      <c r="H9">
        <v>0.165833333333333</v>
      </c>
      <c r="I9">
        <v>0.81694444444444403</v>
      </c>
      <c r="J9">
        <v>1.24277777777778</v>
      </c>
      <c r="K9">
        <v>1.3305555555555599</v>
      </c>
      <c r="L9">
        <v>1.05527777777778</v>
      </c>
      <c r="M9">
        <v>0.51722222222222203</v>
      </c>
    </row>
    <row r="10" spans="1:13" x14ac:dyDescent="0.25">
      <c r="A10">
        <v>8</v>
      </c>
      <c r="B10">
        <v>-0.18416666666666665</v>
      </c>
      <c r="C10">
        <v>-0.81694444444444447</v>
      </c>
      <c r="D10">
        <v>-1.2377777777777779</v>
      </c>
      <c r="E10">
        <v>-1.3319444444444444</v>
      </c>
      <c r="F10">
        <v>-1.0672222222222223</v>
      </c>
      <c r="G10">
        <v>-0.51</v>
      </c>
      <c r="H10">
        <v>0.189444444444444</v>
      </c>
      <c r="I10">
        <v>0.83555555555555605</v>
      </c>
      <c r="J10">
        <v>1.25138888888889</v>
      </c>
      <c r="K10">
        <v>1.3272222222222201</v>
      </c>
      <c r="L10">
        <v>1.03861111111111</v>
      </c>
      <c r="M10">
        <v>0.49583333333333302</v>
      </c>
    </row>
    <row r="11" spans="1:13" x14ac:dyDescent="0.25">
      <c r="A11">
        <v>9</v>
      </c>
      <c r="B11">
        <v>-0.20694444444444446</v>
      </c>
      <c r="C11">
        <v>-0.83527777777777779</v>
      </c>
      <c r="D11">
        <v>-1.2466666666666668</v>
      </c>
      <c r="E11">
        <v>-1.3288888888888888</v>
      </c>
      <c r="F11">
        <v>-1.0527777777777778</v>
      </c>
      <c r="G11">
        <v>-0.48777777777777775</v>
      </c>
      <c r="H11">
        <v>0.213055555555556</v>
      </c>
      <c r="I11">
        <v>0.85416666666666696</v>
      </c>
      <c r="J11">
        <v>1.25972222222222</v>
      </c>
      <c r="K11">
        <v>1.3233333333333299</v>
      </c>
      <c r="L11">
        <v>1.03861111111111</v>
      </c>
      <c r="M11">
        <v>0.47166666666666701</v>
      </c>
    </row>
    <row r="12" spans="1:13" x14ac:dyDescent="0.25">
      <c r="A12">
        <v>10</v>
      </c>
      <c r="B12">
        <v>-0.22972222222222222</v>
      </c>
      <c r="C12">
        <v>-0.85333333333333328</v>
      </c>
      <c r="D12">
        <v>-1.2552777777777777</v>
      </c>
      <c r="E12">
        <v>-1.3255555555555556</v>
      </c>
      <c r="F12">
        <v>-1.0380555555555557</v>
      </c>
      <c r="G12">
        <v>-0.46555555555555556</v>
      </c>
      <c r="H12">
        <v>0.23638888888888901</v>
      </c>
      <c r="I12">
        <v>0.87250000000000005</v>
      </c>
      <c r="J12">
        <v>1.2677777777777799</v>
      </c>
      <c r="K12">
        <v>1.3188888888888901</v>
      </c>
      <c r="L12">
        <v>1.0219444444444401</v>
      </c>
      <c r="M12">
        <v>0.452777777777778</v>
      </c>
    </row>
    <row r="13" spans="1:13" x14ac:dyDescent="0.25">
      <c r="A13">
        <v>11</v>
      </c>
      <c r="B13">
        <v>-0.2525</v>
      </c>
      <c r="C13">
        <v>-0.87111111111111117</v>
      </c>
      <c r="D13">
        <v>-1.263611111111111</v>
      </c>
      <c r="E13">
        <v>-1.3216666666666665</v>
      </c>
      <c r="F13">
        <v>-1.0230555555555556</v>
      </c>
      <c r="G13">
        <v>-0.44305555555555559</v>
      </c>
      <c r="H13">
        <v>0.25972222222222202</v>
      </c>
      <c r="I13">
        <v>0.89055555555555599</v>
      </c>
      <c r="J13">
        <v>1.27527777777778</v>
      </c>
      <c r="K13">
        <v>1.31416666666667</v>
      </c>
      <c r="L13">
        <v>1.0049999999999999</v>
      </c>
      <c r="M13">
        <v>0.43083333333333301</v>
      </c>
    </row>
    <row r="14" spans="1:13" x14ac:dyDescent="0.25">
      <c r="A14">
        <v>12</v>
      </c>
      <c r="B14">
        <v>-0.27500000000000002</v>
      </c>
      <c r="C14">
        <v>-0.88777777777777778</v>
      </c>
      <c r="D14">
        <v>-1.2713888888888889</v>
      </c>
      <c r="E14">
        <v>-1.3172222222222223</v>
      </c>
      <c r="F14">
        <v>-1.0075000000000001</v>
      </c>
      <c r="G14">
        <v>-0.42055555555555557</v>
      </c>
      <c r="H14">
        <v>0.283055555555556</v>
      </c>
      <c r="I14">
        <v>0.90833333333333299</v>
      </c>
      <c r="J14">
        <v>1.2825</v>
      </c>
      <c r="K14">
        <v>1.3091666666666699</v>
      </c>
      <c r="L14">
        <v>0.98833333333333295</v>
      </c>
      <c r="M14">
        <v>0.40888888888888902</v>
      </c>
    </row>
    <row r="15" spans="1:13" x14ac:dyDescent="0.25">
      <c r="A15">
        <v>13</v>
      </c>
      <c r="B15">
        <v>-0.29749999999999999</v>
      </c>
      <c r="C15">
        <v>-0.90472222222222221</v>
      </c>
      <c r="D15">
        <v>-1.2786111111111111</v>
      </c>
      <c r="E15">
        <v>-1.3125</v>
      </c>
      <c r="F15">
        <v>-0.99166666666666703</v>
      </c>
      <c r="G15">
        <v>-0.39805555555555561</v>
      </c>
      <c r="H15">
        <v>0.30638888888888899</v>
      </c>
      <c r="I15">
        <v>0.92555555555555502</v>
      </c>
      <c r="J15">
        <v>1.2891666666666699</v>
      </c>
      <c r="K15">
        <v>1.30666666666667</v>
      </c>
      <c r="L15">
        <v>0.97166666666666701</v>
      </c>
      <c r="M15">
        <v>0.38694444444444398</v>
      </c>
    </row>
    <row r="16" spans="1:13" x14ac:dyDescent="0.25">
      <c r="A16">
        <v>14</v>
      </c>
      <c r="B16">
        <v>-0.32</v>
      </c>
      <c r="C16">
        <v>-0.92138888888888881</v>
      </c>
      <c r="D16">
        <v>-1.2855555555555553</v>
      </c>
      <c r="E16">
        <v>-1.3072222222222223</v>
      </c>
      <c r="F16">
        <v>-0.97555555555555551</v>
      </c>
      <c r="G16">
        <v>-0.37527777777777777</v>
      </c>
      <c r="H16">
        <v>0.32944444444444398</v>
      </c>
      <c r="I16">
        <v>0.9425</v>
      </c>
      <c r="J16">
        <v>1.29555555555556</v>
      </c>
      <c r="K16">
        <v>1.29805555555556</v>
      </c>
      <c r="L16">
        <v>0.95472222222222203</v>
      </c>
      <c r="M16">
        <v>0.364722222222222</v>
      </c>
    </row>
    <row r="17" spans="1:13" x14ac:dyDescent="0.25">
      <c r="A17">
        <v>15</v>
      </c>
      <c r="B17">
        <v>-0.34249999999999997</v>
      </c>
      <c r="C17">
        <v>-0.93805555555555553</v>
      </c>
      <c r="D17">
        <v>-1.2919444444444443</v>
      </c>
      <c r="E17">
        <v>-1.3016666666666667</v>
      </c>
      <c r="F17">
        <v>-0.95916666666666661</v>
      </c>
      <c r="G17">
        <v>-0.35249999999999998</v>
      </c>
      <c r="H17">
        <v>0.35249999999999998</v>
      </c>
      <c r="I17">
        <v>0.95916666666666694</v>
      </c>
      <c r="J17">
        <v>1.3016666666666701</v>
      </c>
      <c r="K17">
        <v>1.2919444444444399</v>
      </c>
      <c r="L17">
        <v>0.93805555555555598</v>
      </c>
      <c r="M17">
        <v>0.34250000000000003</v>
      </c>
    </row>
    <row r="18" spans="1:13" x14ac:dyDescent="0.25">
      <c r="A18">
        <v>16</v>
      </c>
      <c r="B18">
        <v>-0.36472222222222223</v>
      </c>
      <c r="C18">
        <v>-0.95472222222222214</v>
      </c>
      <c r="D18">
        <v>-1.2980555555555555</v>
      </c>
      <c r="E18">
        <v>-1.2955555555555553</v>
      </c>
      <c r="F18">
        <v>-0.9425</v>
      </c>
      <c r="G18">
        <v>-0.32944444444444443</v>
      </c>
      <c r="H18">
        <v>0.37527777777777799</v>
      </c>
      <c r="I18">
        <v>0.97555555555555595</v>
      </c>
      <c r="J18">
        <v>1.3072222222222201</v>
      </c>
      <c r="K18">
        <v>1.28555555555556</v>
      </c>
      <c r="L18">
        <v>0.92138888888888903</v>
      </c>
      <c r="M18">
        <v>0.32</v>
      </c>
    </row>
    <row r="19" spans="1:13" x14ac:dyDescent="0.25">
      <c r="A19">
        <v>17</v>
      </c>
      <c r="B19">
        <v>-0.38694444444444448</v>
      </c>
      <c r="C19">
        <v>-0.97166666666666668</v>
      </c>
      <c r="D19">
        <v>-1.3066666666666666</v>
      </c>
      <c r="E19">
        <v>-1.2891666666666666</v>
      </c>
      <c r="F19">
        <v>-0.92555555555555546</v>
      </c>
      <c r="G19">
        <v>-0.30638888888888888</v>
      </c>
      <c r="H19">
        <v>0.398055555555556</v>
      </c>
      <c r="I19">
        <v>0.99166666666666703</v>
      </c>
      <c r="J19">
        <v>1.3125</v>
      </c>
      <c r="K19">
        <v>1.27861111111111</v>
      </c>
      <c r="L19">
        <v>0.90472222222222198</v>
      </c>
      <c r="M19">
        <v>0.29749999999999999</v>
      </c>
    </row>
    <row r="20" spans="1:13" x14ac:dyDescent="0.25">
      <c r="A20">
        <v>18</v>
      </c>
      <c r="B20">
        <v>-0.40888888888888891</v>
      </c>
      <c r="C20">
        <v>-0.98833333333333329</v>
      </c>
      <c r="D20">
        <v>-1.3091666666666668</v>
      </c>
      <c r="E20">
        <v>-1.2825</v>
      </c>
      <c r="F20">
        <v>-0.90833333333333333</v>
      </c>
      <c r="G20">
        <v>-0.28305555555555556</v>
      </c>
      <c r="H20">
        <v>0.42055555555555602</v>
      </c>
      <c r="I20">
        <v>1.0075000000000001</v>
      </c>
      <c r="J20">
        <v>1.3172222222222201</v>
      </c>
      <c r="K20">
        <v>1.27138888888889</v>
      </c>
      <c r="L20">
        <v>0.887777777777778</v>
      </c>
      <c r="M20">
        <v>0.27500000000000002</v>
      </c>
    </row>
    <row r="21" spans="1:13" x14ac:dyDescent="0.25">
      <c r="A21">
        <v>19</v>
      </c>
      <c r="B21">
        <v>-0.43083333333333335</v>
      </c>
      <c r="C21">
        <v>-1.0049999999999999</v>
      </c>
      <c r="D21">
        <v>-1.3141666666666667</v>
      </c>
      <c r="E21">
        <v>-1.2752777777777777</v>
      </c>
      <c r="F21">
        <v>-0.89055555555555554</v>
      </c>
      <c r="G21">
        <v>-0.25972222222222224</v>
      </c>
      <c r="H21">
        <v>0.44305555555555598</v>
      </c>
      <c r="I21">
        <v>1.02305555555556</v>
      </c>
      <c r="J21">
        <v>1.3216666666666701</v>
      </c>
      <c r="K21">
        <v>1.2636111111111099</v>
      </c>
      <c r="L21">
        <v>0.87111111111111095</v>
      </c>
      <c r="M21">
        <v>0.2525</v>
      </c>
    </row>
    <row r="22" spans="1:13" x14ac:dyDescent="0.25">
      <c r="A22">
        <v>20</v>
      </c>
      <c r="B22">
        <v>-0.45277777777777778</v>
      </c>
      <c r="C22">
        <v>-1.0219444444444443</v>
      </c>
      <c r="D22">
        <v>-1.3188888888888888</v>
      </c>
      <c r="E22">
        <v>-1.2677777777777777</v>
      </c>
      <c r="F22">
        <v>-0.87250000000000005</v>
      </c>
      <c r="G22">
        <v>-0.2363888888888889</v>
      </c>
      <c r="H22">
        <v>0.465555555555556</v>
      </c>
      <c r="I22">
        <v>1.03805555555556</v>
      </c>
      <c r="J22">
        <v>1.32555555555556</v>
      </c>
      <c r="K22">
        <v>1.2552777777777799</v>
      </c>
      <c r="L22">
        <v>0.85333333333333306</v>
      </c>
      <c r="M22">
        <v>0.22972222222222199</v>
      </c>
    </row>
    <row r="23" spans="1:13" x14ac:dyDescent="0.25">
      <c r="A23">
        <v>21</v>
      </c>
      <c r="B23">
        <v>-0.47166666666666668</v>
      </c>
      <c r="C23">
        <v>-1.0386111111111112</v>
      </c>
      <c r="D23">
        <v>-1.3233333333333333</v>
      </c>
      <c r="E23">
        <v>-1.2597222222222222</v>
      </c>
      <c r="F23">
        <v>-0.85416666666666663</v>
      </c>
      <c r="G23">
        <v>-0.21305555555555555</v>
      </c>
      <c r="H23">
        <v>0.48777777777777798</v>
      </c>
      <c r="I23">
        <v>1.05277777777778</v>
      </c>
      <c r="J23">
        <v>1.3288888888888899</v>
      </c>
      <c r="K23">
        <v>1.2466666666666699</v>
      </c>
      <c r="L23">
        <v>0.83527777777777801</v>
      </c>
      <c r="M23">
        <v>0.20694444444444399</v>
      </c>
    </row>
    <row r="24" spans="1:13" x14ac:dyDescent="0.25">
      <c r="A24">
        <v>22</v>
      </c>
      <c r="B24">
        <v>-0.49583333333333335</v>
      </c>
      <c r="C24">
        <v>-1.0386111111111112</v>
      </c>
      <c r="D24">
        <v>-1.3272222222222223</v>
      </c>
      <c r="E24">
        <v>-1.2513888888888889</v>
      </c>
      <c r="F24">
        <v>-0.83555555555555561</v>
      </c>
      <c r="G24">
        <v>-0.18944444444444444</v>
      </c>
      <c r="H24">
        <v>0.51</v>
      </c>
      <c r="I24">
        <v>1.0672222222222201</v>
      </c>
      <c r="J24">
        <v>1.3319444444444399</v>
      </c>
      <c r="K24">
        <v>1.2377777777777801</v>
      </c>
      <c r="L24">
        <v>0.81694444444444403</v>
      </c>
      <c r="M24">
        <v>0.18416666666666701</v>
      </c>
    </row>
    <row r="25" spans="1:13" x14ac:dyDescent="0.25">
      <c r="A25">
        <v>23</v>
      </c>
      <c r="B25">
        <v>-0.51722222222222225</v>
      </c>
      <c r="C25">
        <v>-1.0552777777777778</v>
      </c>
      <c r="D25">
        <v>-1.3305555555555555</v>
      </c>
      <c r="E25">
        <v>-1.2427777777777778</v>
      </c>
      <c r="F25">
        <v>-0.81694444444444447</v>
      </c>
      <c r="G25">
        <v>-0.16583333333333333</v>
      </c>
      <c r="H25">
        <v>0.531944444444444</v>
      </c>
      <c r="I25">
        <v>1.0813888888888901</v>
      </c>
      <c r="J25">
        <v>1.3347222222222199</v>
      </c>
      <c r="K25">
        <v>1.22861111111111</v>
      </c>
      <c r="L25">
        <v>0.79833333333333301</v>
      </c>
      <c r="M25">
        <v>0.16111111111111101</v>
      </c>
    </row>
    <row r="26" spans="1:13" x14ac:dyDescent="0.25">
      <c r="A26">
        <v>24</v>
      </c>
      <c r="B26">
        <v>-0.53861111111111115</v>
      </c>
      <c r="C26">
        <v>-1.0722222222222222</v>
      </c>
      <c r="D26">
        <v>-1.3333333333333333</v>
      </c>
      <c r="E26">
        <v>-1.233888888888889</v>
      </c>
      <c r="F26">
        <v>-0.79805555555555552</v>
      </c>
      <c r="G26">
        <v>-0.14222222222222222</v>
      </c>
      <c r="H26">
        <v>0.55361111111111105</v>
      </c>
      <c r="I26">
        <v>1.09527777777778</v>
      </c>
      <c r="J26">
        <v>1.3372222222222201</v>
      </c>
      <c r="K26">
        <v>1.2191666666666701</v>
      </c>
      <c r="L26">
        <v>0.77972222222222198</v>
      </c>
      <c r="M26">
        <v>0.138333333333333</v>
      </c>
    </row>
    <row r="27" spans="1:13" x14ac:dyDescent="0.25">
      <c r="A27">
        <v>25</v>
      </c>
      <c r="B27">
        <v>-0.55972222222222223</v>
      </c>
      <c r="C27">
        <v>-1.0888888888888888</v>
      </c>
      <c r="D27">
        <v>-1.3358333333333332</v>
      </c>
      <c r="E27">
        <v>-1.2241666666666668</v>
      </c>
      <c r="F27">
        <v>-0.77888888888888896</v>
      </c>
      <c r="G27">
        <v>-0.11861111111111111</v>
      </c>
      <c r="H27">
        <v>0.57499999999999996</v>
      </c>
      <c r="I27">
        <v>1.1088888888888899</v>
      </c>
      <c r="J27">
        <v>1.3391666666666699</v>
      </c>
      <c r="K27">
        <v>1.2091666666666701</v>
      </c>
      <c r="L27">
        <v>0.76083333333333303</v>
      </c>
      <c r="M27">
        <v>0.11527777777777801</v>
      </c>
    </row>
    <row r="28" spans="1:13" x14ac:dyDescent="0.25">
      <c r="A28">
        <v>26</v>
      </c>
      <c r="B28">
        <v>-0.58055555555555549</v>
      </c>
      <c r="C28">
        <v>-1.1055555555555556</v>
      </c>
      <c r="D28">
        <v>-1.3377777777777777</v>
      </c>
      <c r="E28">
        <v>-1.2144444444444444</v>
      </c>
      <c r="F28">
        <v>-0.75944444444444448</v>
      </c>
      <c r="G28">
        <v>-9.5000000000000001E-2</v>
      </c>
      <c r="H28">
        <v>0.59638888888888897</v>
      </c>
      <c r="I28">
        <v>1.12222222222222</v>
      </c>
      <c r="J28">
        <v>1.34083333333333</v>
      </c>
      <c r="K28">
        <v>1.19888888888889</v>
      </c>
      <c r="L28">
        <v>0.74166666666666703</v>
      </c>
      <c r="M28">
        <v>9.2222222222222205E-2</v>
      </c>
    </row>
    <row r="29" spans="1:13" x14ac:dyDescent="0.25">
      <c r="A29">
        <v>27</v>
      </c>
      <c r="B29">
        <v>-0.60138888888888886</v>
      </c>
      <c r="C29">
        <v>-1.1222222222222222</v>
      </c>
      <c r="D29">
        <v>-1.3394444444444444</v>
      </c>
      <c r="E29">
        <v>-1.2041666666666666</v>
      </c>
      <c r="F29">
        <v>-0.73972222222222217</v>
      </c>
      <c r="G29">
        <v>-7.1388888888888891E-2</v>
      </c>
      <c r="H29">
        <v>0.61750000000000005</v>
      </c>
      <c r="I29">
        <v>1.135</v>
      </c>
      <c r="J29">
        <v>1.3419444444444399</v>
      </c>
      <c r="K29">
        <v>1.1883333333333299</v>
      </c>
      <c r="L29">
        <v>0.72222222222222199</v>
      </c>
      <c r="M29">
        <v>6.9166666666666696E-2</v>
      </c>
    </row>
    <row r="30" spans="1:13" x14ac:dyDescent="0.25">
      <c r="A30">
        <v>28</v>
      </c>
      <c r="B30">
        <v>-0.62194444444444452</v>
      </c>
      <c r="C30">
        <v>-1.1222222222222222</v>
      </c>
      <c r="D30">
        <v>-1.3408333333333333</v>
      </c>
      <c r="E30">
        <v>-1.1936111111111112</v>
      </c>
      <c r="F30">
        <v>-0.72</v>
      </c>
      <c r="G30">
        <v>-4.7500000000000001E-2</v>
      </c>
      <c r="H30">
        <v>0.63833333333333298</v>
      </c>
      <c r="I30">
        <v>1.1475</v>
      </c>
      <c r="J30">
        <v>1.3425</v>
      </c>
      <c r="K30">
        <v>1.1772222222222199</v>
      </c>
      <c r="L30">
        <v>0.70250000000000001</v>
      </c>
      <c r="M30">
        <v>4.6111111111111103E-2</v>
      </c>
    </row>
    <row r="31" spans="1:13" x14ac:dyDescent="0.25">
      <c r="A31">
        <v>29</v>
      </c>
      <c r="B31">
        <v>-0.64249999999999996</v>
      </c>
      <c r="C31">
        <v>-1.1388888888888888</v>
      </c>
      <c r="D31">
        <v>-1.3419444444444444</v>
      </c>
      <c r="E31">
        <v>-1.1825000000000001</v>
      </c>
      <c r="F31">
        <v>-0.7</v>
      </c>
      <c r="G31">
        <v>-2.388888888888889E-2</v>
      </c>
      <c r="H31">
        <v>0.65916666666666701</v>
      </c>
      <c r="I31">
        <v>1.1594444444444401</v>
      </c>
      <c r="J31">
        <v>1.3427777777777801</v>
      </c>
      <c r="K31">
        <v>1.1658333333333299</v>
      </c>
      <c r="L31">
        <v>0.68277777777777804</v>
      </c>
      <c r="M31">
        <v>2.30555555555556E-2</v>
      </c>
    </row>
    <row r="32" spans="1:13" x14ac:dyDescent="0.25">
      <c r="A32">
        <v>30</v>
      </c>
      <c r="B32">
        <v>-0.6627777777777778</v>
      </c>
      <c r="C32">
        <v>-1.1555555555555554</v>
      </c>
      <c r="D32">
        <v>-1.3425</v>
      </c>
      <c r="E32">
        <v>-1.1711111111111112</v>
      </c>
      <c r="F32">
        <v>-0.67972222222222223</v>
      </c>
      <c r="G32">
        <v>0</v>
      </c>
      <c r="H32">
        <v>0.67972222222222201</v>
      </c>
      <c r="I32">
        <v>1.1711111111111101</v>
      </c>
      <c r="J32">
        <v>1.3425</v>
      </c>
      <c r="K32">
        <v>1.1541666666666699</v>
      </c>
      <c r="L32">
        <v>0.66277777777777802</v>
      </c>
      <c r="M32">
        <v>0</v>
      </c>
    </row>
  </sheetData>
  <sortState xmlns:xlrd2="http://schemas.microsoft.com/office/spreadsheetml/2017/richdata2" ref="M2:M32">
    <sortCondition ref="M2:M3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6CDC-3C02-45DB-8A28-31C8485A6B23}">
  <dimension ref="A1:M32"/>
  <sheetViews>
    <sheetView zoomScale="64" zoomScaleNormal="53" workbookViewId="0">
      <selection activeCell="A2" sqref="A2"/>
    </sheetView>
  </sheetViews>
  <sheetFormatPr defaultRowHeight="15" x14ac:dyDescent="0.25"/>
  <cols>
    <col min="2" max="4" width="12.7109375" customWidth="1"/>
    <col min="5" max="5" width="13.140625" customWidth="1"/>
    <col min="6" max="6" width="12.7109375" customWidth="1"/>
    <col min="7" max="8" width="13" customWidth="1"/>
    <col min="9" max="9" width="13.42578125" customWidth="1"/>
    <col min="10" max="11" width="13" customWidth="1"/>
    <col min="12" max="12" width="12.7109375" customWidth="1"/>
    <col min="13" max="13" width="13.140625" customWidth="1"/>
  </cols>
  <sheetData>
    <row r="1" spans="1:13" ht="15.75" x14ac:dyDescent="0.25">
      <c r="A1" s="27" t="s">
        <v>32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</row>
    <row r="2" spans="1:13" ht="15.75" x14ac:dyDescent="0.25">
      <c r="A2" s="27">
        <v>0</v>
      </c>
      <c r="B2" s="28">
        <f>0+0/60+0/3600</f>
        <v>0</v>
      </c>
      <c r="C2" s="28">
        <f>-2+-58/60+-27/3600</f>
        <v>-2.9741666666666666</v>
      </c>
      <c r="D2" s="28">
        <f>-5+-16/60+-21/3600</f>
        <v>-5.2725</v>
      </c>
      <c r="E2" s="28">
        <f>-6+-17/60+-38/3600</f>
        <v>-6.2938888888888886</v>
      </c>
      <c r="F2" s="28">
        <f>-5+-38/60+-48/3600</f>
        <v>-5.6466666666666665</v>
      </c>
      <c r="G2" s="28">
        <f>-3+-21/60+-2/3600</f>
        <v>-3.3505555555555557</v>
      </c>
      <c r="H2" s="29">
        <f>0+0/60+0/3600</f>
        <v>0</v>
      </c>
      <c r="I2" s="29">
        <f>3+21/60+2/3600</f>
        <v>3.3505555555555557</v>
      </c>
      <c r="J2" s="29">
        <f>5+38/60+48/3600</f>
        <v>5.6466666666666665</v>
      </c>
      <c r="K2" s="29">
        <f>6+17/60+38/3600</f>
        <v>6.2938888888888886</v>
      </c>
      <c r="L2" s="29">
        <f>5+16/60+21/3600</f>
        <v>5.2725</v>
      </c>
      <c r="M2" s="29">
        <f>2+58/60+27/3600</f>
        <v>2.9741666666666666</v>
      </c>
    </row>
    <row r="3" spans="1:13" ht="15.75" x14ac:dyDescent="0.25">
      <c r="A3" s="27">
        <v>1</v>
      </c>
      <c r="B3" s="28">
        <f>0+-6/60+-11/3600</f>
        <v>-0.10305555555555557</v>
      </c>
      <c r="C3" s="28">
        <f>-3+-3/60+-55/3600</f>
        <v>-3.0652777777777778</v>
      </c>
      <c r="D3" s="28">
        <f>-5+-19/60+-49/3600</f>
        <v>-5.3302777777777779</v>
      </c>
      <c r="E3" s="28">
        <f>-6+-18/60+-2/3600</f>
        <v>-6.3005555555555555</v>
      </c>
      <c r="F3" s="28">
        <f>-5+-35/60+-42/3600</f>
        <v>-5.5949999999999998</v>
      </c>
      <c r="G3" s="28">
        <f>-3+-15/60+-3/3600</f>
        <v>-3.2508333333333335</v>
      </c>
      <c r="H3" s="29">
        <f>0+7/60+6/3600</f>
        <v>0.11833333333333333</v>
      </c>
      <c r="I3" s="29">
        <f>3+26/60+56/3600</f>
        <v>3.4488888888888893</v>
      </c>
      <c r="J3" s="29">
        <f>5+41/60+48/3600</f>
        <v>5.6966666666666672</v>
      </c>
      <c r="K3" s="29">
        <f>6+17/60+7/3600</f>
        <v>6.285277777777778</v>
      </c>
      <c r="L3" s="29">
        <f>5+12/60+48/3600</f>
        <v>5.2133333333333338</v>
      </c>
      <c r="M3" s="29">
        <f>2+52/60+56/3600</f>
        <v>2.8822222222222225</v>
      </c>
    </row>
    <row r="4" spans="1:13" ht="15.75" x14ac:dyDescent="0.25">
      <c r="A4" s="27">
        <v>2</v>
      </c>
      <c r="B4" s="28">
        <f>0+-12/60+-22/3600</f>
        <v>-0.20611111111111113</v>
      </c>
      <c r="C4" s="28">
        <f>-3+-9/60+-20/3600</f>
        <v>-3.1555555555555554</v>
      </c>
      <c r="D4" s="28">
        <f>-5+-23/60+-11/3600</f>
        <v>-5.3863888888888889</v>
      </c>
      <c r="E4" s="28">
        <f>-6+-18/60+-17/3600</f>
        <v>-6.3047222222222219</v>
      </c>
      <c r="F4" s="28">
        <f>-5+-32/60+-29/3600</f>
        <v>-5.5413888888888891</v>
      </c>
      <c r="G4" s="28">
        <f>-3+-9/60+0/3600</f>
        <v>-3.15</v>
      </c>
      <c r="H4" s="29">
        <f>0+14/60+11/3600</f>
        <v>0.2363888888888889</v>
      </c>
      <c r="I4" s="29">
        <f>3+32/60+46/3600</f>
        <v>3.5461111111111112</v>
      </c>
      <c r="J4" s="29">
        <f>5+44/60+41/3600</f>
        <v>5.7447222222222223</v>
      </c>
      <c r="K4" s="29">
        <f>6+16/60+30/3600</f>
        <v>6.2750000000000004</v>
      </c>
      <c r="L4" s="29">
        <f>5+9/60+10/3600</f>
        <v>5.1527777777777786</v>
      </c>
      <c r="M4" s="29">
        <f>2+47/60+22/3600</f>
        <v>2.7894444444444444</v>
      </c>
    </row>
    <row r="5" spans="1:13" ht="15.75" x14ac:dyDescent="0.25">
      <c r="A5" s="27">
        <v>3</v>
      </c>
      <c r="B5" s="28">
        <f>0+-18/60+-32/3600</f>
        <v>-0.30888888888888888</v>
      </c>
      <c r="C5" s="28">
        <f>-3+-14/60+-42/3600</f>
        <v>-3.2450000000000001</v>
      </c>
      <c r="D5" s="28">
        <f>-5+-26/60+-28/3600</f>
        <v>-5.4411111111111117</v>
      </c>
      <c r="E5" s="28">
        <f>-6+-18/60+-29/3600</f>
        <v>-6.3080555555555557</v>
      </c>
      <c r="F5" s="28">
        <f>-5+-29/60+-10/3600</f>
        <v>-5.4861111111111116</v>
      </c>
      <c r="G5" s="28">
        <f>-3+-2/60+-53/3600</f>
        <v>-3.0480555555555555</v>
      </c>
      <c r="H5" s="29">
        <f>0+21/60+16/3600</f>
        <v>0.3544444444444444</v>
      </c>
      <c r="I5" s="29">
        <f>3+38/60+31/3600</f>
        <v>3.6419444444444444</v>
      </c>
      <c r="J5" s="29">
        <f>5+47/60+26/3600</f>
        <v>5.7905555555555557</v>
      </c>
      <c r="K5" s="29">
        <f>6+15/60+46/3600</f>
        <v>6.262777777777778</v>
      </c>
      <c r="L5" s="29">
        <f>5+5/60+27/3600</f>
        <v>5.0908333333333333</v>
      </c>
      <c r="M5" s="29">
        <f>2+41/60+46/3600</f>
        <v>2.6961111111111116</v>
      </c>
    </row>
    <row r="6" spans="1:13" ht="15.75" x14ac:dyDescent="0.25">
      <c r="A6" s="27">
        <v>4</v>
      </c>
      <c r="B6" s="28">
        <f>0+-24/60+-42/3600</f>
        <v>-0.41166666666666668</v>
      </c>
      <c r="C6" s="28">
        <f>-3+-20/60+-2/3600</f>
        <v>-3.3338888888888891</v>
      </c>
      <c r="D6" s="28">
        <f>-5+-29/60+-39/3600</f>
        <v>-5.4941666666666666</v>
      </c>
      <c r="E6" s="28">
        <f>-6+-18/60+-32/3600</f>
        <v>-6.3088888888888883</v>
      </c>
      <c r="F6" s="28">
        <f>-5+-25/60+-44/3600</f>
        <v>-5.4288888888888893</v>
      </c>
      <c r="G6" s="28">
        <f>-2+-56/60+-12/3600</f>
        <v>-2.936666666666667</v>
      </c>
      <c r="H6" s="29">
        <f>0+28/60+20/3600</f>
        <v>0.47222222222222221</v>
      </c>
      <c r="I6" s="29">
        <f>3+44/60+12/3600</f>
        <v>3.7366666666666668</v>
      </c>
      <c r="J6" s="29">
        <f>5+50/60+4/3600</f>
        <v>5.8344444444444443</v>
      </c>
      <c r="K6" s="29">
        <f>6+14/60+55/3600</f>
        <v>6.2486111111111109</v>
      </c>
      <c r="L6" s="29">
        <f>5+1/60+40/3600</f>
        <v>5.0277777777777777</v>
      </c>
      <c r="M6" s="29">
        <f>2+36/60+8/3600</f>
        <v>2.6022222222222222</v>
      </c>
    </row>
    <row r="7" spans="1:13" ht="15.75" x14ac:dyDescent="0.25">
      <c r="A7" s="27">
        <v>5</v>
      </c>
      <c r="B7" s="28">
        <f>0+-30/60+-52/3600</f>
        <v>-0.51444444444444448</v>
      </c>
      <c r="C7" s="28">
        <f>-3+-25/60+-19/3600</f>
        <v>-3.4219444444444442</v>
      </c>
      <c r="D7" s="28">
        <f>-5+-32/60+-44/3600</f>
        <v>-5.5455555555555556</v>
      </c>
      <c r="E7" s="28">
        <f>-6+-18/60+-28/3600</f>
        <v>-6.3077777777777779</v>
      </c>
      <c r="F7" s="28">
        <f>-5+-22/60+-12/3600</f>
        <v>-5.3699999999999992</v>
      </c>
      <c r="G7" s="28">
        <f>-2+-50/60+-27/3600</f>
        <v>-2.8408333333333333</v>
      </c>
      <c r="H7" s="29">
        <f>0+35/60+24/3600</f>
        <v>0.59000000000000008</v>
      </c>
      <c r="I7" s="29">
        <f>3+49/60+48/3600</f>
        <v>3.8299999999999996</v>
      </c>
      <c r="J7" s="29">
        <f>5+52/60+35/3600</f>
        <v>5.8763888888888891</v>
      </c>
      <c r="K7" s="29">
        <f>6+13/60+58/3600</f>
        <v>6.2327777777777778</v>
      </c>
      <c r="L7" s="29">
        <f>4+57/60+48/3600</f>
        <v>4.9633333333333338</v>
      </c>
      <c r="M7" s="29">
        <f>2+30/60+28/3600</f>
        <v>2.5077777777777777</v>
      </c>
    </row>
    <row r="8" spans="1:13" ht="15.75" x14ac:dyDescent="0.25">
      <c r="A8" s="27">
        <v>6</v>
      </c>
      <c r="B8" s="28">
        <f>0+-37/60+-1/3600</f>
        <v>-0.61694444444444452</v>
      </c>
      <c r="C8" s="28">
        <f>-3+-30/60+-33/3600</f>
        <v>-3.5091666666666668</v>
      </c>
      <c r="D8" s="28">
        <f>-5+-35/60+-44/3600</f>
        <v>-5.5955555555555554</v>
      </c>
      <c r="E8" s="28">
        <f>-6+-18/60+-17/3600</f>
        <v>-6.3047222222222219</v>
      </c>
      <c r="F8" s="28">
        <f>-5+-18/60+-43/3600</f>
        <v>-5.3119444444444444</v>
      </c>
      <c r="G8" s="28">
        <f>-2+-44/60+-8/3600</f>
        <v>-2.7355555555555555</v>
      </c>
      <c r="H8" s="29">
        <f>0+42/60+27/3600</f>
        <v>0.70749999999999991</v>
      </c>
      <c r="I8" s="29">
        <f>3+55/60+19/3600</f>
        <v>3.9219444444444442</v>
      </c>
      <c r="J8" s="29">
        <f>5+54/60+59/3600</f>
        <v>5.9163888888888891</v>
      </c>
      <c r="K8" s="29">
        <f>6+12/60+54/3600</f>
        <v>6.2149999999999999</v>
      </c>
      <c r="L8" s="29">
        <f>4+53/60+51/3600</f>
        <v>4.8975</v>
      </c>
      <c r="M8" s="29">
        <f>2+24/60+45/3600</f>
        <v>2.4125000000000001</v>
      </c>
    </row>
    <row r="9" spans="1:13" ht="15.75" x14ac:dyDescent="0.25">
      <c r="A9" s="27">
        <v>7</v>
      </c>
      <c r="B9" s="28">
        <f>0+-43/60+-9/3600</f>
        <v>-0.71916666666666662</v>
      </c>
      <c r="C9" s="28">
        <f>-3+-35/60+-43/3600</f>
        <v>-3.595277777777778</v>
      </c>
      <c r="D9" s="28">
        <f>-5+-38/60+-39/3600</f>
        <v>-5.6441666666666661</v>
      </c>
      <c r="E9" s="28">
        <f>-6+-18/60+0/3600</f>
        <v>-6.3</v>
      </c>
      <c r="F9" s="28">
        <f>-5+-14/60+-49/3600</f>
        <v>-5.2469444444444449</v>
      </c>
      <c r="G9" s="28">
        <f>-2+-37/60+-46/3600</f>
        <v>-2.6294444444444447</v>
      </c>
      <c r="H9" s="29">
        <f>0+49/60+29/3600</f>
        <v>0.82472222222222225</v>
      </c>
      <c r="I9" s="29">
        <f>4+0/60+44/3600</f>
        <v>4.0122222222222224</v>
      </c>
      <c r="J9" s="29">
        <f>5+57/60+16/3600</f>
        <v>5.9544444444444444</v>
      </c>
      <c r="K9" s="29">
        <f>6+11/60+44/3600</f>
        <v>6.1955555555555559</v>
      </c>
      <c r="L9" s="29">
        <f>4+49/60+49/3600</f>
        <v>4.8302777777777779</v>
      </c>
      <c r="M9" s="29">
        <f>2+19/60+0/3600</f>
        <v>2.3166666666666664</v>
      </c>
    </row>
    <row r="10" spans="1:13" ht="15.75" x14ac:dyDescent="0.25">
      <c r="A10" s="27">
        <v>8</v>
      </c>
      <c r="B10" s="28">
        <f>0+-49/60+-17/3600</f>
        <v>-0.82138888888888884</v>
      </c>
      <c r="C10" s="28">
        <f>-3+-40/60+-49/3600</f>
        <v>-3.6802777777777775</v>
      </c>
      <c r="D10" s="28">
        <f>-5+-41/60+-28/3600</f>
        <v>-5.6911111111111117</v>
      </c>
      <c r="E10" s="28">
        <f>-6+-17/60+-34/3600</f>
        <v>-6.2927777777777774</v>
      </c>
      <c r="F10" s="28">
        <f>-5+-10/60+-56/3600</f>
        <v>-5.1822222222222223</v>
      </c>
      <c r="G10" s="28">
        <f>-2+-31/60+-20/3600</f>
        <v>-2.5222222222222221</v>
      </c>
      <c r="H10" s="29">
        <f>0+56/60+30/3600</f>
        <v>0.94166666666666665</v>
      </c>
      <c r="I10" s="29">
        <f>4+6/60+5/3600</f>
        <v>4.1013888888888888</v>
      </c>
      <c r="J10" s="29">
        <f>5+59/60+27/3600</f>
        <v>5.9908333333333337</v>
      </c>
      <c r="K10" s="29">
        <f>6+10/60+27/3600</f>
        <v>6.1741666666666672</v>
      </c>
      <c r="L10" s="29">
        <f>4+45/60+42/3600</f>
        <v>4.7616666666666667</v>
      </c>
      <c r="M10" s="29">
        <f>2+13/60+13/3600</f>
        <v>2.220277777777778</v>
      </c>
    </row>
    <row r="11" spans="1:13" ht="15.75" x14ac:dyDescent="0.25">
      <c r="A11" s="27">
        <v>9</v>
      </c>
      <c r="B11" s="28">
        <f>0+-55/60+-24/3600</f>
        <v>-0.92333333333333334</v>
      </c>
      <c r="C11" s="28">
        <f>-3+-45/60+-52/3600</f>
        <v>-3.7644444444444445</v>
      </c>
      <c r="D11" s="28">
        <f>-5+-44/60+-11/3600</f>
        <v>-5.7363888888888885</v>
      </c>
      <c r="E11" s="28">
        <f>-6+-17/60+-2/3600</f>
        <v>-6.2838888888888889</v>
      </c>
      <c r="F11" s="28">
        <f>-5+-6/60+-57/3600</f>
        <v>-5.1158333333333328</v>
      </c>
      <c r="G11" s="28">
        <f>-2+-24/60+-51/3600</f>
        <v>-2.4141666666666666</v>
      </c>
      <c r="H11" s="29">
        <f>1+3/60+30/3600</f>
        <v>1.0583333333333333</v>
      </c>
      <c r="I11" s="29">
        <f>4+11/60+20/3600</f>
        <v>4.1888888888888891</v>
      </c>
      <c r="J11" s="29">
        <f>6+1/60+30/3600</f>
        <v>6.0250000000000004</v>
      </c>
      <c r="K11" s="29">
        <f>6+9/60+3/3600</f>
        <v>6.1508333333333338</v>
      </c>
      <c r="L11" s="29">
        <f>4+41/60+31/3600</f>
        <v>4.6919444444444443</v>
      </c>
      <c r="M11" s="29">
        <f>2+7/60+23/3600</f>
        <v>2.1230555555555557</v>
      </c>
    </row>
    <row r="12" spans="1:13" ht="15.75" x14ac:dyDescent="0.25">
      <c r="A12" s="27">
        <v>10</v>
      </c>
      <c r="B12" s="28">
        <f>-1+-1/60+-31/3600</f>
        <v>-1.0252777777777777</v>
      </c>
      <c r="C12" s="28">
        <f>-3+-50/60+-51/3600</f>
        <v>-3.8475000000000001</v>
      </c>
      <c r="D12" s="28">
        <f>-5+-46/60+-48/3600</f>
        <v>-5.78</v>
      </c>
      <c r="E12" s="28">
        <f>-6+-16/60+-24/3600</f>
        <v>-6.2733333333333334</v>
      </c>
      <c r="F12" s="28">
        <f>-5+-2/60+-52/3600</f>
        <v>-5.0477777777777773</v>
      </c>
      <c r="G12" s="28">
        <f>-2+-18/60+-18/3600</f>
        <v>-2.3049999999999997</v>
      </c>
      <c r="H12" s="29">
        <f>1+1/60+10/3600</f>
        <v>1.0194444444444444</v>
      </c>
      <c r="I12" s="29">
        <f>4+16/60+30/3600</f>
        <v>4.2750000000000004</v>
      </c>
      <c r="J12" s="29">
        <f>6+3/60+27/3600</f>
        <v>6.0575000000000001</v>
      </c>
      <c r="K12" s="29">
        <f>6+7/60+33/3600</f>
        <v>6.1258333333333326</v>
      </c>
      <c r="L12" s="29">
        <f>4+37/60+16/3600</f>
        <v>4.6211111111111114</v>
      </c>
      <c r="M12" s="29">
        <f>2+1/60+31/3600</f>
        <v>2.0252777777777777</v>
      </c>
    </row>
    <row r="13" spans="1:13" ht="15.75" x14ac:dyDescent="0.25">
      <c r="A13" s="27">
        <v>11</v>
      </c>
      <c r="B13" s="28">
        <f>-1+-7/60+-37/3600</f>
        <v>-1.1269444444444445</v>
      </c>
      <c r="C13" s="28">
        <f>3+-55/60+-47/3600</f>
        <v>2.0702777777777781</v>
      </c>
      <c r="D13" s="28">
        <f>-5+-49/60+-19/3600</f>
        <v>-5.8219444444444441</v>
      </c>
      <c r="E13" s="28">
        <f>-6+-15/60+-38/3600</f>
        <v>-6.2605555555555554</v>
      </c>
      <c r="F13" s="28">
        <f>-4+-58/60+-41/3600</f>
        <v>-4.9780555555555557</v>
      </c>
      <c r="G13" s="28">
        <f>-2+-11/60+-42/3600</f>
        <v>-2.1949999999999998</v>
      </c>
      <c r="H13" s="29">
        <f>1+17/60+25/3600</f>
        <v>1.2902777777777776</v>
      </c>
      <c r="I13" s="29">
        <f>4+21/60+34/3600</f>
        <v>4.3594444444444438</v>
      </c>
      <c r="J13" s="29">
        <f>6+5/60+17/3600</f>
        <v>6.0880555555555551</v>
      </c>
      <c r="K13" s="29">
        <f>6+5/60+56/3600</f>
        <v>6.0988888888888884</v>
      </c>
      <c r="L13" s="29">
        <f>4+32/60+56/3600</f>
        <v>4.5488888888888885</v>
      </c>
      <c r="M13" s="29">
        <f>1+55/60+37/3600</f>
        <v>1.9269444444444443</v>
      </c>
    </row>
    <row r="14" spans="1:13" ht="15.75" x14ac:dyDescent="0.25">
      <c r="A14" s="27">
        <v>12</v>
      </c>
      <c r="B14" s="28">
        <f>-1+-13/60+-42/3600</f>
        <v>-1.2283333333333335</v>
      </c>
      <c r="C14" s="28">
        <f>-4+0/60+-39/3600</f>
        <v>-4.0108333333333333</v>
      </c>
      <c r="D14" s="28">
        <f>-5+-51/60+-45/3600</f>
        <v>-5.8624999999999998</v>
      </c>
      <c r="E14" s="28">
        <f>-6+-14/60+-49/3600</f>
        <v>-6.2469444444444449</v>
      </c>
      <c r="F14" s="28">
        <f>-4+-54/60+-24/3600</f>
        <v>-4.9066666666666672</v>
      </c>
      <c r="G14" s="28">
        <f>-2+-5/60+-3/3600</f>
        <v>-2.0841666666666669</v>
      </c>
      <c r="H14" s="29">
        <f>1+24/60+20/3600</f>
        <v>1.4055555555555554</v>
      </c>
      <c r="I14" s="29">
        <f>4+26/60+32/3600</f>
        <v>4.4422222222222221</v>
      </c>
      <c r="J14" s="29">
        <f>6+7/60+0/3600</f>
        <v>6.1166666666666663</v>
      </c>
      <c r="K14" s="29">
        <f>6+4/60+13/3600</f>
        <v>6.0702777777777772</v>
      </c>
      <c r="L14" s="29">
        <f>4+28/60+32/3600</f>
        <v>4.4755555555555553</v>
      </c>
      <c r="M14" s="29">
        <f>1+49/60+42/3600</f>
        <v>1.8283333333333334</v>
      </c>
    </row>
    <row r="15" spans="1:13" ht="15.75" x14ac:dyDescent="0.25">
      <c r="A15" s="27">
        <v>13</v>
      </c>
      <c r="B15" s="28">
        <f>-1+-19/60+-45/3600</f>
        <v>-1.3291666666666666</v>
      </c>
      <c r="C15" s="28">
        <f>-4+-5/60+-28/3600</f>
        <v>-4.0911111111111111</v>
      </c>
      <c r="D15" s="28">
        <f>-5+-54/60+-5/3600</f>
        <v>-5.9013888888888895</v>
      </c>
      <c r="E15" s="28">
        <f>-6+-13/60+-45/3600</f>
        <v>-6.229166666666667</v>
      </c>
      <c r="F15" s="28">
        <f>-4+-50/60+0/3600</f>
        <v>-4.833333333333333</v>
      </c>
      <c r="G15" s="28">
        <f>-1+-58/60+-22/3600</f>
        <v>-1.972777777777778</v>
      </c>
      <c r="H15" s="29">
        <f>1+31/60+13/3600</f>
        <v>1.5202777777777776</v>
      </c>
      <c r="I15" s="29">
        <f>4+31/60+25/3600</f>
        <v>4.5236111111111112</v>
      </c>
      <c r="J15" s="29">
        <f>6+8/60+35/3600</f>
        <v>6.1430555555555557</v>
      </c>
      <c r="K15" s="29">
        <f>6+2/60+24/3600</f>
        <v>6.04</v>
      </c>
      <c r="L15" s="29">
        <f>4+24/60+4/3600</f>
        <v>4.4011111111111116</v>
      </c>
      <c r="M15" s="29">
        <f>1+43/60+45/3600</f>
        <v>1.7291666666666667</v>
      </c>
    </row>
    <row r="16" spans="1:13" ht="15.75" x14ac:dyDescent="0.25">
      <c r="A16" s="27">
        <v>14</v>
      </c>
      <c r="B16" s="28">
        <f>-1+-25/60+-47/3600</f>
        <v>-1.4297222222222223</v>
      </c>
      <c r="C16" s="28">
        <f>-4+-10/60+-13/3600</f>
        <v>-4.1702777777777778</v>
      </c>
      <c r="D16" s="28">
        <f>-5+-56/60+-19/3600</f>
        <v>-5.9386111111111113</v>
      </c>
      <c r="E16" s="28">
        <f>-6+-12/60+-38/3600</f>
        <v>-6.2105555555555556</v>
      </c>
      <c r="F16" s="28">
        <f>-4+-45/60+-30/3600</f>
        <v>-4.7583333333333337</v>
      </c>
      <c r="G16" s="28">
        <f>-1+-51/60+-38/3600</f>
        <v>-1.8605555555555557</v>
      </c>
      <c r="H16" s="29">
        <f>1+38/60+4/3600</f>
        <v>1.6344444444444444</v>
      </c>
      <c r="I16" s="29">
        <f>4+36/60+12/3600</f>
        <v>4.6033333333333326</v>
      </c>
      <c r="J16" s="29">
        <f>6+10/60+3/3600</f>
        <v>6.1675000000000004</v>
      </c>
      <c r="K16" s="29">
        <f>6+0/60+29/3600</f>
        <v>6.0080555555555559</v>
      </c>
      <c r="L16" s="29">
        <f>4+19/60+31/3600</f>
        <v>4.3252777777777771</v>
      </c>
      <c r="M16" s="29">
        <f>1+37/60+47/3600</f>
        <v>1.6297222222222223</v>
      </c>
    </row>
    <row r="17" spans="1:13" ht="15.75" x14ac:dyDescent="0.25">
      <c r="A17" s="27">
        <v>15</v>
      </c>
      <c r="B17" s="28">
        <f>-1+-31/60+-48/3600</f>
        <v>-1.53</v>
      </c>
      <c r="C17" s="28">
        <f>-4+-14/60+-54/3600</f>
        <v>-4.2483333333333331</v>
      </c>
      <c r="D17" s="28">
        <f>-5+-58/60+27/3600</f>
        <v>-5.9591666666666665</v>
      </c>
      <c r="E17" s="28">
        <f>-6+-11/60+-24/3600</f>
        <v>-6.19</v>
      </c>
      <c r="F17" s="28">
        <f>-4+-40/60+-54/3600</f>
        <v>-4.6816666666666666</v>
      </c>
      <c r="G17" s="28">
        <f>-1+-44/60+-52/3600</f>
        <v>-1.7477777777777779</v>
      </c>
      <c r="H17" s="29">
        <f>1+44/60+52/3600</f>
        <v>1.7477777777777779</v>
      </c>
      <c r="I17" s="29">
        <f>4+40/60+54/3600</f>
        <v>4.6816666666666666</v>
      </c>
      <c r="J17" s="29">
        <f>6+11/60+24/3600</f>
        <v>6.19</v>
      </c>
      <c r="K17" s="29">
        <f>5+58/60+27/3600</f>
        <v>5.9741666666666671</v>
      </c>
      <c r="L17" s="29">
        <f>4+14/60+54/3600</f>
        <v>4.2483333333333331</v>
      </c>
      <c r="M17" s="29">
        <f>1+31/60+48/3600</f>
        <v>1.53</v>
      </c>
    </row>
    <row r="18" spans="1:13" ht="15.75" x14ac:dyDescent="0.25">
      <c r="A18" s="27">
        <v>16</v>
      </c>
      <c r="B18" s="28">
        <f>-1+-37/60+-47/3600</f>
        <v>-1.6297222222222223</v>
      </c>
      <c r="C18" s="28">
        <f>-4+-19/60+-31/3600</f>
        <v>-4.3252777777777771</v>
      </c>
      <c r="D18" s="28">
        <f>-6+0/60+-29/3600</f>
        <v>-6.0080555555555559</v>
      </c>
      <c r="E18" s="28">
        <f>-6+-10/60+-3/3600</f>
        <v>-6.1675000000000004</v>
      </c>
      <c r="F18" s="28">
        <f>-4+-36/60+-12/3600</f>
        <v>-4.6033333333333326</v>
      </c>
      <c r="G18" s="28">
        <f>-1+-38/60+-4/3600</f>
        <v>-1.6344444444444444</v>
      </c>
      <c r="H18" s="29">
        <f>1+51/60+38/3600</f>
        <v>1.8605555555555557</v>
      </c>
      <c r="I18" s="29">
        <f>4+45/60+30/3600</f>
        <v>4.7583333333333337</v>
      </c>
      <c r="J18" s="29">
        <f>6+12/60+38/3600</f>
        <v>6.2105555555555556</v>
      </c>
      <c r="K18" s="29">
        <f>5+56/60+19/3600</f>
        <v>5.9386111111111113</v>
      </c>
      <c r="L18" s="29">
        <f>4+10/60+13/3600</f>
        <v>4.1702777777777778</v>
      </c>
      <c r="M18" s="29">
        <f>1+25/60+47/3600</f>
        <v>1.4297222222222223</v>
      </c>
    </row>
    <row r="19" spans="1:13" ht="15.75" x14ac:dyDescent="0.25">
      <c r="A19" s="27">
        <v>17</v>
      </c>
      <c r="B19" s="28">
        <f>-1+-43/60+-45/3600</f>
        <v>-1.7291666666666667</v>
      </c>
      <c r="C19" s="28">
        <f>-4+-24/60+-4/3600</f>
        <v>-4.4011111111111116</v>
      </c>
      <c r="D19" s="28">
        <f>-6+-2/60+-24/3600</f>
        <v>-6.04</v>
      </c>
      <c r="E19" s="28">
        <f>-6+-8/60+-35/3600</f>
        <v>-6.1430555555555557</v>
      </c>
      <c r="F19" s="28">
        <f>-4+-31/60+-25/3600</f>
        <v>-4.5236111111111112</v>
      </c>
      <c r="G19" s="28">
        <f>-1+-31/60+-13/3600</f>
        <v>-1.5202777777777776</v>
      </c>
      <c r="H19" s="29">
        <f>1+58/60+22/3600</f>
        <v>1.972777777777778</v>
      </c>
      <c r="I19" s="29">
        <f>4+50/60+0/3600</f>
        <v>4.833333333333333</v>
      </c>
      <c r="J19" s="29">
        <f>6+13/60+45/3600</f>
        <v>6.229166666666667</v>
      </c>
      <c r="K19" s="29">
        <f>5+54/60+5/3600</f>
        <v>5.9013888888888895</v>
      </c>
      <c r="L19" s="29">
        <f>4+5/60+28/3600</f>
        <v>4.0911111111111111</v>
      </c>
      <c r="M19" s="29">
        <f>1+19/60+45/3600</f>
        <v>1.3291666666666666</v>
      </c>
    </row>
    <row r="20" spans="1:13" ht="15.75" x14ac:dyDescent="0.25">
      <c r="A20" s="27">
        <v>18</v>
      </c>
      <c r="B20" s="28">
        <f>-1+-49/60+-42/3600</f>
        <v>-1.8283333333333334</v>
      </c>
      <c r="C20" s="28">
        <f>-4+-28/60+-32/3600</f>
        <v>-4.4755555555555553</v>
      </c>
      <c r="D20" s="28">
        <f>-6+-4/60+-13/3600</f>
        <v>-6.0702777777777772</v>
      </c>
      <c r="E20" s="28">
        <f>-6+-7/60+0/3600</f>
        <v>-6.1166666666666663</v>
      </c>
      <c r="F20" s="28">
        <f>-4+-26/60+-32/3600</f>
        <v>-4.4422222222222221</v>
      </c>
      <c r="G20" s="28">
        <f>-1+-24/60+-20/3600</f>
        <v>-1.4055555555555554</v>
      </c>
      <c r="H20" s="29">
        <f>2+5/60+3/3600</f>
        <v>2.0841666666666669</v>
      </c>
      <c r="I20" s="29">
        <f>4+54/60+24/3600</f>
        <v>4.9066666666666672</v>
      </c>
      <c r="J20" s="29">
        <f>6+14/60+49/3600</f>
        <v>6.2469444444444449</v>
      </c>
      <c r="K20" s="29">
        <f>5+51/60+45/3600</f>
        <v>5.8624999999999998</v>
      </c>
      <c r="L20" s="29">
        <f>4+0/60+39/3600</f>
        <v>4.0108333333333333</v>
      </c>
      <c r="M20" s="29">
        <f>1+13/60+42/3600</f>
        <v>1.2283333333333335</v>
      </c>
    </row>
    <row r="21" spans="1:13" ht="15.75" x14ac:dyDescent="0.25">
      <c r="A21" s="27">
        <v>19</v>
      </c>
      <c r="B21" s="28">
        <f>-1+-55/60+-37/3600</f>
        <v>-1.9269444444444443</v>
      </c>
      <c r="C21" s="28">
        <f>-4+-32/60+-56/3600</f>
        <v>-4.5488888888888885</v>
      </c>
      <c r="D21" s="28">
        <f>-6+-5/60+-56/3600</f>
        <v>-6.0988888888888884</v>
      </c>
      <c r="E21" s="28">
        <f>-6+-5/60+-17/3600</f>
        <v>-6.0880555555555551</v>
      </c>
      <c r="F21" s="28">
        <f>-4+-21/60+-34/3600</f>
        <v>-4.3594444444444438</v>
      </c>
      <c r="G21" s="28">
        <f>-1+-17/60+-25/3600</f>
        <v>-1.2902777777777776</v>
      </c>
      <c r="H21" s="29">
        <f>2+11/60+42/3600</f>
        <v>2.1949999999999998</v>
      </c>
      <c r="I21" s="29">
        <f>4+58/60+41/3600</f>
        <v>4.9780555555555557</v>
      </c>
      <c r="J21" s="29">
        <f>6+15/60+38/3600</f>
        <v>6.2605555555555554</v>
      </c>
      <c r="K21" s="29">
        <f>5+49/60+19/3600</f>
        <v>5.8219444444444441</v>
      </c>
      <c r="L21" s="29">
        <f>3+55/60+47/3600</f>
        <v>3.9297222222222219</v>
      </c>
      <c r="M21" s="29">
        <f>1+7/60+37/3600</f>
        <v>1.1269444444444445</v>
      </c>
    </row>
    <row r="22" spans="1:13" ht="15.75" x14ac:dyDescent="0.25">
      <c r="A22" s="27">
        <v>20</v>
      </c>
      <c r="B22" s="28">
        <f>-2+-1/60+-31/3600</f>
        <v>-2.0252777777777777</v>
      </c>
      <c r="C22" s="28">
        <f>-4+-37/60+-16/3600</f>
        <v>-4.6211111111111114</v>
      </c>
      <c r="D22" s="28">
        <f>-6+-7/60+-33/3600</f>
        <v>-6.1258333333333326</v>
      </c>
      <c r="E22" s="28">
        <f>-6+-3/60+-27/3600</f>
        <v>-6.0575000000000001</v>
      </c>
      <c r="F22" s="28">
        <f>-4+-16/60+-30/3600</f>
        <v>-4.2750000000000004</v>
      </c>
      <c r="G22" s="28">
        <f>-1+-1/60+-10/3600</f>
        <v>-1.0194444444444444</v>
      </c>
      <c r="H22" s="29">
        <f>2+18/60+18/3600</f>
        <v>2.3049999999999997</v>
      </c>
      <c r="I22" s="29">
        <f>5+2/60+52/3600</f>
        <v>5.0477777777777773</v>
      </c>
      <c r="J22" s="29">
        <f>6+16/60+24/3600</f>
        <v>6.2733333333333334</v>
      </c>
      <c r="K22" s="29">
        <f>5+46/60+48/3600</f>
        <v>5.78</v>
      </c>
      <c r="L22" s="29">
        <f>3+50/60+51/3600</f>
        <v>3.8475000000000001</v>
      </c>
      <c r="M22" s="29">
        <f>1+1/60+31/3600</f>
        <v>1.0252777777777777</v>
      </c>
    </row>
    <row r="23" spans="1:13" ht="15.75" x14ac:dyDescent="0.25">
      <c r="A23" s="27">
        <v>21</v>
      </c>
      <c r="B23" s="28">
        <f>-2+-7/60+-23/3600</f>
        <v>-2.1230555555555557</v>
      </c>
      <c r="C23" s="28">
        <f>-4+-41/60+-31/3600</f>
        <v>-4.6919444444444443</v>
      </c>
      <c r="D23" s="28">
        <f>-6+-9/60+-3/3600</f>
        <v>-6.1508333333333338</v>
      </c>
      <c r="E23" s="28">
        <f>-6+-1/60+-30/3600</f>
        <v>-6.0250000000000004</v>
      </c>
      <c r="F23" s="28">
        <f>-4+-11/60+-20/3600</f>
        <v>-4.1888888888888891</v>
      </c>
      <c r="G23" s="28">
        <f>-1+-3/60+-30/3600</f>
        <v>-1.0583333333333333</v>
      </c>
      <c r="H23" s="29">
        <f>2+24/60+51/3600</f>
        <v>2.4141666666666666</v>
      </c>
      <c r="I23" s="29">
        <f>5+6/60+57/3600</f>
        <v>5.1158333333333328</v>
      </c>
      <c r="J23" s="29">
        <f>6+17/60+2/3600</f>
        <v>6.2838888888888889</v>
      </c>
      <c r="K23" s="29">
        <f>5+44/60+11/3600</f>
        <v>5.7363888888888885</v>
      </c>
      <c r="L23" s="29">
        <f>3+45/60+52/3600</f>
        <v>3.7644444444444445</v>
      </c>
      <c r="M23" s="29">
        <f>0+55/60+24/3600</f>
        <v>0.92333333333333334</v>
      </c>
    </row>
    <row r="24" spans="1:13" ht="15.75" x14ac:dyDescent="0.25">
      <c r="A24" s="27">
        <v>22</v>
      </c>
      <c r="B24" s="28">
        <f>-2+-13/60+-13/3600</f>
        <v>-2.220277777777778</v>
      </c>
      <c r="C24" s="28">
        <f>-4+-45/60+-42/3600</f>
        <v>-4.7616666666666667</v>
      </c>
      <c r="D24" s="28">
        <f>-6+-10/60+-27/3600</f>
        <v>-6.1741666666666672</v>
      </c>
      <c r="E24" s="28">
        <f>-5+-59/60+-27/3600</f>
        <v>-5.9908333333333337</v>
      </c>
      <c r="F24" s="28">
        <f>-4+-6/60+-5/3600</f>
        <v>-4.1013888888888888</v>
      </c>
      <c r="G24" s="28">
        <f>0+-56/60+-30/3600</f>
        <v>-0.94166666666666665</v>
      </c>
      <c r="H24" s="29">
        <f>2+31/60+20/3600</f>
        <v>2.5222222222222221</v>
      </c>
      <c r="I24" s="29">
        <f>5+10/60+56/3600</f>
        <v>5.1822222222222223</v>
      </c>
      <c r="J24" s="29">
        <f>6+17/60+34/3600</f>
        <v>6.2927777777777774</v>
      </c>
      <c r="K24" s="29">
        <f>5+41/60+28/3600</f>
        <v>5.6911111111111117</v>
      </c>
      <c r="L24" s="29">
        <f>3+40/60+49/3600</f>
        <v>3.6802777777777775</v>
      </c>
      <c r="M24" s="29">
        <f>0+49/60+17/3600</f>
        <v>0.82138888888888884</v>
      </c>
    </row>
    <row r="25" spans="1:13" ht="15.75" x14ac:dyDescent="0.25">
      <c r="A25" s="27">
        <v>23</v>
      </c>
      <c r="B25" s="28">
        <f>-2+-19/60+0/3600</f>
        <v>-2.3166666666666664</v>
      </c>
      <c r="C25" s="28">
        <f>-4+-49/60+-49/3600</f>
        <v>-4.8302777777777779</v>
      </c>
      <c r="D25" s="28">
        <f>-6+-11/60+-44/3600</f>
        <v>-6.1955555555555559</v>
      </c>
      <c r="E25" s="28">
        <f>-5+-57/60+-16/3600</f>
        <v>-5.9544444444444444</v>
      </c>
      <c r="F25" s="28">
        <f>-4+0/60+-44/3600</f>
        <v>-4.0122222222222224</v>
      </c>
      <c r="G25" s="28">
        <f>0+-49/60+-29/3600</f>
        <v>-0.82472222222222225</v>
      </c>
      <c r="H25" s="29">
        <f>2+37/60+46/3600</f>
        <v>2.6294444444444447</v>
      </c>
      <c r="I25" s="29">
        <f>5+14/60+49/3600</f>
        <v>5.2469444444444449</v>
      </c>
      <c r="J25" s="29">
        <f>6+18/60+0/3600</f>
        <v>6.3</v>
      </c>
      <c r="K25" s="29">
        <f>5+38/60+39/3600</f>
        <v>5.6441666666666661</v>
      </c>
      <c r="L25" s="29">
        <f>3+35/60+43/3600</f>
        <v>3.595277777777778</v>
      </c>
      <c r="M25" s="29">
        <f>0+43/60+9/3600</f>
        <v>0.71916666666666662</v>
      </c>
    </row>
    <row r="26" spans="1:13" ht="15.75" x14ac:dyDescent="0.25">
      <c r="A26" s="27">
        <v>24</v>
      </c>
      <c r="B26" s="28">
        <f>-2+-24/60+-45/3600</f>
        <v>-2.4125000000000001</v>
      </c>
      <c r="C26" s="28">
        <f>-4+-53/60+-51/3600</f>
        <v>-4.8975</v>
      </c>
      <c r="D26" s="28">
        <f>-6+-12/60+-54/3600</f>
        <v>-6.2149999999999999</v>
      </c>
      <c r="E26" s="28">
        <f>-5+-54/60+-59/3600</f>
        <v>-5.9163888888888891</v>
      </c>
      <c r="F26" s="28">
        <f>-3+-55/60+-19/3600</f>
        <v>-3.9219444444444442</v>
      </c>
      <c r="G26" s="28">
        <f>0+-42/60+-27/3600</f>
        <v>-0.70749999999999991</v>
      </c>
      <c r="H26" s="29">
        <f>2+44/60+8/3600</f>
        <v>2.7355555555555555</v>
      </c>
      <c r="I26" s="29">
        <f>5+18/60+43/3600</f>
        <v>5.3119444444444444</v>
      </c>
      <c r="J26" s="29">
        <f>6+18/60+17/3600</f>
        <v>6.3047222222222219</v>
      </c>
      <c r="K26" s="29">
        <f>5+35/60+44/3600</f>
        <v>5.5955555555555554</v>
      </c>
      <c r="L26" s="29">
        <f>3+30/60+33/3600</f>
        <v>3.5091666666666668</v>
      </c>
      <c r="M26" s="29">
        <f>0+37/60+1/3600</f>
        <v>0.61694444444444452</v>
      </c>
    </row>
    <row r="27" spans="1:13" ht="15.75" x14ac:dyDescent="0.25">
      <c r="A27" s="27">
        <v>25</v>
      </c>
      <c r="B27" s="28">
        <f>-2+-30/60+-28/3600</f>
        <v>-2.5077777777777777</v>
      </c>
      <c r="C27" s="28">
        <f>-4+-57/60+-48/3600</f>
        <v>-4.9633333333333338</v>
      </c>
      <c r="D27" s="28">
        <f>-6+-13/60+-58/3600</f>
        <v>-6.2327777777777778</v>
      </c>
      <c r="E27" s="28">
        <f>-5+-52/60+-35/3600</f>
        <v>-5.8763888888888891</v>
      </c>
      <c r="F27" s="28">
        <f>-3+-49/60+-48/3600</f>
        <v>-3.8299999999999996</v>
      </c>
      <c r="G27" s="28">
        <f>0+-35/60+-24/3600</f>
        <v>-0.59000000000000008</v>
      </c>
      <c r="H27" s="29">
        <f>2+50/60+27/3600</f>
        <v>2.8408333333333333</v>
      </c>
      <c r="I27" s="29">
        <f>5+22/60+12/3600</f>
        <v>5.3699999999999992</v>
      </c>
      <c r="J27" s="29">
        <f>6+18/60+28/3600</f>
        <v>6.3077777777777779</v>
      </c>
      <c r="K27" s="29">
        <f>5+32/60+44/3600</f>
        <v>5.5455555555555556</v>
      </c>
      <c r="L27" s="29">
        <f>3+25/60+19/3600</f>
        <v>3.4219444444444442</v>
      </c>
      <c r="M27" s="29">
        <f>0+30/60+52/3600</f>
        <v>0.51444444444444448</v>
      </c>
    </row>
    <row r="28" spans="1:13" ht="15.75" x14ac:dyDescent="0.25">
      <c r="A28" s="27">
        <v>26</v>
      </c>
      <c r="B28" s="28">
        <f>-2+-36/60+-8/3600</f>
        <v>-2.6022222222222222</v>
      </c>
      <c r="C28" s="28">
        <f>-5+-1/60+-40/3600</f>
        <v>-5.0277777777777777</v>
      </c>
      <c r="D28" s="28">
        <f>-6+-14/60+-55/3600</f>
        <v>-6.2486111111111109</v>
      </c>
      <c r="E28" s="28">
        <f>-5+-50/60+-4/3600</f>
        <v>-5.8344444444444443</v>
      </c>
      <c r="F28" s="28">
        <f>-3+-44/60+-12/3600</f>
        <v>-3.7366666666666668</v>
      </c>
      <c r="G28" s="28">
        <f>0+-28/60+-20/3600</f>
        <v>-0.47222222222222221</v>
      </c>
      <c r="H28" s="29">
        <f>2+56/60+12/3600</f>
        <v>2.936666666666667</v>
      </c>
      <c r="I28" s="29">
        <f>5+25/60+44/3600</f>
        <v>5.4288888888888893</v>
      </c>
      <c r="J28" s="29">
        <f>6+18/60+32/3600</f>
        <v>6.3088888888888883</v>
      </c>
      <c r="K28" s="29">
        <f>5+29/60+39/3600</f>
        <v>5.4941666666666666</v>
      </c>
      <c r="L28" s="29">
        <f>3+20/60+2/3600</f>
        <v>3.3338888888888891</v>
      </c>
      <c r="M28" s="29">
        <f>0+24/60+42/3600</f>
        <v>0.41166666666666668</v>
      </c>
    </row>
    <row r="29" spans="1:13" ht="15.75" x14ac:dyDescent="0.25">
      <c r="A29" s="27">
        <v>27</v>
      </c>
      <c r="B29" s="28">
        <f>-2+-41/60+-46/3600</f>
        <v>-2.6961111111111116</v>
      </c>
      <c r="C29" s="28">
        <f>-5+-5/60+-27/3600</f>
        <v>-5.0908333333333333</v>
      </c>
      <c r="D29" s="28">
        <f>-6+-15/60+-46/3600</f>
        <v>-6.262777777777778</v>
      </c>
      <c r="E29" s="28">
        <f>-5+-47/60+-26/3600</f>
        <v>-5.7905555555555557</v>
      </c>
      <c r="F29" s="28">
        <f>-3+-38/60+-31/3600</f>
        <v>-3.6419444444444444</v>
      </c>
      <c r="G29" s="28">
        <f>0+-21/60+-16/3600</f>
        <v>-0.3544444444444444</v>
      </c>
      <c r="H29" s="29">
        <f>3+2/60+53/3600</f>
        <v>3.0480555555555555</v>
      </c>
      <c r="I29" s="29">
        <f>5+29/60+10/3600</f>
        <v>5.4861111111111116</v>
      </c>
      <c r="J29" s="29">
        <f>6+18/60+29/3600</f>
        <v>6.3080555555555557</v>
      </c>
      <c r="K29" s="29">
        <f>5+26/60+28/3600</f>
        <v>5.4411111111111117</v>
      </c>
      <c r="L29" s="29">
        <f>3+14/60+42/3600</f>
        <v>3.2450000000000001</v>
      </c>
      <c r="M29" s="29">
        <f>0+18/60+32/3600</f>
        <v>0.30888888888888888</v>
      </c>
    </row>
    <row r="30" spans="1:13" ht="15.75" x14ac:dyDescent="0.25">
      <c r="A30" s="27">
        <v>28</v>
      </c>
      <c r="B30" s="28">
        <f>-2+-47/60+-22/3600</f>
        <v>-2.7894444444444444</v>
      </c>
      <c r="C30" s="28">
        <f>-5+-9/60+-10/3600</f>
        <v>-5.1527777777777786</v>
      </c>
      <c r="D30" s="28">
        <f>-6+-16/60+-30/3600</f>
        <v>-6.2750000000000004</v>
      </c>
      <c r="E30" s="28">
        <f>-5+-44/60+-41/3600</f>
        <v>-5.7447222222222223</v>
      </c>
      <c r="F30" s="28">
        <f>-3+-32/60+-46/3600</f>
        <v>-3.5461111111111112</v>
      </c>
      <c r="G30" s="28">
        <f>0+-14/60+-11/3600</f>
        <v>-0.2363888888888889</v>
      </c>
      <c r="H30" s="29">
        <f>3+9/60+0/3600</f>
        <v>3.15</v>
      </c>
      <c r="I30" s="29">
        <f>5+32/60+29/3600</f>
        <v>5.5413888888888891</v>
      </c>
      <c r="J30" s="29">
        <f>6+18/60+17/3600</f>
        <v>6.3047222222222219</v>
      </c>
      <c r="K30" s="29">
        <f>5+23/60+11/3600</f>
        <v>5.3863888888888889</v>
      </c>
      <c r="L30" s="29">
        <f>3+9/60+20/3600</f>
        <v>3.1555555555555554</v>
      </c>
      <c r="M30" s="29">
        <f>0+12/60+22/3600</f>
        <v>0.20611111111111113</v>
      </c>
    </row>
    <row r="31" spans="1:13" ht="15.75" x14ac:dyDescent="0.25">
      <c r="A31" s="27">
        <v>29</v>
      </c>
      <c r="B31" s="28">
        <f>-2+-52/60+-56/3600</f>
        <v>-2.8822222222222225</v>
      </c>
      <c r="C31" s="28">
        <f>-5+-12/60+-48/3600</f>
        <v>-5.2133333333333338</v>
      </c>
      <c r="D31" s="28">
        <f>-6+-17/60+-7/3600</f>
        <v>-6.285277777777778</v>
      </c>
      <c r="E31" s="28">
        <f>-5+-41/60+-48/3600</f>
        <v>-5.6966666666666672</v>
      </c>
      <c r="F31" s="28">
        <f>-3+-26/60+-56/3600</f>
        <v>-3.4488888888888893</v>
      </c>
      <c r="G31" s="28">
        <f>0+-7/60+-6/3600</f>
        <v>-0.11833333333333333</v>
      </c>
      <c r="H31" s="29">
        <f>3+15/60+3/3600</f>
        <v>3.2508333333333335</v>
      </c>
      <c r="I31" s="29">
        <f>5+35/60+42/3600</f>
        <v>5.5949999999999998</v>
      </c>
      <c r="J31" s="29">
        <f>6+18/60+2/3600</f>
        <v>6.3005555555555555</v>
      </c>
      <c r="K31" s="29">
        <f>5+19/60+49/3600</f>
        <v>5.3302777777777779</v>
      </c>
      <c r="L31" s="29">
        <f>3+3/60+55/3600</f>
        <v>3.0652777777777778</v>
      </c>
      <c r="M31" s="29">
        <f>0+6/60+11/3600</f>
        <v>0.10305555555555557</v>
      </c>
    </row>
    <row r="32" spans="1:13" ht="15.75" x14ac:dyDescent="0.25">
      <c r="A32" s="27">
        <v>30</v>
      </c>
      <c r="B32" s="28">
        <f>-2+-58/60+-27/3600</f>
        <v>-2.9741666666666666</v>
      </c>
      <c r="C32" s="28">
        <f>-5+-16/60+-21/3600</f>
        <v>-5.2725</v>
      </c>
      <c r="D32" s="28">
        <f>-6+-17/60+-38/3600</f>
        <v>-6.2938888888888886</v>
      </c>
      <c r="E32" s="28">
        <f>-5+-38/60+-48/3600</f>
        <v>-5.6466666666666665</v>
      </c>
      <c r="F32" s="28">
        <f>-3+-21/60+-2/3600</f>
        <v>-3.3505555555555557</v>
      </c>
      <c r="G32" s="28">
        <f>0+0/60+0/3600</f>
        <v>0</v>
      </c>
      <c r="H32" s="29">
        <f>3+21/60+2/3600</f>
        <v>3.3505555555555557</v>
      </c>
      <c r="I32" s="29">
        <f>5+38/60+48/3600</f>
        <v>5.6466666666666665</v>
      </c>
      <c r="J32" s="29">
        <f>6+17/60+38/3600</f>
        <v>6.2938888888888886</v>
      </c>
      <c r="K32" s="29">
        <f>5+16/60+21/3600</f>
        <v>5.2725</v>
      </c>
      <c r="L32" s="29">
        <f>2+58/60+27/3600</f>
        <v>2.9741666666666666</v>
      </c>
      <c r="M32" s="29">
        <f>0+0/60+0/3600</f>
        <v>0</v>
      </c>
    </row>
  </sheetData>
  <sortState xmlns:xlrd2="http://schemas.microsoft.com/office/spreadsheetml/2017/richdata2" ref="L2:L32">
    <sortCondition descending="1" ref="L2:L3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A6C0-7B10-4D6D-AC0A-83B687F8F8E2}">
  <dimension ref="A1:M32"/>
  <sheetViews>
    <sheetView zoomScale="54" workbookViewId="0">
      <selection activeCell="A2" sqref="A2"/>
    </sheetView>
  </sheetViews>
  <sheetFormatPr defaultRowHeight="15" x14ac:dyDescent="0.25"/>
  <sheetData>
    <row r="1" spans="1:13" ht="15.75" x14ac:dyDescent="0.25">
      <c r="A1" s="27" t="s">
        <v>32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</row>
    <row r="2" spans="1:13" ht="15.75" x14ac:dyDescent="0.25">
      <c r="A2" s="27">
        <v>0</v>
      </c>
      <c r="B2" s="30">
        <f>0/60+0/3600</f>
        <v>0</v>
      </c>
      <c r="C2" s="30">
        <f>30/60+10/3600</f>
        <v>0.50277777777777777</v>
      </c>
      <c r="D2" s="30">
        <f>29/60+6/3600</f>
        <v>0.48499999999999999</v>
      </c>
      <c r="E2" s="30">
        <f>1/60+57/3600</f>
        <v>3.2500000000000001E-2</v>
      </c>
      <c r="F2" s="30">
        <f>32/60+26/3600</f>
        <v>0.54055555555555557</v>
      </c>
      <c r="G2" s="30">
        <f>32/60+2/3600</f>
        <v>0.53388888888888886</v>
      </c>
      <c r="H2" s="31">
        <f>0/60+0/3600</f>
        <v>0</v>
      </c>
      <c r="I2" s="31">
        <f>-32/60+-2/3600</f>
        <v>-0.53388888888888886</v>
      </c>
      <c r="J2" s="31">
        <f>-32/60+-26/3600</f>
        <v>-0.54055555555555557</v>
      </c>
      <c r="K2" s="31">
        <f>-1/60+-57/3600</f>
        <v>-3.2500000000000001E-2</v>
      </c>
      <c r="L2" s="31">
        <f>-29/60+-6/3600</f>
        <v>-0.48499999999999999</v>
      </c>
      <c r="M2" s="31">
        <f>-30/60+-10/3600</f>
        <v>-0.50277777777777777</v>
      </c>
    </row>
    <row r="3" spans="1:13" ht="15.75" x14ac:dyDescent="0.25">
      <c r="A3" s="27">
        <v>1</v>
      </c>
      <c r="B3" s="30">
        <f>1/60+14/3600</f>
        <v>2.0555555555555556E-2</v>
      </c>
      <c r="C3" s="30">
        <f>30/60+44/3600</f>
        <v>0.51222222222222225</v>
      </c>
      <c r="D3" s="30">
        <f>28/6-26/3600</f>
        <v>4.6594444444444445</v>
      </c>
      <c r="E3" s="30">
        <f>3/60+11/3600</f>
        <v>5.3055555555555557E-2</v>
      </c>
      <c r="F3" s="30">
        <f>33/60+2/3600</f>
        <v>0.55055555555555558</v>
      </c>
      <c r="G3" s="30">
        <f>31/60+33/3600</f>
        <v>0.52583333333333337</v>
      </c>
      <c r="H3" s="31">
        <f>-1/60+-18/3600</f>
        <v>-2.1666666666666667E-2</v>
      </c>
      <c r="I3" s="31">
        <f>-32/60+-39/3600</f>
        <v>-0.54416666666666669</v>
      </c>
      <c r="J3" s="31">
        <f>-31/60+-48/3600</f>
        <v>-0.53</v>
      </c>
      <c r="K3" s="31">
        <f>0/60+-43/3600</f>
        <v>-1.1944444444444445E-2</v>
      </c>
      <c r="L3" s="31">
        <f>-29/60+-44/3600</f>
        <v>-0.49555555555555558</v>
      </c>
      <c r="M3" s="31">
        <f>-29/60+-33/3600</f>
        <v>-0.49249999999999999</v>
      </c>
    </row>
    <row r="4" spans="1:13" ht="15.75" x14ac:dyDescent="0.25">
      <c r="A4" s="27">
        <v>2</v>
      </c>
      <c r="B4" s="30">
        <f>2/60+27/3600</f>
        <v>4.0833333333333333E-2</v>
      </c>
      <c r="C4" s="30">
        <f>31/60+16/3600</f>
        <v>0.52111111111111119</v>
      </c>
      <c r="D4" s="30">
        <f>27/60+26/3600</f>
        <v>0.45722222222222225</v>
      </c>
      <c r="E4" s="30">
        <f>4/60+25/3600</f>
        <v>7.3611111111111113E-2</v>
      </c>
      <c r="F4" s="30">
        <f>33/60+35/3600</f>
        <v>0.55972222222222223</v>
      </c>
      <c r="G4" s="30">
        <f>30/60+41/3600</f>
        <v>0.51138888888888889</v>
      </c>
      <c r="H4" s="31">
        <f>-2/60+-35/3600</f>
        <v>-4.3055555555555555E-2</v>
      </c>
      <c r="I4" s="31">
        <f>-33/60+-14/3600</f>
        <v>-0.55388888888888899</v>
      </c>
      <c r="J4" s="31">
        <f>-31/60+-8/3600</f>
        <v>-0.51888888888888896</v>
      </c>
      <c r="K4" s="31">
        <f>0/60+-31/3600</f>
        <v>-8.611111111111111E-3</v>
      </c>
      <c r="L4" s="31">
        <f>-30/60+-19/3600</f>
        <v>-0.50527777777777783</v>
      </c>
      <c r="M4" s="31">
        <f>-28/60+-54/3600</f>
        <v>-0.48166666666666669</v>
      </c>
    </row>
    <row r="5" spans="1:13" ht="15.75" x14ac:dyDescent="0.25">
      <c r="A5" s="27">
        <v>3</v>
      </c>
      <c r="B5" s="30">
        <f>3/60+40/3600</f>
        <v>6.1111111111111116E-2</v>
      </c>
      <c r="C5" s="30">
        <f>31/60+45/3600</f>
        <v>0.52916666666666667</v>
      </c>
      <c r="D5" s="30">
        <f>27/60+0/3600</f>
        <v>0.45</v>
      </c>
      <c r="E5" s="30">
        <f>5/60+38/3600</f>
        <v>9.3888888888888883E-2</v>
      </c>
      <c r="F5" s="30">
        <f>34/60+35/3600</f>
        <v>0.57638888888888884</v>
      </c>
      <c r="G5" s="30">
        <f>29/60+57/3600</f>
        <v>0.49916666666666665</v>
      </c>
      <c r="H5" s="31">
        <f>-3/60+-52/3600</f>
        <v>-6.4444444444444443E-2</v>
      </c>
      <c r="I5" s="31">
        <f>-33/60+-47/3600</f>
        <v>-0.56305555555555564</v>
      </c>
      <c r="J5" s="31">
        <f>-30/60+-26/3600</f>
        <v>-0.50722222222222224</v>
      </c>
      <c r="K5" s="31">
        <f>-1/60+-45/3600</f>
        <v>-2.9166666666666667E-2</v>
      </c>
      <c r="L5" s="31">
        <f>-30/60+-52/3600</f>
        <v>-0.51444444444444448</v>
      </c>
      <c r="M5" s="31">
        <f>-28/60+-13/3600</f>
        <v>-0.47027777777777779</v>
      </c>
    </row>
    <row r="6" spans="1:13" ht="15.75" x14ac:dyDescent="0.25">
      <c r="A6" s="27">
        <v>4</v>
      </c>
      <c r="B6" s="30">
        <f>4/60+53/3600</f>
        <v>8.1388888888888886E-2</v>
      </c>
      <c r="C6" s="30">
        <f>32/60+12/3600</f>
        <v>0.53666666666666663</v>
      </c>
      <c r="D6" s="30">
        <f>26/60+14/3600</f>
        <v>0.43722222222222223</v>
      </c>
      <c r="E6" s="30">
        <f>6/60+52/3600</f>
        <v>0.11444444444444445</v>
      </c>
      <c r="F6" s="30">
        <f>34/60+35/3600</f>
        <v>0.57638888888888884</v>
      </c>
      <c r="G6" s="30">
        <f>29/60+10/3600</f>
        <v>0.4861111111111111</v>
      </c>
      <c r="H6" s="31">
        <f>-5/60+-9/3600</f>
        <v>-8.5833333333333331E-2</v>
      </c>
      <c r="I6" s="31">
        <f>-34/60+-18/3600</f>
        <v>-0.57166666666666666</v>
      </c>
      <c r="J6" s="31">
        <f>-29/60+-42/3600</f>
        <v>-0.495</v>
      </c>
      <c r="K6" s="31">
        <f>-2/60+-59/3600</f>
        <v>-4.9722222222222223E-2</v>
      </c>
      <c r="L6" s="31">
        <f>-31/60+-22/3600</f>
        <v>-0.52277777777777779</v>
      </c>
      <c r="M6" s="31">
        <f>-27/60+-30/3600</f>
        <v>-0.45833333333333337</v>
      </c>
    </row>
    <row r="7" spans="1:13" ht="15.75" x14ac:dyDescent="0.25">
      <c r="A7" s="27">
        <v>5</v>
      </c>
      <c r="B7" s="30">
        <f>6/60+6/3600</f>
        <v>0.10166666666666667</v>
      </c>
      <c r="C7" s="30">
        <f>32/60+36/3600</f>
        <v>0.54333333333333333</v>
      </c>
      <c r="D7" s="30">
        <f>25/60+25/3600</f>
        <v>0.4236111111111111</v>
      </c>
      <c r="E7" s="30">
        <f>8/60+5/3600</f>
        <v>0.13472222222222222</v>
      </c>
      <c r="F7" s="30">
        <f>35/60+1/3600</f>
        <v>0.58361111111111119</v>
      </c>
      <c r="G7" s="30">
        <f>28/60+21/3600</f>
        <v>0.47250000000000003</v>
      </c>
      <c r="H7" s="31">
        <f>-6/60+-26/3600</f>
        <v>-0.10722222222222223</v>
      </c>
      <c r="I7" s="31">
        <f>-34/60+-46/3600</f>
        <v>-0.57944444444444443</v>
      </c>
      <c r="J7" s="31">
        <f>-28/60+-56/3600</f>
        <v>-0.48222222222222222</v>
      </c>
      <c r="K7" s="31">
        <f>-4/60+-12/3600</f>
        <v>-6.9999999999999993E-2</v>
      </c>
      <c r="L7" s="31">
        <f>-31/60+-52/3600</f>
        <v>-0.5311111111111112</v>
      </c>
      <c r="M7" s="31">
        <f>-26/60+-45/3600</f>
        <v>-0.44583333333333336</v>
      </c>
    </row>
    <row r="8" spans="1:13" ht="15.75" x14ac:dyDescent="0.25">
      <c r="A8" s="27">
        <v>6</v>
      </c>
      <c r="B8" s="30">
        <f>7/60+18/3600</f>
        <v>0.12166666666666667</v>
      </c>
      <c r="C8" s="30">
        <f>32/60+58/3600</f>
        <v>0.5494444444444444</v>
      </c>
      <c r="D8" s="30">
        <f>24/60+35/3600</f>
        <v>0.40972222222222227</v>
      </c>
      <c r="E8" s="30">
        <f>9/60+17/3600</f>
        <v>0.15472222222222221</v>
      </c>
      <c r="F8" s="30">
        <f>35/60+25/3600</f>
        <v>0.59027777777777779</v>
      </c>
      <c r="G8" s="30">
        <f>27/60+30/3600</f>
        <v>0.45833333333333337</v>
      </c>
      <c r="H8" s="31">
        <f>-7/60+-42/3600</f>
        <v>-0.12833333333333333</v>
      </c>
      <c r="I8" s="31">
        <f>-35/60+-12/3600</f>
        <v>-0.58666666666666667</v>
      </c>
      <c r="J8" s="31">
        <f>-28/60+-8/3600</f>
        <v>-0.46888888888888891</v>
      </c>
      <c r="K8" s="31">
        <f>-5/60+-25/3600</f>
        <v>-9.0277777777777776E-2</v>
      </c>
      <c r="L8" s="31">
        <f>-32/60+-19/3600</f>
        <v>-0.53861111111111115</v>
      </c>
      <c r="M8" s="31">
        <f>-25/60+-58/3600</f>
        <v>-0.43277777777777782</v>
      </c>
    </row>
    <row r="9" spans="1:13" ht="15.75" x14ac:dyDescent="0.25">
      <c r="A9" s="27">
        <v>7</v>
      </c>
      <c r="B9" s="30">
        <f>8/60+30/3600</f>
        <v>0.14166666666666666</v>
      </c>
      <c r="C9" s="30">
        <f>33/60+18/3600</f>
        <v>0.55500000000000005</v>
      </c>
      <c r="D9" s="30">
        <f>23/60+43/3600</f>
        <v>0.39527777777777778</v>
      </c>
      <c r="E9" s="30">
        <f>10/60+29/3600</f>
        <v>0.17472222222222222</v>
      </c>
      <c r="F9" s="30">
        <f>35/60+46/3600</f>
        <v>0.59611111111111115</v>
      </c>
      <c r="G9" s="30">
        <f>26/60+37/3600</f>
        <v>0.44361111111111112</v>
      </c>
      <c r="H9" s="31">
        <f>-8/60+-58/3600</f>
        <v>-0.14944444444444444</v>
      </c>
      <c r="I9" s="31">
        <f>-35/60+-35/3600</f>
        <v>-0.59305555555555556</v>
      </c>
      <c r="J9" s="31">
        <f>-27/60+-18/3600</f>
        <v>-0.45500000000000002</v>
      </c>
      <c r="K9" s="31">
        <f>-6/60+-37/3600</f>
        <v>-0.11027777777777778</v>
      </c>
      <c r="L9" s="31">
        <f>-32/60+-43/3600</f>
        <v>-0.54527777777777775</v>
      </c>
      <c r="M9" s="31">
        <f>-25/60+-9/3600</f>
        <v>-0.41916666666666669</v>
      </c>
    </row>
    <row r="10" spans="1:13" ht="15.75" x14ac:dyDescent="0.25">
      <c r="A10" s="27">
        <v>8</v>
      </c>
      <c r="B10" s="30">
        <f>9/60+41/3600</f>
        <v>0.16138888888888889</v>
      </c>
      <c r="C10" s="30">
        <f>33/60+35/3600</f>
        <v>0.55972222222222223</v>
      </c>
      <c r="D10" s="30">
        <f>22/60+49/3600</f>
        <v>0.38027777777777777</v>
      </c>
      <c r="E10" s="30">
        <f>11/60+40/3600</f>
        <v>0.19444444444444442</v>
      </c>
      <c r="F10" s="30">
        <f>36/60+5/3600</f>
        <v>0.60138888888888886</v>
      </c>
      <c r="G10" s="30">
        <f>25/60+42/3600</f>
        <v>0.42833333333333334</v>
      </c>
      <c r="H10" s="31">
        <f>-10/60+-13/3600</f>
        <v>-0.17027777777777778</v>
      </c>
      <c r="I10" s="31">
        <f>-35/60+-55/3600</f>
        <v>-0.59861111111111109</v>
      </c>
      <c r="J10" s="31">
        <f>-26/60+-26/3600</f>
        <v>-0.44055555555555559</v>
      </c>
      <c r="K10" s="31">
        <f>-7/60+-49/3600</f>
        <v>-0.13027777777777777</v>
      </c>
      <c r="L10" s="31">
        <f>-33/60+-4/3600</f>
        <v>-0.55111111111111111</v>
      </c>
      <c r="M10" s="31">
        <f>-24/60+-18/3600</f>
        <v>-0.40500000000000003</v>
      </c>
    </row>
    <row r="11" spans="1:13" ht="15.75" x14ac:dyDescent="0.25">
      <c r="A11" s="27">
        <v>9</v>
      </c>
      <c r="B11" s="30">
        <f>10/60+52/3600</f>
        <v>0.18111111111111111</v>
      </c>
      <c r="C11" s="30">
        <f>33/60+49/3600</f>
        <v>0.56361111111111117</v>
      </c>
      <c r="D11" s="30">
        <f>21/60+54/3600</f>
        <v>0.36499999999999999</v>
      </c>
      <c r="E11" s="30">
        <f>12/60+51/3600</f>
        <v>0.21416666666666667</v>
      </c>
      <c r="F11" s="30">
        <f>36/60+21/3600</f>
        <v>0.60583333333333333</v>
      </c>
      <c r="G11" s="30">
        <f>24/60+45/3600</f>
        <v>0.41250000000000003</v>
      </c>
      <c r="H11" s="31">
        <f>-11/60+-27/3600</f>
        <v>-0.19083333333333333</v>
      </c>
      <c r="I11" s="31">
        <f>-36/60+-13/3600</f>
        <v>-0.6036111111111111</v>
      </c>
      <c r="J11" s="31">
        <f>-25/60+-32/3600</f>
        <v>-0.42555555555555558</v>
      </c>
      <c r="K11" s="31">
        <f>-9/60+0/3600</f>
        <v>-0.15</v>
      </c>
      <c r="L11" s="31">
        <f>-33/60+-23/3600</f>
        <v>-0.55638888888888893</v>
      </c>
      <c r="M11" s="31">
        <f>-23/60+-25/3600</f>
        <v>-0.39027777777777778</v>
      </c>
    </row>
    <row r="12" spans="1:13" ht="15.75" x14ac:dyDescent="0.25">
      <c r="A12" s="27">
        <v>10</v>
      </c>
      <c r="B12" s="30">
        <f>12/60+1/3600</f>
        <v>0.20027777777777778</v>
      </c>
      <c r="C12" s="30">
        <f>34/60+1/3600</f>
        <v>0.56694444444444447</v>
      </c>
      <c r="D12" s="30">
        <f>20/60+57/3600</f>
        <v>0.34916666666666663</v>
      </c>
      <c r="E12" s="30">
        <f>14/60+1/3600</f>
        <v>0.2336111111111111</v>
      </c>
      <c r="F12" s="30">
        <f>36/60+34/3600</f>
        <v>0.60944444444444446</v>
      </c>
      <c r="G12" s="30">
        <f>23/60+47/3600</f>
        <v>0.3963888888888889</v>
      </c>
      <c r="H12" s="31">
        <f>-12/60+-40/3600</f>
        <v>-0.21111111111111111</v>
      </c>
      <c r="I12" s="31">
        <f>-36/60+-28/3600</f>
        <v>-0.60777777777777775</v>
      </c>
      <c r="J12" s="31">
        <f>-24/60+-36/3600</f>
        <v>-0.41000000000000003</v>
      </c>
      <c r="K12" s="31">
        <f>-10/60+-10/3600</f>
        <v>-0.16944444444444443</v>
      </c>
      <c r="L12" s="31">
        <f>-33/60+-39/3600</f>
        <v>-0.56083333333333341</v>
      </c>
      <c r="M12" s="31">
        <f>-22/60+-30/3600</f>
        <v>-0.375</v>
      </c>
    </row>
    <row r="13" spans="1:13" ht="15.75" x14ac:dyDescent="0.25">
      <c r="A13" s="27">
        <v>11</v>
      </c>
      <c r="B13" s="30">
        <f>13/60+9/3600</f>
        <v>0.21916666666666668</v>
      </c>
      <c r="C13" s="30">
        <f>34/60+10/3600</f>
        <v>0.56944444444444442</v>
      </c>
      <c r="D13" s="30">
        <f>19/60+58/3600</f>
        <v>0.33277777777777778</v>
      </c>
      <c r="E13" s="30">
        <f>15/60+10/3600</f>
        <v>0.25277777777777777</v>
      </c>
      <c r="F13" s="30">
        <f>36/60+45/3600</f>
        <v>0.61249999999999993</v>
      </c>
      <c r="G13" s="30">
        <f>22/60+47/3600</f>
        <v>0.37972222222222218</v>
      </c>
      <c r="H13" s="31">
        <f>-13/60+-52/3600</f>
        <v>-0.23111111111111113</v>
      </c>
      <c r="I13" s="31">
        <f>-36/60+-41/3600</f>
        <v>-0.61138888888888887</v>
      </c>
      <c r="J13" s="31">
        <f>-23/60+-28/3600</f>
        <v>-0.39111111111111113</v>
      </c>
      <c r="K13" s="31">
        <f>-11/60+-20/3600</f>
        <v>-0.18888888888888888</v>
      </c>
      <c r="L13" s="31">
        <f>-33/60+-52/3600</f>
        <v>-0.56444444444444453</v>
      </c>
      <c r="M13" s="31">
        <f>-21/60+-32/3600</f>
        <v>-0.35888888888888887</v>
      </c>
    </row>
    <row r="14" spans="1:13" ht="15.75" x14ac:dyDescent="0.25">
      <c r="A14" s="27">
        <v>12</v>
      </c>
      <c r="B14" s="30">
        <f>14/60+15/3600</f>
        <v>0.23750000000000002</v>
      </c>
      <c r="C14" s="30">
        <f>34/60+17/3600</f>
        <v>0.57138888888888884</v>
      </c>
      <c r="D14" s="30">
        <f>18/60+58/3600</f>
        <v>0.31611111111111112</v>
      </c>
      <c r="E14" s="30">
        <f>16/60+18/3600</f>
        <v>0.27166666666666667</v>
      </c>
      <c r="F14" s="30">
        <f>36/60+54/3600</f>
        <v>0.61499999999999999</v>
      </c>
      <c r="G14" s="30">
        <f>21/60+45/3600</f>
        <v>0.36249999999999999</v>
      </c>
      <c r="H14" s="31">
        <f>-15/60+-3/3600</f>
        <v>-0.25083333333333335</v>
      </c>
      <c r="I14" s="31">
        <f>-36/60+-51/3600</f>
        <v>-0.61416666666666664</v>
      </c>
      <c r="J14" s="31">
        <f>-22/60+-39/3600</f>
        <v>-0.37749999999999995</v>
      </c>
      <c r="K14" s="31">
        <f>-12/60+-29/3600</f>
        <v>-0.20805555555555558</v>
      </c>
      <c r="L14" s="31">
        <f>-34/60+-3/3600</f>
        <v>-0.5675</v>
      </c>
      <c r="M14" s="31">
        <f>-20/60+-36/3600</f>
        <v>-0.34333333333333332</v>
      </c>
    </row>
    <row r="15" spans="1:13" ht="15.75" x14ac:dyDescent="0.25">
      <c r="A15" s="27">
        <v>13</v>
      </c>
      <c r="B15" s="30">
        <f>15/60+22/3600</f>
        <v>0.25611111111111112</v>
      </c>
      <c r="C15" s="30">
        <f>34/60+21/3600</f>
        <v>0.57250000000000001</v>
      </c>
      <c r="D15" s="30">
        <f>17/60+56/3600</f>
        <v>0.29888888888888887</v>
      </c>
      <c r="E15" s="30">
        <f>17/60+25/3600</f>
        <v>0.29027777777777775</v>
      </c>
      <c r="F15" s="30">
        <f>37/60+0/3600</f>
        <v>0.6166666666666667</v>
      </c>
      <c r="G15" s="30">
        <f>20/60+42/3600</f>
        <v>0.34499999999999997</v>
      </c>
      <c r="H15" s="31">
        <f>-16/60+-13/3600</f>
        <v>-0.27027777777777778</v>
      </c>
      <c r="I15" s="31">
        <f>-36/60+-58/3600</f>
        <v>-0.61611111111111105</v>
      </c>
      <c r="J15" s="31">
        <f>-21/60+-39/3600</f>
        <v>-0.36083333333333334</v>
      </c>
      <c r="K15" s="31">
        <f>-13/60+-37/3600</f>
        <v>-0.22694444444444445</v>
      </c>
      <c r="L15" s="31">
        <f>-34/60+-12/3600</f>
        <v>-0.56999999999999995</v>
      </c>
      <c r="M15" s="31">
        <f>-19/60+-37/3600</f>
        <v>-0.32694444444444443</v>
      </c>
    </row>
    <row r="16" spans="1:13" ht="15.75" x14ac:dyDescent="0.25">
      <c r="A16" s="27">
        <v>14</v>
      </c>
      <c r="B16" s="30">
        <f>16/60+28/3600</f>
        <v>0.27444444444444444</v>
      </c>
      <c r="C16" s="30">
        <f>34/60+23/3600</f>
        <v>0.57305555555555554</v>
      </c>
      <c r="D16" s="30">
        <f>16/60+53/3600</f>
        <v>0.28138888888888891</v>
      </c>
      <c r="E16" s="30">
        <f>18/60+30/3600</f>
        <v>0.30833333333333335</v>
      </c>
      <c r="F16" s="30">
        <f>37/60+3/3600</f>
        <v>0.61750000000000005</v>
      </c>
      <c r="G16" s="30">
        <f>19/60+37/3600</f>
        <v>0.32694444444444443</v>
      </c>
      <c r="H16" s="31">
        <f>-17/60+-22/3600</f>
        <v>-0.28944444444444445</v>
      </c>
      <c r="I16" s="31">
        <f>-37/60+-2/3600</f>
        <v>-0.61722222222222223</v>
      </c>
      <c r="J16" s="31">
        <f>-20/60+-37/3600</f>
        <v>-0.34361111111111109</v>
      </c>
      <c r="K16" s="31">
        <f>-14/60+-44/3600</f>
        <v>-0.24555555555555555</v>
      </c>
      <c r="L16" s="31">
        <f>-34/60+-18/3600</f>
        <v>-0.57166666666666666</v>
      </c>
      <c r="M16" s="31">
        <f>-18/60+-36/3600</f>
        <v>-0.31</v>
      </c>
    </row>
    <row r="17" spans="1:13" ht="15.75" x14ac:dyDescent="0.25">
      <c r="A17" s="27">
        <v>15</v>
      </c>
      <c r="B17" s="30">
        <f>17/60+33/3600</f>
        <v>0.29249999999999998</v>
      </c>
      <c r="C17" s="30">
        <f>34/60+22/3600</f>
        <v>0.57277777777777772</v>
      </c>
      <c r="D17" s="30">
        <f>15/60+49/3600</f>
        <v>0.26361111111111113</v>
      </c>
      <c r="E17" s="30">
        <f>19/60+34/3600</f>
        <v>0.32611111111111107</v>
      </c>
      <c r="F17" s="30">
        <f>37/60+7/3600</f>
        <v>0.61861111111111111</v>
      </c>
      <c r="G17" s="30">
        <f>18/60+30/3600</f>
        <v>0.30833333333333335</v>
      </c>
      <c r="H17" s="31">
        <f>-18/60+-30/3600</f>
        <v>-0.30833333333333335</v>
      </c>
      <c r="I17" s="31">
        <f>-37/60+-7/3600</f>
        <v>-0.61861111111111111</v>
      </c>
      <c r="J17" s="31">
        <f>-19/60+-34/3600</f>
        <v>-0.32611111111111107</v>
      </c>
      <c r="K17" s="31">
        <f>-15/60+-49/3600</f>
        <v>-0.26361111111111113</v>
      </c>
      <c r="L17" s="31">
        <f>-34/60+-22/3600</f>
        <v>-0.57277777777777772</v>
      </c>
      <c r="M17" s="31">
        <f>-17/60+-33/3600</f>
        <v>-0.29249999999999998</v>
      </c>
    </row>
    <row r="18" spans="1:13" ht="15.75" x14ac:dyDescent="0.25">
      <c r="A18" s="27">
        <v>16</v>
      </c>
      <c r="B18" s="30">
        <f>18/60+36/3600</f>
        <v>0.31</v>
      </c>
      <c r="C18" s="30">
        <f>34/60+18/3600</f>
        <v>0.57166666666666666</v>
      </c>
      <c r="D18" s="30">
        <f>14/60+44/3600</f>
        <v>0.24555555555555555</v>
      </c>
      <c r="E18" s="30">
        <f>20/60+37/3600</f>
        <v>0.34361111111111109</v>
      </c>
      <c r="F18" s="30">
        <f>37/60+2/3600</f>
        <v>0.61722222222222223</v>
      </c>
      <c r="G18" s="30">
        <f>17/60+22/3600</f>
        <v>0.28944444444444445</v>
      </c>
      <c r="H18" s="31">
        <f>-19/60+-37/3600</f>
        <v>-0.32694444444444443</v>
      </c>
      <c r="I18" s="31">
        <f>-37/60+-3/3600</f>
        <v>-0.61750000000000005</v>
      </c>
      <c r="J18" s="31">
        <f>-18/60+-30/3600</f>
        <v>-0.30833333333333335</v>
      </c>
      <c r="K18" s="31">
        <f>-16/60+-53/3600</f>
        <v>-0.28138888888888891</v>
      </c>
      <c r="L18" s="31">
        <f>-34/60+-23/3600</f>
        <v>-0.57305555555555554</v>
      </c>
      <c r="M18" s="31">
        <f>-16/60+-28/3600</f>
        <v>-0.27444444444444444</v>
      </c>
    </row>
    <row r="19" spans="1:13" ht="15.75" x14ac:dyDescent="0.25">
      <c r="A19" s="27">
        <v>17</v>
      </c>
      <c r="B19" s="30">
        <f>19/60+37/3600</f>
        <v>0.32694444444444443</v>
      </c>
      <c r="C19" s="30">
        <f>34/60+12/3600</f>
        <v>0.56999999999999995</v>
      </c>
      <c r="D19" s="30">
        <f>13/60+37/3600</f>
        <v>0.22694444444444445</v>
      </c>
      <c r="E19" s="30">
        <f>21/60+39/3600</f>
        <v>0.36083333333333334</v>
      </c>
      <c r="F19" s="30">
        <f>36/60+58/3600</f>
        <v>0.61611111111111105</v>
      </c>
      <c r="G19" s="30">
        <f>16/60+13/3600</f>
        <v>0.27027777777777778</v>
      </c>
      <c r="H19" s="31">
        <f>-20/60+-42/3600</f>
        <v>-0.34499999999999997</v>
      </c>
      <c r="I19" s="31">
        <f>-37/60+0/3600</f>
        <v>-0.6166666666666667</v>
      </c>
      <c r="J19" s="31">
        <f>-17/60+-25/3600</f>
        <v>-0.29027777777777775</v>
      </c>
      <c r="K19" s="31">
        <f>-17/60+-56/3600</f>
        <v>-0.29888888888888887</v>
      </c>
      <c r="L19" s="31">
        <f>-34/60+-21/3600</f>
        <v>-0.57250000000000001</v>
      </c>
      <c r="M19" s="31">
        <f>-15/60+-22/3600</f>
        <v>-0.25611111111111112</v>
      </c>
    </row>
    <row r="20" spans="1:13" ht="15.75" x14ac:dyDescent="0.25">
      <c r="A20" s="27">
        <v>18</v>
      </c>
      <c r="B20" s="30">
        <f>20/60+36/3600</f>
        <v>0.34333333333333332</v>
      </c>
      <c r="C20" s="30">
        <f>34/60+3/3600</f>
        <v>0.5675</v>
      </c>
      <c r="D20" s="30">
        <f>12/60+29/3600</f>
        <v>0.20805555555555558</v>
      </c>
      <c r="E20" s="30">
        <f>22/60+39/3600</f>
        <v>0.37749999999999995</v>
      </c>
      <c r="F20" s="30">
        <f>36/60+51/3600</f>
        <v>0.61416666666666664</v>
      </c>
      <c r="G20" s="30">
        <f>15/60+3/3600</f>
        <v>0.25083333333333335</v>
      </c>
      <c r="H20" s="31">
        <f>-21/60+-45/3600</f>
        <v>-0.36249999999999999</v>
      </c>
      <c r="I20" s="31">
        <f>-36/60+-54/3600</f>
        <v>-0.61499999999999999</v>
      </c>
      <c r="J20" s="31">
        <f>-16/60+-18/3600</f>
        <v>-0.27166666666666667</v>
      </c>
      <c r="K20" s="31">
        <f>-18/60+-58/3600</f>
        <v>-0.31611111111111112</v>
      </c>
      <c r="L20" s="31">
        <f>-34/60+-17/3600</f>
        <v>-0.57138888888888884</v>
      </c>
      <c r="M20" s="31">
        <f>-14/60+-15/3600</f>
        <v>-0.23750000000000002</v>
      </c>
    </row>
    <row r="21" spans="1:13" ht="15.75" x14ac:dyDescent="0.25">
      <c r="A21" s="27">
        <v>19</v>
      </c>
      <c r="B21" s="30">
        <f>21/60+32/3600</f>
        <v>0.35888888888888887</v>
      </c>
      <c r="C21" s="30">
        <f>33/60+52/3600</f>
        <v>0.56444444444444453</v>
      </c>
      <c r="D21" s="30">
        <f>11/60+20/3600</f>
        <v>0.18888888888888888</v>
      </c>
      <c r="E21" s="30">
        <f>23/60+28/3600</f>
        <v>0.39111111111111113</v>
      </c>
      <c r="F21" s="30">
        <f>36/60+41/3600</f>
        <v>0.61138888888888887</v>
      </c>
      <c r="G21" s="30">
        <f>13/60+52/3600</f>
        <v>0.23111111111111113</v>
      </c>
      <c r="H21" s="31">
        <f>-22/60+-47/3600</f>
        <v>-0.37972222222222218</v>
      </c>
      <c r="I21" s="31">
        <f>-36/60+-45/3600</f>
        <v>-0.61249999999999993</v>
      </c>
      <c r="J21" s="31">
        <f>-15/60+-10/3600</f>
        <v>-0.25277777777777777</v>
      </c>
      <c r="K21" s="31">
        <f>-19/60+-58/3600</f>
        <v>-0.33277777777777778</v>
      </c>
      <c r="L21" s="31">
        <f>-34/60+-10/3600</f>
        <v>-0.56944444444444442</v>
      </c>
      <c r="M21" s="31">
        <f>-13/60+-9/3600</f>
        <v>-0.21916666666666668</v>
      </c>
    </row>
    <row r="22" spans="1:13" ht="15.75" x14ac:dyDescent="0.25">
      <c r="A22" s="27">
        <v>20</v>
      </c>
      <c r="B22" s="30">
        <f>22/60+30/3600</f>
        <v>0.375</v>
      </c>
      <c r="C22" s="30">
        <f>33/60+39/3600</f>
        <v>0.56083333333333341</v>
      </c>
      <c r="D22" s="30">
        <f>10/60+10/3600</f>
        <v>0.16944444444444443</v>
      </c>
      <c r="E22" s="30">
        <f>24/60+36/3600</f>
        <v>0.41000000000000003</v>
      </c>
      <c r="F22" s="30">
        <f>36/60+28/3600</f>
        <v>0.60777777777777775</v>
      </c>
      <c r="G22" s="30">
        <f>12/60+40/3600</f>
        <v>0.21111111111111111</v>
      </c>
      <c r="H22" s="31">
        <f>-23/60+-47/3600</f>
        <v>-0.3963888888888889</v>
      </c>
      <c r="I22" s="31">
        <f>-36/60+-34/3600</f>
        <v>-0.60944444444444446</v>
      </c>
      <c r="J22" s="31">
        <f>-14/60+-1/3600</f>
        <v>-0.2336111111111111</v>
      </c>
      <c r="K22" s="31">
        <f>-20/60+-57/3600</f>
        <v>-0.34916666666666663</v>
      </c>
      <c r="L22" s="31">
        <f>-34/60+-1/3600</f>
        <v>-0.56694444444444447</v>
      </c>
      <c r="M22" s="31">
        <f>-12/60+-1/3600</f>
        <v>-0.20027777777777778</v>
      </c>
    </row>
    <row r="23" spans="1:13" ht="15.75" x14ac:dyDescent="0.25">
      <c r="A23" s="27">
        <v>21</v>
      </c>
      <c r="B23" s="30">
        <f>23/60+25/3600</f>
        <v>0.39027777777777778</v>
      </c>
      <c r="C23" s="30">
        <f>33/60+23/3600</f>
        <v>0.55638888888888893</v>
      </c>
      <c r="D23" s="30">
        <f>9/60+0/3600</f>
        <v>0.15</v>
      </c>
      <c r="E23" s="30">
        <f>25/60+32/3600</f>
        <v>0.42555555555555558</v>
      </c>
      <c r="F23" s="30">
        <f>36/60+13/3600</f>
        <v>0.6036111111111111</v>
      </c>
      <c r="G23" s="30">
        <f>11/60+27/3600</f>
        <v>0.19083333333333333</v>
      </c>
      <c r="H23" s="31">
        <f>-24/60+-45/3600</f>
        <v>-0.41250000000000003</v>
      </c>
      <c r="I23" s="31">
        <f>-36/60+-21/3600</f>
        <v>-0.60583333333333333</v>
      </c>
      <c r="J23" s="31">
        <f>-12/60+-51/3600</f>
        <v>-0.21416666666666667</v>
      </c>
      <c r="K23" s="31">
        <f>-21/60+-54/3600</f>
        <v>-0.36499999999999999</v>
      </c>
      <c r="L23" s="31">
        <f>-33/60+-49/3600</f>
        <v>-0.56361111111111117</v>
      </c>
      <c r="M23" s="31">
        <f>-10/60+-52/3600</f>
        <v>-0.18111111111111111</v>
      </c>
    </row>
    <row r="24" spans="1:13" ht="15.75" x14ac:dyDescent="0.25">
      <c r="A24" s="27">
        <v>22</v>
      </c>
      <c r="B24" s="30">
        <f>24/60+18/3600</f>
        <v>0.40500000000000003</v>
      </c>
      <c r="C24" s="30">
        <f>33/60+4/3600</f>
        <v>0.55111111111111111</v>
      </c>
      <c r="D24" s="30">
        <f>7/60+49/3600</f>
        <v>0.13027777777777777</v>
      </c>
      <c r="E24" s="30">
        <f>26/60+26/3600</f>
        <v>0.44055555555555559</v>
      </c>
      <c r="F24" s="30">
        <f>35/60+55/3600</f>
        <v>0.59861111111111109</v>
      </c>
      <c r="G24" s="30">
        <f>10/60+13/3600</f>
        <v>0.17027777777777778</v>
      </c>
      <c r="H24" s="31">
        <f>-25/60+-42/3600</f>
        <v>-0.42833333333333334</v>
      </c>
      <c r="I24" s="31">
        <f>-36/60+-5/3600</f>
        <v>-0.60138888888888886</v>
      </c>
      <c r="J24" s="31">
        <f>-11/60+-40/3600</f>
        <v>-0.19444444444444442</v>
      </c>
      <c r="K24" s="31">
        <f>-22/60+-49/3600</f>
        <v>-0.38027777777777777</v>
      </c>
      <c r="L24" s="31">
        <f>-33/60+-35/3600</f>
        <v>-0.55972222222222223</v>
      </c>
      <c r="M24" s="31">
        <f>-9/60+-41/3600</f>
        <v>-0.16138888888888889</v>
      </c>
    </row>
    <row r="25" spans="1:13" ht="15.75" x14ac:dyDescent="0.25">
      <c r="A25" s="27">
        <v>23</v>
      </c>
      <c r="B25" s="30">
        <f>25/60+9/3600</f>
        <v>0.41916666666666669</v>
      </c>
      <c r="C25" s="30">
        <f>32/60+43/3600</f>
        <v>0.54527777777777775</v>
      </c>
      <c r="D25" s="30">
        <f>6/60+37/3600</f>
        <v>0.11027777777777778</v>
      </c>
      <c r="E25" s="30">
        <f>27/60+18/3600</f>
        <v>0.45500000000000002</v>
      </c>
      <c r="F25" s="30">
        <f>35/60+35/3600</f>
        <v>0.59305555555555556</v>
      </c>
      <c r="G25" s="30">
        <f>8/60+58/3600</f>
        <v>0.14944444444444444</v>
      </c>
      <c r="H25" s="31">
        <f>-26/60+-37/3600</f>
        <v>-0.44361111111111112</v>
      </c>
      <c r="I25" s="31">
        <f>-35/60+-46/3600</f>
        <v>-0.59611111111111115</v>
      </c>
      <c r="J25" s="31">
        <f>-10/60+-29/3600</f>
        <v>-0.17472222222222222</v>
      </c>
      <c r="K25" s="31">
        <f>-23/60+-43/3600</f>
        <v>-0.39527777777777778</v>
      </c>
      <c r="L25" s="31">
        <f>-33/60+-18/3600</f>
        <v>-0.55500000000000005</v>
      </c>
      <c r="M25" s="31">
        <f>-8/60+-30/3600</f>
        <v>-0.14166666666666666</v>
      </c>
    </row>
    <row r="26" spans="1:13" ht="15.75" x14ac:dyDescent="0.25">
      <c r="A26" s="27">
        <v>24</v>
      </c>
      <c r="B26" s="30">
        <f>25/60+58/3600</f>
        <v>0.43277777777777782</v>
      </c>
      <c r="C26" s="30">
        <f>32/60+19/3600</f>
        <v>0.53861111111111115</v>
      </c>
      <c r="D26" s="30">
        <f>5/60+25/3600</f>
        <v>9.0277777777777776E-2</v>
      </c>
      <c r="E26" s="30">
        <f>28/60+8/3600</f>
        <v>0.46888888888888891</v>
      </c>
      <c r="F26" s="30">
        <f>35/60+12/3600</f>
        <v>0.58666666666666667</v>
      </c>
      <c r="G26" s="30">
        <f>7/60+42/3600</f>
        <v>0.12833333333333333</v>
      </c>
      <c r="H26" s="31">
        <f>-27/60+-30/3600</f>
        <v>-0.45833333333333337</v>
      </c>
      <c r="I26" s="31">
        <f>-35/60+-25/3600</f>
        <v>-0.59027777777777779</v>
      </c>
      <c r="J26" s="31">
        <f>-9/60+-17/3600</f>
        <v>-0.15472222222222221</v>
      </c>
      <c r="K26" s="31">
        <f>-24/60+-35/3600</f>
        <v>-0.40972222222222227</v>
      </c>
      <c r="L26" s="31">
        <f>-32/60+-58/3600</f>
        <v>-0.5494444444444444</v>
      </c>
      <c r="M26" s="31">
        <f>-7/60+-18/3600</f>
        <v>-0.12166666666666667</v>
      </c>
    </row>
    <row r="27" spans="1:13" ht="15.75" x14ac:dyDescent="0.25">
      <c r="A27" s="27">
        <v>25</v>
      </c>
      <c r="B27" s="30">
        <f>26/60+45/3600</f>
        <v>0.44583333333333336</v>
      </c>
      <c r="C27" s="30">
        <f>31/60+52/3600</f>
        <v>0.5311111111111112</v>
      </c>
      <c r="D27" s="30">
        <f>4/60+12/3600</f>
        <v>6.9999999999999993E-2</v>
      </c>
      <c r="E27" s="30">
        <f>28/60+56/3600</f>
        <v>0.48222222222222222</v>
      </c>
      <c r="F27" s="30">
        <f>34/60+46/3600</f>
        <v>0.57944444444444443</v>
      </c>
      <c r="G27" s="30">
        <f>6/60+26/3600</f>
        <v>0.10722222222222223</v>
      </c>
      <c r="H27" s="31">
        <f>-28/60+-21/3600</f>
        <v>-0.47250000000000003</v>
      </c>
      <c r="I27" s="31">
        <f>-35/60+-1/3600</f>
        <v>-0.58361111111111119</v>
      </c>
      <c r="J27" s="31">
        <f>-8/60+-5/3600</f>
        <v>-0.13472222222222222</v>
      </c>
      <c r="K27" s="31">
        <f>-25/60+-25/3600</f>
        <v>-0.4236111111111111</v>
      </c>
      <c r="L27" s="31">
        <f>-32/60+-36/3600</f>
        <v>-0.54333333333333333</v>
      </c>
      <c r="M27" s="31">
        <f>-6/60+-6/3600</f>
        <v>-0.10166666666666667</v>
      </c>
    </row>
    <row r="28" spans="1:13" ht="15.75" x14ac:dyDescent="0.25">
      <c r="A28" s="27">
        <v>26</v>
      </c>
      <c r="B28" s="30">
        <f>27/60+30/3600</f>
        <v>0.45833333333333337</v>
      </c>
      <c r="C28" s="30">
        <f>31/60+22/3600</f>
        <v>0.52277777777777779</v>
      </c>
      <c r="D28" s="30">
        <f>2/60+59/3600</f>
        <v>4.9722222222222223E-2</v>
      </c>
      <c r="E28" s="30">
        <f>29/60+42/3600</f>
        <v>0.495</v>
      </c>
      <c r="F28" s="30">
        <f>34/60+18/3600</f>
        <v>0.57166666666666666</v>
      </c>
      <c r="G28" s="30">
        <f>5/60+9/3600</f>
        <v>8.5833333333333331E-2</v>
      </c>
      <c r="H28" s="31">
        <f>-29/60+-10/3600</f>
        <v>-0.4861111111111111</v>
      </c>
      <c r="I28" s="31">
        <f>-34/60+-35/3600</f>
        <v>-0.57638888888888884</v>
      </c>
      <c r="J28" s="31">
        <f>-6/60+-52/3600</f>
        <v>-0.11444444444444445</v>
      </c>
      <c r="K28" s="31">
        <f>-26/60+-14/3600</f>
        <v>-0.43722222222222223</v>
      </c>
      <c r="L28" s="31">
        <f>-32/60+-12/3600</f>
        <v>-0.53666666666666663</v>
      </c>
      <c r="M28" s="31">
        <f>-4/60+-53/3600</f>
        <v>-8.1388888888888886E-2</v>
      </c>
    </row>
    <row r="29" spans="1:13" ht="15.75" x14ac:dyDescent="0.25">
      <c r="A29" s="27">
        <v>27</v>
      </c>
      <c r="B29" s="30">
        <f>28/60+13/3600</f>
        <v>0.47027777777777779</v>
      </c>
      <c r="C29" s="30">
        <f>30/60+52/3600</f>
        <v>0.51444444444444448</v>
      </c>
      <c r="D29" s="30">
        <f>1/60+45/3600</f>
        <v>2.9166666666666667E-2</v>
      </c>
      <c r="E29" s="30">
        <f>30/60+26/3600</f>
        <v>0.50722222222222224</v>
      </c>
      <c r="F29" s="30">
        <f>33/60+47/3600</f>
        <v>0.56305555555555564</v>
      </c>
      <c r="G29" s="30">
        <f>3/60+52/3600</f>
        <v>6.4444444444444443E-2</v>
      </c>
      <c r="H29" s="31">
        <f>-29/60+-57/3600</f>
        <v>-0.49916666666666665</v>
      </c>
      <c r="I29" s="31">
        <f>-34/60+-35/3600</f>
        <v>-0.57638888888888884</v>
      </c>
      <c r="J29" s="31">
        <f>-5/60+-38/3600</f>
        <v>-9.3888888888888883E-2</v>
      </c>
      <c r="K29" s="31">
        <f>-27/60+0/3600</f>
        <v>-0.45</v>
      </c>
      <c r="L29" s="31">
        <f>-31/60+-45/3600</f>
        <v>-0.52916666666666667</v>
      </c>
      <c r="M29" s="31">
        <f>-3/60+-40/3600</f>
        <v>-6.1111111111111116E-2</v>
      </c>
    </row>
    <row r="30" spans="1:13" ht="15.75" x14ac:dyDescent="0.25">
      <c r="A30" s="27">
        <v>28</v>
      </c>
      <c r="B30" s="30">
        <f>28/60+54/3600</f>
        <v>0.48166666666666669</v>
      </c>
      <c r="C30" s="30">
        <f>30/60+19/3600</f>
        <v>0.50527777777777783</v>
      </c>
      <c r="D30" s="30">
        <f>0/60+31/3600</f>
        <v>8.611111111111111E-3</v>
      </c>
      <c r="E30" s="30">
        <f>31/60+8/3600</f>
        <v>0.51888888888888896</v>
      </c>
      <c r="F30" s="30">
        <f>33/60+14/3600</f>
        <v>0.55388888888888899</v>
      </c>
      <c r="G30" s="30">
        <f>2/60+35/3600</f>
        <v>4.3055555555555555E-2</v>
      </c>
      <c r="H30" s="31">
        <f>-30/60+-41/3600</f>
        <v>-0.51138888888888889</v>
      </c>
      <c r="I30" s="31">
        <f>-33/60+-35/3600</f>
        <v>-0.55972222222222223</v>
      </c>
      <c r="J30" s="31">
        <f>-4/60+-25/3600</f>
        <v>-7.3611111111111113E-2</v>
      </c>
      <c r="K30" s="31">
        <f>-27/60+-26/3600</f>
        <v>-0.45722222222222225</v>
      </c>
      <c r="L30" s="31">
        <f>-31/60+-16/3600</f>
        <v>-0.52111111111111119</v>
      </c>
      <c r="M30" s="31">
        <f>-2/60+-27/3600</f>
        <v>-4.0833333333333333E-2</v>
      </c>
    </row>
    <row r="31" spans="1:13" ht="15.75" x14ac:dyDescent="0.25">
      <c r="A31" s="27">
        <v>29</v>
      </c>
      <c r="B31" s="30">
        <f>29/60+33/3600</f>
        <v>0.49249999999999999</v>
      </c>
      <c r="C31" s="30">
        <f>29/60+44/3600</f>
        <v>0.49555555555555558</v>
      </c>
      <c r="D31" s="30">
        <f>0/60+43/3600</f>
        <v>1.1944444444444445E-2</v>
      </c>
      <c r="E31" s="30">
        <f>31/60+48/3600</f>
        <v>0.53</v>
      </c>
      <c r="F31" s="30">
        <f>32/60+39/3600</f>
        <v>0.54416666666666669</v>
      </c>
      <c r="G31" s="30">
        <f>1/60+18/3600</f>
        <v>2.1666666666666667E-2</v>
      </c>
      <c r="H31" s="31">
        <f>-31/60+-33/3600</f>
        <v>-0.52583333333333337</v>
      </c>
      <c r="I31" s="31">
        <f>-33/60+-2/3600</f>
        <v>-0.55055555555555558</v>
      </c>
      <c r="J31" s="31">
        <f>-3/60+-11/3600</f>
        <v>-5.3055555555555557E-2</v>
      </c>
      <c r="K31" s="31">
        <f>-28/60+-26/3600</f>
        <v>-0.47388888888888892</v>
      </c>
      <c r="L31" s="31">
        <f>-30/60+-44/3600</f>
        <v>-0.51222222222222225</v>
      </c>
      <c r="M31" s="31">
        <f>-1/60+-14/3600</f>
        <v>-2.0555555555555556E-2</v>
      </c>
    </row>
    <row r="32" spans="1:13" ht="15.75" x14ac:dyDescent="0.25">
      <c r="A32" s="27">
        <v>30</v>
      </c>
      <c r="B32" s="32">
        <f>30/60+10/3600</f>
        <v>0.50277777777777777</v>
      </c>
      <c r="C32" s="32">
        <f>29/60+6/3600</f>
        <v>0.48499999999999999</v>
      </c>
      <c r="D32" s="32">
        <f>1/60+57/3600</f>
        <v>3.2500000000000001E-2</v>
      </c>
      <c r="E32" s="32">
        <f>32/60+26/3600</f>
        <v>0.54055555555555557</v>
      </c>
      <c r="F32" s="32">
        <f>32/60+2/3600</f>
        <v>0.53388888888888886</v>
      </c>
      <c r="G32" s="32">
        <f>0/60+0/3600</f>
        <v>0</v>
      </c>
      <c r="H32" s="31">
        <f>-32/60+-2/3600</f>
        <v>-0.53388888888888886</v>
      </c>
      <c r="I32" s="31">
        <f>-32/60+-26/3600</f>
        <v>-0.54055555555555557</v>
      </c>
      <c r="J32" s="31">
        <f>-1/60+-57/3600</f>
        <v>-3.2500000000000001E-2</v>
      </c>
      <c r="K32" s="31">
        <f>-29/60+-6/3600</f>
        <v>-0.48499999999999999</v>
      </c>
      <c r="L32" s="31">
        <f>-30/60+-10/3600</f>
        <v>-0.50277777777777777</v>
      </c>
      <c r="M32" s="31">
        <f>0/60+0/3600</f>
        <v>0</v>
      </c>
    </row>
  </sheetData>
  <sortState xmlns:xlrd2="http://schemas.microsoft.com/office/spreadsheetml/2017/richdata2" ref="J2:J32">
    <sortCondition ref="J2:J3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6339-CF8F-4CBC-8BC1-C445737CA4C8}">
  <dimension ref="A1:M32"/>
  <sheetViews>
    <sheetView zoomScale="75" zoomScaleNormal="130" workbookViewId="0">
      <selection activeCell="Q18" sqref="Q18"/>
    </sheetView>
  </sheetViews>
  <sheetFormatPr defaultRowHeight="15" x14ac:dyDescent="0.25"/>
  <cols>
    <col min="2" max="2" width="12.7109375" customWidth="1"/>
    <col min="3" max="3" width="12.5703125" customWidth="1"/>
    <col min="4" max="13" width="12.7109375" customWidth="1"/>
  </cols>
  <sheetData>
    <row r="1" spans="1:13" x14ac:dyDescent="0.25">
      <c r="A1" s="3" t="s">
        <v>32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2">
        <v>0</v>
      </c>
      <c r="B2" s="2">
        <f>0</f>
        <v>0</v>
      </c>
      <c r="C2" s="2">
        <f>0+-4/60+-23/3600</f>
        <v>-7.3055555555555554E-2</v>
      </c>
      <c r="D2" s="2">
        <f>0+-7/60+-37/3600</f>
        <v>-0.12694444444444444</v>
      </c>
      <c r="E2" s="2">
        <f>0+-8/60+-50/3600</f>
        <v>-0.14722222222222223</v>
      </c>
      <c r="F2" s="2">
        <f>0+-7/60+-41/3600</f>
        <v>-0.12805555555555556</v>
      </c>
      <c r="G2" s="2">
        <f>0+-4/60+-27/3600</f>
        <v>-7.4166666666666659E-2</v>
      </c>
      <c r="H2" s="2">
        <v>0</v>
      </c>
      <c r="I2" s="2">
        <f>0+4/60+27/3600</f>
        <v>7.4166666666666659E-2</v>
      </c>
      <c r="J2" s="2">
        <f>0+7/60+41/3600</f>
        <v>0.12805555555555556</v>
      </c>
      <c r="K2" s="2">
        <f>0+8/60+50/3600</f>
        <v>0.14722222222222223</v>
      </c>
      <c r="L2" s="2">
        <f>0+7/60+37/3600</f>
        <v>0.12694444444444444</v>
      </c>
      <c r="M2" s="2">
        <f>0+4/60+23/3600</f>
        <v>7.3055555555555554E-2</v>
      </c>
    </row>
    <row r="3" spans="1:13" x14ac:dyDescent="0.25">
      <c r="A3" s="2">
        <v>1</v>
      </c>
      <c r="B3" s="2">
        <f>0+0/60+-9/3600</f>
        <v>-2.5000000000000001E-3</v>
      </c>
      <c r="C3" s="2">
        <f>0+-4/60+-31/3600</f>
        <v>-7.5277777777777777E-2</v>
      </c>
      <c r="D3" s="2">
        <f>0+-7/60+-41/3600</f>
        <v>-0.12805555555555556</v>
      </c>
      <c r="E3" s="2">
        <f>0+-8/60+-50/3600</f>
        <v>-0.14722222222222223</v>
      </c>
      <c r="F3" s="2">
        <f>0+-7/60+-36/3600</f>
        <v>-0.12666666666666668</v>
      </c>
      <c r="G3" s="2">
        <f>0+-4/60+-19/3600</f>
        <v>-7.194444444444445E-2</v>
      </c>
      <c r="H3" s="2">
        <f>0+0/60+10/3600</f>
        <v>2.7777777777777779E-3</v>
      </c>
      <c r="I3" s="2">
        <f>0+4/60+35/3600</f>
        <v>7.6388888888888895E-2</v>
      </c>
      <c r="J3" s="2">
        <f>0+7/60+46/3600</f>
        <v>0.12944444444444445</v>
      </c>
      <c r="K3" s="2">
        <f>0+8/60+50/3600</f>
        <v>0.14722222222222223</v>
      </c>
      <c r="L3" s="2">
        <f>0+7/60+32/3600</f>
        <v>0.12555555555555556</v>
      </c>
      <c r="M3" s="2">
        <f>0+4/60+15/3600</f>
        <v>7.0833333333333331E-2</v>
      </c>
    </row>
    <row r="4" spans="1:13" x14ac:dyDescent="0.25">
      <c r="A4" s="2">
        <v>2</v>
      </c>
      <c r="B4" s="2">
        <f>0+0/60+-19/3600</f>
        <v>-5.2777777777777779E-3</v>
      </c>
      <c r="C4" s="2">
        <f>0+-4/60+-39/3600</f>
        <v>-7.7499999999999999E-2</v>
      </c>
      <c r="D4" s="2">
        <f>0+-7/60+-46/3600</f>
        <v>-0.12944444444444445</v>
      </c>
      <c r="E4" s="2">
        <f>0+-8/60+-50/3600</f>
        <v>-0.14722222222222223</v>
      </c>
      <c r="F4" s="2">
        <f>0+-7/60+-31/3600</f>
        <v>-0.12527777777777777</v>
      </c>
      <c r="G4" s="2">
        <f>0+-4/60+-11/3600</f>
        <v>-6.9722222222222227E-2</v>
      </c>
      <c r="H4" s="2">
        <f>0+0/60+19/3600</f>
        <v>5.2777777777777779E-3</v>
      </c>
      <c r="I4" s="2">
        <f>0+4/60+43/3600</f>
        <v>7.8611111111111104E-2</v>
      </c>
      <c r="J4" s="2">
        <f>0+7/60+50/3600</f>
        <v>0.13055555555555556</v>
      </c>
      <c r="K4" s="2">
        <f>0+8/60+49/3600</f>
        <v>0.14694444444444443</v>
      </c>
      <c r="L4" s="2">
        <f>0+7/60+27/3600</f>
        <v>0.12416666666666668</v>
      </c>
      <c r="M4" s="2">
        <f>0+4/60+7/3600</f>
        <v>6.8611111111111109E-2</v>
      </c>
    </row>
    <row r="5" spans="1:13" x14ac:dyDescent="0.25">
      <c r="A5" s="2">
        <v>3</v>
      </c>
      <c r="B5" s="2">
        <f>0+0/60+-28/3600</f>
        <v>-7.7777777777777776E-3</v>
      </c>
      <c r="C5" s="2">
        <f>0+-4/60+-47/3600</f>
        <v>-7.9722222222222222E-2</v>
      </c>
      <c r="D5" s="2">
        <f>0+-7/60+-50/3600</f>
        <v>-0.13055555555555556</v>
      </c>
      <c r="E5" s="2">
        <f>0+-8/60+-49/3600</f>
        <v>-0.14694444444444443</v>
      </c>
      <c r="F5" s="2">
        <f>0+-7/60+-26/3600</f>
        <v>-0.1238888888888889</v>
      </c>
      <c r="G5" s="2">
        <f>0+-4/60+-3/3600</f>
        <v>-6.7500000000000004E-2</v>
      </c>
      <c r="H5" s="2">
        <f>0+0/60+28/3600</f>
        <v>7.7777777777777776E-3</v>
      </c>
      <c r="I5" s="2">
        <f>0+4/60+51/3600</f>
        <v>8.0833333333333326E-2</v>
      </c>
      <c r="J5" s="2">
        <f>0+7/60+54/3600</f>
        <v>0.13166666666666665</v>
      </c>
      <c r="K5" s="2">
        <f>0+8/60+49/3600</f>
        <v>0.14694444444444443</v>
      </c>
      <c r="L5" s="2">
        <f>0+7/60+22/3600</f>
        <v>0.12277777777777778</v>
      </c>
      <c r="M5" s="2">
        <f>0+3/60+59/3600</f>
        <v>6.6388888888888886E-2</v>
      </c>
    </row>
    <row r="6" spans="1:13" x14ac:dyDescent="0.25">
      <c r="A6" s="2">
        <v>4</v>
      </c>
      <c r="B6" s="2">
        <f>0+0/60+-37/3600</f>
        <v>-1.0277777777777778E-2</v>
      </c>
      <c r="C6" s="2">
        <f>0+-4/60+-54/3600</f>
        <v>-8.1666666666666665E-2</v>
      </c>
      <c r="D6" s="2">
        <f>0+-7/60+-55/3600</f>
        <v>-0.13194444444444445</v>
      </c>
      <c r="E6" s="2">
        <f>0+-8/60+-49/3600</f>
        <v>-0.14694444444444443</v>
      </c>
      <c r="F6" s="2">
        <f>0+-7/60+-21/3600</f>
        <v>-0.1225</v>
      </c>
      <c r="G6" s="2">
        <f>0+-3/60+-55/3600</f>
        <v>-6.5277777777777782E-2</v>
      </c>
      <c r="H6" s="2">
        <f>0+0/60+38/3600</f>
        <v>1.0555555555555556E-2</v>
      </c>
      <c r="I6" s="2">
        <f>0+4/60+58/3600</f>
        <v>8.2777777777777783E-2</v>
      </c>
      <c r="J6" s="2">
        <f>0+7/60+58/3600</f>
        <v>0.13277777777777777</v>
      </c>
      <c r="K6" s="2">
        <f>0+8/60+48/3600</f>
        <v>0.14666666666666667</v>
      </c>
      <c r="L6" s="2">
        <f>0+7/60+17/3600</f>
        <v>0.12138888888888889</v>
      </c>
      <c r="M6" s="2">
        <f>0+3/60+50/3600</f>
        <v>6.3888888888888884E-2</v>
      </c>
    </row>
    <row r="7" spans="1:13" x14ac:dyDescent="0.25">
      <c r="A7" s="2">
        <v>5</v>
      </c>
      <c r="B7" s="2">
        <f>0+0/60+-46/3600</f>
        <v>-1.2777777777777779E-2</v>
      </c>
      <c r="C7" s="2">
        <f>0+-5/60+-2/3600</f>
        <v>-8.3888888888888888E-2</v>
      </c>
      <c r="D7" s="2">
        <f>0+-7/60+-59/3600</f>
        <v>-0.13305555555555557</v>
      </c>
      <c r="E7" s="2">
        <f>0+-8/60+-48/3600</f>
        <v>-0.14666666666666667</v>
      </c>
      <c r="F7" s="2">
        <f>0+-7/60+-16/3600</f>
        <v>-0.12111111111111111</v>
      </c>
      <c r="G7" s="2">
        <f>0+-3/60+-46/3600</f>
        <v>-6.277777777777778E-2</v>
      </c>
      <c r="H7" s="2">
        <f>0+0/60+47/3600</f>
        <v>1.3055555555555556E-2</v>
      </c>
      <c r="I7" s="2">
        <f>0+5/60+6/3600</f>
        <v>8.4999999999999992E-2</v>
      </c>
      <c r="J7" s="2">
        <f>0+8/60+2/3600</f>
        <v>0.13388888888888889</v>
      </c>
      <c r="K7" s="2">
        <f>0+8/60+48/3600</f>
        <v>0.14666666666666667</v>
      </c>
      <c r="L7" s="2">
        <f>0+7/60+12/3600</f>
        <v>0.12</v>
      </c>
      <c r="M7" s="2">
        <f>0+3/60+42/3600</f>
        <v>6.1666666666666668E-2</v>
      </c>
    </row>
    <row r="8" spans="1:13" x14ac:dyDescent="0.25">
      <c r="A8" s="2">
        <v>6</v>
      </c>
      <c r="B8" s="2">
        <f>0+0/60+-55/3600</f>
        <v>-1.5277777777777777E-2</v>
      </c>
      <c r="C8" s="2">
        <f>0+-5/60+-10/3600</f>
        <v>-8.611111111111111E-2</v>
      </c>
      <c r="D8" s="2">
        <f>0+-8/60+-3/3600</f>
        <v>-0.13416666666666666</v>
      </c>
      <c r="E8" s="2">
        <f>0+-8/60+-47/3600</f>
        <v>-0.1463888888888889</v>
      </c>
      <c r="F8" s="2">
        <f>0+-7/60+-10/3600</f>
        <v>-0.11944444444444445</v>
      </c>
      <c r="G8" s="2">
        <f>0+-3/60+-38/3600</f>
        <v>-6.0555555555555557E-2</v>
      </c>
      <c r="H8" s="2">
        <f>0+0/60+56/3600</f>
        <v>1.5555555555555555E-2</v>
      </c>
      <c r="I8" s="2">
        <f>0+5/60+14/3600</f>
        <v>8.7222222222222215E-2</v>
      </c>
      <c r="J8" s="2">
        <f>0+8/60+7/3600</f>
        <v>0.13527777777777777</v>
      </c>
      <c r="K8" s="2">
        <f>0+8/60+47/3600</f>
        <v>0.1463888888888889</v>
      </c>
      <c r="L8" s="2">
        <f>0+7/60+6/3600</f>
        <v>0.11833333333333333</v>
      </c>
      <c r="M8" s="2">
        <f>0+3/60+34/3600</f>
        <v>5.9444444444444446E-2</v>
      </c>
    </row>
    <row r="9" spans="1:13" x14ac:dyDescent="0.25">
      <c r="A9" s="2">
        <v>7</v>
      </c>
      <c r="B9" s="2">
        <f>0+-1/60+-4/3600</f>
        <v>-1.7777777777777778E-2</v>
      </c>
      <c r="C9" s="2">
        <f>0+-5/60+-17/3600</f>
        <v>-8.8055555555555554E-2</v>
      </c>
      <c r="D9" s="2">
        <f>0+-8/60+-7/3600</f>
        <v>-0.13527777777777777</v>
      </c>
      <c r="E9" s="2">
        <f>0+-8/60+-46/3600</f>
        <v>-0.14611111111111111</v>
      </c>
      <c r="F9" s="2">
        <f>0+-7/60+-5/3600</f>
        <v>-0.11805555555555555</v>
      </c>
      <c r="G9" s="2">
        <f>0+-3/60+-29/3600</f>
        <v>-5.8055555555555555E-2</v>
      </c>
      <c r="H9" s="2">
        <f>0+1/60+5/3600</f>
        <v>1.8055555555555554E-2</v>
      </c>
      <c r="I9" s="2">
        <f>0+5/60+21/3600</f>
        <v>8.9166666666666658E-2</v>
      </c>
      <c r="J9" s="2">
        <f>0+8/60+9/3600</f>
        <v>0.13583333333333333</v>
      </c>
      <c r="K9" s="2">
        <f>0+8/60+46/3600</f>
        <v>0.14611111111111111</v>
      </c>
      <c r="L9" s="2">
        <f>0+7/60+1/3600</f>
        <v>0.11694444444444445</v>
      </c>
      <c r="M9" s="2">
        <f>0+3/60+26/3600</f>
        <v>5.7222222222222223E-2</v>
      </c>
    </row>
    <row r="10" spans="1:13" x14ac:dyDescent="0.25">
      <c r="A10" s="2">
        <v>8</v>
      </c>
      <c r="B10" s="2">
        <f>0+-1/60+-13/3600</f>
        <v>-2.0277777777777777E-2</v>
      </c>
      <c r="C10" s="2">
        <f>0+-5/60+-25/3600</f>
        <v>-9.0277777777777776E-2</v>
      </c>
      <c r="D10" s="2">
        <f>0+-8/60+-10/3600</f>
        <v>-0.1361111111111111</v>
      </c>
      <c r="E10" s="2">
        <f>0+-8/60+-45/3600</f>
        <v>-0.14583333333333334</v>
      </c>
      <c r="F10" s="2">
        <f>0+-6/60+-59/3600</f>
        <v>-0.1163888888888889</v>
      </c>
      <c r="G10" s="2">
        <f>0+-3/60+-21/3600</f>
        <v>-5.5833333333333339E-2</v>
      </c>
      <c r="H10" s="2">
        <f>0+1/60+15/3600</f>
        <v>2.0833333333333332E-2</v>
      </c>
      <c r="I10" s="2">
        <f>0+5/60+29/3600</f>
        <v>9.1388888888888881E-2</v>
      </c>
      <c r="J10" s="2">
        <f>0+8/60+13/3600</f>
        <v>0.13694444444444445</v>
      </c>
      <c r="K10" s="2">
        <f>0+8/60+44/3600</f>
        <v>0.14555555555555555</v>
      </c>
      <c r="L10" s="2">
        <f>0+6/60+55/3600</f>
        <v>0.11527777777777778</v>
      </c>
      <c r="M10" s="2">
        <f>0+3/60+17/3600</f>
        <v>5.4722222222222228E-2</v>
      </c>
    </row>
    <row r="11" spans="1:13" x14ac:dyDescent="0.25">
      <c r="A11" s="2">
        <v>9</v>
      </c>
      <c r="B11" s="2">
        <f>0+-1/60+-22/3600</f>
        <v>-2.2777777777777779E-2</v>
      </c>
      <c r="C11" s="2">
        <f>0+-5/60+-32/3600</f>
        <v>-9.2222222222222219E-2</v>
      </c>
      <c r="D11" s="2">
        <f>0+-8/60+-14/3600</f>
        <v>-0.13722222222222222</v>
      </c>
      <c r="E11" s="2">
        <f>0+-8/60+-44/3600</f>
        <v>-0.14555555555555555</v>
      </c>
      <c r="F11" s="2">
        <f>0+-6/60+-54/3600</f>
        <v>-0.115</v>
      </c>
      <c r="G11" s="2">
        <f>0+-3/60+-12/3600</f>
        <v>-5.3333333333333337E-2</v>
      </c>
      <c r="H11" s="2">
        <f>0+1/60+24/3600</f>
        <v>2.3333333333333334E-2</v>
      </c>
      <c r="I11" s="2">
        <f>0+5/60+36/3600</f>
        <v>9.3333333333333324E-2</v>
      </c>
      <c r="J11" s="2">
        <f>0+8/60+16/3600</f>
        <v>0.13777777777777778</v>
      </c>
      <c r="K11" s="2">
        <f>0+8/60+43/3600</f>
        <v>0.14527777777777778</v>
      </c>
      <c r="L11" s="2">
        <f>0+6/60+50/3600</f>
        <v>0.1138888888888889</v>
      </c>
      <c r="M11" s="2">
        <f>0+3/60+8/3600</f>
        <v>5.2222222222222225E-2</v>
      </c>
    </row>
    <row r="12" spans="1:13" x14ac:dyDescent="0.25">
      <c r="A12" s="2">
        <v>10</v>
      </c>
      <c r="B12" s="2">
        <f>0+-1/60+-31/3600</f>
        <v>-2.5277777777777777E-2</v>
      </c>
      <c r="C12" s="2">
        <f>0+-5/60+-39/3600</f>
        <v>-9.4166666666666662E-2</v>
      </c>
      <c r="D12" s="2">
        <f>0+-8/60+-17/3600</f>
        <v>-0.13805555555555554</v>
      </c>
      <c r="E12" s="2">
        <f>0+-8/60+-43/3600</f>
        <v>-0.14527777777777778</v>
      </c>
      <c r="F12" s="2">
        <f>0+-6/60+-48/3600</f>
        <v>-0.11333333333333334</v>
      </c>
      <c r="G12" s="2">
        <f>0+-3/60+-3/3600</f>
        <v>-5.0833333333333335E-2</v>
      </c>
      <c r="H12" s="2">
        <f>0+1/60+33/3600</f>
        <v>2.5833333333333333E-2</v>
      </c>
      <c r="I12" s="2">
        <f>0+5/60+43/3600</f>
        <v>9.5277777777777767E-2</v>
      </c>
      <c r="J12" s="2">
        <f>0+8/60+19/3600</f>
        <v>0.1386111111111111</v>
      </c>
      <c r="K12" s="2">
        <f>0+8/60+41/3600</f>
        <v>0.14472222222222222</v>
      </c>
      <c r="L12" s="2">
        <f>0+6/60+44/3600</f>
        <v>0.11222222222222222</v>
      </c>
      <c r="M12" s="2">
        <f>0+3/60+0/3600</f>
        <v>0.05</v>
      </c>
    </row>
    <row r="13" spans="1:13" x14ac:dyDescent="0.25">
      <c r="A13" s="2">
        <v>11</v>
      </c>
      <c r="B13" s="2">
        <f>0+-1/60+-40/3600</f>
        <v>-2.7777777777777776E-2</v>
      </c>
      <c r="C13" s="2">
        <f>0+-5/60+-46/3600</f>
        <v>-9.6111111111111105E-2</v>
      </c>
      <c r="D13" s="2">
        <f>0+-8/60+-20/3600</f>
        <v>-0.1388888888888889</v>
      </c>
      <c r="E13" s="2">
        <f>0+-8/60+-41/3600</f>
        <v>-0.14472222222222222</v>
      </c>
      <c r="F13" s="2">
        <f>0+-6/60+-42/3600</f>
        <v>-0.11166666666666668</v>
      </c>
      <c r="G13" s="2">
        <f>0+-2/60+-54/3600</f>
        <v>-4.8333333333333332E-2</v>
      </c>
      <c r="H13" s="2">
        <f>0+1/60+42/3600</f>
        <v>2.8333333333333335E-2</v>
      </c>
      <c r="I13" s="2">
        <f>0+5/60+50/3600</f>
        <v>9.722222222222221E-2</v>
      </c>
      <c r="J13" s="2">
        <f>0+8/60+22/3600</f>
        <v>0.13944444444444445</v>
      </c>
      <c r="K13" s="2">
        <f>0+8/60+40/3600</f>
        <v>0.14444444444444443</v>
      </c>
      <c r="L13" s="2">
        <f>0+6/60+38/3600</f>
        <v>0.11055555555555556</v>
      </c>
      <c r="M13" s="2">
        <f>0+2/60+51/3600</f>
        <v>4.7500000000000001E-2</v>
      </c>
    </row>
    <row r="14" spans="1:13" x14ac:dyDescent="0.25">
      <c r="A14" s="2">
        <v>12</v>
      </c>
      <c r="B14" s="2">
        <f>0+-1/60+-49/3600</f>
        <v>-3.0277777777777778E-2</v>
      </c>
      <c r="C14" s="2">
        <f>0+-5/60+-53/3600</f>
        <v>-9.8055555555555549E-2</v>
      </c>
      <c r="D14" s="2">
        <f>0+-8/60+-23/3600</f>
        <v>-0.13972222222222222</v>
      </c>
      <c r="E14" s="2">
        <f>0+-8/60+-39/3600</f>
        <v>-0.14416666666666667</v>
      </c>
      <c r="F14" s="2">
        <f>0+-6/60+-36/3600</f>
        <v>-0.11</v>
      </c>
      <c r="G14" s="2">
        <f>0+-2/60+-45/3600</f>
        <v>-4.5833333333333337E-2</v>
      </c>
      <c r="H14" s="2">
        <f>0+1/60+52/3600</f>
        <v>3.111111111111111E-2</v>
      </c>
      <c r="I14" s="2">
        <f>0+5/60+57/3600</f>
        <v>9.9166666666666667E-2</v>
      </c>
      <c r="J14" s="2">
        <f>0+8/60+25/3600</f>
        <v>0.14027777777777778</v>
      </c>
      <c r="K14" s="2">
        <f>0+8/60+38/3600</f>
        <v>0.1438888888888889</v>
      </c>
      <c r="L14" s="2">
        <f>0+6/60+32/3600</f>
        <v>0.1088888888888889</v>
      </c>
      <c r="M14" s="2">
        <f>0+2/60+42/3600</f>
        <v>4.4999999999999998E-2</v>
      </c>
    </row>
    <row r="15" spans="1:13" x14ac:dyDescent="0.25">
      <c r="A15" s="2">
        <v>13</v>
      </c>
      <c r="B15" s="2">
        <f>0+-1/60+-58/3600</f>
        <v>-3.2777777777777781E-2</v>
      </c>
      <c r="C15" s="2">
        <f>0+-6/60+0/3600</f>
        <v>-0.1</v>
      </c>
      <c r="D15" s="2">
        <f>0+-8/60+-26/3600</f>
        <v>-0.14055555555555554</v>
      </c>
      <c r="E15" s="2">
        <f>0+-8/60+-37/3600</f>
        <v>-0.14361111111111111</v>
      </c>
      <c r="F15" s="2">
        <f>0+-6/60+-30/3600</f>
        <v>-0.10833333333333334</v>
      </c>
      <c r="G15" s="2">
        <f>0+-2/60+-36/3600</f>
        <v>-4.3333333333333335E-2</v>
      </c>
      <c r="H15" s="2">
        <f>0+2/60+0/3600</f>
        <v>3.3333333333333333E-2</v>
      </c>
      <c r="I15" s="2">
        <f>0+6/60+4/3600</f>
        <v>0.10111111111111111</v>
      </c>
      <c r="J15" s="2">
        <f>0+8/60+28/3600</f>
        <v>0.1411111111111111</v>
      </c>
      <c r="K15" s="2">
        <f>0+8/60+36/3600</f>
        <v>0.14333333333333334</v>
      </c>
      <c r="L15" s="2">
        <f>0+6/60+26/3600</f>
        <v>0.10722222222222223</v>
      </c>
      <c r="M15" s="2">
        <f>0+2/60+33/3600</f>
        <v>4.2499999999999996E-2</v>
      </c>
    </row>
    <row r="16" spans="1:13" x14ac:dyDescent="0.25">
      <c r="A16" s="2">
        <v>14</v>
      </c>
      <c r="B16" s="2">
        <f>0+-2/60+-7/3600</f>
        <v>-3.5277777777777776E-2</v>
      </c>
      <c r="C16" s="2">
        <f>0+-6/60+-6/3600</f>
        <v>-0.10166666666666667</v>
      </c>
      <c r="D16" s="2">
        <f>0+-8/60+-29/3600</f>
        <v>-0.1413888888888889</v>
      </c>
      <c r="E16" s="2">
        <f>0+-8/60+-35/3600</f>
        <v>-0.14305555555555555</v>
      </c>
      <c r="F16" s="2">
        <f>0+-6/60+-23/3600</f>
        <v>-0.10638888888888889</v>
      </c>
      <c r="G16" s="2">
        <f>0+-2/60+-27/3600</f>
        <v>-4.0833333333333333E-2</v>
      </c>
      <c r="H16" s="2">
        <f>0+2/60+9/3600</f>
        <v>3.5833333333333335E-2</v>
      </c>
      <c r="I16" s="2">
        <f>0+6/60+10/3600</f>
        <v>0.10277777777777779</v>
      </c>
      <c r="J16" s="2">
        <f>0+8/60+30/3600</f>
        <v>0.14166666666666666</v>
      </c>
      <c r="K16" s="2">
        <f>0+8/60+34/3600</f>
        <v>0.14277777777777778</v>
      </c>
      <c r="L16" s="2">
        <f>0+6/60+19/3600</f>
        <v>0.10527777777777779</v>
      </c>
      <c r="M16" s="2">
        <f>0+2/60+25/3600</f>
        <v>4.0277777777777773E-2</v>
      </c>
    </row>
    <row r="17" spans="1:13" x14ac:dyDescent="0.25">
      <c r="A17" s="2">
        <v>15</v>
      </c>
      <c r="B17" s="2">
        <f>0+-2/60+-16/3600</f>
        <v>-3.7777777777777778E-2</v>
      </c>
      <c r="C17" s="2">
        <f>0+-6/60+-13/3600</f>
        <v>-0.10361111111111111</v>
      </c>
      <c r="D17" s="2">
        <f>0+-8/60+-31/3600</f>
        <v>-0.14194444444444443</v>
      </c>
      <c r="E17" s="2">
        <f>0+-8/60+-33/3600</f>
        <v>-0.14249999999999999</v>
      </c>
      <c r="F17" s="2">
        <f>0+-6/60+-17/3600</f>
        <v>-0.10472222222222223</v>
      </c>
      <c r="G17" s="2">
        <f>0+-2/60+-18/3600</f>
        <v>-3.833333333333333E-2</v>
      </c>
      <c r="H17" s="2">
        <f>0+2/60+18/3600</f>
        <v>3.833333333333333E-2</v>
      </c>
      <c r="I17" s="2">
        <f>0+6/60+17/3600</f>
        <v>0.10472222222222223</v>
      </c>
      <c r="J17" s="2">
        <f>0+8/60+33/3600</f>
        <v>0.14249999999999999</v>
      </c>
      <c r="K17" s="2">
        <f>0+8/60+31/3600</f>
        <v>0.14194444444444443</v>
      </c>
      <c r="L17" s="2">
        <f>0+6/60+13/3600</f>
        <v>0.10361111111111111</v>
      </c>
      <c r="M17" s="2">
        <f>0+2/60+16/3600</f>
        <v>3.7777777777777778E-2</v>
      </c>
    </row>
    <row r="18" spans="1:13" x14ac:dyDescent="0.25">
      <c r="A18" s="2">
        <v>16</v>
      </c>
      <c r="B18" s="2">
        <f>0+-2/60+-25/3600</f>
        <v>-4.0277777777777773E-2</v>
      </c>
      <c r="C18" s="2">
        <f>0+-6/60+-19/3600</f>
        <v>-0.10527777777777779</v>
      </c>
      <c r="D18" s="2">
        <f>0+-8/60+-34/3600</f>
        <v>-0.14277777777777778</v>
      </c>
      <c r="E18" s="2">
        <f>0+-8/60+-30/3600</f>
        <v>-0.14166666666666666</v>
      </c>
      <c r="F18" s="2">
        <f>0+-6/60+-10/3600</f>
        <v>-0.10277777777777779</v>
      </c>
      <c r="G18" s="2">
        <f>0+-2/60+-9/3600</f>
        <v>-3.5833333333333335E-2</v>
      </c>
      <c r="H18" s="2">
        <f>0+2/60+27/3600</f>
        <v>4.0833333333333333E-2</v>
      </c>
      <c r="I18" s="2">
        <f>0+6/60+23/3600</f>
        <v>0.10638888888888889</v>
      </c>
      <c r="J18" s="2">
        <f>0+8/60+35/3600</f>
        <v>0.14305555555555555</v>
      </c>
      <c r="K18" s="2">
        <f>0+8/60+29/3600</f>
        <v>0.1413888888888889</v>
      </c>
      <c r="L18" s="2">
        <f>0+6/60+6/3600</f>
        <v>0.10166666666666667</v>
      </c>
      <c r="M18" s="2">
        <f>0+2/60+7/3600</f>
        <v>3.5277777777777776E-2</v>
      </c>
    </row>
    <row r="19" spans="1:13" x14ac:dyDescent="0.25">
      <c r="A19" s="2">
        <v>17</v>
      </c>
      <c r="B19" s="2">
        <f>0+-2/60+-33/3600</f>
        <v>-4.2499999999999996E-2</v>
      </c>
      <c r="C19" s="2">
        <f>0+-6/60+-26/3600</f>
        <v>-0.10722222222222223</v>
      </c>
      <c r="D19" s="2">
        <f>0+-8/60+-36/3600</f>
        <v>-0.14333333333333334</v>
      </c>
      <c r="E19" s="2">
        <f>0+-8/60+-28/3600</f>
        <v>-0.1411111111111111</v>
      </c>
      <c r="F19" s="2">
        <f>0+-6/60+-4/3600</f>
        <v>-0.10111111111111111</v>
      </c>
      <c r="G19" s="2">
        <f>0+-2/60+0/3600</f>
        <v>-3.3333333333333333E-2</v>
      </c>
      <c r="H19" s="2">
        <f>0+2/60+36/3600</f>
        <v>4.3333333333333335E-2</v>
      </c>
      <c r="I19" s="2">
        <f>0+6/60+30/3600</f>
        <v>0.10833333333333334</v>
      </c>
      <c r="J19" s="2">
        <f>0+8/60+37/3600</f>
        <v>0.14361111111111111</v>
      </c>
      <c r="K19" s="2">
        <f>0+8/60+26/3600</f>
        <v>0.14055555555555554</v>
      </c>
      <c r="L19" s="2">
        <f>0+6/60+0/3600</f>
        <v>0.1</v>
      </c>
      <c r="M19" s="2">
        <f>0+1/60+58/3600</f>
        <v>3.2777777777777781E-2</v>
      </c>
    </row>
    <row r="20" spans="1:13" x14ac:dyDescent="0.25">
      <c r="A20" s="2">
        <v>18</v>
      </c>
      <c r="B20" s="2">
        <f>0+-2/60+-42/3600</f>
        <v>-4.4999999999999998E-2</v>
      </c>
      <c r="C20" s="2">
        <f>0+-6/60+-32/3600</f>
        <v>-0.1088888888888889</v>
      </c>
      <c r="D20" s="2">
        <f>0+-8/60+-38/3600</f>
        <v>-0.1438888888888889</v>
      </c>
      <c r="E20" s="2">
        <f>0+-8/60+-25/3600</f>
        <v>-0.14027777777777778</v>
      </c>
      <c r="F20" s="2">
        <f>0+-5/60+-57/3600</f>
        <v>-9.9166666666666667E-2</v>
      </c>
      <c r="G20" s="2">
        <f>0+-1/60+-52/3600</f>
        <v>-3.111111111111111E-2</v>
      </c>
      <c r="H20" s="2">
        <f>0+2/60+45/3600</f>
        <v>4.5833333333333337E-2</v>
      </c>
      <c r="I20" s="2">
        <f>0+6/60+36/3600</f>
        <v>0.11</v>
      </c>
      <c r="J20" s="2">
        <f>0+8/60+39/3600</f>
        <v>0.14416666666666667</v>
      </c>
      <c r="K20" s="2">
        <f>0+8/60+23/3600</f>
        <v>0.13972222222222222</v>
      </c>
      <c r="L20" s="2">
        <f>0+5/60+53/3600</f>
        <v>9.8055555555555549E-2</v>
      </c>
      <c r="M20" s="2">
        <f>0+1/60+49/3600</f>
        <v>3.0277777777777778E-2</v>
      </c>
    </row>
    <row r="21" spans="1:13" x14ac:dyDescent="0.25">
      <c r="A21" s="2">
        <v>19</v>
      </c>
      <c r="B21" s="2">
        <f>0+-2/60+-51/3600</f>
        <v>-4.7500000000000001E-2</v>
      </c>
      <c r="C21" s="2">
        <f>0+-6/60+-38/3600</f>
        <v>-0.11055555555555556</v>
      </c>
      <c r="D21" s="2">
        <f>0+-8/60+-40/3600</f>
        <v>-0.14444444444444443</v>
      </c>
      <c r="E21" s="2">
        <f>0+-8/60+-22/3600</f>
        <v>-0.13944444444444445</v>
      </c>
      <c r="F21" s="2">
        <f>0+-5/60+-50/3600</f>
        <v>-9.722222222222221E-2</v>
      </c>
      <c r="G21" s="2">
        <f>0+-1/60+-42/3600</f>
        <v>-2.8333333333333335E-2</v>
      </c>
      <c r="H21" s="2">
        <f>0+2/60+54/3600</f>
        <v>4.8333333333333332E-2</v>
      </c>
      <c r="I21" s="2">
        <f>0+6/60+42/3600</f>
        <v>0.11166666666666668</v>
      </c>
      <c r="J21" s="2">
        <f>0+8/60+41/3600</f>
        <v>0.14472222222222222</v>
      </c>
      <c r="K21" s="2">
        <f>0+8/60+20/3600</f>
        <v>0.1388888888888889</v>
      </c>
      <c r="L21" s="2">
        <f>0+5/60+46/3600</f>
        <v>9.6111111111111105E-2</v>
      </c>
      <c r="M21" s="2">
        <f>0+1/60+40/3600</f>
        <v>2.7777777777777776E-2</v>
      </c>
    </row>
    <row r="22" spans="1:13" x14ac:dyDescent="0.25">
      <c r="A22" s="2">
        <v>20</v>
      </c>
      <c r="B22" s="2">
        <f>0+-3/60+0/3600</f>
        <v>-0.05</v>
      </c>
      <c r="C22" s="2">
        <f>0+-6/60+-44/3600</f>
        <v>-0.11222222222222222</v>
      </c>
      <c r="D22" s="2">
        <f>0+-8/60+-41/3600</f>
        <v>-0.14472222222222222</v>
      </c>
      <c r="E22" s="2">
        <f>0+-8/60+-19/3600</f>
        <v>-0.1386111111111111</v>
      </c>
      <c r="F22" s="2">
        <f>0+-5/60+-43/3600</f>
        <v>-9.5277777777777767E-2</v>
      </c>
      <c r="G22" s="2">
        <f>0+-1/60+-33/3600</f>
        <v>-2.5833333333333333E-2</v>
      </c>
      <c r="H22" s="2">
        <f>0+3/60+3/3600</f>
        <v>5.0833333333333335E-2</v>
      </c>
      <c r="I22" s="2">
        <f>0+6/60+48/3600</f>
        <v>0.11333333333333334</v>
      </c>
      <c r="J22" s="2">
        <f>0+8/60+43/3600</f>
        <v>0.14527777777777778</v>
      </c>
      <c r="K22" s="2">
        <f>0+8/60+17/3600</f>
        <v>0.13805555555555554</v>
      </c>
      <c r="L22" s="2">
        <f>0+5/60+39/3600</f>
        <v>9.4166666666666662E-2</v>
      </c>
      <c r="M22" s="2">
        <f>0+1/60+31/3600</f>
        <v>2.5277777777777777E-2</v>
      </c>
    </row>
    <row r="23" spans="1:13" x14ac:dyDescent="0.25">
      <c r="A23" s="2">
        <v>21</v>
      </c>
      <c r="B23" s="2">
        <f>0+-3/60+-8/3600</f>
        <v>-5.2222222222222225E-2</v>
      </c>
      <c r="C23" s="2">
        <f>0+-6/60+-50/3600</f>
        <v>-0.1138888888888889</v>
      </c>
      <c r="D23" s="2">
        <f>0+-8/60+-43/3600</f>
        <v>-0.14527777777777778</v>
      </c>
      <c r="E23" s="2">
        <f>0+-8/60+-16/3600</f>
        <v>-0.13777777777777778</v>
      </c>
      <c r="F23" s="2">
        <f>0+-5/60+-36/3600</f>
        <v>-9.3333333333333324E-2</v>
      </c>
      <c r="G23" s="2">
        <f>0+-1/60+-24/3600</f>
        <v>-2.3333333333333334E-2</v>
      </c>
      <c r="H23" s="2">
        <f>0+3/60+12/3600</f>
        <v>5.3333333333333337E-2</v>
      </c>
      <c r="I23" s="2">
        <f>0+6/60+54/3600</f>
        <v>0.115</v>
      </c>
      <c r="J23" s="2">
        <f>0+8/60+44/3600</f>
        <v>0.14555555555555555</v>
      </c>
      <c r="K23" s="2">
        <f>0+8/60+14/3600</f>
        <v>0.13722222222222222</v>
      </c>
      <c r="L23" s="2">
        <f>0+5/60+32/3600</f>
        <v>9.2222222222222219E-2</v>
      </c>
      <c r="M23" s="2">
        <f>0+1/60+22/3600</f>
        <v>2.2777777777777779E-2</v>
      </c>
    </row>
    <row r="24" spans="1:13" x14ac:dyDescent="0.25">
      <c r="A24" s="2">
        <v>22</v>
      </c>
      <c r="B24" s="2">
        <f>0+-3/60+-17/3600</f>
        <v>-5.4722222222222228E-2</v>
      </c>
      <c r="C24" s="2">
        <f>0+-6/60+-55/3600</f>
        <v>-0.11527777777777778</v>
      </c>
      <c r="D24" s="2">
        <f>0+-8/60+-44/3600</f>
        <v>-0.14555555555555555</v>
      </c>
      <c r="E24" s="2">
        <f>0+-8/60+-13/3600</f>
        <v>-0.13694444444444445</v>
      </c>
      <c r="F24" s="2">
        <f>0+-5/60+-29/3600</f>
        <v>-9.1388888888888881E-2</v>
      </c>
      <c r="G24" s="2">
        <f>0+-1/60+-15/3600</f>
        <v>-2.0833333333333332E-2</v>
      </c>
      <c r="H24" s="2">
        <f>0+3/60+21/3600</f>
        <v>5.5833333333333339E-2</v>
      </c>
      <c r="I24" s="2">
        <f>0+6/60+59/3600</f>
        <v>0.1163888888888889</v>
      </c>
      <c r="J24" s="2">
        <f>0+8/60+45/3600</f>
        <v>0.14583333333333334</v>
      </c>
      <c r="K24" s="2">
        <f>0+8/60+10/3600</f>
        <v>0.1361111111111111</v>
      </c>
      <c r="L24" s="2">
        <f>0+5/60+25/3600</f>
        <v>9.0277777777777776E-2</v>
      </c>
      <c r="M24" s="2">
        <f>0+1/60+13/3600</f>
        <v>2.0277777777777777E-2</v>
      </c>
    </row>
    <row r="25" spans="1:13" x14ac:dyDescent="0.25">
      <c r="A25" s="2">
        <v>23</v>
      </c>
      <c r="B25" s="2">
        <f>0+-3/60+-26/3600</f>
        <v>-5.7222222222222223E-2</v>
      </c>
      <c r="C25" s="2">
        <f>0+-7/60+-1/3600</f>
        <v>-0.11694444444444445</v>
      </c>
      <c r="D25" s="2">
        <f>0+-8/60+-46/3600</f>
        <v>-0.14611111111111111</v>
      </c>
      <c r="E25" s="2">
        <f>0+-8/60+-9/3600</f>
        <v>-0.13583333333333333</v>
      </c>
      <c r="F25" s="2">
        <f>0+-5/60+-21/3600</f>
        <v>-8.9166666666666658E-2</v>
      </c>
      <c r="G25" s="2">
        <f>0+-1/60+-5/3600</f>
        <v>-1.8055555555555554E-2</v>
      </c>
      <c r="H25" s="2">
        <f>0+3/60+29/3600</f>
        <v>5.8055555555555555E-2</v>
      </c>
      <c r="I25" s="2">
        <f>0+7/60+5/3600</f>
        <v>0.11805555555555555</v>
      </c>
      <c r="J25" s="2">
        <f>0+8/60+46/3600</f>
        <v>0.14611111111111111</v>
      </c>
      <c r="K25" s="2">
        <f>0+8/60+7/3600</f>
        <v>0.13527777777777777</v>
      </c>
      <c r="L25" s="2">
        <f>0+5/60+17/3600</f>
        <v>8.8055555555555554E-2</v>
      </c>
      <c r="M25" s="2">
        <f>0+1/60+4/3600</f>
        <v>1.7777777777777778E-2</v>
      </c>
    </row>
    <row r="26" spans="1:13" x14ac:dyDescent="0.25">
      <c r="A26" s="2">
        <v>24</v>
      </c>
      <c r="B26" s="2">
        <f>0+-3/60+-34/3600</f>
        <v>-5.9444444444444446E-2</v>
      </c>
      <c r="C26" s="2">
        <f>0+-7/60+-6/3600</f>
        <v>-0.11833333333333333</v>
      </c>
      <c r="D26" s="2">
        <f>0+-8/60+-47/3600</f>
        <v>-0.1463888888888889</v>
      </c>
      <c r="E26" s="2">
        <f>0+-8/60+-7/3600</f>
        <v>-0.13527777777777777</v>
      </c>
      <c r="F26" s="2">
        <f>0+-5/60+-14/3600</f>
        <v>-8.7222222222222215E-2</v>
      </c>
      <c r="G26" s="2">
        <f>0+0/60+-56/3600</f>
        <v>-1.5555555555555555E-2</v>
      </c>
      <c r="H26" s="2">
        <f>0+3/60+38/3600</f>
        <v>6.0555555555555557E-2</v>
      </c>
      <c r="I26" s="2">
        <f>0+7/60+10/3600</f>
        <v>0.11944444444444445</v>
      </c>
      <c r="J26" s="2">
        <f>0+8/60+47/3600</f>
        <v>0.1463888888888889</v>
      </c>
      <c r="K26" s="2">
        <f>0+8/60+3/3600</f>
        <v>0.13416666666666666</v>
      </c>
      <c r="L26" s="2">
        <f>0+5/60+10/3600</f>
        <v>8.611111111111111E-2</v>
      </c>
      <c r="M26" s="2">
        <f>0+0/60+55/3600</f>
        <v>1.5277777777777777E-2</v>
      </c>
    </row>
    <row r="27" spans="1:13" x14ac:dyDescent="0.25">
      <c r="A27" s="2">
        <v>25</v>
      </c>
      <c r="B27" s="2">
        <f>0+-3/60+-42/3600</f>
        <v>-6.1666666666666668E-2</v>
      </c>
      <c r="C27" s="2">
        <f>0+-7/60+-12/3600</f>
        <v>-0.12</v>
      </c>
      <c r="D27" s="2">
        <f>0+-8/60+-48/3600</f>
        <v>-0.14666666666666667</v>
      </c>
      <c r="E27" s="2">
        <f>0+-8/60+-2/3600</f>
        <v>-0.13388888888888889</v>
      </c>
      <c r="F27" s="2">
        <f>0+-5/60+-6/3600</f>
        <v>-8.4999999999999992E-2</v>
      </c>
      <c r="G27" s="2">
        <f>0+0/60+-47/3600</f>
        <v>-1.3055555555555556E-2</v>
      </c>
      <c r="H27" s="2">
        <f>0+3/60+46/3600</f>
        <v>6.277777777777778E-2</v>
      </c>
      <c r="I27" s="2">
        <f>0+7/60+16/3600</f>
        <v>0.12111111111111111</v>
      </c>
      <c r="J27" s="2">
        <f>0+8/60+48/3600</f>
        <v>0.14666666666666667</v>
      </c>
      <c r="K27" s="2">
        <f>0+7/60+59/3600</f>
        <v>0.13305555555555557</v>
      </c>
      <c r="L27" s="2">
        <f>0+5/60+2/3600</f>
        <v>8.3888888888888888E-2</v>
      </c>
      <c r="M27" s="2">
        <f>0+0/60+46/3600</f>
        <v>1.2777777777777779E-2</v>
      </c>
    </row>
    <row r="28" spans="1:13" x14ac:dyDescent="0.25">
      <c r="A28" s="2">
        <v>26</v>
      </c>
      <c r="B28" s="2">
        <f>0+-3/60+-50/3600</f>
        <v>-6.3888888888888884E-2</v>
      </c>
      <c r="C28" s="2">
        <f>0+-7/60+-17/3600</f>
        <v>-0.12138888888888889</v>
      </c>
      <c r="D28" s="2">
        <f>0+-8/60+-48/3600</f>
        <v>-0.14666666666666667</v>
      </c>
      <c r="E28" s="2">
        <f>0+-7/60+-58/3600</f>
        <v>-0.13277777777777777</v>
      </c>
      <c r="F28" s="2">
        <f>0+-4/60+-58/3600</f>
        <v>-8.2777777777777783E-2</v>
      </c>
      <c r="G28" s="2">
        <f>0+0/60+-38/3600</f>
        <v>-1.0555555555555556E-2</v>
      </c>
      <c r="H28" s="2">
        <f>0+3/60+55/3600</f>
        <v>6.5277777777777782E-2</v>
      </c>
      <c r="I28" s="2">
        <f>0+7/60+21/3600</f>
        <v>0.1225</v>
      </c>
      <c r="J28" s="2">
        <f>0+8/60+49/3600</f>
        <v>0.14694444444444443</v>
      </c>
      <c r="K28" s="2">
        <f>0+7/60+55/3600</f>
        <v>0.13194444444444445</v>
      </c>
      <c r="L28" s="2">
        <f>0+4/60+54/3600</f>
        <v>8.1666666666666665E-2</v>
      </c>
      <c r="M28" s="2">
        <f>0+0/60+37/3600</f>
        <v>1.0277777777777778E-2</v>
      </c>
    </row>
    <row r="29" spans="1:13" x14ac:dyDescent="0.25">
      <c r="A29" s="2">
        <v>27</v>
      </c>
      <c r="B29" s="2">
        <f>0+-3/60+-59/3600</f>
        <v>-6.6388888888888886E-2</v>
      </c>
      <c r="C29" s="2">
        <f>0+-7/60+-22/3600</f>
        <v>-0.12277777777777778</v>
      </c>
      <c r="D29" s="2">
        <f>0+-8/60+-49/3600</f>
        <v>-0.14694444444444443</v>
      </c>
      <c r="E29" s="2">
        <f>0+-7/60+-54/3600</f>
        <v>-0.13166666666666665</v>
      </c>
      <c r="F29" s="2">
        <f>0+-4/60+-51/3600</f>
        <v>-8.0833333333333326E-2</v>
      </c>
      <c r="G29" s="2">
        <f>0+0/60+-28/3600</f>
        <v>-7.7777777777777776E-3</v>
      </c>
      <c r="H29" s="2">
        <f>0+4/60+3/3600</f>
        <v>6.7500000000000004E-2</v>
      </c>
      <c r="I29" s="2">
        <f>0+7/60+26/3600</f>
        <v>0.1238888888888889</v>
      </c>
      <c r="J29" s="2">
        <f>0+8/60+49/3600</f>
        <v>0.14694444444444443</v>
      </c>
      <c r="K29" s="2">
        <f>0+7/60+-50/3600</f>
        <v>0.10277777777777777</v>
      </c>
      <c r="L29" s="2">
        <f>0+4/60+47/3600</f>
        <v>7.9722222222222222E-2</v>
      </c>
      <c r="M29" s="2">
        <f>0+0/60+28/3600</f>
        <v>7.7777777777777776E-3</v>
      </c>
    </row>
    <row r="30" spans="1:13" x14ac:dyDescent="0.25">
      <c r="A30" s="2">
        <v>28</v>
      </c>
      <c r="B30" s="2">
        <f>0+-4/60+-7/3600</f>
        <v>-6.8611111111111109E-2</v>
      </c>
      <c r="C30" s="2">
        <f>0+-7/60+-27/3600</f>
        <v>-0.12416666666666668</v>
      </c>
      <c r="D30" s="2">
        <f>0+-8/60+-49/3600</f>
        <v>-0.14694444444444443</v>
      </c>
      <c r="E30" s="2">
        <f>0+-7/60+-50/3600</f>
        <v>-0.13055555555555556</v>
      </c>
      <c r="F30" s="2">
        <f>0+-4/60+-43/3600</f>
        <v>-7.8611111111111104E-2</v>
      </c>
      <c r="G30" s="2">
        <f>0+0/60+-19/3600</f>
        <v>-5.2777777777777779E-3</v>
      </c>
      <c r="H30" s="2">
        <f>0+4/60+11/3600</f>
        <v>6.9722222222222227E-2</v>
      </c>
      <c r="I30" s="2">
        <f>0+7/60+31/3600</f>
        <v>0.12527777777777777</v>
      </c>
      <c r="J30" s="2">
        <f>0+8/60+50/3600</f>
        <v>0.14722222222222223</v>
      </c>
      <c r="K30" s="2">
        <f>0+7/60+-46/3600</f>
        <v>0.10388888888888889</v>
      </c>
      <c r="L30" s="2">
        <f>0+4/60+39/3600</f>
        <v>7.7499999999999999E-2</v>
      </c>
      <c r="M30" s="2">
        <f>0+0/60+19/3600</f>
        <v>5.2777777777777779E-3</v>
      </c>
    </row>
    <row r="31" spans="1:13" x14ac:dyDescent="0.25">
      <c r="A31" s="2">
        <v>29</v>
      </c>
      <c r="B31" s="2">
        <f>0+-4/60+-15/3600</f>
        <v>-7.0833333333333331E-2</v>
      </c>
      <c r="C31" s="2">
        <f>0+-7/60+-32/3600</f>
        <v>-0.12555555555555556</v>
      </c>
      <c r="D31" s="2">
        <f>0+-8/60+-50/3600</f>
        <v>-0.14722222222222223</v>
      </c>
      <c r="E31" s="2">
        <f>0+-7/60+-46/3600</f>
        <v>-0.12944444444444445</v>
      </c>
      <c r="F31" s="2">
        <f>0+-4/60+-35/3600</f>
        <v>-7.6388888888888895E-2</v>
      </c>
      <c r="G31" s="2">
        <f>0+0/60+-10/3600</f>
        <v>-2.7777777777777779E-3</v>
      </c>
      <c r="H31" s="2">
        <f>0+4/60+19/3600</f>
        <v>7.194444444444445E-2</v>
      </c>
      <c r="I31" s="2">
        <f>0+7/60+36/3600</f>
        <v>0.12666666666666668</v>
      </c>
      <c r="J31" s="2">
        <f>0+8/60+50/3600</f>
        <v>0.14722222222222223</v>
      </c>
      <c r="K31" s="2">
        <f>0+7/60+-41/3600</f>
        <v>0.10527777777777778</v>
      </c>
      <c r="L31" s="2">
        <f>0+4/60+31/3600</f>
        <v>7.5277777777777777E-2</v>
      </c>
      <c r="M31" s="2">
        <f>0+0/60+9/3600</f>
        <v>2.5000000000000001E-3</v>
      </c>
    </row>
    <row r="32" spans="1:13" x14ac:dyDescent="0.25">
      <c r="A32" s="2">
        <v>30</v>
      </c>
      <c r="B32" s="2">
        <f>0+-4/60+-23/3600</f>
        <v>-7.3055555555555554E-2</v>
      </c>
      <c r="C32" s="2">
        <f>0+-7/60+-37/3600</f>
        <v>-0.12694444444444444</v>
      </c>
      <c r="D32" s="2">
        <f>0+-8/60+-50/3600</f>
        <v>-0.14722222222222223</v>
      </c>
      <c r="E32" s="2">
        <f>0+-7/60+-41/3600</f>
        <v>-0.12805555555555556</v>
      </c>
      <c r="F32" s="2">
        <f>0+-4/60+-27/3600</f>
        <v>-7.4166666666666659E-2</v>
      </c>
      <c r="G32" s="2">
        <v>0</v>
      </c>
      <c r="H32" s="2">
        <f>0+4/60+27/3600</f>
        <v>7.4166666666666659E-2</v>
      </c>
      <c r="I32" s="2">
        <f>0+7/60+41/3600</f>
        <v>0.12805555555555556</v>
      </c>
      <c r="J32" s="2">
        <f>0+8/60+50/3600</f>
        <v>0.14722222222222223</v>
      </c>
      <c r="K32" s="2">
        <f>0+7/60+37/3600</f>
        <v>0.12694444444444444</v>
      </c>
      <c r="L32" s="2">
        <f>0+4/60+23/3600</f>
        <v>7.3055555555555554E-2</v>
      </c>
      <c r="M32" s="2">
        <f>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FD63-E837-454E-B689-5EF27F26ABCF}">
  <dimension ref="A1:M32"/>
  <sheetViews>
    <sheetView zoomScale="96" workbookViewId="0">
      <selection activeCell="A2" sqref="A2"/>
    </sheetView>
  </sheetViews>
  <sheetFormatPr defaultRowHeight="15" x14ac:dyDescent="0.25"/>
  <sheetData>
    <row r="1" spans="1:13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f>0+0/60+0/3600</f>
        <v>0</v>
      </c>
      <c r="C2">
        <f>0+-5/60+-49/3600</f>
        <v>-9.6944444444444444E-2</v>
      </c>
      <c r="D2">
        <f>0+-5/60+-49/3600</f>
        <v>-9.6944444444444444E-2</v>
      </c>
      <c r="E2">
        <f>0+0/60+0/3600</f>
        <v>0</v>
      </c>
      <c r="F2">
        <f>0+5/60+49/3600</f>
        <v>9.6944444444444444E-2</v>
      </c>
      <c r="G2">
        <f>0+5/60+49/3600</f>
        <v>9.6944444444444444E-2</v>
      </c>
      <c r="H2">
        <f>0+0/60+0/3600</f>
        <v>0</v>
      </c>
      <c r="I2">
        <f>0+-5/60+-49/3600</f>
        <v>-9.6944444444444444E-2</v>
      </c>
      <c r="J2">
        <f>0+-5/60+-49/3600</f>
        <v>-9.6944444444444444E-2</v>
      </c>
      <c r="K2">
        <f>0+0/60+0/3600</f>
        <v>0</v>
      </c>
      <c r="L2">
        <f>0+5/60+49/3600</f>
        <v>9.6944444444444444E-2</v>
      </c>
      <c r="M2">
        <f>0+5/60+49/3600</f>
        <v>9.6944444444444444E-2</v>
      </c>
    </row>
    <row r="3" spans="1:13" x14ac:dyDescent="0.25">
      <c r="A3">
        <v>1</v>
      </c>
      <c r="B3">
        <f>0+0/60+-14/3600</f>
        <v>-3.8888888888888888E-3</v>
      </c>
      <c r="C3">
        <f>0+-5/60+-56/3600</f>
        <v>-9.8888888888888887E-2</v>
      </c>
      <c r="D3">
        <f>0+-5/60+-42/3600</f>
        <v>-9.5000000000000001E-2</v>
      </c>
      <c r="E3">
        <f>0+0/60+14/3600</f>
        <v>3.8888888888888888E-3</v>
      </c>
      <c r="F3">
        <f>0+5/60+5/3600</f>
        <v>8.4722222222222213E-2</v>
      </c>
      <c r="G3">
        <f>0+5/60+41/3600</f>
        <v>9.4722222222222222E-2</v>
      </c>
      <c r="H3">
        <f>0+0/60+-14/3600</f>
        <v>-3.8888888888888888E-3</v>
      </c>
      <c r="I3">
        <f>0+-5/60+-56/3600</f>
        <v>-9.8888888888888887E-2</v>
      </c>
      <c r="J3">
        <f>0+-5/60+-42/3600</f>
        <v>-9.5000000000000001E-2</v>
      </c>
      <c r="K3">
        <f>0+0/60+14/3600</f>
        <v>3.8888888888888888E-3</v>
      </c>
      <c r="L3">
        <f>0+5/60+5/3600</f>
        <v>8.4722222222222213E-2</v>
      </c>
      <c r="M3">
        <f>0+5/60+41/3600</f>
        <v>9.4722222222222222E-2</v>
      </c>
    </row>
    <row r="4" spans="1:13" x14ac:dyDescent="0.25">
      <c r="A4">
        <v>2</v>
      </c>
      <c r="B4">
        <f>0+0/60+-28/3600</f>
        <v>-7.7777777777777776E-3</v>
      </c>
      <c r="C4">
        <f>0+-6/60+-2/3600</f>
        <v>-0.10055555555555556</v>
      </c>
      <c r="D4">
        <f>0+-5/60+-34/3600</f>
        <v>-9.2777777777777778E-2</v>
      </c>
      <c r="E4">
        <f>0+0/60+28/3600</f>
        <v>7.7777777777777776E-3</v>
      </c>
      <c r="F4">
        <f>0+6/60+3/3600</f>
        <v>0.10083333333333334</v>
      </c>
      <c r="G4">
        <f>0+5/60+34/3600</f>
        <v>9.2777777777777778E-2</v>
      </c>
      <c r="H4">
        <f>0+0/60+-28/3600</f>
        <v>-7.7777777777777776E-3</v>
      </c>
      <c r="I4">
        <f>0+-6/60+-2/3600</f>
        <v>-0.10055555555555556</v>
      </c>
      <c r="J4">
        <f>0+-5/60+-34/3600</f>
        <v>-9.2777777777777778E-2</v>
      </c>
      <c r="K4">
        <f>0+0/60+28/3600</f>
        <v>7.7777777777777776E-3</v>
      </c>
      <c r="L4">
        <f>0+6/60+3/3600</f>
        <v>0.10083333333333334</v>
      </c>
      <c r="M4">
        <f>0+5/60+34/3600</f>
        <v>9.2777777777777778E-2</v>
      </c>
    </row>
    <row r="5" spans="1:13" x14ac:dyDescent="0.25">
      <c r="A5">
        <v>3</v>
      </c>
      <c r="B5">
        <f>0+0/60+-42/3600</f>
        <v>-1.1666666666666667E-2</v>
      </c>
      <c r="C5">
        <f>0+-6/60+-8/3600</f>
        <v>-0.10222222222222223</v>
      </c>
      <c r="D5">
        <f>0+-5/60+-26/3600</f>
        <v>-9.0555555555555556E-2</v>
      </c>
      <c r="E5">
        <f>0+0/60+42/3600</f>
        <v>1.1666666666666667E-2</v>
      </c>
      <c r="F5">
        <f>0+6/60+8/3600</f>
        <v>0.10222222222222223</v>
      </c>
      <c r="G5">
        <f>0+5/60+26/3600</f>
        <v>9.0555555555555556E-2</v>
      </c>
      <c r="H5">
        <f>0+0/60+-42/3600</f>
        <v>-1.1666666666666667E-2</v>
      </c>
      <c r="I5">
        <f>0+-6/60+-8/3600</f>
        <v>-0.10222222222222223</v>
      </c>
      <c r="J5">
        <f>0+-5/60+-26/3600</f>
        <v>-9.0555555555555556E-2</v>
      </c>
      <c r="K5">
        <f>0+0/60+42/3600</f>
        <v>1.1666666666666667E-2</v>
      </c>
      <c r="L5">
        <f>0+6/60+8/3600</f>
        <v>0.10222222222222223</v>
      </c>
      <c r="M5">
        <f>0+5/60+26/3600</f>
        <v>9.0555555555555556E-2</v>
      </c>
    </row>
    <row r="6" spans="1:13" x14ac:dyDescent="0.25">
      <c r="A6">
        <v>4</v>
      </c>
      <c r="B6">
        <f>0+0/60+-56/3600</f>
        <v>-1.5555555555555555E-2</v>
      </c>
      <c r="C6">
        <f>0+-6/60+-14/3600</f>
        <v>-0.10388888888888889</v>
      </c>
      <c r="D6">
        <f>0+-5/60+-18/3600</f>
        <v>-8.8333333333333333E-2</v>
      </c>
      <c r="E6">
        <f>0+0/60+57/3600</f>
        <v>1.5833333333333335E-2</v>
      </c>
      <c r="F6">
        <f>0+6/60+14/3600</f>
        <v>0.10388888888888889</v>
      </c>
      <c r="G6">
        <f>0+5/60+17/3600</f>
        <v>8.8055555555555554E-2</v>
      </c>
      <c r="H6">
        <f>0+0/60+-56/3600</f>
        <v>-1.5555555555555555E-2</v>
      </c>
      <c r="I6">
        <f>0+-6/60+-14/3600</f>
        <v>-0.10388888888888889</v>
      </c>
      <c r="J6">
        <f>0+-5/60+-18/3600</f>
        <v>-8.8333333333333333E-2</v>
      </c>
      <c r="K6">
        <f>0+0/60+57/3600</f>
        <v>1.5833333333333335E-2</v>
      </c>
      <c r="L6">
        <f>0+6/60+14/3600</f>
        <v>0.10388888888888889</v>
      </c>
      <c r="M6">
        <f>0+5/60+17/3600</f>
        <v>8.8055555555555554E-2</v>
      </c>
    </row>
    <row r="7" spans="1:13" x14ac:dyDescent="0.25">
      <c r="A7">
        <v>5</v>
      </c>
      <c r="B7">
        <f>0+-1/60+-10/3600</f>
        <v>-1.9444444444444445E-2</v>
      </c>
      <c r="C7">
        <f>0+-6/60+-19/3600</f>
        <v>-0.10527777777777779</v>
      </c>
      <c r="D7">
        <f>0+-5/60+-9/3600</f>
        <v>-8.5833333333333331E-2</v>
      </c>
      <c r="E7">
        <f>0+1/60+10/3600</f>
        <v>1.9444444444444445E-2</v>
      </c>
      <c r="F7">
        <f>0+6/60+19/3600</f>
        <v>0.10527777777777779</v>
      </c>
      <c r="G7">
        <f>0+5/60+8/3600</f>
        <v>8.5555555555555551E-2</v>
      </c>
      <c r="H7">
        <f>0+-1/60+-10/3600</f>
        <v>-1.9444444444444445E-2</v>
      </c>
      <c r="I7">
        <f>0+-6/60+-19/3600</f>
        <v>-0.10527777777777779</v>
      </c>
      <c r="J7">
        <f>0+-5/60+-9/3600</f>
        <v>-8.5833333333333331E-2</v>
      </c>
      <c r="K7">
        <f>0+1/60+10/3600</f>
        <v>1.9444444444444445E-2</v>
      </c>
      <c r="L7">
        <f>0+6/60+19/3600</f>
        <v>0.10527777777777779</v>
      </c>
      <c r="M7">
        <f>0+5/60+8/3600</f>
        <v>8.5555555555555551E-2</v>
      </c>
    </row>
    <row r="8" spans="1:13" x14ac:dyDescent="0.25">
      <c r="A8">
        <v>6</v>
      </c>
      <c r="B8">
        <f>0+-1/60+-24/3600</f>
        <v>-2.3333333333333334E-2</v>
      </c>
      <c r="C8">
        <f>0+-6/60+-23/3600</f>
        <v>-0.10638888888888889</v>
      </c>
      <c r="D8">
        <f>0+-5/60+0/3600</f>
        <v>-8.3333333333333329E-2</v>
      </c>
      <c r="E8">
        <f>0+1/60+24/3600</f>
        <v>2.3333333333333334E-2</v>
      </c>
      <c r="F8">
        <f>0+6/60+24/3600</f>
        <v>0.10666666666666667</v>
      </c>
      <c r="G8">
        <f>0+4/60+59/3600</f>
        <v>8.3055555555555549E-2</v>
      </c>
      <c r="H8">
        <f>0+-1/60+-24/3600</f>
        <v>-2.3333333333333334E-2</v>
      </c>
      <c r="I8">
        <f>0+-6/60+-23/3600</f>
        <v>-0.10638888888888889</v>
      </c>
      <c r="J8">
        <f>0+-5/60+0/3600</f>
        <v>-8.3333333333333329E-2</v>
      </c>
      <c r="K8">
        <f>0+1/60+24/3600</f>
        <v>2.3333333333333334E-2</v>
      </c>
      <c r="L8">
        <f>0+6/60+24/3600</f>
        <v>0.10666666666666667</v>
      </c>
      <c r="M8">
        <f>0+4/60+59/3600</f>
        <v>8.3055555555555549E-2</v>
      </c>
    </row>
    <row r="9" spans="1:13" x14ac:dyDescent="0.25">
      <c r="A9">
        <v>7</v>
      </c>
      <c r="B9">
        <f>0+-1/60+-37/3600</f>
        <v>-2.6944444444444444E-2</v>
      </c>
      <c r="C9">
        <f>0+-6/60+-27/3600</f>
        <v>-0.10750000000000001</v>
      </c>
      <c r="D9">
        <f>0+-4/60+-50/3600</f>
        <v>-8.0555555555555547E-2</v>
      </c>
      <c r="E9">
        <f>0+1/60+38/3600</f>
        <v>2.7222222222222224E-2</v>
      </c>
      <c r="F9">
        <f>0+6/60+28/3600</f>
        <v>0.10777777777777778</v>
      </c>
      <c r="G9">
        <f>0+4/60+50/3600</f>
        <v>8.0555555555555547E-2</v>
      </c>
      <c r="H9">
        <f>0+-1/60+-37/3600</f>
        <v>-2.6944444444444444E-2</v>
      </c>
      <c r="I9">
        <f>0+-6/60+-27/3600</f>
        <v>-0.10750000000000001</v>
      </c>
      <c r="J9">
        <f>0+-4/60+-50/3600</f>
        <v>-8.0555555555555547E-2</v>
      </c>
      <c r="K9">
        <f>0+1/60+38/3600</f>
        <v>2.7222222222222224E-2</v>
      </c>
      <c r="L9">
        <f>0+6/60+28/3600</f>
        <v>0.10777777777777778</v>
      </c>
      <c r="M9">
        <f>0+4/60+50/3600</f>
        <v>8.0555555555555547E-2</v>
      </c>
    </row>
    <row r="10" spans="1:13" x14ac:dyDescent="0.25">
      <c r="A10">
        <v>8</v>
      </c>
      <c r="B10">
        <f>0+-1/60+-51/3600</f>
        <v>-3.0833333333333331E-2</v>
      </c>
      <c r="C10">
        <f>0+-6/60+-31/3600</f>
        <v>-0.10861111111111112</v>
      </c>
      <c r="D10">
        <f>0+-4/60+-40/3600</f>
        <v>-7.7777777777777779E-2</v>
      </c>
      <c r="E10">
        <f>0+1/60+51/3600</f>
        <v>3.0833333333333331E-2</v>
      </c>
      <c r="F10">
        <f>0+6/60+32/3600</f>
        <v>0.1088888888888889</v>
      </c>
      <c r="G10">
        <f>0+4/60+40/3600</f>
        <v>7.7777777777777779E-2</v>
      </c>
      <c r="H10">
        <f>0+-1/60+-51/3600</f>
        <v>-3.0833333333333331E-2</v>
      </c>
      <c r="I10">
        <f>0+-6/60+-31/3600</f>
        <v>-0.10861111111111112</v>
      </c>
      <c r="J10">
        <f>0+-4/60+-40/3600</f>
        <v>-7.7777777777777779E-2</v>
      </c>
      <c r="K10">
        <f>0+1/60+51/3600</f>
        <v>3.0833333333333331E-2</v>
      </c>
      <c r="L10">
        <f>0+6/60+32/3600</f>
        <v>0.1088888888888889</v>
      </c>
      <c r="M10">
        <f>0+4/60+40/3600</f>
        <v>7.7777777777777779E-2</v>
      </c>
    </row>
    <row r="11" spans="1:13" x14ac:dyDescent="0.25">
      <c r="A11">
        <v>9</v>
      </c>
      <c r="B11">
        <f>0+-2/60+-10/3600</f>
        <v>-3.6111111111111108E-2</v>
      </c>
      <c r="C11">
        <f>0+-6/60+-34/3600</f>
        <v>-0.10944444444444446</v>
      </c>
      <c r="D11">
        <f>0+-4/60+-30/3600</f>
        <v>-7.4999999999999997E-2</v>
      </c>
      <c r="E11">
        <f>0+2/60+5/3600</f>
        <v>3.4722222222222224E-2</v>
      </c>
      <c r="F11">
        <f>0+6/60+34/3600</f>
        <v>0.10944444444444446</v>
      </c>
      <c r="G11">
        <f>0+4/60+29/3600</f>
        <v>7.4722222222222218E-2</v>
      </c>
      <c r="H11">
        <f>0+-2/60+-10/3600</f>
        <v>-3.6111111111111108E-2</v>
      </c>
      <c r="I11">
        <f>0+-6/60+-34/3600</f>
        <v>-0.10944444444444446</v>
      </c>
      <c r="J11">
        <f>0+-4/60+-30/3600</f>
        <v>-7.4999999999999997E-2</v>
      </c>
      <c r="K11">
        <f>0+2/60+5/3600</f>
        <v>3.4722222222222224E-2</v>
      </c>
      <c r="L11">
        <f>0+6/60+34/3600</f>
        <v>0.10944444444444446</v>
      </c>
      <c r="M11">
        <f>0+4/60+29/3600</f>
        <v>7.4722222222222218E-2</v>
      </c>
    </row>
    <row r="12" spans="1:13" x14ac:dyDescent="0.25">
      <c r="A12">
        <v>10</v>
      </c>
      <c r="B12">
        <f>0+-2/60+-31/3600</f>
        <v>-4.1944444444444444E-2</v>
      </c>
      <c r="C12">
        <f>0+-6/60+-37/3600</f>
        <v>-0.11027777777777778</v>
      </c>
      <c r="D12">
        <f>0+-4/60+-19/3600</f>
        <v>-7.194444444444445E-2</v>
      </c>
      <c r="E12">
        <f>0+2/60+18/3600</f>
        <v>3.833333333333333E-2</v>
      </c>
      <c r="F12">
        <f>0+6/60+37/3600</f>
        <v>0.11027777777777778</v>
      </c>
      <c r="G12">
        <f>0+4/60+19/3600</f>
        <v>7.194444444444445E-2</v>
      </c>
      <c r="H12">
        <f>0+-2/60+-31/3600</f>
        <v>-4.1944444444444444E-2</v>
      </c>
      <c r="I12">
        <f>0+-6/60+-37/3600</f>
        <v>-0.11027777777777778</v>
      </c>
      <c r="J12">
        <f>0+-4/60+-19/3600</f>
        <v>-7.194444444444445E-2</v>
      </c>
      <c r="K12">
        <f>0+2/60+18/3600</f>
        <v>3.833333333333333E-2</v>
      </c>
      <c r="L12">
        <f>0+6/60+37/3600</f>
        <v>0.11027777777777778</v>
      </c>
      <c r="M12">
        <f>0+4/60+19/3600</f>
        <v>7.194444444444445E-2</v>
      </c>
    </row>
    <row r="13" spans="1:13" x14ac:dyDescent="0.25">
      <c r="A13">
        <v>11</v>
      </c>
      <c r="B13">
        <f>0+-2/60+-44/3600</f>
        <v>-4.5555555555555557E-2</v>
      </c>
      <c r="C13">
        <f>0+-6/60+-39/3600</f>
        <v>-0.11083333333333334</v>
      </c>
      <c r="D13">
        <f>0+-4/60+-8/3600</f>
        <v>-6.8888888888888888E-2</v>
      </c>
      <c r="E13">
        <f>0+2/60+31/3600</f>
        <v>4.1944444444444444E-2</v>
      </c>
      <c r="F13">
        <f>0+6/60+39/3600</f>
        <v>0.11083333333333334</v>
      </c>
      <c r="G13">
        <f>0+4/60+8/3600</f>
        <v>6.8888888888888888E-2</v>
      </c>
      <c r="H13">
        <f>0+-2/60+-44/3600</f>
        <v>-4.5555555555555557E-2</v>
      </c>
      <c r="I13">
        <f>0+-6/60+-39/3600</f>
        <v>-0.11083333333333334</v>
      </c>
      <c r="J13">
        <f>0+-4/60+-8/3600</f>
        <v>-6.8888888888888888E-2</v>
      </c>
      <c r="K13">
        <f>0+2/60+31/3600</f>
        <v>4.1944444444444444E-2</v>
      </c>
      <c r="L13">
        <f>0+6/60+39/3600</f>
        <v>0.11083333333333334</v>
      </c>
      <c r="M13">
        <f>0+4/60+8/3600</f>
        <v>6.8888888888888888E-2</v>
      </c>
    </row>
    <row r="14" spans="1:13" x14ac:dyDescent="0.25">
      <c r="A14">
        <v>12</v>
      </c>
      <c r="B14">
        <f>0+-2/60+-44/3600</f>
        <v>-4.5555555555555557E-2</v>
      </c>
      <c r="C14">
        <f>0+-6/60+-41/3600</f>
        <v>-0.1113888888888889</v>
      </c>
      <c r="D14">
        <f>0+-3/60+-57/3600</f>
        <v>-6.5833333333333341E-2</v>
      </c>
      <c r="E14">
        <f>0+2/60+44/3600</f>
        <v>4.5555555555555557E-2</v>
      </c>
      <c r="F14">
        <f>0+6/60+41/3600</f>
        <v>0.1113888888888889</v>
      </c>
      <c r="G14">
        <f>0+3/60+57/3600</f>
        <v>6.5833333333333341E-2</v>
      </c>
      <c r="H14">
        <f>0+-2/60+-44/3600</f>
        <v>-4.5555555555555557E-2</v>
      </c>
      <c r="I14">
        <f>0+-6/60+-41/3600</f>
        <v>-0.1113888888888889</v>
      </c>
      <c r="J14">
        <f>0+-3/60+-57/3600</f>
        <v>-6.5833333333333341E-2</v>
      </c>
      <c r="K14">
        <f>0+2/60+44/3600</f>
        <v>4.5555555555555557E-2</v>
      </c>
      <c r="L14">
        <f>0+6/60+41/3600</f>
        <v>0.1113888888888889</v>
      </c>
      <c r="M14">
        <f>0+3/60+57/3600</f>
        <v>6.5833333333333341E-2</v>
      </c>
    </row>
    <row r="15" spans="1:13" x14ac:dyDescent="0.25">
      <c r="A15">
        <v>13</v>
      </c>
      <c r="B15">
        <f>0+-3/60+-56/3600</f>
        <v>-6.5555555555555561E-2</v>
      </c>
      <c r="C15">
        <f>0+-6/60+-42/3600</f>
        <v>-0.11166666666666668</v>
      </c>
      <c r="D15">
        <f>0+-3/60+-46/3600</f>
        <v>-6.277777777777778E-2</v>
      </c>
      <c r="E15">
        <f>0+2/60+47/3600</f>
        <v>4.6388888888888889E-2</v>
      </c>
      <c r="F15">
        <f>0+6/60+42/3600</f>
        <v>0.11166666666666668</v>
      </c>
      <c r="G15">
        <f>0+3/60+45/3600</f>
        <v>6.25E-2</v>
      </c>
      <c r="H15">
        <f>0+-3/60+-56/3600</f>
        <v>-6.5555555555555561E-2</v>
      </c>
      <c r="I15">
        <f>0+-6/60+-42/3600</f>
        <v>-0.11166666666666668</v>
      </c>
      <c r="J15">
        <f>0+-3/60+-46/3600</f>
        <v>-6.277777777777778E-2</v>
      </c>
      <c r="K15">
        <f>0+2/60+47/3600</f>
        <v>4.6388888888888889E-2</v>
      </c>
      <c r="L15">
        <f>0+6/60+42/3600</f>
        <v>0.11166666666666668</v>
      </c>
      <c r="M15">
        <f>0+3/60+45/3600</f>
        <v>6.25E-2</v>
      </c>
    </row>
    <row r="16" spans="1:13" x14ac:dyDescent="0.25">
      <c r="A16">
        <v>14</v>
      </c>
      <c r="B16">
        <f>0+-3/60+-9/3600</f>
        <v>-5.2500000000000005E-2</v>
      </c>
      <c r="C16">
        <f>0+-6/60+-43/3600</f>
        <v>-0.11194444444444446</v>
      </c>
      <c r="D16">
        <f>0+-3/60+-34/3600</f>
        <v>-5.9444444444444446E-2</v>
      </c>
      <c r="E16">
        <f>0+3/60+9/3600</f>
        <v>5.2500000000000005E-2</v>
      </c>
      <c r="F16">
        <f>0+6/60+43/3600</f>
        <v>0.11194444444444446</v>
      </c>
      <c r="G16">
        <f>0+3/60+33/3600</f>
        <v>5.9166666666666673E-2</v>
      </c>
      <c r="H16">
        <f>0+-3/60+-9/3600</f>
        <v>-5.2500000000000005E-2</v>
      </c>
      <c r="I16">
        <f>0+-6/60+-43/3600</f>
        <v>-0.11194444444444446</v>
      </c>
      <c r="J16">
        <f>0+-3/60+-34/3600</f>
        <v>-5.9444444444444446E-2</v>
      </c>
      <c r="K16">
        <f>0+3/60+9/3600</f>
        <v>5.2500000000000005E-2</v>
      </c>
      <c r="L16">
        <f>0+6/60+43/3600</f>
        <v>0.11194444444444446</v>
      </c>
      <c r="M16">
        <f>0+3/60+33/3600</f>
        <v>5.9166666666666673E-2</v>
      </c>
    </row>
    <row r="17" spans="1:13" x14ac:dyDescent="0.25">
      <c r="A17">
        <v>15</v>
      </c>
      <c r="B17">
        <f>0+-3/60+-21/3600</f>
        <v>-5.5833333333333339E-2</v>
      </c>
      <c r="C17">
        <f>0+-6/60+-43/3600</f>
        <v>-0.11194444444444446</v>
      </c>
      <c r="D17">
        <f>0+-3/60+-24/3600</f>
        <v>-5.6666666666666671E-2</v>
      </c>
      <c r="E17">
        <f>0+3/60+24/3600</f>
        <v>5.6666666666666671E-2</v>
      </c>
      <c r="F17">
        <f>0+6/60+43/3600</f>
        <v>0.11194444444444446</v>
      </c>
      <c r="G17">
        <f>0+3/60+21/3600</f>
        <v>5.5833333333333339E-2</v>
      </c>
      <c r="H17">
        <f>0+-3/60+-21/3600</f>
        <v>-5.5833333333333339E-2</v>
      </c>
      <c r="I17">
        <f>0+-6/60+-43/3600</f>
        <v>-0.11194444444444446</v>
      </c>
      <c r="J17">
        <f>0+-3/60+-24/3600</f>
        <v>-5.6666666666666671E-2</v>
      </c>
      <c r="K17">
        <f>0+3/60+24/3600</f>
        <v>5.6666666666666671E-2</v>
      </c>
      <c r="L17">
        <f>0+6/60+43/3600</f>
        <v>0.11194444444444446</v>
      </c>
      <c r="M17">
        <f>0+3/60+21/3600</f>
        <v>5.5833333333333339E-2</v>
      </c>
    </row>
    <row r="18" spans="1:13" x14ac:dyDescent="0.25">
      <c r="A18">
        <v>16</v>
      </c>
      <c r="B18">
        <f>0+-3/60+-33/3600</f>
        <v>-5.9166666666666673E-2</v>
      </c>
      <c r="C18">
        <f>0+-6/60+-43/3600</f>
        <v>-0.11194444444444446</v>
      </c>
      <c r="D18">
        <f>0+-3/60+-9/3600</f>
        <v>-5.2500000000000005E-2</v>
      </c>
      <c r="E18">
        <f>0+3/60+34/3600</f>
        <v>5.9444444444444446E-2</v>
      </c>
      <c r="F18">
        <f>0+6/60+43/3600</f>
        <v>0.11194444444444446</v>
      </c>
      <c r="G18">
        <f>0+3/60+9/3600</f>
        <v>5.2500000000000005E-2</v>
      </c>
      <c r="H18">
        <f>0+-3/60+-33/3600</f>
        <v>-5.9166666666666673E-2</v>
      </c>
      <c r="I18">
        <f>0+-6/60+-43/3600</f>
        <v>-0.11194444444444446</v>
      </c>
      <c r="J18">
        <f>0+-3/60+-9/3600</f>
        <v>-5.2500000000000005E-2</v>
      </c>
      <c r="K18">
        <f>0+3/60+34/3600</f>
        <v>5.9444444444444446E-2</v>
      </c>
      <c r="L18">
        <f>0+6/60+43/3600</f>
        <v>0.11194444444444446</v>
      </c>
      <c r="M18">
        <f>0+3/60+9/3600</f>
        <v>5.2500000000000005E-2</v>
      </c>
    </row>
    <row r="19" spans="1:13" x14ac:dyDescent="0.25">
      <c r="A19">
        <v>17</v>
      </c>
      <c r="B19">
        <f>0+-3/60+-45/3600</f>
        <v>-6.25E-2</v>
      </c>
      <c r="C19">
        <f>0+-6/60+-42/3600</f>
        <v>-0.11166666666666668</v>
      </c>
      <c r="D19">
        <f>0+-2/60+-47/3600</f>
        <v>-4.6388888888888889E-2</v>
      </c>
      <c r="E19">
        <f>0+3/60+46/3600</f>
        <v>6.277777777777778E-2</v>
      </c>
      <c r="F19">
        <f>0+6/60+42/3600</f>
        <v>0.11166666666666668</v>
      </c>
      <c r="G19">
        <f>0+3/60+56/3600</f>
        <v>6.5555555555555561E-2</v>
      </c>
      <c r="H19">
        <f>0+-3/60+-45/3600</f>
        <v>-6.25E-2</v>
      </c>
      <c r="I19">
        <f>0+-6/60+-42/3600</f>
        <v>-0.11166666666666668</v>
      </c>
      <c r="J19">
        <f>0+-2/60+-47/3600</f>
        <v>-4.6388888888888889E-2</v>
      </c>
      <c r="K19">
        <f>0+3/60+46/3600</f>
        <v>6.277777777777778E-2</v>
      </c>
      <c r="L19">
        <f>0+6/60+42/3600</f>
        <v>0.11166666666666668</v>
      </c>
      <c r="M19">
        <f>0+3/60+56/3600</f>
        <v>6.5555555555555561E-2</v>
      </c>
    </row>
    <row r="20" spans="1:13" x14ac:dyDescent="0.25">
      <c r="A20">
        <v>18</v>
      </c>
      <c r="B20">
        <f>0+-3/60+-57/3600</f>
        <v>-6.5833333333333341E-2</v>
      </c>
      <c r="C20">
        <f>0+-6/60+-41/3600</f>
        <v>-0.1113888888888889</v>
      </c>
      <c r="D20">
        <f>0+-2/60+-44/3600</f>
        <v>-4.5555555555555557E-2</v>
      </c>
      <c r="E20">
        <f>0+3/60+57/3600</f>
        <v>6.5833333333333341E-2</v>
      </c>
      <c r="F20">
        <f>0+6/60+41/3600</f>
        <v>0.1113888888888889</v>
      </c>
      <c r="G20">
        <f>0+2/60+44/3600</f>
        <v>4.5555555555555557E-2</v>
      </c>
      <c r="H20">
        <f>0+-3/60+-57/3600</f>
        <v>-6.5833333333333341E-2</v>
      </c>
      <c r="I20">
        <f>0+-6/60+-41/3600</f>
        <v>-0.1113888888888889</v>
      </c>
      <c r="J20">
        <f>0+-2/60+-44/3600</f>
        <v>-4.5555555555555557E-2</v>
      </c>
      <c r="K20">
        <f>0+3/60+57/3600</f>
        <v>6.5833333333333341E-2</v>
      </c>
      <c r="L20">
        <f>0+6/60+41/3600</f>
        <v>0.1113888888888889</v>
      </c>
      <c r="M20">
        <f>0+2/60+44/3600</f>
        <v>4.5555555555555557E-2</v>
      </c>
    </row>
    <row r="21" spans="1:13" x14ac:dyDescent="0.25">
      <c r="A21">
        <v>19</v>
      </c>
      <c r="B21">
        <f>0+-4/60+-8/3600</f>
        <v>-6.8888888888888888E-2</v>
      </c>
      <c r="C21">
        <f>0+-6/60+-39/3600</f>
        <v>-0.11083333333333334</v>
      </c>
      <c r="D21">
        <f>0+-2/60+-31/3600</f>
        <v>-4.1944444444444444E-2</v>
      </c>
      <c r="E21">
        <f>0+4/60+8/3600</f>
        <v>6.8888888888888888E-2</v>
      </c>
      <c r="F21">
        <f>0+6/60+39/3600</f>
        <v>0.11083333333333334</v>
      </c>
      <c r="G21">
        <f>0+2/60+44/3600</f>
        <v>4.5555555555555557E-2</v>
      </c>
      <c r="H21">
        <f>0+-4/60+-8/3600</f>
        <v>-6.8888888888888888E-2</v>
      </c>
      <c r="I21">
        <f>0+-6/60+-39/3600</f>
        <v>-0.11083333333333334</v>
      </c>
      <c r="J21">
        <f>0+-2/60+-31/3600</f>
        <v>-4.1944444444444444E-2</v>
      </c>
      <c r="K21">
        <f>0+4/60+8/3600</f>
        <v>6.8888888888888888E-2</v>
      </c>
      <c r="L21">
        <f>0+6/60+39/3600</f>
        <v>0.11083333333333334</v>
      </c>
      <c r="M21">
        <f>0+2/60+44/3600</f>
        <v>4.5555555555555557E-2</v>
      </c>
    </row>
    <row r="22" spans="1:13" x14ac:dyDescent="0.25">
      <c r="A22">
        <v>20</v>
      </c>
      <c r="B22">
        <f>0+-4/60+-19/3600</f>
        <v>-7.194444444444445E-2</v>
      </c>
      <c r="C22">
        <f>0+-6/60+-37/3600</f>
        <v>-0.11027777777777778</v>
      </c>
      <c r="D22">
        <f>0+-2/60+-18/3600</f>
        <v>-3.833333333333333E-2</v>
      </c>
      <c r="E22">
        <f>0+4/60+19/3600</f>
        <v>7.194444444444445E-2</v>
      </c>
      <c r="F22">
        <f>0+6/60+37/3600</f>
        <v>0.11027777777777778</v>
      </c>
      <c r="G22">
        <f>0+2/60+31/3600</f>
        <v>4.1944444444444444E-2</v>
      </c>
      <c r="H22">
        <f>0+-4/60+-19/3600</f>
        <v>-7.194444444444445E-2</v>
      </c>
      <c r="I22">
        <f>0+-6/60+-37/3600</f>
        <v>-0.11027777777777778</v>
      </c>
      <c r="J22">
        <f>0+-2/60+-18/3600</f>
        <v>-3.833333333333333E-2</v>
      </c>
      <c r="K22">
        <f>0+4/60+19/3600</f>
        <v>7.194444444444445E-2</v>
      </c>
      <c r="L22">
        <f>0+6/60+37/3600</f>
        <v>0.11027777777777778</v>
      </c>
      <c r="M22">
        <f>0+2/60+31/3600</f>
        <v>4.1944444444444444E-2</v>
      </c>
    </row>
    <row r="23" spans="1:13" x14ac:dyDescent="0.25">
      <c r="A23">
        <v>21</v>
      </c>
      <c r="B23">
        <f>0+-4/60+-29/3600</f>
        <v>-7.4722222222222218E-2</v>
      </c>
      <c r="C23">
        <f>0+-6/60+-34/3600</f>
        <v>-0.10944444444444446</v>
      </c>
      <c r="D23">
        <f>0+-2/60+-5/3600</f>
        <v>-3.4722222222222224E-2</v>
      </c>
      <c r="E23">
        <f>0+4/60+30/3600</f>
        <v>7.4999999999999997E-2</v>
      </c>
      <c r="F23">
        <f>0+6/60+34/3600</f>
        <v>0.10944444444444446</v>
      </c>
      <c r="G23">
        <f>0+2/60+10/3600</f>
        <v>3.6111111111111108E-2</v>
      </c>
      <c r="H23">
        <f>0+-4/60+-29/3600</f>
        <v>-7.4722222222222218E-2</v>
      </c>
      <c r="I23">
        <f>0+-6/60+-34/3600</f>
        <v>-0.10944444444444446</v>
      </c>
      <c r="J23">
        <f>0+-2/60+-5/3600</f>
        <v>-3.4722222222222224E-2</v>
      </c>
      <c r="K23">
        <f>0+4/60+30/3600</f>
        <v>7.4999999999999997E-2</v>
      </c>
      <c r="L23">
        <f>0+6/60+34/3600</f>
        <v>0.10944444444444446</v>
      </c>
      <c r="M23">
        <f>0+2/60+10/3600</f>
        <v>3.6111111111111108E-2</v>
      </c>
    </row>
    <row r="24" spans="1:13" x14ac:dyDescent="0.25">
      <c r="A24">
        <v>22</v>
      </c>
      <c r="B24">
        <f>0+-4/60+-40/3600</f>
        <v>-7.7777777777777779E-2</v>
      </c>
      <c r="C24">
        <f>0+-6/60+-32/3600</f>
        <v>-0.1088888888888889</v>
      </c>
      <c r="D24">
        <f>0+-1/60+-51/3600</f>
        <v>-3.0833333333333331E-2</v>
      </c>
      <c r="E24">
        <f>0+4/60+40/3600</f>
        <v>7.7777777777777779E-2</v>
      </c>
      <c r="F24">
        <f>0+6/60+31/3600</f>
        <v>0.10861111111111112</v>
      </c>
      <c r="G24">
        <f>0+1/60+51/3600</f>
        <v>3.0833333333333331E-2</v>
      </c>
      <c r="H24">
        <f>0+-4/60+-40/3600</f>
        <v>-7.7777777777777779E-2</v>
      </c>
      <c r="I24">
        <f>0+-6/60+-32/3600</f>
        <v>-0.1088888888888889</v>
      </c>
      <c r="J24">
        <f>0+-1/60+-51/3600</f>
        <v>-3.0833333333333331E-2</v>
      </c>
      <c r="K24">
        <f>0+4/60+40/3600</f>
        <v>7.7777777777777779E-2</v>
      </c>
      <c r="L24">
        <f>0+6/60+31/3600</f>
        <v>0.10861111111111112</v>
      </c>
      <c r="M24">
        <f>0+1/60+51/3600</f>
        <v>3.0833333333333331E-2</v>
      </c>
    </row>
    <row r="25" spans="1:13" x14ac:dyDescent="0.25">
      <c r="A25">
        <v>23</v>
      </c>
      <c r="B25">
        <f>0+-4/60+-50/3600</f>
        <v>-8.0555555555555547E-2</v>
      </c>
      <c r="C25">
        <f>0+-6/60+-28/3600</f>
        <v>-0.10777777777777778</v>
      </c>
      <c r="D25">
        <f>0+-1/60+-38/3600</f>
        <v>-2.7222222222222224E-2</v>
      </c>
      <c r="E25">
        <f>0+4/60+50/3600</f>
        <v>8.0555555555555547E-2</v>
      </c>
      <c r="F25">
        <f>0+6/60+27/3600</f>
        <v>0.10750000000000001</v>
      </c>
      <c r="G25">
        <f>0+1/60+37/3600</f>
        <v>2.6944444444444444E-2</v>
      </c>
      <c r="H25">
        <f>0+-4/60+-50/3600</f>
        <v>-8.0555555555555547E-2</v>
      </c>
      <c r="I25">
        <f>0+-6/60+-28/3600</f>
        <v>-0.10777777777777778</v>
      </c>
      <c r="J25">
        <f>0+-1/60+-38/3600</f>
        <v>-2.7222222222222224E-2</v>
      </c>
      <c r="K25">
        <f>0+4/60+50/3600</f>
        <v>8.0555555555555547E-2</v>
      </c>
      <c r="L25">
        <f>0+6/60+27/3600</f>
        <v>0.10750000000000001</v>
      </c>
      <c r="M25">
        <f>0+1/60+37/3600</f>
        <v>2.6944444444444444E-2</v>
      </c>
    </row>
    <row r="26" spans="1:13" x14ac:dyDescent="0.25">
      <c r="A26">
        <v>24</v>
      </c>
      <c r="B26">
        <f>0+-4/60+-59/3600</f>
        <v>-8.3055555555555549E-2</v>
      </c>
      <c r="C26">
        <f>0+-6/60+-24/3600</f>
        <v>-0.10666666666666667</v>
      </c>
      <c r="D26">
        <f>0+-1/60+-24/3600</f>
        <v>-2.3333333333333334E-2</v>
      </c>
      <c r="E26">
        <f>0+5/60+0/3600</f>
        <v>8.3333333333333329E-2</v>
      </c>
      <c r="F26">
        <f>0+6/60+23/3600</f>
        <v>0.10638888888888889</v>
      </c>
      <c r="G26">
        <f>0+1/60+24/3600</f>
        <v>2.3333333333333334E-2</v>
      </c>
      <c r="H26">
        <f>0+-4/60+-59/3600</f>
        <v>-8.3055555555555549E-2</v>
      </c>
      <c r="I26">
        <f>0+-6/60+-24/3600</f>
        <v>-0.10666666666666667</v>
      </c>
      <c r="J26">
        <f>0+-1/60+-24/3600</f>
        <v>-2.3333333333333334E-2</v>
      </c>
      <c r="K26">
        <f>0+5/60+0/3600</f>
        <v>8.3333333333333329E-2</v>
      </c>
      <c r="L26">
        <f>0+6/60+23/3600</f>
        <v>0.10638888888888889</v>
      </c>
      <c r="M26">
        <f>0+1/60+24/3600</f>
        <v>2.3333333333333334E-2</v>
      </c>
    </row>
    <row r="27" spans="1:13" x14ac:dyDescent="0.25">
      <c r="A27">
        <v>25</v>
      </c>
      <c r="B27">
        <f>0+-5/60+-8/3600</f>
        <v>-8.5555555555555551E-2</v>
      </c>
      <c r="C27">
        <f>0+-6/60+-19/3600</f>
        <v>-0.10527777777777779</v>
      </c>
      <c r="D27">
        <f>0+-1/60+-10/3600</f>
        <v>-1.9444444444444445E-2</v>
      </c>
      <c r="E27">
        <f>0+5/60+9/3600</f>
        <v>8.5833333333333331E-2</v>
      </c>
      <c r="F27">
        <f>0+6/60+19/3600</f>
        <v>0.10527777777777779</v>
      </c>
      <c r="G27">
        <f>0+1/60+10/3600</f>
        <v>1.9444444444444445E-2</v>
      </c>
      <c r="H27">
        <f>0+-5/60+-8/3600</f>
        <v>-8.5555555555555551E-2</v>
      </c>
      <c r="I27">
        <f>0+-6/60+-19/3600</f>
        <v>-0.10527777777777779</v>
      </c>
      <c r="J27">
        <f>0+-1/60+-10/3600</f>
        <v>-1.9444444444444445E-2</v>
      </c>
      <c r="K27">
        <f>0+5/60+9/3600</f>
        <v>8.5833333333333331E-2</v>
      </c>
      <c r="L27">
        <f>0+6/60+19/3600</f>
        <v>0.10527777777777779</v>
      </c>
      <c r="M27">
        <f>0+1/60+10/3600</f>
        <v>1.9444444444444445E-2</v>
      </c>
    </row>
    <row r="28" spans="1:13" x14ac:dyDescent="0.25">
      <c r="A28">
        <v>26</v>
      </c>
      <c r="B28">
        <f>0+-5/60+-17/3600</f>
        <v>-8.8055555555555554E-2</v>
      </c>
      <c r="C28">
        <f>0+-6/60+-14/3600</f>
        <v>-0.10388888888888889</v>
      </c>
      <c r="D28">
        <f>0+0/60+-57/3600</f>
        <v>-1.5833333333333335E-2</v>
      </c>
      <c r="E28">
        <f>0+5/60+18/3600</f>
        <v>8.8333333333333333E-2</v>
      </c>
      <c r="F28">
        <f>0+6/60+14/3600</f>
        <v>0.10388888888888889</v>
      </c>
      <c r="G28">
        <f>0+0/60+56/3600</f>
        <v>1.5555555555555555E-2</v>
      </c>
      <c r="H28">
        <f>0+-5/60+-17/3600</f>
        <v>-8.8055555555555554E-2</v>
      </c>
      <c r="I28">
        <f>0+-6/60+-14/3600</f>
        <v>-0.10388888888888889</v>
      </c>
      <c r="J28">
        <f>0+0/60+-57/3600</f>
        <v>-1.5833333333333335E-2</v>
      </c>
      <c r="K28">
        <f>0+5/60+18/3600</f>
        <v>8.8333333333333333E-2</v>
      </c>
      <c r="L28">
        <f>0+6/60+14/3600</f>
        <v>0.10388888888888889</v>
      </c>
      <c r="M28">
        <f>0+0/60+56/3600</f>
        <v>1.5555555555555555E-2</v>
      </c>
    </row>
    <row r="29" spans="1:13" x14ac:dyDescent="0.25">
      <c r="A29">
        <v>27</v>
      </c>
      <c r="B29">
        <f>0+-5/60+-26/3600</f>
        <v>-9.0555555555555556E-2</v>
      </c>
      <c r="C29">
        <f>0+-6/60+-8/3600</f>
        <v>-0.10222222222222223</v>
      </c>
      <c r="D29">
        <f>0+0/60+-42/3600</f>
        <v>-1.1666666666666667E-2</v>
      </c>
      <c r="E29">
        <f>0+5/60+26/3600</f>
        <v>9.0555555555555556E-2</v>
      </c>
      <c r="F29">
        <f>0+6/60+8/3600</f>
        <v>0.10222222222222223</v>
      </c>
      <c r="G29">
        <f>0+0/60+42/3600</f>
        <v>1.1666666666666667E-2</v>
      </c>
      <c r="H29">
        <f>0+-5/60+-26/3600</f>
        <v>-9.0555555555555556E-2</v>
      </c>
      <c r="I29">
        <f>0+-6/60+-8/3600</f>
        <v>-0.10222222222222223</v>
      </c>
      <c r="J29">
        <f>0+0/60+-42/3600</f>
        <v>-1.1666666666666667E-2</v>
      </c>
      <c r="K29">
        <f>0+5/60+26/3600</f>
        <v>9.0555555555555556E-2</v>
      </c>
      <c r="L29">
        <f>0+6/60+8/3600</f>
        <v>0.10222222222222223</v>
      </c>
      <c r="M29">
        <f>0+0/60+42/3600</f>
        <v>1.1666666666666667E-2</v>
      </c>
    </row>
    <row r="30" spans="1:13" x14ac:dyDescent="0.25">
      <c r="A30">
        <v>28</v>
      </c>
      <c r="B30">
        <f>0+-5/60+-34/3600</f>
        <v>-9.2777777777777778E-2</v>
      </c>
      <c r="C30">
        <f>0+-6/60+-3/3600</f>
        <v>-0.10083333333333334</v>
      </c>
      <c r="D30">
        <f>0+0/60+-28/3600</f>
        <v>-7.7777777777777776E-3</v>
      </c>
      <c r="E30">
        <f>0+5/60+34/3600</f>
        <v>9.2777777777777778E-2</v>
      </c>
      <c r="F30">
        <f>0+6/60+2/3600</f>
        <v>0.10055555555555556</v>
      </c>
      <c r="G30">
        <f>0+0/60+28/3600</f>
        <v>7.7777777777777776E-3</v>
      </c>
      <c r="H30">
        <f>0+-5/60+-34/3600</f>
        <v>-9.2777777777777778E-2</v>
      </c>
      <c r="I30">
        <f>0+-6/60+-3/3600</f>
        <v>-0.10083333333333334</v>
      </c>
      <c r="J30">
        <f>0+0/60+-28/3600</f>
        <v>-7.7777777777777776E-3</v>
      </c>
      <c r="K30">
        <f>0+5/60+34/3600</f>
        <v>9.2777777777777778E-2</v>
      </c>
      <c r="L30">
        <f>0+6/60+2/3600</f>
        <v>0.10055555555555556</v>
      </c>
      <c r="M30">
        <f>0+0/60+28/3600</f>
        <v>7.7777777777777776E-3</v>
      </c>
    </row>
    <row r="31" spans="1:13" x14ac:dyDescent="0.25">
      <c r="A31">
        <v>29</v>
      </c>
      <c r="B31">
        <f>0+-5/60+-41/3600</f>
        <v>-9.4722222222222222E-2</v>
      </c>
      <c r="C31">
        <f>0+-5/60+-5/3600</f>
        <v>-8.4722222222222213E-2</v>
      </c>
      <c r="D31">
        <f>0+0/60+-14/3600</f>
        <v>-3.8888888888888888E-3</v>
      </c>
      <c r="E31">
        <f>0+5/60+42/3600</f>
        <v>9.5000000000000001E-2</v>
      </c>
      <c r="F31">
        <f>0+5/60+56/3600</f>
        <v>9.8888888888888887E-2</v>
      </c>
      <c r="G31">
        <f>0+0/60+14/3600</f>
        <v>3.8888888888888888E-3</v>
      </c>
      <c r="H31">
        <f>0+-5/60+-41/3600</f>
        <v>-9.4722222222222222E-2</v>
      </c>
      <c r="I31">
        <f>0+-5/60+-5/3600</f>
        <v>-8.4722222222222213E-2</v>
      </c>
      <c r="J31">
        <f>0+0/60+-14/3600</f>
        <v>-3.8888888888888888E-3</v>
      </c>
      <c r="K31">
        <f>0+5/60+42/3600</f>
        <v>9.5000000000000001E-2</v>
      </c>
      <c r="L31">
        <f>0+5/60+56/3600</f>
        <v>9.8888888888888887E-2</v>
      </c>
      <c r="M31">
        <f>0+0/60+14/3600</f>
        <v>3.8888888888888888E-3</v>
      </c>
    </row>
    <row r="32" spans="1:13" x14ac:dyDescent="0.25">
      <c r="A32">
        <v>30</v>
      </c>
      <c r="B32">
        <f>0+-5/60+-49/3600</f>
        <v>-9.6944444444444444E-2</v>
      </c>
      <c r="C32">
        <f>0+-5/60+-49/3600</f>
        <v>-9.6944444444444444E-2</v>
      </c>
      <c r="D32">
        <f>0+0/60+0/3600</f>
        <v>0</v>
      </c>
      <c r="E32">
        <f>0+5/60+49/3600</f>
        <v>9.6944444444444444E-2</v>
      </c>
      <c r="F32">
        <f>0+5/60+49/3600</f>
        <v>9.6944444444444444E-2</v>
      </c>
      <c r="G32">
        <f>0+0/60+0/3600</f>
        <v>0</v>
      </c>
      <c r="H32">
        <f>0+-5/60+-49/3600</f>
        <v>-9.6944444444444444E-2</v>
      </c>
      <c r="I32">
        <f>0+-5/60+-49/3600</f>
        <v>-9.6944444444444444E-2</v>
      </c>
      <c r="J32">
        <f>0+0/60+0/3600</f>
        <v>0</v>
      </c>
      <c r="K32">
        <f>0+5/60+49/3600</f>
        <v>9.6944444444444444E-2</v>
      </c>
      <c r="L32">
        <f>0+5/60+49/3600</f>
        <v>9.6944444444444444E-2</v>
      </c>
      <c r="M32">
        <f>0+0/60+0/3600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FBBF4-1681-4EE8-ABB7-585CEF0AEAD0}">
  <dimension ref="A1:M15"/>
  <sheetViews>
    <sheetView workbookViewId="0">
      <selection activeCell="E16" sqref="E16"/>
    </sheetView>
  </sheetViews>
  <sheetFormatPr defaultRowHeight="15" x14ac:dyDescent="0.25"/>
  <cols>
    <col min="1" max="1" width="18.140625" customWidth="1"/>
    <col min="2" max="2" width="15.5703125" customWidth="1"/>
    <col min="3" max="6" width="12.7109375" customWidth="1"/>
    <col min="7" max="7" width="14.28515625" customWidth="1"/>
  </cols>
  <sheetData>
    <row r="1" spans="1:13" ht="15.75" x14ac:dyDescent="0.25">
      <c r="A1" s="5" t="s">
        <v>27</v>
      </c>
      <c r="B1" s="5" t="s">
        <v>13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spans="1:13" x14ac:dyDescent="0.25">
      <c r="A2" s="10" t="s">
        <v>14</v>
      </c>
      <c r="B2" s="11">
        <v>2</v>
      </c>
      <c r="C2" s="12">
        <v>29.569444444444443</v>
      </c>
      <c r="D2" s="12">
        <v>29.568055555555556</v>
      </c>
      <c r="E2" s="12">
        <v>35.291944444444439</v>
      </c>
      <c r="F2" s="12">
        <v>31.949722222222224</v>
      </c>
      <c r="G2" s="12">
        <v>1.5886111111111112</v>
      </c>
    </row>
    <row r="3" spans="1:13" x14ac:dyDescent="0.25">
      <c r="A3" s="10" t="s">
        <v>15</v>
      </c>
      <c r="B3" s="11">
        <v>3</v>
      </c>
      <c r="C3" s="12">
        <v>58.153055555555554</v>
      </c>
      <c r="D3" s="12">
        <v>58.15</v>
      </c>
      <c r="E3" s="12">
        <v>57.407499999999999</v>
      </c>
      <c r="F3" s="12">
        <v>50.834444444444443</v>
      </c>
      <c r="G3" s="12">
        <v>3.1244444444444444</v>
      </c>
      <c r="I3" s="1"/>
      <c r="K3" s="1"/>
      <c r="M3" s="1"/>
    </row>
    <row r="4" spans="1:13" x14ac:dyDescent="0.25">
      <c r="A4" s="10" t="s">
        <v>16</v>
      </c>
      <c r="B4" s="11">
        <v>5</v>
      </c>
      <c r="C4" s="12">
        <v>87.722499999999997</v>
      </c>
      <c r="D4" s="12">
        <v>87.718055555555551</v>
      </c>
      <c r="E4" s="12">
        <v>92.69916666666667</v>
      </c>
      <c r="F4" s="12">
        <v>82.783888888888882</v>
      </c>
      <c r="G4" s="12">
        <v>4.713055555555556</v>
      </c>
      <c r="I4" s="1"/>
      <c r="K4" s="1"/>
      <c r="M4" s="1"/>
    </row>
    <row r="5" spans="1:13" x14ac:dyDescent="0.25">
      <c r="A5" s="10" t="s">
        <v>17</v>
      </c>
      <c r="B5" s="11">
        <v>6</v>
      </c>
      <c r="C5" s="12">
        <v>116.30638888888889</v>
      </c>
      <c r="D5" s="12">
        <v>116.30055555555555</v>
      </c>
      <c r="E5" s="12">
        <v>114.81472222222222</v>
      </c>
      <c r="F5" s="12">
        <v>101.66861111111112</v>
      </c>
      <c r="G5" s="12">
        <v>6.2486111111111109</v>
      </c>
      <c r="I5" s="1"/>
      <c r="K5" s="1"/>
      <c r="M5" s="1"/>
    </row>
    <row r="6" spans="1:13" x14ac:dyDescent="0.25">
      <c r="A6" s="10" t="s">
        <v>18</v>
      </c>
      <c r="B6" s="11">
        <v>1</v>
      </c>
      <c r="C6" s="12">
        <v>145.87583333333333</v>
      </c>
      <c r="D6" s="12">
        <v>145.86833333333334</v>
      </c>
      <c r="E6" s="12">
        <v>150.10666666666665</v>
      </c>
      <c r="F6" s="12">
        <v>133.61833333333334</v>
      </c>
      <c r="G6" s="12">
        <v>7.8372222222222216</v>
      </c>
      <c r="I6" s="1"/>
      <c r="K6" s="1"/>
      <c r="M6" s="1"/>
    </row>
    <row r="7" spans="1:13" x14ac:dyDescent="0.25">
      <c r="A7" s="10" t="s">
        <v>19</v>
      </c>
      <c r="B7" s="11">
        <v>2</v>
      </c>
      <c r="C7" s="12">
        <v>174.45944444444444</v>
      </c>
      <c r="D7" s="12">
        <v>174.45055555555555</v>
      </c>
      <c r="E7" s="12">
        <v>172.22222222222223</v>
      </c>
      <c r="F7" s="12">
        <v>152.50305555555556</v>
      </c>
      <c r="G7" s="12">
        <v>9.3727777777777774</v>
      </c>
      <c r="I7" s="1"/>
      <c r="K7" s="1"/>
      <c r="M7" s="1"/>
    </row>
    <row r="8" spans="1:13" x14ac:dyDescent="0.25">
      <c r="A8" s="10" t="s">
        <v>20</v>
      </c>
      <c r="B8" s="11">
        <v>4</v>
      </c>
      <c r="C8" s="12">
        <v>204.0288888888889</v>
      </c>
      <c r="D8" s="12">
        <v>204.01888888888891</v>
      </c>
      <c r="E8" s="12">
        <v>207.51416666666665</v>
      </c>
      <c r="F8" s="12">
        <v>184.45277777777775</v>
      </c>
      <c r="G8" s="12">
        <v>10.961666666666666</v>
      </c>
      <c r="I8" s="1"/>
      <c r="K8" s="1"/>
      <c r="M8" s="1"/>
    </row>
    <row r="9" spans="1:13" x14ac:dyDescent="0.25">
      <c r="A9" s="10" t="s">
        <v>21</v>
      </c>
      <c r="B9" s="11">
        <v>5</v>
      </c>
      <c r="C9" s="12">
        <v>232.61277777777778</v>
      </c>
      <c r="D9" s="12">
        <v>232.60111111111109</v>
      </c>
      <c r="E9" s="12">
        <v>229.62944444444446</v>
      </c>
      <c r="F9" s="12">
        <v>203.33722222222224</v>
      </c>
      <c r="G9" s="12">
        <v>12.497499999999999</v>
      </c>
      <c r="I9" s="1"/>
      <c r="K9" s="1"/>
      <c r="M9" s="1"/>
    </row>
    <row r="10" spans="1:13" x14ac:dyDescent="0.25">
      <c r="A10" s="10" t="s">
        <v>22</v>
      </c>
      <c r="B10" s="11">
        <v>7</v>
      </c>
      <c r="C10" s="12">
        <v>262.18222222222226</v>
      </c>
      <c r="D10" s="12">
        <v>262.16888888888889</v>
      </c>
      <c r="E10" s="12">
        <v>264.92138888888888</v>
      </c>
      <c r="F10" s="12">
        <v>235.28694444444443</v>
      </c>
      <c r="G10" s="12">
        <v>14.086111111111112</v>
      </c>
      <c r="I10" s="1"/>
      <c r="K10" s="1"/>
      <c r="M10" s="1"/>
    </row>
    <row r="11" spans="1:13" x14ac:dyDescent="0.25">
      <c r="A11" s="10" t="s">
        <v>23</v>
      </c>
      <c r="B11" s="11">
        <v>1</v>
      </c>
      <c r="C11" s="12">
        <v>290.76583333333332</v>
      </c>
      <c r="D11" s="12">
        <v>290.75111111111113</v>
      </c>
      <c r="E11" s="12">
        <v>287.03694444444449</v>
      </c>
      <c r="F11" s="12">
        <v>254.17166666666665</v>
      </c>
      <c r="G11" s="12">
        <v>15.621666666666668</v>
      </c>
      <c r="I11" s="1"/>
      <c r="K11" s="1"/>
      <c r="M11" s="1"/>
    </row>
    <row r="12" spans="1:13" x14ac:dyDescent="0.25">
      <c r="A12" s="10" t="s">
        <v>24</v>
      </c>
      <c r="B12" s="11">
        <v>3</v>
      </c>
      <c r="C12" s="12">
        <v>320.33527777777778</v>
      </c>
      <c r="D12" s="12">
        <v>320.31916666666666</v>
      </c>
      <c r="E12" s="12">
        <v>322.32888888888891</v>
      </c>
      <c r="F12" s="12">
        <v>286.12138888888887</v>
      </c>
      <c r="G12" s="12">
        <v>17.210277777777776</v>
      </c>
      <c r="I12" s="1"/>
      <c r="K12" s="1"/>
      <c r="M12" s="1"/>
    </row>
    <row r="13" spans="1:13" x14ac:dyDescent="0.25">
      <c r="A13" s="10" t="s">
        <v>25</v>
      </c>
      <c r="B13" s="11">
        <v>4</v>
      </c>
      <c r="C13" s="12">
        <v>348.91916666666668</v>
      </c>
      <c r="D13" s="12">
        <v>348.90138888888885</v>
      </c>
      <c r="E13" s="12">
        <v>344.44444444444446</v>
      </c>
      <c r="F13" s="12">
        <v>305.00611111111112</v>
      </c>
      <c r="G13" s="12">
        <v>18.746111111111112</v>
      </c>
      <c r="I13" s="1"/>
      <c r="K13" s="1"/>
      <c r="M13" s="1"/>
    </row>
    <row r="14" spans="1:13" x14ac:dyDescent="0.25">
      <c r="A14" s="10" t="s">
        <v>26</v>
      </c>
      <c r="B14" s="11">
        <v>5</v>
      </c>
      <c r="C14" s="12">
        <v>349.90472222222218</v>
      </c>
      <c r="D14" s="12">
        <v>349.88722222222219</v>
      </c>
      <c r="E14" s="12">
        <v>357.62083333333334</v>
      </c>
      <c r="F14" s="12">
        <v>318.07111111111112</v>
      </c>
      <c r="G14" s="12">
        <v>18.799166666666668</v>
      </c>
      <c r="I14" s="1"/>
      <c r="K14" s="1"/>
      <c r="M14" s="1"/>
    </row>
    <row r="15" spans="1:13" x14ac:dyDescent="0.25">
      <c r="I15" s="1"/>
      <c r="K15" s="1"/>
      <c r="M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F46A-3999-4F86-ABD8-0BDF4F72D2BB}">
  <dimension ref="A1:G15"/>
  <sheetViews>
    <sheetView zoomScale="130" zoomScaleNormal="130" workbookViewId="0">
      <selection activeCell="I5" sqref="I5"/>
    </sheetView>
  </sheetViews>
  <sheetFormatPr defaultRowHeight="15" x14ac:dyDescent="0.25"/>
  <cols>
    <col min="1" max="1" width="13" customWidth="1"/>
    <col min="2" max="2" width="9.7109375" customWidth="1"/>
    <col min="3" max="4" width="12.7109375" customWidth="1"/>
    <col min="5" max="5" width="12.5703125" customWidth="1"/>
    <col min="6" max="6" width="11.42578125" customWidth="1"/>
    <col min="7" max="7" width="12.42578125" customWidth="1"/>
  </cols>
  <sheetData>
    <row r="1" spans="1:7" x14ac:dyDescent="0.25">
      <c r="A1" t="s">
        <v>12</v>
      </c>
      <c r="B1" s="26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1320</v>
      </c>
      <c r="B2" s="26">
        <v>1</v>
      </c>
      <c r="C2">
        <v>5.4058333330000004</v>
      </c>
      <c r="D2">
        <v>263.98</v>
      </c>
      <c r="E2">
        <v>14.081944439999999</v>
      </c>
      <c r="F2">
        <v>87.760555556</v>
      </c>
      <c r="G2">
        <v>163.51166670000001</v>
      </c>
    </row>
    <row r="3" spans="1:7" x14ac:dyDescent="0.25">
      <c r="A3">
        <v>1350</v>
      </c>
      <c r="B3" s="26">
        <v>6</v>
      </c>
      <c r="C3">
        <v>43.821944440000003</v>
      </c>
      <c r="D3">
        <v>301.87</v>
      </c>
      <c r="E3">
        <v>52.356944439999999</v>
      </c>
      <c r="F3">
        <v>21.656666666669999</v>
      </c>
      <c r="G3">
        <v>6.4722220000000004</v>
      </c>
    </row>
    <row r="4" spans="1:7" x14ac:dyDescent="0.25">
      <c r="A4">
        <v>1380</v>
      </c>
      <c r="B4" s="26">
        <v>4</v>
      </c>
      <c r="C4">
        <v>82.238055556000006</v>
      </c>
      <c r="D4">
        <v>339.76</v>
      </c>
      <c r="E4">
        <v>90.631944439999998</v>
      </c>
      <c r="F4">
        <v>315.5527778</v>
      </c>
      <c r="G4">
        <v>209.44277778</v>
      </c>
    </row>
    <row r="5" spans="1:7" x14ac:dyDescent="0.25">
      <c r="A5">
        <v>1410</v>
      </c>
      <c r="B5" s="26">
        <v>2</v>
      </c>
      <c r="C5">
        <v>120.6541667</v>
      </c>
      <c r="D5">
        <v>17.64</v>
      </c>
      <c r="E5">
        <v>128.90694439999999</v>
      </c>
      <c r="F5">
        <v>249.44888889000001</v>
      </c>
      <c r="G5">
        <v>52.408332999999999</v>
      </c>
    </row>
    <row r="6" spans="1:7" x14ac:dyDescent="0.25">
      <c r="A6">
        <v>1440</v>
      </c>
      <c r="B6" s="26">
        <v>7</v>
      </c>
      <c r="C6">
        <v>159.07027780000001</v>
      </c>
      <c r="D6">
        <v>55.53</v>
      </c>
      <c r="E6">
        <v>167.18194439999999</v>
      </c>
      <c r="F6">
        <v>183.345</v>
      </c>
      <c r="G6">
        <v>255.3738333</v>
      </c>
    </row>
    <row r="7" spans="1:7" x14ac:dyDescent="0.25">
      <c r="A7">
        <v>1470</v>
      </c>
      <c r="B7" s="26">
        <v>5</v>
      </c>
      <c r="C7">
        <v>197.48638890000001</v>
      </c>
      <c r="D7">
        <v>93.42</v>
      </c>
      <c r="E7">
        <v>205.4569444</v>
      </c>
      <c r="F7">
        <v>117.2411111</v>
      </c>
      <c r="G7">
        <v>98.339444400000005</v>
      </c>
    </row>
    <row r="8" spans="1:7" x14ac:dyDescent="0.25">
      <c r="A8">
        <v>1500</v>
      </c>
      <c r="B8" s="26">
        <v>3</v>
      </c>
      <c r="C8">
        <v>235.9025</v>
      </c>
      <c r="D8">
        <v>131.30000000000001</v>
      </c>
      <c r="E8">
        <v>243.7319444</v>
      </c>
      <c r="F8">
        <v>51.137222219999998</v>
      </c>
      <c r="G8">
        <v>301.30500000000001</v>
      </c>
    </row>
    <row r="9" spans="1:7" x14ac:dyDescent="0.25">
      <c r="A9">
        <v>1530</v>
      </c>
      <c r="B9" s="26">
        <v>1</v>
      </c>
      <c r="C9">
        <v>274.3186111</v>
      </c>
      <c r="D9">
        <v>169.19</v>
      </c>
      <c r="E9">
        <v>282.00694440000001</v>
      </c>
      <c r="F9">
        <v>345.03333300000003</v>
      </c>
      <c r="G9">
        <v>144.27055555999999</v>
      </c>
    </row>
    <row r="10" spans="1:7" x14ac:dyDescent="0.25">
      <c r="A10">
        <v>1560</v>
      </c>
      <c r="B10" s="26">
        <v>6</v>
      </c>
      <c r="C10">
        <v>312.3186111</v>
      </c>
      <c r="D10">
        <v>207.07</v>
      </c>
      <c r="E10">
        <v>320.28194439999999</v>
      </c>
      <c r="F10">
        <v>278.92944440000002</v>
      </c>
      <c r="G10">
        <v>347.23611110000002</v>
      </c>
    </row>
    <row r="11" spans="1:7" x14ac:dyDescent="0.25">
      <c r="A11">
        <v>1590</v>
      </c>
      <c r="B11" s="26">
        <v>4</v>
      </c>
      <c r="C11">
        <v>351.15083329999999</v>
      </c>
      <c r="D11">
        <v>244.96</v>
      </c>
      <c r="E11">
        <v>358.55694399999999</v>
      </c>
      <c r="F11">
        <v>212.82555555600001</v>
      </c>
      <c r="G11">
        <v>190.2016667</v>
      </c>
    </row>
    <row r="12" spans="1:7" x14ac:dyDescent="0.25">
      <c r="A12">
        <v>1620</v>
      </c>
      <c r="B12" s="26">
        <v>2</v>
      </c>
      <c r="C12">
        <v>29.56694444</v>
      </c>
      <c r="D12">
        <v>282.85000000000002</v>
      </c>
      <c r="E12">
        <v>36.831944399999998</v>
      </c>
      <c r="F12">
        <v>146.72166666999999</v>
      </c>
      <c r="G12">
        <v>33.167222219999999</v>
      </c>
    </row>
    <row r="13" spans="1:7" x14ac:dyDescent="0.25">
      <c r="A13">
        <v>1650</v>
      </c>
      <c r="B13" s="26">
        <v>7</v>
      </c>
      <c r="C13">
        <v>67.983055555999996</v>
      </c>
      <c r="D13">
        <v>320.73</v>
      </c>
      <c r="E13">
        <v>75.106944400000003</v>
      </c>
      <c r="F13">
        <v>80.617777779999997</v>
      </c>
      <c r="G13">
        <v>36.132777777999998</v>
      </c>
    </row>
    <row r="14" spans="1:7" x14ac:dyDescent="0.25">
      <c r="A14">
        <v>1680</v>
      </c>
      <c r="B14" s="26">
        <v>5</v>
      </c>
      <c r="C14">
        <v>105.39916669999999</v>
      </c>
      <c r="D14">
        <v>358.62</v>
      </c>
      <c r="E14">
        <v>113.38194439999999</v>
      </c>
      <c r="F14">
        <v>14.513888889</v>
      </c>
      <c r="G14">
        <v>79.098333333300005</v>
      </c>
    </row>
    <row r="15" spans="1:7" x14ac:dyDescent="0.25">
      <c r="A15">
        <v>1710</v>
      </c>
      <c r="B15" s="26">
        <v>3</v>
      </c>
      <c r="C15">
        <v>144.81527779999999</v>
      </c>
      <c r="D15">
        <v>36.5</v>
      </c>
      <c r="E15">
        <v>151.65694439999999</v>
      </c>
      <c r="F15">
        <v>308.06388888999999</v>
      </c>
      <c r="G15">
        <v>282.063888889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745D-A5A7-4847-AEA3-060EB4745C8F}">
  <dimension ref="A1:G31"/>
  <sheetViews>
    <sheetView zoomScale="103" zoomScaleNormal="145" workbookViewId="0"/>
  </sheetViews>
  <sheetFormatPr defaultRowHeight="15" x14ac:dyDescent="0.25"/>
  <cols>
    <col min="1" max="1" width="16.42578125" customWidth="1"/>
    <col min="3" max="3" width="12" bestFit="1" customWidth="1"/>
    <col min="4" max="4" width="11.7109375" customWidth="1"/>
    <col min="5" max="5" width="11.85546875" customWidth="1"/>
    <col min="6" max="6" width="13.7109375" customWidth="1"/>
    <col min="7" max="7" width="13" customWidth="1"/>
    <col min="8" max="8" width="9.140625" customWidth="1"/>
  </cols>
  <sheetData>
    <row r="1" spans="1:7" x14ac:dyDescent="0.25">
      <c r="A1" t="s">
        <v>31</v>
      </c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22">
        <v>1</v>
      </c>
      <c r="B2" s="21">
        <v>4</v>
      </c>
      <c r="C2" s="23">
        <v>348.91916670000001</v>
      </c>
      <c r="D2">
        <v>348.90138889999997</v>
      </c>
      <c r="E2">
        <v>344.44444440000001</v>
      </c>
      <c r="F2">
        <v>305.00611111000001</v>
      </c>
      <c r="G2">
        <v>18.746111110000001</v>
      </c>
    </row>
    <row r="3" spans="1:7" x14ac:dyDescent="0.25">
      <c r="A3" s="22">
        <v>2</v>
      </c>
      <c r="B3" s="21">
        <v>2</v>
      </c>
      <c r="C3" s="23">
        <v>338.82388888999998</v>
      </c>
      <c r="D3">
        <v>338.78861110000003</v>
      </c>
      <c r="E3">
        <v>342.06527777999997</v>
      </c>
      <c r="F3">
        <v>263.07694443999998</v>
      </c>
      <c r="G3">
        <v>37.545277779999999</v>
      </c>
    </row>
    <row r="4" spans="1:7" x14ac:dyDescent="0.25">
      <c r="A4" s="22">
        <v>3</v>
      </c>
      <c r="B4" s="21">
        <v>6</v>
      </c>
      <c r="C4" s="23">
        <v>327.74305559999999</v>
      </c>
      <c r="D4">
        <v>327.69</v>
      </c>
      <c r="E4">
        <v>326.51</v>
      </c>
      <c r="F4">
        <v>208.08305559999999</v>
      </c>
      <c r="G4">
        <v>56.291388888999997</v>
      </c>
    </row>
    <row r="5" spans="1:7" x14ac:dyDescent="0.25">
      <c r="A5" s="22">
        <v>4</v>
      </c>
      <c r="B5" s="21">
        <v>3</v>
      </c>
      <c r="C5" s="23">
        <v>316.66222219999997</v>
      </c>
      <c r="D5">
        <v>316.59166670000002</v>
      </c>
      <c r="E5">
        <v>310.9544444</v>
      </c>
      <c r="F5">
        <v>153.08916669999999</v>
      </c>
      <c r="G5">
        <v>75.037499999999994</v>
      </c>
    </row>
    <row r="6" spans="1:7" x14ac:dyDescent="0.25">
      <c r="A6" s="22">
        <v>5</v>
      </c>
      <c r="B6" s="21">
        <v>1</v>
      </c>
      <c r="C6" s="23">
        <v>306.56694443999999</v>
      </c>
      <c r="D6">
        <v>306.47861110000002</v>
      </c>
      <c r="E6">
        <v>308.57527779999998</v>
      </c>
      <c r="F6">
        <v>111.1602778</v>
      </c>
      <c r="G6">
        <v>93.836388889999995</v>
      </c>
    </row>
    <row r="7" spans="1:7" x14ac:dyDescent="0.25">
      <c r="A7" s="22">
        <v>6</v>
      </c>
      <c r="B7" s="21">
        <v>5</v>
      </c>
      <c r="C7" s="23">
        <v>295.48611111000002</v>
      </c>
      <c r="D7">
        <v>295.38</v>
      </c>
      <c r="E7">
        <v>293.01972219999999</v>
      </c>
      <c r="F7">
        <v>56.166111110000003</v>
      </c>
      <c r="G7">
        <v>112.5825</v>
      </c>
    </row>
    <row r="8" spans="1:7" x14ac:dyDescent="0.25">
      <c r="A8" s="22">
        <v>7</v>
      </c>
      <c r="B8" s="21">
        <v>3</v>
      </c>
      <c r="C8" s="23">
        <v>285.3908333</v>
      </c>
      <c r="D8">
        <v>285.26722219999999</v>
      </c>
      <c r="E8">
        <v>290.64055560000003</v>
      </c>
      <c r="F8">
        <v>14.23722222</v>
      </c>
      <c r="G8">
        <v>131.38166670000001</v>
      </c>
    </row>
    <row r="9" spans="1:7" x14ac:dyDescent="0.25">
      <c r="A9" s="22">
        <v>8</v>
      </c>
      <c r="B9" s="21">
        <v>7</v>
      </c>
      <c r="C9" s="23">
        <v>274.31</v>
      </c>
      <c r="D9">
        <v>274.16861110000002</v>
      </c>
      <c r="E9">
        <v>275.08499999999998</v>
      </c>
      <c r="F9">
        <v>319.24333332999998</v>
      </c>
      <c r="G9">
        <v>150.12777779999999</v>
      </c>
    </row>
    <row r="10" spans="1:7" x14ac:dyDescent="0.25">
      <c r="A10" s="22">
        <v>9</v>
      </c>
      <c r="B10" s="21">
        <v>4</v>
      </c>
      <c r="C10" s="23">
        <v>263.22916670000001</v>
      </c>
      <c r="D10">
        <v>263.07027779999999</v>
      </c>
      <c r="E10">
        <v>259.52972219999998</v>
      </c>
      <c r="F10">
        <v>264.24944443999999</v>
      </c>
      <c r="G10">
        <v>168.8738889</v>
      </c>
    </row>
    <row r="11" spans="1:7" x14ac:dyDescent="0.25">
      <c r="A11" s="22">
        <v>10</v>
      </c>
      <c r="B11" s="21">
        <v>2</v>
      </c>
      <c r="C11" s="23">
        <v>253.13388889999999</v>
      </c>
      <c r="D11">
        <v>252.95722219999999</v>
      </c>
      <c r="E11">
        <v>257.15055560000002</v>
      </c>
      <c r="F11">
        <v>222.32027780000001</v>
      </c>
      <c r="G11">
        <v>187.67277780000001</v>
      </c>
    </row>
    <row r="12" spans="1:7" x14ac:dyDescent="0.25">
      <c r="A12" s="22">
        <v>11</v>
      </c>
      <c r="B12" s="21">
        <v>6</v>
      </c>
      <c r="C12" s="23">
        <v>242.05305559999999</v>
      </c>
      <c r="D12">
        <v>241.85888890000001</v>
      </c>
      <c r="E12">
        <v>241.595</v>
      </c>
      <c r="F12">
        <v>167.32638890000001</v>
      </c>
      <c r="G12">
        <v>206.41888890000001</v>
      </c>
    </row>
    <row r="13" spans="1:7" x14ac:dyDescent="0.25">
      <c r="A13" s="22">
        <v>12</v>
      </c>
      <c r="B13" s="21">
        <v>3</v>
      </c>
      <c r="C13" s="23">
        <v>230.97222221999999</v>
      </c>
      <c r="D13" s="24">
        <v>230.4269444</v>
      </c>
      <c r="E13">
        <v>226.03944440000001</v>
      </c>
      <c r="F13">
        <v>112.3325</v>
      </c>
      <c r="G13">
        <v>225.16499999999999</v>
      </c>
    </row>
    <row r="14" spans="1:7" x14ac:dyDescent="0.25">
      <c r="A14" s="22">
        <v>13</v>
      </c>
      <c r="B14" s="21">
        <v>1</v>
      </c>
      <c r="C14" s="23">
        <v>220.87694440000001</v>
      </c>
      <c r="D14">
        <v>220.64750000000001</v>
      </c>
      <c r="E14">
        <v>223.66027779999999</v>
      </c>
      <c r="F14">
        <v>70.403611111000004</v>
      </c>
      <c r="G14">
        <v>243.96416669999999</v>
      </c>
    </row>
    <row r="15" spans="1:7" x14ac:dyDescent="0.25">
      <c r="A15" s="22">
        <v>14</v>
      </c>
      <c r="B15" s="21">
        <v>5</v>
      </c>
      <c r="C15" s="23">
        <v>209.79611111</v>
      </c>
      <c r="D15">
        <v>209.54888890000001</v>
      </c>
      <c r="E15">
        <v>208.1047222</v>
      </c>
      <c r="F15">
        <v>15.40944444</v>
      </c>
      <c r="G15">
        <v>243.96416669999999</v>
      </c>
    </row>
    <row r="16" spans="1:7" x14ac:dyDescent="0.25">
      <c r="A16" s="22">
        <v>15</v>
      </c>
      <c r="B16" s="21">
        <v>3</v>
      </c>
      <c r="C16" s="23">
        <v>199.7008333</v>
      </c>
      <c r="D16">
        <v>119.4358333</v>
      </c>
      <c r="E16">
        <v>205.72583333</v>
      </c>
      <c r="F16">
        <v>333.48055556000003</v>
      </c>
      <c r="G16">
        <v>281.34249999999997</v>
      </c>
    </row>
    <row r="17" spans="1:7" x14ac:dyDescent="0.25">
      <c r="A17" s="22">
        <v>16</v>
      </c>
      <c r="B17" s="21">
        <v>7</v>
      </c>
      <c r="C17" s="23">
        <v>188.62</v>
      </c>
      <c r="D17">
        <v>188.33750000000001</v>
      </c>
      <c r="E17">
        <v>190.17027780000001</v>
      </c>
      <c r="F17">
        <v>278.4866667</v>
      </c>
      <c r="G17">
        <v>300.25527779999999</v>
      </c>
    </row>
    <row r="18" spans="1:7" x14ac:dyDescent="0.25">
      <c r="A18" s="22">
        <v>17</v>
      </c>
      <c r="B18" s="21">
        <v>4</v>
      </c>
      <c r="C18" s="23">
        <v>177.53916670000001</v>
      </c>
      <c r="D18">
        <v>177.23888890000001</v>
      </c>
      <c r="E18">
        <v>174.61472219999999</v>
      </c>
      <c r="F18">
        <v>223.49250000000001</v>
      </c>
      <c r="G18">
        <v>319.00138889999999</v>
      </c>
    </row>
    <row r="19" spans="1:7" x14ac:dyDescent="0.25">
      <c r="A19" s="22">
        <v>18</v>
      </c>
      <c r="B19" s="21">
        <v>2</v>
      </c>
      <c r="C19" s="23">
        <v>167.44388889000001</v>
      </c>
      <c r="D19">
        <v>167.12611111000001</v>
      </c>
      <c r="E19">
        <v>172.2355556</v>
      </c>
      <c r="F19">
        <v>181.56361111000001</v>
      </c>
      <c r="G19">
        <v>337.8005556</v>
      </c>
    </row>
    <row r="20" spans="1:7" x14ac:dyDescent="0.25">
      <c r="A20" s="22">
        <v>19</v>
      </c>
      <c r="B20" s="21">
        <v>6</v>
      </c>
      <c r="C20" s="23">
        <v>156.3630556</v>
      </c>
      <c r="D20">
        <v>156.0275</v>
      </c>
      <c r="E20">
        <v>156.68</v>
      </c>
      <c r="F20">
        <v>126.56972222</v>
      </c>
      <c r="G20">
        <v>256.5466667</v>
      </c>
    </row>
    <row r="21" spans="1:7" x14ac:dyDescent="0.25">
      <c r="A21" s="22">
        <v>20</v>
      </c>
      <c r="B21" s="21">
        <v>3</v>
      </c>
      <c r="C21" s="23">
        <v>145.28222220000001</v>
      </c>
      <c r="D21">
        <v>144.9291667</v>
      </c>
      <c r="E21">
        <v>141.12444439999999</v>
      </c>
      <c r="F21">
        <v>71.575833329999995</v>
      </c>
      <c r="G21">
        <v>15.292777778</v>
      </c>
    </row>
    <row r="22" spans="1:7" x14ac:dyDescent="0.25">
      <c r="A22" s="22">
        <v>21</v>
      </c>
      <c r="B22" s="21">
        <v>1</v>
      </c>
      <c r="C22" s="23">
        <v>135.18694443999999</v>
      </c>
      <c r="D22">
        <v>134.8161111</v>
      </c>
      <c r="E22">
        <v>138.74555559999999</v>
      </c>
      <c r="F22">
        <v>29.646666669999998</v>
      </c>
      <c r="G22">
        <v>34.091944443999999</v>
      </c>
    </row>
    <row r="23" spans="1:7" x14ac:dyDescent="0.25">
      <c r="A23" s="22">
        <v>22</v>
      </c>
      <c r="B23" s="21">
        <v>5</v>
      </c>
      <c r="C23" s="23">
        <v>124.10611110000001</v>
      </c>
      <c r="D23">
        <v>123.71777779999999</v>
      </c>
      <c r="E23">
        <v>123.18333333</v>
      </c>
      <c r="F23">
        <v>334.65277778000001</v>
      </c>
      <c r="G23">
        <v>52.838055560000001</v>
      </c>
    </row>
    <row r="24" spans="1:7" x14ac:dyDescent="0.25">
      <c r="A24" s="22">
        <v>23</v>
      </c>
      <c r="B24" s="21">
        <v>2</v>
      </c>
      <c r="C24" s="23">
        <v>113.0252778</v>
      </c>
      <c r="D24">
        <v>112.61916669999999</v>
      </c>
      <c r="E24">
        <v>107.63333333</v>
      </c>
      <c r="F24">
        <v>279.65888889000001</v>
      </c>
      <c r="G24">
        <v>71.584166670000002</v>
      </c>
    </row>
    <row r="25" spans="1:7" x14ac:dyDescent="0.25">
      <c r="A25" s="22">
        <v>24</v>
      </c>
      <c r="B25" s="21">
        <v>7</v>
      </c>
      <c r="C25" s="23">
        <v>102.93</v>
      </c>
      <c r="D25">
        <v>102.5061111</v>
      </c>
      <c r="E25">
        <v>105.25</v>
      </c>
      <c r="F25">
        <v>237.72972222000001</v>
      </c>
      <c r="G25">
        <v>90.383055556000002</v>
      </c>
    </row>
    <row r="26" spans="1:7" x14ac:dyDescent="0.25">
      <c r="A26" s="22">
        <v>25</v>
      </c>
      <c r="B26" s="21">
        <v>4</v>
      </c>
      <c r="C26" s="23">
        <v>91.849166670000002</v>
      </c>
      <c r="D26">
        <v>91.407777777999996</v>
      </c>
      <c r="E26">
        <v>89.683333329999996</v>
      </c>
      <c r="F26">
        <v>182.73583332999999</v>
      </c>
      <c r="G26">
        <v>109.1291667</v>
      </c>
    </row>
    <row r="27" spans="1:7" x14ac:dyDescent="0.25">
      <c r="A27" s="22">
        <v>26</v>
      </c>
      <c r="B27" s="21">
        <v>2</v>
      </c>
      <c r="C27" s="23">
        <v>81.753888889999999</v>
      </c>
      <c r="D27">
        <v>81.294722222000004</v>
      </c>
      <c r="E27">
        <v>87.320833332999996</v>
      </c>
      <c r="F27">
        <v>140.80694444</v>
      </c>
      <c r="G27">
        <v>127.92833330000001</v>
      </c>
    </row>
    <row r="28" spans="1:7" x14ac:dyDescent="0.25">
      <c r="A28" s="22">
        <v>27</v>
      </c>
      <c r="B28" s="21">
        <v>6</v>
      </c>
      <c r="C28" s="23">
        <v>70.673055559999995</v>
      </c>
      <c r="D28">
        <v>70.196111110999993</v>
      </c>
      <c r="E28">
        <v>71.765277776999994</v>
      </c>
      <c r="F28">
        <v>85.813055559999995</v>
      </c>
      <c r="G28">
        <v>146.67444444399999</v>
      </c>
    </row>
    <row r="29" spans="1:7" x14ac:dyDescent="0.25">
      <c r="A29" s="22">
        <v>28</v>
      </c>
      <c r="B29" s="21">
        <v>3</v>
      </c>
      <c r="C29" s="23">
        <v>59.592222219999996</v>
      </c>
      <c r="D29">
        <v>59.097777778000001</v>
      </c>
      <c r="E29">
        <v>56.209722222000003</v>
      </c>
      <c r="F29">
        <v>30.818888888899998</v>
      </c>
      <c r="G29">
        <v>165.42055556</v>
      </c>
    </row>
    <row r="30" spans="1:7" x14ac:dyDescent="0.25">
      <c r="A30" s="22">
        <v>29</v>
      </c>
      <c r="B30" s="21">
        <v>1</v>
      </c>
      <c r="C30" s="23">
        <v>49.49694444</v>
      </c>
      <c r="D30">
        <v>48.984999999999999</v>
      </c>
      <c r="E30">
        <v>53.830555556</v>
      </c>
      <c r="F30">
        <v>348.89</v>
      </c>
      <c r="G30">
        <v>184.21944443999999</v>
      </c>
    </row>
    <row r="31" spans="1:7" x14ac:dyDescent="0.25">
      <c r="A31" s="22">
        <v>30</v>
      </c>
      <c r="B31" s="21">
        <v>5</v>
      </c>
      <c r="C31" s="23">
        <v>38.416111110000003</v>
      </c>
      <c r="D31">
        <v>37.886388889000003</v>
      </c>
      <c r="E31">
        <v>38.274999999999999</v>
      </c>
      <c r="F31">
        <v>293.89611109999998</v>
      </c>
      <c r="G31">
        <v>202.96555559999999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1A3F-EED5-45DE-B9E1-0492097913BB}">
  <dimension ref="A1:G42"/>
  <sheetViews>
    <sheetView workbookViewId="0">
      <selection activeCell="C34" sqref="C34"/>
    </sheetView>
  </sheetViews>
  <sheetFormatPr defaultRowHeight="15" x14ac:dyDescent="0.25"/>
  <cols>
    <col min="3" max="3" width="13" customWidth="1"/>
    <col min="4" max="4" width="12.42578125" customWidth="1"/>
    <col min="5" max="5" width="12.28515625" customWidth="1"/>
    <col min="6" max="6" width="12.5703125" customWidth="1"/>
    <col min="7" max="7" width="14" customWidth="1"/>
  </cols>
  <sheetData>
    <row r="1" spans="1:7" x14ac:dyDescent="0.25">
      <c r="A1" s="26" t="s">
        <v>13</v>
      </c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26">
        <v>1</v>
      </c>
      <c r="B2" s="26">
        <v>1</v>
      </c>
      <c r="C2">
        <f>0+59/60+8/3600</f>
        <v>0.98555555555555552</v>
      </c>
      <c r="D2">
        <v>0.985555556</v>
      </c>
      <c r="E2">
        <v>13.176388899999999</v>
      </c>
      <c r="F2">
        <v>13.065</v>
      </c>
      <c r="G2">
        <v>5.3055555599999998E-2</v>
      </c>
    </row>
    <row r="3" spans="1:7" x14ac:dyDescent="0.25">
      <c r="A3" s="26">
        <v>2</v>
      </c>
      <c r="B3" s="26">
        <v>2</v>
      </c>
      <c r="C3">
        <f>1+58/60+17/3600</f>
        <v>1.9713888888888891</v>
      </c>
      <c r="D3">
        <v>1.9713888889</v>
      </c>
      <c r="E3">
        <v>26.352777799999998</v>
      </c>
      <c r="F3">
        <v>26.13</v>
      </c>
      <c r="G3">
        <v>0.1058333333</v>
      </c>
    </row>
    <row r="4" spans="1:7" x14ac:dyDescent="0.25">
      <c r="A4" s="26">
        <v>3</v>
      </c>
      <c r="B4" s="26">
        <v>3</v>
      </c>
      <c r="C4">
        <f>2+57/60+25/3600</f>
        <v>2.9569444444444448</v>
      </c>
      <c r="D4">
        <v>2.9569444439999999</v>
      </c>
      <c r="E4">
        <v>39.529166699999998</v>
      </c>
      <c r="F4">
        <v>39.195</v>
      </c>
      <c r="G4">
        <v>0.15888888889</v>
      </c>
    </row>
    <row r="5" spans="1:7" x14ac:dyDescent="0.25">
      <c r="A5" s="26">
        <v>4</v>
      </c>
      <c r="B5" s="26">
        <v>4</v>
      </c>
      <c r="C5">
        <f>3+56/60+33/3600</f>
        <v>3.9425000000000003</v>
      </c>
      <c r="D5">
        <v>3.9422222219999998</v>
      </c>
      <c r="E5">
        <v>52.705555599999997</v>
      </c>
      <c r="F5">
        <v>52.26</v>
      </c>
      <c r="G5">
        <v>0.21194444400000001</v>
      </c>
    </row>
    <row r="6" spans="1:7" x14ac:dyDescent="0.25">
      <c r="A6" s="26">
        <v>5</v>
      </c>
      <c r="B6" s="26">
        <v>5</v>
      </c>
      <c r="C6">
        <f>4+55/60+42/3600</f>
        <v>4.9283333333333337</v>
      </c>
      <c r="D6">
        <v>4.9280555560000003</v>
      </c>
      <c r="E6">
        <v>65.881944399999995</v>
      </c>
      <c r="F6" s="25">
        <v>65.325000000000003</v>
      </c>
      <c r="G6">
        <v>0.26472222200000001</v>
      </c>
    </row>
    <row r="7" spans="1:7" x14ac:dyDescent="0.25">
      <c r="A7" s="26">
        <v>6</v>
      </c>
      <c r="B7" s="26">
        <v>6</v>
      </c>
      <c r="C7">
        <f>5+54/60+50/3600</f>
        <v>5.9138888888888896</v>
      </c>
      <c r="D7">
        <v>5.9136111110999998</v>
      </c>
      <c r="E7">
        <v>79.058333300000001</v>
      </c>
      <c r="F7">
        <v>78.39</v>
      </c>
      <c r="G7">
        <v>0.31777777800000001</v>
      </c>
    </row>
    <row r="8" spans="1:7" x14ac:dyDescent="0.25">
      <c r="A8" s="26">
        <v>7</v>
      </c>
      <c r="B8" s="26">
        <v>7</v>
      </c>
      <c r="C8">
        <f>6+53/60+58/3600</f>
        <v>6.8994444444444438</v>
      </c>
      <c r="D8">
        <v>6.8991666667000002</v>
      </c>
      <c r="E8">
        <v>92.2180556</v>
      </c>
      <c r="F8">
        <v>91.454999999999998</v>
      </c>
      <c r="G8">
        <v>0.36694444399999998</v>
      </c>
    </row>
    <row r="9" spans="1:7" x14ac:dyDescent="0.25">
      <c r="A9" s="26">
        <v>8</v>
      </c>
      <c r="B9" s="26">
        <v>1</v>
      </c>
      <c r="C9">
        <f>7+53/60+7/3600</f>
        <v>7.8852777777777776</v>
      </c>
      <c r="D9">
        <v>7.8849999999999998</v>
      </c>
      <c r="E9">
        <v>105.41111100000001</v>
      </c>
      <c r="F9">
        <v>104.519722</v>
      </c>
      <c r="G9">
        <v>0.42361111099999998</v>
      </c>
    </row>
    <row r="10" spans="1:7" x14ac:dyDescent="0.25">
      <c r="A10" s="26">
        <v>9</v>
      </c>
      <c r="B10" s="26">
        <v>2</v>
      </c>
      <c r="C10">
        <f>8+52/60+15/3600</f>
        <v>8.8708333333333336</v>
      </c>
      <c r="D10">
        <v>8.8702777778000002</v>
      </c>
      <c r="E10">
        <v>118.58750000000001</v>
      </c>
      <c r="F10">
        <v>117.584722</v>
      </c>
      <c r="G10">
        <v>0.47666666667000002</v>
      </c>
    </row>
    <row r="11" spans="1:7" x14ac:dyDescent="0.25">
      <c r="A11" s="26">
        <v>10</v>
      </c>
      <c r="B11" s="26">
        <v>3</v>
      </c>
      <c r="C11">
        <f>9+51/60+23/3600</f>
        <v>9.8563888888888886</v>
      </c>
      <c r="D11">
        <v>9.8558333332999997</v>
      </c>
      <c r="E11">
        <v>131.76388900000001</v>
      </c>
      <c r="F11">
        <v>130.649722</v>
      </c>
      <c r="G11">
        <v>0.52944444400000001</v>
      </c>
    </row>
    <row r="12" spans="1:7" x14ac:dyDescent="0.25">
      <c r="A12" s="26">
        <v>11</v>
      </c>
      <c r="B12" s="26">
        <v>4</v>
      </c>
      <c r="C12">
        <f>10+50/60+32/3600</f>
        <v>10.842222222222222</v>
      </c>
      <c r="D12">
        <v>10.8416666667</v>
      </c>
      <c r="E12">
        <v>144.94027800000001</v>
      </c>
      <c r="F12">
        <v>143.71472199999999</v>
      </c>
      <c r="G12">
        <v>0.58250000000000002</v>
      </c>
    </row>
    <row r="13" spans="1:7" x14ac:dyDescent="0.25">
      <c r="A13" s="26">
        <v>12</v>
      </c>
      <c r="B13" s="26">
        <v>5</v>
      </c>
      <c r="C13">
        <f>11+49/60+40/3600</f>
        <v>11.827777777777778</v>
      </c>
      <c r="D13">
        <v>11.8272222222</v>
      </c>
      <c r="E13">
        <v>158.11666700000001</v>
      </c>
      <c r="F13">
        <v>156.77972199999999</v>
      </c>
      <c r="G13">
        <v>0.63555555559999999</v>
      </c>
    </row>
    <row r="14" spans="1:7" x14ac:dyDescent="0.25">
      <c r="A14" s="26">
        <v>13</v>
      </c>
      <c r="B14" s="26">
        <v>6</v>
      </c>
      <c r="C14">
        <f>12+48/60+48/3600</f>
        <v>12.813333333333334</v>
      </c>
      <c r="D14">
        <v>12.812777777799999</v>
      </c>
      <c r="E14">
        <v>171.29305600000001</v>
      </c>
      <c r="F14">
        <v>169.84472199999999</v>
      </c>
      <c r="G14">
        <v>0.68833333330000002</v>
      </c>
    </row>
    <row r="15" spans="1:7" x14ac:dyDescent="0.25">
      <c r="A15" s="26">
        <v>14</v>
      </c>
      <c r="B15" s="26">
        <v>7</v>
      </c>
      <c r="C15">
        <f>13+47/60+57/3600</f>
        <v>13.799166666666666</v>
      </c>
      <c r="D15">
        <v>13.798888889000001</v>
      </c>
      <c r="E15">
        <v>184.63611109999999</v>
      </c>
      <c r="F15">
        <v>182.90972199999999</v>
      </c>
      <c r="G15">
        <v>0.741388889</v>
      </c>
    </row>
    <row r="16" spans="1:7" x14ac:dyDescent="0.25">
      <c r="A16" s="26">
        <v>15</v>
      </c>
      <c r="B16" s="26">
        <v>1</v>
      </c>
      <c r="C16">
        <f>14+47/60+5/3600</f>
        <v>14.784722222222221</v>
      </c>
      <c r="D16">
        <v>14.7838888889</v>
      </c>
      <c r="E16">
        <v>197.47916699999999</v>
      </c>
      <c r="F16">
        <v>195.97472200000001</v>
      </c>
      <c r="G16">
        <v>0.79444444400000003</v>
      </c>
    </row>
    <row r="17" spans="1:7" x14ac:dyDescent="0.25">
      <c r="A17" s="26">
        <v>16</v>
      </c>
      <c r="B17" s="26">
        <v>2</v>
      </c>
      <c r="C17">
        <f>15+46/60+13/3600</f>
        <v>15.770277777777778</v>
      </c>
      <c r="D17">
        <v>15.769444444439999</v>
      </c>
      <c r="E17">
        <v>210.82222200000001</v>
      </c>
      <c r="F17">
        <v>209.03972200000001</v>
      </c>
      <c r="G17">
        <v>0.84722222199999997</v>
      </c>
    </row>
    <row r="18" spans="1:7" x14ac:dyDescent="0.25">
      <c r="A18" s="26">
        <v>17</v>
      </c>
      <c r="B18" s="26">
        <v>3</v>
      </c>
      <c r="C18">
        <f>16+45/60+22/3600</f>
        <v>16.75611111111111</v>
      </c>
      <c r="D18">
        <v>16.7552777778</v>
      </c>
      <c r="E18">
        <v>223.99166700000001</v>
      </c>
      <c r="F18">
        <v>222.10472200000001</v>
      </c>
      <c r="G18">
        <v>0.90027777799999997</v>
      </c>
    </row>
    <row r="19" spans="1:7" x14ac:dyDescent="0.25">
      <c r="A19" s="26">
        <v>18</v>
      </c>
      <c r="B19" s="26">
        <v>4</v>
      </c>
      <c r="C19">
        <f>17+44/60+30/3600</f>
        <v>17.741666666666667</v>
      </c>
      <c r="D19">
        <v>17.740833333299999</v>
      </c>
      <c r="E19">
        <v>237.16833299999999</v>
      </c>
      <c r="F19">
        <v>235.16972200000001</v>
      </c>
      <c r="G19">
        <v>0.95305555555999999</v>
      </c>
    </row>
    <row r="20" spans="1:7" x14ac:dyDescent="0.25">
      <c r="A20" s="26">
        <v>19</v>
      </c>
      <c r="B20" s="26">
        <v>5</v>
      </c>
      <c r="C20">
        <f>18+43/60+38/3600</f>
        <v>18.72722222222222</v>
      </c>
      <c r="D20">
        <v>18.726388888900001</v>
      </c>
      <c r="E20">
        <v>250.361389</v>
      </c>
      <c r="F20">
        <v>248.23500000000001</v>
      </c>
      <c r="G20">
        <v>2.0061111111000001</v>
      </c>
    </row>
    <row r="21" spans="1:7" x14ac:dyDescent="0.25">
      <c r="A21" s="26">
        <v>20</v>
      </c>
      <c r="B21" s="26">
        <v>6</v>
      </c>
      <c r="C21">
        <f>19+42/60+47/3600</f>
        <v>19.713055555555556</v>
      </c>
      <c r="D21">
        <v>19.711944444</v>
      </c>
      <c r="E21">
        <v>263.52111100000002</v>
      </c>
      <c r="F21">
        <v>261.3</v>
      </c>
      <c r="G21">
        <v>1.059166667</v>
      </c>
    </row>
    <row r="22" spans="1:7" x14ac:dyDescent="0.25">
      <c r="A22" s="26">
        <v>21</v>
      </c>
      <c r="B22" s="26">
        <v>7</v>
      </c>
      <c r="C22">
        <f>20+41/60+55/3600</f>
        <v>20.698611111111113</v>
      </c>
      <c r="D22">
        <v>20.697500000000002</v>
      </c>
      <c r="E22">
        <v>276.71416699999997</v>
      </c>
      <c r="F22">
        <v>274.36500000000001</v>
      </c>
      <c r="G22">
        <v>1.1119444439999999</v>
      </c>
    </row>
    <row r="23" spans="1:7" x14ac:dyDescent="0.25">
      <c r="A23" s="26">
        <v>22</v>
      </c>
      <c r="B23" s="26">
        <v>1</v>
      </c>
      <c r="C23">
        <f>21+41/60+3/3600</f>
        <v>21.684166666666666</v>
      </c>
      <c r="D23">
        <v>21.683055555999999</v>
      </c>
      <c r="E23">
        <v>289.87388900000002</v>
      </c>
      <c r="F23">
        <v>287.42972200000003</v>
      </c>
      <c r="G23">
        <v>1.165</v>
      </c>
    </row>
    <row r="24" spans="1:7" x14ac:dyDescent="0.25">
      <c r="A24" s="26">
        <v>23</v>
      </c>
      <c r="B24" s="26">
        <v>2</v>
      </c>
      <c r="C24">
        <f>22+40/60+12/3600</f>
        <v>22.67</v>
      </c>
      <c r="D24">
        <v>22.6688888889</v>
      </c>
      <c r="E24">
        <v>303.05277799999999</v>
      </c>
      <c r="F24">
        <v>300.49472200000002</v>
      </c>
      <c r="G24">
        <v>1.2180555559999999</v>
      </c>
    </row>
    <row r="25" spans="1:7" x14ac:dyDescent="0.25">
      <c r="A25" s="26">
        <v>24</v>
      </c>
      <c r="B25" s="26">
        <v>3</v>
      </c>
      <c r="C25">
        <f>23+29/60+20/3600</f>
        <v>23.488888888888891</v>
      </c>
      <c r="D25">
        <v>23.487777778000002</v>
      </c>
      <c r="E25">
        <v>316.24333300000001</v>
      </c>
      <c r="F25">
        <v>313.55972200000002</v>
      </c>
      <c r="G25">
        <v>1.2708333332999999</v>
      </c>
    </row>
    <row r="26" spans="1:7" x14ac:dyDescent="0.25">
      <c r="A26" s="26">
        <v>25</v>
      </c>
      <c r="B26" s="26">
        <v>4</v>
      </c>
      <c r="C26">
        <f>24+38/60+28/3600</f>
        <v>24.641111111111112</v>
      </c>
      <c r="D26">
        <v>23.6397222222</v>
      </c>
      <c r="E26">
        <v>329.35305599999998</v>
      </c>
      <c r="F26">
        <v>326.62472200000002</v>
      </c>
      <c r="G26">
        <v>1.3238888889</v>
      </c>
    </row>
    <row r="27" spans="1:7" x14ac:dyDescent="0.25">
      <c r="A27" s="26">
        <v>26</v>
      </c>
      <c r="B27" s="26">
        <v>5</v>
      </c>
      <c r="C27">
        <f>25+37/60+37/3600</f>
        <v>25.626944444444444</v>
      </c>
      <c r="D27">
        <v>25.625555555599998</v>
      </c>
      <c r="E27">
        <v>342.59611100000001</v>
      </c>
      <c r="F27">
        <v>339.68972200000002</v>
      </c>
      <c r="G27">
        <v>1.376944444</v>
      </c>
    </row>
    <row r="28" spans="1:7" x14ac:dyDescent="0.25">
      <c r="A28" s="26">
        <v>27</v>
      </c>
      <c r="B28" s="26">
        <v>6</v>
      </c>
      <c r="C28">
        <f>26+36/3600</f>
        <v>26.01</v>
      </c>
      <c r="D28">
        <v>26.611111111109999</v>
      </c>
      <c r="E28">
        <v>355.755833</v>
      </c>
      <c r="F28">
        <v>352.75472200000002</v>
      </c>
      <c r="G28">
        <v>1.4297222221999999</v>
      </c>
    </row>
    <row r="29" spans="1:7" x14ac:dyDescent="0.25">
      <c r="A29" s="26">
        <v>28</v>
      </c>
      <c r="B29" s="26">
        <v>7</v>
      </c>
      <c r="C29">
        <f>27+35/60+53/3600</f>
        <v>27.598055555555554</v>
      </c>
      <c r="D29">
        <v>27.59666666667</v>
      </c>
      <c r="E29">
        <v>8.9488888899999992</v>
      </c>
      <c r="F29">
        <v>5.8197222200000001</v>
      </c>
      <c r="G29">
        <v>1.482777778</v>
      </c>
    </row>
    <row r="30" spans="1:7" x14ac:dyDescent="0.25">
      <c r="A30" s="26">
        <v>29</v>
      </c>
      <c r="B30" s="26">
        <v>1</v>
      </c>
      <c r="C30">
        <f>28+35/60+2/3600</f>
        <v>28.583888888888886</v>
      </c>
      <c r="D30">
        <v>28.5825</v>
      </c>
      <c r="E30">
        <v>22.108611100000001</v>
      </c>
      <c r="F30">
        <v>18.884722199999999</v>
      </c>
      <c r="G30">
        <v>1.5358333333300001</v>
      </c>
    </row>
    <row r="31" spans="1:7" x14ac:dyDescent="0.25">
      <c r="A31" s="26">
        <v>30</v>
      </c>
      <c r="B31" s="26">
        <v>2</v>
      </c>
      <c r="C31">
        <f>29+34/60+10/3600</f>
        <v>29.569444444444443</v>
      </c>
      <c r="D31">
        <v>29.568055555000001</v>
      </c>
      <c r="E31">
        <v>35.283333300000002</v>
      </c>
      <c r="F31">
        <v>31.9497222</v>
      </c>
      <c r="G31">
        <v>1.6386111111099999</v>
      </c>
    </row>
    <row r="32" spans="1:7" x14ac:dyDescent="0.25">
      <c r="B32" s="26"/>
    </row>
    <row r="33" spans="2:2" x14ac:dyDescent="0.25">
      <c r="B33" s="26"/>
    </row>
    <row r="34" spans="2:2" x14ac:dyDescent="0.25">
      <c r="B34" s="26"/>
    </row>
    <row r="35" spans="2:2" x14ac:dyDescent="0.25">
      <c r="B35" s="26"/>
    </row>
    <row r="36" spans="2:2" x14ac:dyDescent="0.25">
      <c r="B36" s="26"/>
    </row>
    <row r="37" spans="2:2" x14ac:dyDescent="0.25">
      <c r="B37" s="26"/>
    </row>
    <row r="38" spans="2:2" x14ac:dyDescent="0.25">
      <c r="B38" s="26"/>
    </row>
    <row r="39" spans="2:2" x14ac:dyDescent="0.25">
      <c r="B39" s="26"/>
    </row>
    <row r="40" spans="2:2" x14ac:dyDescent="0.25">
      <c r="B40" s="26"/>
    </row>
    <row r="41" spans="2:2" x14ac:dyDescent="0.25">
      <c r="B41" s="26"/>
    </row>
    <row r="42" spans="2:2" x14ac:dyDescent="0.25">
      <c r="B42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A751-FAD2-4367-AF74-54319CDBB190}">
  <dimension ref="A1:F25"/>
  <sheetViews>
    <sheetView workbookViewId="0">
      <selection activeCell="I10" sqref="I10"/>
    </sheetView>
  </sheetViews>
  <sheetFormatPr defaultRowHeight="15" x14ac:dyDescent="0.25"/>
  <sheetData>
    <row r="1" spans="1:6" x14ac:dyDescent="0.2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4.1111000000000002E-2</v>
      </c>
      <c r="C2">
        <v>4.1111000000000002E-2</v>
      </c>
      <c r="D2">
        <v>0.54888899999999996</v>
      </c>
      <c r="E2">
        <v>0.54416699999999996</v>
      </c>
      <c r="F2">
        <v>2.2222000000000001E-3</v>
      </c>
    </row>
    <row r="3" spans="1:6" x14ac:dyDescent="0.25">
      <c r="A3">
        <v>2</v>
      </c>
      <c r="B3">
        <v>8.2222000000000003E-2</v>
      </c>
      <c r="C3">
        <v>8.2222199999999995E-2</v>
      </c>
      <c r="D3">
        <v>1.0980559999999999</v>
      </c>
      <c r="E3">
        <v>1.088889</v>
      </c>
      <c r="F3">
        <v>4.4444000000000003E-3</v>
      </c>
    </row>
    <row r="4" spans="1:6" x14ac:dyDescent="0.25">
      <c r="A4">
        <v>3</v>
      </c>
      <c r="B4">
        <v>0.123333</v>
      </c>
      <c r="C4">
        <v>0.123333</v>
      </c>
      <c r="D4">
        <v>1.646944</v>
      </c>
      <c r="E4">
        <v>1.6330560000000001</v>
      </c>
      <c r="F4">
        <v>6.6666700000000004E-3</v>
      </c>
    </row>
    <row r="5" spans="1:6" x14ac:dyDescent="0.25">
      <c r="A5">
        <v>4</v>
      </c>
      <c r="B5">
        <v>0.16416700000000001</v>
      </c>
      <c r="C5">
        <v>0.16416700000000001</v>
      </c>
      <c r="D5">
        <v>2.1961110000000001</v>
      </c>
      <c r="E5">
        <v>2.1777221999999998</v>
      </c>
      <c r="F5">
        <v>8.8889999999999993E-3</v>
      </c>
    </row>
    <row r="6" spans="1:6" x14ac:dyDescent="0.25">
      <c r="A6">
        <v>5</v>
      </c>
      <c r="B6">
        <v>0.20527799999999999</v>
      </c>
      <c r="C6">
        <v>0.20527799999999999</v>
      </c>
      <c r="D6">
        <v>2.7450000000000001</v>
      </c>
      <c r="E6">
        <v>2.7216670000000001</v>
      </c>
      <c r="F6">
        <v>1.11111E-2</v>
      </c>
    </row>
    <row r="7" spans="1:6" x14ac:dyDescent="0.25">
      <c r="A7">
        <v>6</v>
      </c>
      <c r="B7">
        <v>0.246389</v>
      </c>
      <c r="C7">
        <v>0.246389</v>
      </c>
      <c r="D7">
        <v>3.2941669999999998</v>
      </c>
      <c r="E7">
        <v>3.266111</v>
      </c>
      <c r="F7">
        <v>1.3333299999999999E-2</v>
      </c>
    </row>
    <row r="8" spans="1:6" x14ac:dyDescent="0.25">
      <c r="A8">
        <v>7</v>
      </c>
      <c r="B8">
        <v>0.28749999999999998</v>
      </c>
      <c r="C8">
        <v>0.28749999999999998</v>
      </c>
      <c r="D8">
        <v>3.8430559999999998</v>
      </c>
      <c r="E8">
        <v>3.8105560000000001</v>
      </c>
      <c r="F8">
        <v>1.555556E-2</v>
      </c>
    </row>
    <row r="9" spans="1:6" x14ac:dyDescent="0.25">
      <c r="A9">
        <v>8</v>
      </c>
      <c r="B9">
        <v>0.32861099999999999</v>
      </c>
      <c r="C9">
        <v>0.32861099999999999</v>
      </c>
      <c r="D9">
        <v>4.3922222</v>
      </c>
      <c r="E9">
        <v>4.3550000000000004</v>
      </c>
      <c r="F9">
        <v>1.77778E-2</v>
      </c>
    </row>
    <row r="10" spans="1:6" x14ac:dyDescent="0.25">
      <c r="A10">
        <v>9</v>
      </c>
      <c r="B10">
        <v>0.369722</v>
      </c>
      <c r="C10">
        <v>0.369722</v>
      </c>
      <c r="D10">
        <v>4.9411110000000003</v>
      </c>
      <c r="E10">
        <v>4.8994439999999999</v>
      </c>
      <c r="F10">
        <v>1.9722E-2</v>
      </c>
    </row>
    <row r="11" spans="1:6" x14ac:dyDescent="0.25">
      <c r="A11">
        <v>10</v>
      </c>
      <c r="B11">
        <v>0.41055599999999998</v>
      </c>
      <c r="C11">
        <v>0.41055599999999998</v>
      </c>
      <c r="D11">
        <v>5.490278</v>
      </c>
      <c r="E11">
        <v>5.4438890000000004</v>
      </c>
      <c r="F11">
        <v>2.1944000000000002E-2</v>
      </c>
    </row>
    <row r="12" spans="1:6" x14ac:dyDescent="0.25">
      <c r="A12">
        <v>11</v>
      </c>
      <c r="B12">
        <v>0.45166699999999999</v>
      </c>
      <c r="C12">
        <v>0.45166699999999999</v>
      </c>
      <c r="D12">
        <v>6.039167</v>
      </c>
      <c r="E12">
        <v>6.9880560000000003</v>
      </c>
      <c r="F12">
        <v>2.4167000000000001E-2</v>
      </c>
    </row>
    <row r="13" spans="1:6" x14ac:dyDescent="0.25">
      <c r="A13">
        <v>12</v>
      </c>
      <c r="B13">
        <v>0.49277799999999999</v>
      </c>
      <c r="C13">
        <v>0.49277799999999999</v>
      </c>
      <c r="D13">
        <v>6.5883333000000004</v>
      </c>
      <c r="E13">
        <v>6.5324999999999998</v>
      </c>
      <c r="F13">
        <v>2.6388999999999999E-2</v>
      </c>
    </row>
    <row r="14" spans="1:6" x14ac:dyDescent="0.25">
      <c r="A14">
        <v>13</v>
      </c>
      <c r="B14">
        <v>0.53388899999999995</v>
      </c>
      <c r="C14">
        <v>0.5338889</v>
      </c>
      <c r="D14">
        <v>7.1372220000000004</v>
      </c>
      <c r="E14">
        <v>7.0769440000000001</v>
      </c>
      <c r="F14">
        <v>2.8611000000000001E-2</v>
      </c>
    </row>
    <row r="15" spans="1:6" x14ac:dyDescent="0.25">
      <c r="A15">
        <v>14</v>
      </c>
      <c r="B15">
        <v>0.57499999999999996</v>
      </c>
      <c r="C15">
        <v>0.57499999999999996</v>
      </c>
      <c r="D15">
        <v>7.6861110000000004</v>
      </c>
      <c r="E15">
        <v>7.621111</v>
      </c>
      <c r="F15">
        <v>3.0832999999999999E-2</v>
      </c>
    </row>
    <row r="16" spans="1:6" x14ac:dyDescent="0.25">
      <c r="A16">
        <v>15</v>
      </c>
      <c r="B16">
        <v>0.61611099999999996</v>
      </c>
      <c r="C16">
        <v>0.61611099999999996</v>
      </c>
      <c r="D16">
        <v>8.2019439999999992</v>
      </c>
      <c r="E16">
        <v>8.1655560000000005</v>
      </c>
      <c r="F16">
        <v>3.3056000000000002E-2</v>
      </c>
    </row>
    <row r="17" spans="1:6" x14ac:dyDescent="0.25">
      <c r="A17">
        <v>16</v>
      </c>
      <c r="B17">
        <v>0.65722199999999997</v>
      </c>
      <c r="C17">
        <v>0.65722219999999998</v>
      </c>
      <c r="D17">
        <v>8.7841670000000001</v>
      </c>
      <c r="E17">
        <v>8.7100000000000009</v>
      </c>
      <c r="F17">
        <v>3.5277999999999997E-2</v>
      </c>
    </row>
    <row r="18" spans="1:6" x14ac:dyDescent="0.25">
      <c r="A18">
        <v>17</v>
      </c>
      <c r="B18">
        <v>0.69833299999999998</v>
      </c>
      <c r="C18">
        <v>0.69833332999999997</v>
      </c>
      <c r="D18">
        <v>9.3333329999999997</v>
      </c>
      <c r="E18">
        <v>9.2544439999999994</v>
      </c>
      <c r="F18">
        <v>3.7499999999999999E-2</v>
      </c>
    </row>
    <row r="19" spans="1:6" x14ac:dyDescent="0.25">
      <c r="A19">
        <v>18</v>
      </c>
      <c r="B19">
        <v>0.73916700000000002</v>
      </c>
      <c r="C19">
        <v>0.73916700000000002</v>
      </c>
      <c r="D19">
        <v>9.8822221999999993</v>
      </c>
      <c r="E19">
        <v>9.7986111000000005</v>
      </c>
      <c r="F19">
        <v>3.9722E-2</v>
      </c>
    </row>
    <row r="20" spans="1:6" x14ac:dyDescent="0.25">
      <c r="A20">
        <v>19</v>
      </c>
      <c r="B20">
        <v>0.78027800000000003</v>
      </c>
      <c r="C20">
        <v>0.78027800000000003</v>
      </c>
      <c r="D20">
        <v>10.43139</v>
      </c>
      <c r="E20">
        <v>10.343059999999999</v>
      </c>
      <c r="F20">
        <v>4.1944000000000002E-2</v>
      </c>
    </row>
    <row r="21" spans="1:6" x14ac:dyDescent="0.25">
      <c r="A21">
        <v>20</v>
      </c>
      <c r="B21">
        <v>0.82138900000000004</v>
      </c>
      <c r="C21">
        <v>0.82138900000000004</v>
      </c>
      <c r="D21">
        <v>10.98028</v>
      </c>
      <c r="E21">
        <v>10.887499999999999</v>
      </c>
      <c r="F21">
        <v>4.4166999999999998E-2</v>
      </c>
    </row>
    <row r="22" spans="1:6" x14ac:dyDescent="0.25">
      <c r="A22">
        <v>21</v>
      </c>
      <c r="B22">
        <v>0.86250000000000004</v>
      </c>
      <c r="C22">
        <v>0.86250000000000004</v>
      </c>
      <c r="D22">
        <v>11.529439999999999</v>
      </c>
      <c r="E22">
        <v>11.42611</v>
      </c>
      <c r="F22">
        <v>4.6389E-2</v>
      </c>
    </row>
    <row r="23" spans="1:6" x14ac:dyDescent="0.25">
      <c r="A23">
        <v>22</v>
      </c>
      <c r="B23">
        <v>0.90361100000000005</v>
      </c>
      <c r="C23">
        <v>0.90361100000000005</v>
      </c>
      <c r="D23">
        <v>12.078329999999999</v>
      </c>
      <c r="E23">
        <v>12.970829999999999</v>
      </c>
      <c r="F23">
        <v>4.8611000000000001E-2</v>
      </c>
    </row>
    <row r="24" spans="1:6" x14ac:dyDescent="0.25">
      <c r="A24">
        <v>23</v>
      </c>
      <c r="B24">
        <v>0.94444399999999995</v>
      </c>
      <c r="C24">
        <v>0.94444399999999995</v>
      </c>
      <c r="D24">
        <v>12.6275</v>
      </c>
      <c r="E24">
        <v>12.53167</v>
      </c>
      <c r="F24">
        <v>5.0555999999999997E-2</v>
      </c>
    </row>
    <row r="25" spans="1:6" x14ac:dyDescent="0.25">
      <c r="A25">
        <v>24</v>
      </c>
      <c r="B25">
        <v>0.98555599999999999</v>
      </c>
      <c r="C25">
        <v>0.98555559999999998</v>
      </c>
      <c r="D25">
        <v>13.17639</v>
      </c>
      <c r="E25">
        <v>13.05</v>
      </c>
      <c r="F25">
        <v>5.3055999999999999E-2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C152-2D96-401E-A5CF-6026FA20A513}">
  <dimension ref="A1:L61"/>
  <sheetViews>
    <sheetView workbookViewId="0">
      <selection activeCell="A2" sqref="A2"/>
    </sheetView>
  </sheetViews>
  <sheetFormatPr defaultRowHeight="15" x14ac:dyDescent="0.25"/>
  <sheetData>
    <row r="1" spans="1:12" x14ac:dyDescent="0.25">
      <c r="A1" s="13" t="s">
        <v>29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6"/>
      <c r="H1" s="16"/>
      <c r="I1" s="16"/>
      <c r="J1" s="16"/>
      <c r="K1" s="16"/>
      <c r="L1" s="16"/>
    </row>
    <row r="2" spans="1:12" x14ac:dyDescent="0.25">
      <c r="A2" s="17">
        <v>1</v>
      </c>
      <c r="B2" s="18">
        <f>0+0/60+2/3600</f>
        <v>5.5555555555555556E-4</v>
      </c>
      <c r="C2" s="18">
        <f>0+0/60+2/3600</f>
        <v>5.5555555555555556E-4</v>
      </c>
      <c r="D2" s="18">
        <f>0+0/60+33/3600</f>
        <v>9.1666666666666667E-3</v>
      </c>
      <c r="E2" s="18">
        <f>0+0/60+32/3600</f>
        <v>8.8888888888888889E-3</v>
      </c>
      <c r="F2" s="18">
        <f>0+0/60+0/3600</f>
        <v>0</v>
      </c>
    </row>
    <row r="3" spans="1:12" x14ac:dyDescent="0.25">
      <c r="A3" s="17">
        <v>2</v>
      </c>
      <c r="B3" s="16">
        <f>0+0/60+5/3600</f>
        <v>1.3888888888888889E-3</v>
      </c>
      <c r="C3" s="16">
        <f>0+0/60+7/3600</f>
        <v>1.9444444444444444E-3</v>
      </c>
      <c r="D3" s="16">
        <f>0+1/60+6/3600</f>
        <v>1.8333333333333333E-2</v>
      </c>
      <c r="E3" s="16">
        <f>0+1/60+35/3600</f>
        <v>2.6388888888888889E-2</v>
      </c>
      <c r="F3" s="16">
        <f>0+0/60+0/3600</f>
        <v>0</v>
      </c>
    </row>
    <row r="4" spans="1:12" x14ac:dyDescent="0.25">
      <c r="A4" s="17">
        <v>3</v>
      </c>
      <c r="B4" s="16">
        <f>0+0/60+7/3600</f>
        <v>1.9444444444444444E-3</v>
      </c>
      <c r="C4" s="16">
        <f>0+0/60+7/3600</f>
        <v>1.9444444444444444E-3</v>
      </c>
      <c r="D4" s="16">
        <f>0+1/60+39/3600</f>
        <v>2.75E-2</v>
      </c>
      <c r="E4" s="16">
        <f>0+1/60+38/3600</f>
        <v>2.7222222222222224E-2</v>
      </c>
      <c r="F4" s="16">
        <f>0+0/60+0/3600</f>
        <v>0</v>
      </c>
    </row>
    <row r="5" spans="1:12" x14ac:dyDescent="0.25">
      <c r="A5" s="17">
        <v>4</v>
      </c>
      <c r="B5" s="16">
        <f>0+0/60+10/3600</f>
        <v>2.7777777777777779E-3</v>
      </c>
      <c r="C5" s="16">
        <f>0+0/60+10/3600</f>
        <v>2.7777777777777779E-3</v>
      </c>
      <c r="D5" s="16">
        <f>0+2/60+12/3600</f>
        <v>3.6666666666666667E-2</v>
      </c>
      <c r="E5" s="16">
        <f>0+2/60+11/3600</f>
        <v>3.6388888888888887E-2</v>
      </c>
      <c r="F5" s="16">
        <f t="shared" ref="F5:F11" si="0">0+0/60+1/3600</f>
        <v>2.7777777777777778E-4</v>
      </c>
    </row>
    <row r="6" spans="1:12" x14ac:dyDescent="0.25">
      <c r="A6" s="17">
        <v>5</v>
      </c>
      <c r="B6" s="16">
        <f>0+0/60+12/3600</f>
        <v>3.3333333333333335E-3</v>
      </c>
      <c r="C6" s="16">
        <f>0+0/60+12/3600</f>
        <v>3.3333333333333335E-3</v>
      </c>
      <c r="D6" s="16">
        <f>0+2/60+25/3600</f>
        <v>4.0277777777777773E-2</v>
      </c>
      <c r="E6" s="16">
        <f>0+2/60+44/3600</f>
        <v>4.5555555555555557E-2</v>
      </c>
      <c r="F6" s="16">
        <f t="shared" si="0"/>
        <v>2.7777777777777778E-4</v>
      </c>
    </row>
    <row r="7" spans="1:12" x14ac:dyDescent="0.25">
      <c r="A7" s="17">
        <v>6</v>
      </c>
      <c r="B7" s="16">
        <f>0+0/60+15/3600</f>
        <v>4.1666666666666666E-3</v>
      </c>
      <c r="C7" s="16">
        <f>0+0/60+15/3600</f>
        <v>4.1666666666666666E-3</v>
      </c>
      <c r="D7" s="16">
        <f>0+3/60+18/3600</f>
        <v>5.5E-2</v>
      </c>
      <c r="E7" s="16">
        <f>0+3/60+16/3600</f>
        <v>5.4444444444444448E-2</v>
      </c>
      <c r="F7" s="16">
        <f t="shared" si="0"/>
        <v>2.7777777777777778E-4</v>
      </c>
    </row>
    <row r="8" spans="1:12" x14ac:dyDescent="0.25">
      <c r="A8" s="17">
        <v>7</v>
      </c>
      <c r="B8" s="16">
        <f>0+0/60+17/3600</f>
        <v>4.7222222222222223E-3</v>
      </c>
      <c r="C8" s="16">
        <f>0+0/60+17/3600</f>
        <v>4.7222222222222223E-3</v>
      </c>
      <c r="D8" s="16">
        <f>0+3/60+51/3600</f>
        <v>6.4166666666666664E-2</v>
      </c>
      <c r="E8" s="16">
        <f>0+3/60+49/3600</f>
        <v>6.3611111111111118E-2</v>
      </c>
      <c r="F8" s="16">
        <f t="shared" si="0"/>
        <v>2.7777777777777778E-4</v>
      </c>
    </row>
    <row r="9" spans="1:12" x14ac:dyDescent="0.25">
      <c r="A9" s="17">
        <v>8</v>
      </c>
      <c r="B9" s="16">
        <f>0+0/60+20/3600</f>
        <v>5.5555555555555558E-3</v>
      </c>
      <c r="C9" s="16">
        <f>0+0/60+20/3600</f>
        <v>5.5555555555555558E-3</v>
      </c>
      <c r="D9" s="16">
        <f>0+4/60+24/3600</f>
        <v>7.3333333333333334E-2</v>
      </c>
      <c r="E9" s="16">
        <f>0+4/60+22/3600</f>
        <v>7.2777777777777775E-2</v>
      </c>
      <c r="F9" s="16">
        <f t="shared" si="0"/>
        <v>2.7777777777777778E-4</v>
      </c>
    </row>
    <row r="10" spans="1:12" x14ac:dyDescent="0.25">
      <c r="A10" s="17">
        <v>9</v>
      </c>
      <c r="B10" s="16">
        <f>0+0/60+22/3600</f>
        <v>6.1111111111111114E-3</v>
      </c>
      <c r="C10" s="16">
        <f>0+0/60+22/3600</f>
        <v>6.1111111111111114E-3</v>
      </c>
      <c r="D10" s="16">
        <f>0+4/60+56/3600</f>
        <v>8.2222222222222224E-2</v>
      </c>
      <c r="E10" s="16">
        <f>0+4/60+53/3600</f>
        <v>8.1388888888888886E-2</v>
      </c>
      <c r="F10" s="16">
        <f t="shared" si="0"/>
        <v>2.7777777777777778E-4</v>
      </c>
    </row>
    <row r="11" spans="1:12" x14ac:dyDescent="0.25">
      <c r="A11" s="17">
        <v>10</v>
      </c>
      <c r="B11" s="16">
        <f>0+0/60+25/3600</f>
        <v>6.9444444444444441E-3</v>
      </c>
      <c r="C11" s="16">
        <f>0+0/60+25/3600</f>
        <v>6.9444444444444441E-3</v>
      </c>
      <c r="D11" s="16">
        <f>0+5/60+29/3600</f>
        <v>9.1388888888888881E-2</v>
      </c>
      <c r="E11" s="16">
        <f>0+5/60+26/3600</f>
        <v>9.0555555555555556E-2</v>
      </c>
      <c r="F11" s="16">
        <f t="shared" si="0"/>
        <v>2.7777777777777778E-4</v>
      </c>
    </row>
    <row r="12" spans="1:12" x14ac:dyDescent="0.25">
      <c r="A12" s="17">
        <v>11</v>
      </c>
      <c r="B12" s="16">
        <f>0+0/60+27/3600</f>
        <v>7.4999999999999997E-3</v>
      </c>
      <c r="C12" s="16">
        <f>0+0/60+27/3600</f>
        <v>7.4999999999999997E-3</v>
      </c>
      <c r="D12" s="16">
        <f>0+6/60+2/3600</f>
        <v>0.10055555555555556</v>
      </c>
      <c r="E12" s="16">
        <f>0+5/60+59/3600</f>
        <v>9.9722222222222212E-2</v>
      </c>
      <c r="F12" s="16">
        <f>0+0/60+2/3600</f>
        <v>5.5555555555555556E-4</v>
      </c>
    </row>
    <row r="13" spans="1:12" x14ac:dyDescent="0.25">
      <c r="A13" s="17">
        <v>12</v>
      </c>
      <c r="B13" s="16">
        <f>0+0/60+30/3600</f>
        <v>8.3333333333333332E-3</v>
      </c>
      <c r="C13" s="16">
        <f>0+0/60+30/3600</f>
        <v>8.3333333333333332E-3</v>
      </c>
      <c r="D13" s="16">
        <f>0+6/60+35/3600</f>
        <v>0.10972222222222222</v>
      </c>
      <c r="E13" s="16">
        <f>0+6/60+32/3600</f>
        <v>0.1088888888888889</v>
      </c>
      <c r="F13" s="16">
        <f t="shared" ref="F13:F18" si="1">0+0/60+2/3600</f>
        <v>5.5555555555555556E-4</v>
      </c>
    </row>
    <row r="14" spans="1:12" x14ac:dyDescent="0.25">
      <c r="A14" s="17">
        <v>13</v>
      </c>
      <c r="B14" s="16">
        <f>0+0/60+32/3600</f>
        <v>8.8888888888888889E-3</v>
      </c>
      <c r="C14" s="16">
        <f>0+0/60+32/3600</f>
        <v>8.8888888888888889E-3</v>
      </c>
      <c r="D14" s="16">
        <f>0+7/60+8/3600</f>
        <v>0.11888888888888889</v>
      </c>
      <c r="E14" s="16">
        <f>0+7/60+4/3600</f>
        <v>0.11777777777777777</v>
      </c>
      <c r="F14" s="16">
        <f t="shared" si="1"/>
        <v>5.5555555555555556E-4</v>
      </c>
    </row>
    <row r="15" spans="1:12" x14ac:dyDescent="0.25">
      <c r="A15" s="17">
        <v>14</v>
      </c>
      <c r="B15" s="16">
        <f>0+0/60+35/3600</f>
        <v>9.7222222222222224E-3</v>
      </c>
      <c r="C15" s="16">
        <f>0+0/60+35/3600</f>
        <v>9.7222222222222224E-3</v>
      </c>
      <c r="D15" s="16">
        <f>0+7/60+41/3600</f>
        <v>0.12805555555555556</v>
      </c>
      <c r="E15" s="16">
        <f>0+7/60+37/3600</f>
        <v>0.12694444444444444</v>
      </c>
      <c r="F15" s="16">
        <f t="shared" si="1"/>
        <v>5.5555555555555556E-4</v>
      </c>
    </row>
    <row r="16" spans="1:12" x14ac:dyDescent="0.25">
      <c r="A16" s="17">
        <v>15</v>
      </c>
      <c r="B16" s="16">
        <f>0+0/60+37/3600</f>
        <v>1.0277777777777778E-2</v>
      </c>
      <c r="C16" s="16">
        <f>0+0/60+37/3600</f>
        <v>1.0277777777777778E-2</v>
      </c>
      <c r="D16" s="16">
        <f>0+8/60+14/3600</f>
        <v>0.13722222222222222</v>
      </c>
      <c r="E16" s="16">
        <f>0+8/60+10/3600</f>
        <v>0.1361111111111111</v>
      </c>
      <c r="F16" s="16">
        <f t="shared" si="1"/>
        <v>5.5555555555555556E-4</v>
      </c>
    </row>
    <row r="17" spans="1:6" x14ac:dyDescent="0.25">
      <c r="A17" s="17">
        <v>16</v>
      </c>
      <c r="B17" s="16">
        <f>0+0/60+39/3600</f>
        <v>1.0833333333333334E-2</v>
      </c>
      <c r="C17" s="16">
        <f>0+0/60+39/3600</f>
        <v>1.0833333333333334E-2</v>
      </c>
      <c r="D17" s="16">
        <f>0+8/60+47/3600</f>
        <v>0.1463888888888889</v>
      </c>
      <c r="E17" s="16">
        <f>0+8/60+43/3600</f>
        <v>0.14527777777777778</v>
      </c>
      <c r="F17" s="16">
        <f t="shared" si="1"/>
        <v>5.5555555555555556E-4</v>
      </c>
    </row>
    <row r="18" spans="1:6" x14ac:dyDescent="0.25">
      <c r="A18" s="17">
        <v>17</v>
      </c>
      <c r="B18" s="16">
        <f>0+0/60+42/3600</f>
        <v>1.1666666666666667E-2</v>
      </c>
      <c r="C18" s="16">
        <f>0+0/60+42/3600</f>
        <v>1.1666666666666667E-2</v>
      </c>
      <c r="D18" s="16">
        <f>0+9/60+20/3600</f>
        <v>0.15555555555555556</v>
      </c>
      <c r="E18" s="16">
        <f>0+9/60+15/3600</f>
        <v>0.15416666666666667</v>
      </c>
      <c r="F18" s="16">
        <f t="shared" si="1"/>
        <v>5.5555555555555556E-4</v>
      </c>
    </row>
    <row r="19" spans="1:6" x14ac:dyDescent="0.25">
      <c r="A19" s="17">
        <v>18</v>
      </c>
      <c r="B19" s="16">
        <f>0+0/60+44/3600</f>
        <v>1.2222222222222223E-2</v>
      </c>
      <c r="C19" s="16">
        <f>0+0/60+44/3600</f>
        <v>1.2222222222222223E-2</v>
      </c>
      <c r="D19" s="16">
        <f>0+8/60+47/3600</f>
        <v>0.1463888888888889</v>
      </c>
      <c r="E19" s="16">
        <f>0+9/60+48/3600</f>
        <v>0.16333333333333333</v>
      </c>
      <c r="F19" s="16">
        <f>0+0/60+2/3600</f>
        <v>5.5555555555555556E-4</v>
      </c>
    </row>
    <row r="20" spans="1:6" x14ac:dyDescent="0.25">
      <c r="A20" s="17">
        <v>19</v>
      </c>
      <c r="B20" s="16">
        <f>0+0/60+47/3600</f>
        <v>1.3055555555555556E-2</v>
      </c>
      <c r="C20" s="16">
        <f>0+0/60+47/3600</f>
        <v>1.3055555555555556E-2</v>
      </c>
      <c r="D20" s="16">
        <f>0+9/60+20/3600</f>
        <v>0.15555555555555556</v>
      </c>
      <c r="E20" s="16">
        <f>0+10/60+21/3600</f>
        <v>0.17249999999999999</v>
      </c>
      <c r="F20" s="16">
        <f t="shared" ref="F20:F27" si="2">0+0/60+3/3600</f>
        <v>8.3333333333333339E-4</v>
      </c>
    </row>
    <row r="21" spans="1:6" x14ac:dyDescent="0.25">
      <c r="A21" s="17">
        <v>20</v>
      </c>
      <c r="B21" s="16">
        <f>0+0/60+49/3600</f>
        <v>1.361111111111111E-2</v>
      </c>
      <c r="C21" s="16">
        <f>0+0/60+49/3600</f>
        <v>1.361111111111111E-2</v>
      </c>
      <c r="D21" s="16">
        <f>0+10/60+59/3600</f>
        <v>0.18305555555555555</v>
      </c>
      <c r="E21" s="16">
        <f>0+10/60+53/3600</f>
        <v>0.18138888888888888</v>
      </c>
      <c r="F21" s="16">
        <f t="shared" si="2"/>
        <v>8.3333333333333339E-4</v>
      </c>
    </row>
    <row r="22" spans="1:6" x14ac:dyDescent="0.25">
      <c r="A22" s="17">
        <v>21</v>
      </c>
      <c r="B22" s="16">
        <f>0+0/60+52/3600</f>
        <v>1.4444444444444444E-2</v>
      </c>
      <c r="C22" s="16">
        <f>0+0/60+52/3600</f>
        <v>1.4444444444444444E-2</v>
      </c>
      <c r="D22" s="16">
        <f>0+11/60+32/3600</f>
        <v>0.19222222222222221</v>
      </c>
      <c r="E22" s="16">
        <f>0+11/60+26/3600</f>
        <v>0.19055555555555553</v>
      </c>
      <c r="F22" s="16">
        <f t="shared" si="2"/>
        <v>8.3333333333333339E-4</v>
      </c>
    </row>
    <row r="23" spans="1:6" x14ac:dyDescent="0.25">
      <c r="A23" s="17">
        <v>22</v>
      </c>
      <c r="B23" s="16">
        <f>0+0/60+54/3600</f>
        <v>1.4999999999999999E-2</v>
      </c>
      <c r="C23" s="16">
        <f>0+0/60+54/3600</f>
        <v>1.4999999999999999E-2</v>
      </c>
      <c r="D23" s="16">
        <f>0+12/60+5/3600</f>
        <v>0.2013888888888889</v>
      </c>
      <c r="E23" s="16">
        <f>0+11/60+59/3600</f>
        <v>0.19972222222222222</v>
      </c>
      <c r="F23" s="16">
        <f t="shared" si="2"/>
        <v>8.3333333333333339E-4</v>
      </c>
    </row>
    <row r="24" spans="1:6" x14ac:dyDescent="0.25">
      <c r="A24" s="17">
        <v>23</v>
      </c>
      <c r="B24" s="16">
        <f>0+0/60+57/3600</f>
        <v>1.5833333333333335E-2</v>
      </c>
      <c r="C24" s="16">
        <f>0+0/60+57/3600</f>
        <v>1.5833333333333335E-2</v>
      </c>
      <c r="D24" s="16">
        <f>0+13/60+38/3600</f>
        <v>0.22722222222222224</v>
      </c>
      <c r="E24" s="16">
        <f>0+12/60+32/3600</f>
        <v>0.2088888888888889</v>
      </c>
      <c r="F24" s="16">
        <f t="shared" si="2"/>
        <v>8.3333333333333339E-4</v>
      </c>
    </row>
    <row r="25" spans="1:6" x14ac:dyDescent="0.25">
      <c r="A25" s="17">
        <v>24</v>
      </c>
      <c r="B25" s="16">
        <f>0+0/60+59/3600</f>
        <v>1.638888888888889E-2</v>
      </c>
      <c r="C25" s="16">
        <f>0+0/60+59/3600</f>
        <v>1.638888888888889E-2</v>
      </c>
      <c r="D25" s="16">
        <f>0+13/60+11/3600</f>
        <v>0.21972222222222224</v>
      </c>
      <c r="E25" s="16">
        <f>0+13/60+4/3600</f>
        <v>0.21777777777777779</v>
      </c>
      <c r="F25" s="16">
        <f t="shared" si="2"/>
        <v>8.3333333333333339E-4</v>
      </c>
    </row>
    <row r="26" spans="1:6" x14ac:dyDescent="0.25">
      <c r="A26" s="17">
        <v>25</v>
      </c>
      <c r="B26" s="16">
        <f>0+1/60+2/3600</f>
        <v>1.7222222222222222E-2</v>
      </c>
      <c r="C26" s="16">
        <f>0+1/60+2/3600</f>
        <v>1.7222222222222222E-2</v>
      </c>
      <c r="D26" s="16">
        <f>0+13/60+44/3600</f>
        <v>0.22888888888888889</v>
      </c>
      <c r="E26" s="16">
        <f>0+13/60+37/3600</f>
        <v>0.22694444444444445</v>
      </c>
      <c r="F26" s="16">
        <f t="shared" si="2"/>
        <v>8.3333333333333339E-4</v>
      </c>
    </row>
    <row r="27" spans="1:6" x14ac:dyDescent="0.25">
      <c r="A27" s="17">
        <v>26</v>
      </c>
      <c r="B27" s="16">
        <f>0+1/60+4/3600</f>
        <v>1.7777777777777778E-2</v>
      </c>
      <c r="C27" s="16">
        <f>0+1/60+4/3600</f>
        <v>1.7777777777777778E-2</v>
      </c>
      <c r="D27" s="16">
        <f>0+14/60+16/3600</f>
        <v>0.23777777777777778</v>
      </c>
      <c r="E27" s="16">
        <f>0+14/60+9/3600</f>
        <v>0.23583333333333334</v>
      </c>
      <c r="F27" s="16">
        <f t="shared" si="2"/>
        <v>8.3333333333333339E-4</v>
      </c>
    </row>
    <row r="28" spans="1:6" x14ac:dyDescent="0.25">
      <c r="A28" s="17">
        <v>27</v>
      </c>
      <c r="B28" s="16">
        <f>0+1/60+7/3600</f>
        <v>1.861111111111111E-2</v>
      </c>
      <c r="C28" s="16">
        <f>0+1/60+7/3600</f>
        <v>1.861111111111111E-2</v>
      </c>
      <c r="D28" s="16">
        <f>0+14/60+49/3600</f>
        <v>0.24694444444444444</v>
      </c>
      <c r="E28" s="16">
        <f>0+14/60+41/3600</f>
        <v>0.24472222222222223</v>
      </c>
      <c r="F28" s="16">
        <f t="shared" ref="F28:F34" si="3">0+0/60+4/3600</f>
        <v>1.1111111111111111E-3</v>
      </c>
    </row>
    <row r="29" spans="1:6" x14ac:dyDescent="0.25">
      <c r="A29" s="17">
        <v>28</v>
      </c>
      <c r="B29" s="16">
        <f>0+1/60+9/3600</f>
        <v>1.9166666666666665E-2</v>
      </c>
      <c r="C29" s="16">
        <f>0+1/60+9/3600</f>
        <v>1.9166666666666665E-2</v>
      </c>
      <c r="D29" s="16">
        <f>0+15/60+22/3600</f>
        <v>0.25611111111111112</v>
      </c>
      <c r="E29" s="16">
        <f>0+15/60+14/3600</f>
        <v>0.25388888888888889</v>
      </c>
      <c r="F29" s="16">
        <f t="shared" si="3"/>
        <v>1.1111111111111111E-3</v>
      </c>
    </row>
    <row r="30" spans="1:6" x14ac:dyDescent="0.25">
      <c r="A30" s="17">
        <v>29</v>
      </c>
      <c r="B30" s="16">
        <f>0+1/60+11/3600</f>
        <v>1.9722222222222221E-2</v>
      </c>
      <c r="C30" s="16">
        <f>0+1/60+11/3600</f>
        <v>1.9722222222222221E-2</v>
      </c>
      <c r="D30" s="16">
        <f>0+15/60+55/3600</f>
        <v>0.26527777777777778</v>
      </c>
      <c r="E30" s="16">
        <f>0+15/60+47/3600</f>
        <v>0.26305555555555554</v>
      </c>
      <c r="F30" s="16">
        <f t="shared" si="3"/>
        <v>1.1111111111111111E-3</v>
      </c>
    </row>
    <row r="31" spans="1:6" x14ac:dyDescent="0.25">
      <c r="A31" s="17">
        <v>30</v>
      </c>
      <c r="B31" s="16">
        <f>0+1/60+14/3600</f>
        <v>2.0555555555555556E-2</v>
      </c>
      <c r="C31" s="16">
        <f>0+1/60+14/3600</f>
        <v>2.0555555555555556E-2</v>
      </c>
      <c r="D31" s="16">
        <f>0+16/60+28/3600</f>
        <v>0.27444444444444444</v>
      </c>
      <c r="E31" s="16">
        <f>0+16/60+20/3600</f>
        <v>0.2722222222222222</v>
      </c>
      <c r="F31" s="16">
        <f t="shared" si="3"/>
        <v>1.1111111111111111E-3</v>
      </c>
    </row>
    <row r="32" spans="1:6" x14ac:dyDescent="0.25">
      <c r="A32" s="17">
        <v>31</v>
      </c>
      <c r="B32" s="18">
        <f>0+1/60+16/3600</f>
        <v>2.1111111111111112E-2</v>
      </c>
      <c r="C32" s="18">
        <f>0+1/60+16/3600</f>
        <v>2.1111111111111112E-2</v>
      </c>
      <c r="D32" s="18">
        <f>0+17/60+1/3600</f>
        <v>0.28361111111111109</v>
      </c>
      <c r="E32" s="19">
        <f>0+16/60+52/3600</f>
        <v>0.28111111111111109</v>
      </c>
      <c r="F32" s="18">
        <f t="shared" si="3"/>
        <v>1.1111111111111111E-3</v>
      </c>
    </row>
    <row r="33" spans="1:6" x14ac:dyDescent="0.25">
      <c r="A33" s="17">
        <v>32</v>
      </c>
      <c r="B33" s="16">
        <f>0+1/60+19/3600</f>
        <v>2.1944444444444444E-2</v>
      </c>
      <c r="C33" s="16">
        <f>0+1/60+19/3600</f>
        <v>2.1944444444444444E-2</v>
      </c>
      <c r="D33" s="16">
        <f>0+17/60+34/3600</f>
        <v>0.29277777777777775</v>
      </c>
      <c r="E33" s="20">
        <f>0+17/60+25/3600</f>
        <v>0.29027777777777775</v>
      </c>
      <c r="F33" s="18">
        <f t="shared" si="3"/>
        <v>1.1111111111111111E-3</v>
      </c>
    </row>
    <row r="34" spans="1:6" x14ac:dyDescent="0.25">
      <c r="A34" s="17">
        <v>33</v>
      </c>
      <c r="B34" s="16">
        <f>0+1/60+21/3600</f>
        <v>2.2499999999999999E-2</v>
      </c>
      <c r="C34" s="16">
        <f>0+1/60+21/3600</f>
        <v>2.2499999999999999E-2</v>
      </c>
      <c r="D34" s="16">
        <f>0+18/60+7/3600</f>
        <v>0.30194444444444446</v>
      </c>
      <c r="E34" s="20">
        <f>0+17/60+58/3600</f>
        <v>0.29944444444444446</v>
      </c>
      <c r="F34" s="18">
        <f t="shared" si="3"/>
        <v>1.1111111111111111E-3</v>
      </c>
    </row>
    <row r="35" spans="1:6" x14ac:dyDescent="0.25">
      <c r="A35" s="17">
        <v>34</v>
      </c>
      <c r="B35" s="16">
        <f>0+1/60+24/3600</f>
        <v>2.3333333333333334E-2</v>
      </c>
      <c r="C35" s="16">
        <f>0+1/60+24/3600</f>
        <v>2.3333333333333334E-2</v>
      </c>
      <c r="D35" s="16">
        <f>0+18/60+40/3600</f>
        <v>0.31111111111111112</v>
      </c>
      <c r="E35" s="16">
        <f>0+18/60+31/3600</f>
        <v>0.30861111111111111</v>
      </c>
      <c r="F35" s="18">
        <f>0+0/60+5/3600</f>
        <v>1.3888888888888889E-3</v>
      </c>
    </row>
    <row r="36" spans="1:6" x14ac:dyDescent="0.25">
      <c r="A36" s="17">
        <v>35</v>
      </c>
      <c r="B36" s="16">
        <f>0+1/60+26/3600</f>
        <v>2.388888888888889E-2</v>
      </c>
      <c r="C36" s="16">
        <f>0+1/60+26/3600</f>
        <v>2.388888888888889E-2</v>
      </c>
      <c r="D36" s="16">
        <f>0+19/60+13/3600</f>
        <v>0.32027777777777777</v>
      </c>
      <c r="E36" s="16">
        <f>0+19/60+3/3600</f>
        <v>0.3175</v>
      </c>
      <c r="F36" s="18">
        <f t="shared" ref="F36:F42" si="4">0+0/60+5/3600</f>
        <v>1.3888888888888889E-3</v>
      </c>
    </row>
    <row r="37" spans="1:6" x14ac:dyDescent="0.25">
      <c r="A37" s="17">
        <v>36</v>
      </c>
      <c r="B37" s="16">
        <f>0+1/60+29/3600</f>
        <v>2.4722222222222222E-2</v>
      </c>
      <c r="C37" s="16">
        <f>0+1/60+29/3600</f>
        <v>2.4722222222222222E-2</v>
      </c>
      <c r="D37" s="16">
        <f>0+19/60+46/3600</f>
        <v>0.32944444444444443</v>
      </c>
      <c r="E37" s="16">
        <f>0+19/60+36/3600</f>
        <v>0.32666666666666666</v>
      </c>
      <c r="F37" s="18">
        <f t="shared" si="4"/>
        <v>1.3888888888888889E-3</v>
      </c>
    </row>
    <row r="38" spans="1:6" x14ac:dyDescent="0.25">
      <c r="A38" s="17">
        <v>37</v>
      </c>
      <c r="B38" s="16">
        <f>0+1/60+31/3600</f>
        <v>2.5277777777777777E-2</v>
      </c>
      <c r="C38" s="16">
        <f>0+1/60+31/3600</f>
        <v>2.5277777777777777E-2</v>
      </c>
      <c r="D38" s="16">
        <f>0+20/60+19/3600</f>
        <v>0.33861111111111108</v>
      </c>
      <c r="E38" s="16">
        <f>0+20/60+9/3600</f>
        <v>0.33583333333333332</v>
      </c>
      <c r="F38" s="18">
        <f t="shared" si="4"/>
        <v>1.3888888888888889E-3</v>
      </c>
    </row>
    <row r="39" spans="1:6" x14ac:dyDescent="0.25">
      <c r="A39" s="17">
        <v>38</v>
      </c>
      <c r="B39" s="16">
        <f>0+1/60+34/3600</f>
        <v>2.6111111111111113E-2</v>
      </c>
      <c r="C39" s="16">
        <f>0+1/60+34/3600</f>
        <v>2.6111111111111113E-2</v>
      </c>
      <c r="D39" s="16">
        <f>0+20/60+52/3600</f>
        <v>0.34777777777777774</v>
      </c>
      <c r="E39" s="16">
        <f>0+20/60+41/3600</f>
        <v>0.34472222222222221</v>
      </c>
      <c r="F39" s="18">
        <f t="shared" si="4"/>
        <v>1.3888888888888889E-3</v>
      </c>
    </row>
    <row r="40" spans="1:6" x14ac:dyDescent="0.25">
      <c r="A40" s="17">
        <v>39</v>
      </c>
      <c r="B40" s="16">
        <f>0+1/60+36/3600</f>
        <v>2.6666666666666665E-2</v>
      </c>
      <c r="C40" s="16">
        <f>0+1/60+36/3600</f>
        <v>2.6666666666666665E-2</v>
      </c>
      <c r="D40" s="16">
        <f>0+21/60+25/3600</f>
        <v>0.3569444444444444</v>
      </c>
      <c r="E40" s="16">
        <f>0+21/60+14/3600</f>
        <v>0.35388888888888886</v>
      </c>
      <c r="F40" s="18">
        <f t="shared" si="4"/>
        <v>1.3888888888888889E-3</v>
      </c>
    </row>
    <row r="41" spans="1:6" x14ac:dyDescent="0.25">
      <c r="A41" s="17">
        <v>40</v>
      </c>
      <c r="B41" s="16">
        <f>0+1/60+39/3600</f>
        <v>2.75E-2</v>
      </c>
      <c r="C41" s="16">
        <f>0+1/60+39/3600</f>
        <v>2.75E-2</v>
      </c>
      <c r="D41" s="16">
        <f>0+21/60+58/3600</f>
        <v>0.36611111111111111</v>
      </c>
      <c r="E41" s="16">
        <f>0+21/60+47/3600</f>
        <v>0.36305555555555552</v>
      </c>
      <c r="F41" s="18">
        <f t="shared" si="4"/>
        <v>1.3888888888888889E-3</v>
      </c>
    </row>
    <row r="42" spans="1:6" x14ac:dyDescent="0.25">
      <c r="A42" s="17">
        <v>41</v>
      </c>
      <c r="B42" s="16">
        <f>0+1/60+41/3600</f>
        <v>2.8055555555555556E-2</v>
      </c>
      <c r="C42" s="16">
        <f>0+1/60+41/3600</f>
        <v>2.8055555555555556E-2</v>
      </c>
      <c r="D42" s="16">
        <f>0+22/60+31/3600</f>
        <v>0.37527777777777777</v>
      </c>
      <c r="E42" s="16">
        <f>0+22/60+20/3600</f>
        <v>0.37222222222222218</v>
      </c>
      <c r="F42" s="18">
        <f t="shared" si="4"/>
        <v>1.3888888888888889E-3</v>
      </c>
    </row>
    <row r="43" spans="1:6" x14ac:dyDescent="0.25">
      <c r="A43" s="17">
        <v>42</v>
      </c>
      <c r="B43" s="16">
        <f>0+1/60+43/3600</f>
        <v>2.8611111111111111E-2</v>
      </c>
      <c r="C43" s="16">
        <f>0+1/60+43/3600</f>
        <v>2.8611111111111111E-2</v>
      </c>
      <c r="D43" s="16">
        <f>0+23/60+4/3600</f>
        <v>0.38444444444444448</v>
      </c>
      <c r="E43" s="16">
        <f>0+22/60+52/3600</f>
        <v>0.38111111111111107</v>
      </c>
      <c r="F43" s="16">
        <f>0+0/60+6/3600</f>
        <v>1.6666666666666668E-3</v>
      </c>
    </row>
    <row r="44" spans="1:6" x14ac:dyDescent="0.25">
      <c r="A44" s="17">
        <v>43</v>
      </c>
      <c r="B44" s="16">
        <f>0+1/60+46/3600</f>
        <v>2.9444444444444447E-2</v>
      </c>
      <c r="C44" s="16">
        <f>0+1/60+46/3600</f>
        <v>2.9444444444444447E-2</v>
      </c>
      <c r="D44" s="16">
        <f>0+23/60+36/3600</f>
        <v>0.39333333333333337</v>
      </c>
      <c r="E44" s="16">
        <f>0+23/60+24/3600</f>
        <v>0.39</v>
      </c>
      <c r="F44" s="16">
        <f t="shared" ref="F44:F50" si="5">0+0/60+6/3600</f>
        <v>1.6666666666666668E-3</v>
      </c>
    </row>
    <row r="45" spans="1:6" x14ac:dyDescent="0.25">
      <c r="A45" s="17">
        <v>44</v>
      </c>
      <c r="B45" s="16">
        <f>0+1/60+48/3600</f>
        <v>0.03</v>
      </c>
      <c r="C45" s="16">
        <f>0+1/60+48/3600</f>
        <v>0.03</v>
      </c>
      <c r="D45" s="16">
        <f>0+24/60+9/3600</f>
        <v>0.40250000000000002</v>
      </c>
      <c r="E45" s="16">
        <f>0+23/60+57/3600</f>
        <v>0.39916666666666667</v>
      </c>
      <c r="F45" s="16">
        <f t="shared" si="5"/>
        <v>1.6666666666666668E-3</v>
      </c>
    </row>
    <row r="46" spans="1:6" x14ac:dyDescent="0.25">
      <c r="A46" s="17">
        <v>45</v>
      </c>
      <c r="B46" s="16">
        <f>0+1/60+51/3600</f>
        <v>3.0833333333333331E-2</v>
      </c>
      <c r="C46" s="16">
        <f>0+1/60+51/3600</f>
        <v>3.0833333333333331E-2</v>
      </c>
      <c r="D46" s="16">
        <f>0+24/60+42/3600</f>
        <v>0.41166666666666668</v>
      </c>
      <c r="E46" s="16">
        <f>0+24/60+29/3600</f>
        <v>0.40805555555555556</v>
      </c>
      <c r="F46" s="16">
        <f t="shared" si="5"/>
        <v>1.6666666666666668E-3</v>
      </c>
    </row>
    <row r="47" spans="1:6" x14ac:dyDescent="0.25">
      <c r="A47" s="17">
        <v>46</v>
      </c>
      <c r="B47" s="16">
        <f>0+1/60+53/3600</f>
        <v>3.138888888888889E-2</v>
      </c>
      <c r="C47" s="16">
        <f>0+1/60+53/3600</f>
        <v>3.138888888888889E-2</v>
      </c>
      <c r="D47" s="16">
        <f>0+25/60+15/3600</f>
        <v>0.42083333333333334</v>
      </c>
      <c r="E47" s="16">
        <f>0+25/60+2/3600</f>
        <v>0.41722222222222222</v>
      </c>
      <c r="F47" s="16">
        <f t="shared" si="5"/>
        <v>1.6666666666666668E-3</v>
      </c>
    </row>
    <row r="48" spans="1:6" x14ac:dyDescent="0.25">
      <c r="A48" s="17">
        <v>47</v>
      </c>
      <c r="B48" s="16">
        <f>0+1/60+56/3600</f>
        <v>3.2222222222222222E-2</v>
      </c>
      <c r="C48" s="16">
        <f>0+1/60+56/3600</f>
        <v>3.2222222222222222E-2</v>
      </c>
      <c r="D48" s="16">
        <f>0+25/60+48/3600</f>
        <v>0.43</v>
      </c>
      <c r="E48" s="16">
        <f>0+25/60+35/3600</f>
        <v>0.42638888888888893</v>
      </c>
      <c r="F48" s="16">
        <f t="shared" si="5"/>
        <v>1.6666666666666668E-3</v>
      </c>
    </row>
    <row r="49" spans="1:6" x14ac:dyDescent="0.25">
      <c r="A49" s="17">
        <v>48</v>
      </c>
      <c r="B49" s="16">
        <f>0+1/60+58/3600</f>
        <v>3.2777777777777781E-2</v>
      </c>
      <c r="C49" s="16">
        <f>0+1/60+58/3600</f>
        <v>3.2777777777777781E-2</v>
      </c>
      <c r="D49" s="16">
        <f>0+26/60+21/3600</f>
        <v>0.43916666666666671</v>
      </c>
      <c r="E49" s="16">
        <f>0+26/60+8/3600</f>
        <v>0.43555555555555558</v>
      </c>
      <c r="F49" s="16">
        <f t="shared" si="5"/>
        <v>1.6666666666666668E-3</v>
      </c>
    </row>
    <row r="50" spans="1:6" x14ac:dyDescent="0.25">
      <c r="A50" s="17">
        <v>49</v>
      </c>
      <c r="B50" s="16">
        <f>0+2/60+1/3600</f>
        <v>3.3611111111111112E-2</v>
      </c>
      <c r="C50" s="16">
        <f>0+2/60+1/3600</f>
        <v>3.3611111111111112E-2</v>
      </c>
      <c r="D50" s="16">
        <f>0+26/60+54/3600</f>
        <v>0.44833333333333336</v>
      </c>
      <c r="E50" s="16">
        <f>0+26/60+40/3600</f>
        <v>0.44444444444444448</v>
      </c>
      <c r="F50" s="16">
        <f t="shared" si="5"/>
        <v>1.6666666666666668E-3</v>
      </c>
    </row>
    <row r="51" spans="1:6" x14ac:dyDescent="0.25">
      <c r="A51" s="17">
        <v>50</v>
      </c>
      <c r="B51" s="16">
        <f>0+2/60+3/3600</f>
        <v>3.4166666666666665E-2</v>
      </c>
      <c r="C51" s="16">
        <f>0+2/60+3/3600</f>
        <v>3.4166666666666665E-2</v>
      </c>
      <c r="D51" s="16">
        <f>0+27/60+27/3600</f>
        <v>0.45750000000000002</v>
      </c>
      <c r="E51" s="16">
        <f>0+27/60+13/3600</f>
        <v>0.45361111111111113</v>
      </c>
      <c r="F51" s="16">
        <f>0+0/60+7/3600</f>
        <v>1.9444444444444444E-3</v>
      </c>
    </row>
    <row r="52" spans="1:6" x14ac:dyDescent="0.25">
      <c r="A52" s="17">
        <v>51</v>
      </c>
      <c r="B52" s="16">
        <f>0+2/60+6/3600</f>
        <v>3.4999999999999996E-2</v>
      </c>
      <c r="C52" s="16">
        <f>0+2/60+6/3600</f>
        <v>3.4999999999999996E-2</v>
      </c>
      <c r="D52" s="16">
        <f>0+28/60+0/3600</f>
        <v>0.46666666666666667</v>
      </c>
      <c r="E52" s="16">
        <f>0+27/60+46/3600</f>
        <v>0.46277777777777779</v>
      </c>
      <c r="F52" s="16">
        <f t="shared" ref="F52:F57" si="6">0+0/60+7/3600</f>
        <v>1.9444444444444444E-3</v>
      </c>
    </row>
    <row r="53" spans="1:6" x14ac:dyDescent="0.25">
      <c r="A53" s="17">
        <v>52</v>
      </c>
      <c r="B53" s="16">
        <f>0+2/60+8/3600</f>
        <v>3.5555555555555556E-2</v>
      </c>
      <c r="C53" s="16">
        <f>0+2/60+8/3600</f>
        <v>3.5555555555555556E-2</v>
      </c>
      <c r="D53" s="16">
        <f>0+28/60+33/3600</f>
        <v>0.47583333333333333</v>
      </c>
      <c r="E53" s="16">
        <f>0+28/60+19/3600</f>
        <v>0.47194444444444444</v>
      </c>
      <c r="F53" s="16">
        <f t="shared" si="6"/>
        <v>1.9444444444444444E-3</v>
      </c>
    </row>
    <row r="54" spans="1:6" x14ac:dyDescent="0.25">
      <c r="A54" s="17">
        <v>53</v>
      </c>
      <c r="B54" s="16">
        <f>0+2/60+11/3600</f>
        <v>3.6388888888888887E-2</v>
      </c>
      <c r="C54" s="16">
        <f>0+2/60+11/3600</f>
        <v>3.6388888888888887E-2</v>
      </c>
      <c r="D54" s="16">
        <f>0+29/60+6/3600</f>
        <v>0.48499999999999999</v>
      </c>
      <c r="E54" s="16">
        <f>0+28/60+51/3600</f>
        <v>0.48083333333333333</v>
      </c>
      <c r="F54" s="16">
        <f t="shared" si="6"/>
        <v>1.9444444444444444E-3</v>
      </c>
    </row>
    <row r="55" spans="1:6" x14ac:dyDescent="0.25">
      <c r="A55" s="17">
        <v>54</v>
      </c>
      <c r="B55" s="16">
        <f>0+2/60+13/3600</f>
        <v>3.6944444444444446E-2</v>
      </c>
      <c r="C55" s="16">
        <f>0+2/60+13/3600</f>
        <v>3.6944444444444446E-2</v>
      </c>
      <c r="D55" s="16">
        <f>0+29/60+39/3600</f>
        <v>0.49416666666666664</v>
      </c>
      <c r="E55" s="16">
        <f>0+29/60+24/3600</f>
        <v>0.49</v>
      </c>
      <c r="F55" s="16">
        <f t="shared" si="6"/>
        <v>1.9444444444444444E-3</v>
      </c>
    </row>
    <row r="56" spans="1:6" x14ac:dyDescent="0.25">
      <c r="A56" s="17">
        <v>55</v>
      </c>
      <c r="B56" s="16">
        <f>0+2/60+16/3600</f>
        <v>3.7777777777777778E-2</v>
      </c>
      <c r="C56" s="16">
        <f>0+2/60+16/3600</f>
        <v>3.7777777777777778E-2</v>
      </c>
      <c r="D56" s="16">
        <f>0+30/60+12/3600</f>
        <v>0.5033333333333333</v>
      </c>
      <c r="E56" s="16">
        <f>0+29/60+57/3600</f>
        <v>0.49916666666666665</v>
      </c>
      <c r="F56" s="16">
        <f t="shared" si="6"/>
        <v>1.9444444444444444E-3</v>
      </c>
    </row>
    <row r="57" spans="1:6" x14ac:dyDescent="0.25">
      <c r="A57" s="17">
        <v>56</v>
      </c>
      <c r="B57" s="16">
        <f>0+2/60+18/3600</f>
        <v>3.833333333333333E-2</v>
      </c>
      <c r="C57" s="16">
        <f>0+2/60+18/3600</f>
        <v>3.833333333333333E-2</v>
      </c>
      <c r="D57" s="16">
        <f>0+30/60+45/3600</f>
        <v>0.51249999999999996</v>
      </c>
      <c r="E57" s="16">
        <f>0+30/60+29/3600</f>
        <v>0.50805555555555559</v>
      </c>
      <c r="F57" s="16">
        <f t="shared" si="6"/>
        <v>1.9444444444444444E-3</v>
      </c>
    </row>
    <row r="58" spans="1:6" x14ac:dyDescent="0.25">
      <c r="A58" s="17">
        <v>57</v>
      </c>
      <c r="B58" s="16">
        <f>0+2/60+20/3600</f>
        <v>3.888888888888889E-2</v>
      </c>
      <c r="C58" s="16">
        <f>0+2/60+20/3600</f>
        <v>3.888888888888889E-2</v>
      </c>
      <c r="D58" s="16">
        <f>0+31/60+18/3600</f>
        <v>0.52166666666666672</v>
      </c>
      <c r="E58" s="16">
        <f>0+31/60+2/3600</f>
        <v>0.51722222222222225</v>
      </c>
      <c r="F58" s="16">
        <f>0+0/60+8/3600</f>
        <v>2.2222222222222222E-3</v>
      </c>
    </row>
    <row r="59" spans="1:6" x14ac:dyDescent="0.25">
      <c r="A59" s="17">
        <v>58</v>
      </c>
      <c r="B59" s="16">
        <f>0+2/60+23/3600</f>
        <v>3.9722222222222221E-2</v>
      </c>
      <c r="C59" s="16">
        <f>0+2/60+23/3600</f>
        <v>3.9722222222222221E-2</v>
      </c>
      <c r="D59" s="16">
        <f>0+31/60+51/3600</f>
        <v>0.53083333333333338</v>
      </c>
      <c r="E59" s="16">
        <f>0+31/60+35/3600</f>
        <v>0.52638888888888891</v>
      </c>
      <c r="F59" s="16">
        <f>0+0/60+8/3600</f>
        <v>2.2222222222222222E-3</v>
      </c>
    </row>
    <row r="60" spans="1:6" x14ac:dyDescent="0.25">
      <c r="A60" s="17">
        <v>59</v>
      </c>
      <c r="B60" s="16">
        <f>0+2/60+25/3600</f>
        <v>4.0277777777777773E-2</v>
      </c>
      <c r="C60" s="16">
        <f>0+2/60+25/3600</f>
        <v>4.0277777777777773E-2</v>
      </c>
      <c r="D60" s="16">
        <f>0+32/60+24/3600</f>
        <v>0.54</v>
      </c>
      <c r="E60" s="16">
        <f>0+32/60+8/3600</f>
        <v>0.53555555555555556</v>
      </c>
      <c r="F60" s="16">
        <f>0+0/60+8/3600</f>
        <v>2.2222222222222222E-3</v>
      </c>
    </row>
    <row r="61" spans="1:6" x14ac:dyDescent="0.25">
      <c r="A61" s="17">
        <v>60</v>
      </c>
      <c r="B61" s="16">
        <f>0+2/60+28/3600</f>
        <v>4.1111111111111112E-2</v>
      </c>
      <c r="C61" s="16">
        <f>0+2/60+28/3600</f>
        <v>4.1111111111111112E-2</v>
      </c>
      <c r="D61" s="16">
        <f>0+32/60+56/3600</f>
        <v>0.54888888888888887</v>
      </c>
      <c r="E61" s="16">
        <f>0+32/60+39/3600</f>
        <v>0.54416666666666669</v>
      </c>
      <c r="F61" s="16">
        <f>0+0/60+8/3600</f>
        <v>2.2222222222222222E-3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A6B4E-F593-4E5C-A75B-999446A8503A}">
  <dimension ref="A1:M32"/>
  <sheetViews>
    <sheetView tabSelected="1" workbookViewId="0">
      <selection activeCell="Q15" sqref="Q15"/>
    </sheetView>
  </sheetViews>
  <sheetFormatPr defaultRowHeight="15" x14ac:dyDescent="0.25"/>
  <sheetData>
    <row r="1" spans="1:13" x14ac:dyDescent="0.25">
      <c r="A1" s="35" t="s">
        <v>34</v>
      </c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</row>
    <row r="2" spans="1:13" x14ac:dyDescent="0.25">
      <c r="A2" s="37">
        <v>0</v>
      </c>
      <c r="B2" s="38">
        <v>7</v>
      </c>
      <c r="C2" s="38">
        <v>-1</v>
      </c>
      <c r="D2" s="38">
        <v>-4</v>
      </c>
      <c r="E2" s="38">
        <v>1</v>
      </c>
      <c r="F2" s="38">
        <v>6</v>
      </c>
      <c r="G2" s="38">
        <v>3</v>
      </c>
      <c r="H2" s="38">
        <v>-7</v>
      </c>
      <c r="I2" s="38">
        <v>-15</v>
      </c>
      <c r="J2" s="38">
        <v>-14</v>
      </c>
      <c r="K2" s="38">
        <v>-2</v>
      </c>
      <c r="L2" s="38">
        <v>11</v>
      </c>
      <c r="M2" s="39">
        <v>14</v>
      </c>
    </row>
    <row r="3" spans="1:13" x14ac:dyDescent="0.25">
      <c r="A3" s="40">
        <v>1</v>
      </c>
      <c r="B3" s="3">
        <v>7</v>
      </c>
      <c r="C3" s="3">
        <v>-2</v>
      </c>
      <c r="D3" s="3">
        <v>-4</v>
      </c>
      <c r="E3" s="3">
        <v>2</v>
      </c>
      <c r="F3" s="3">
        <v>6</v>
      </c>
      <c r="G3" s="3">
        <v>2</v>
      </c>
      <c r="H3" s="3">
        <v>-8</v>
      </c>
      <c r="I3" s="3">
        <v>-16</v>
      </c>
      <c r="J3" s="3">
        <v>-13</v>
      </c>
      <c r="K3" s="3">
        <v>-1</v>
      </c>
      <c r="L3" s="3">
        <v>12</v>
      </c>
      <c r="M3" s="41">
        <v>14</v>
      </c>
    </row>
    <row r="4" spans="1:13" x14ac:dyDescent="0.25">
      <c r="A4" s="40">
        <v>2</v>
      </c>
      <c r="B4" s="3">
        <v>7</v>
      </c>
      <c r="C4" s="3">
        <v>-2</v>
      </c>
      <c r="D4" s="3">
        <v>-3</v>
      </c>
      <c r="E4" s="3">
        <v>2</v>
      </c>
      <c r="F4" s="3">
        <v>6</v>
      </c>
      <c r="G4" s="3">
        <v>2</v>
      </c>
      <c r="H4" s="3">
        <v>-8</v>
      </c>
      <c r="I4" s="3">
        <v>-16</v>
      </c>
      <c r="J4" s="3">
        <v>-13</v>
      </c>
      <c r="K4" s="3">
        <v>0</v>
      </c>
      <c r="L4" s="3">
        <v>12</v>
      </c>
      <c r="M4" s="41">
        <v>14</v>
      </c>
    </row>
    <row r="5" spans="1:13" x14ac:dyDescent="0.25">
      <c r="A5" s="40">
        <v>3</v>
      </c>
      <c r="B5" s="3">
        <v>7</v>
      </c>
      <c r="C5" s="3">
        <v>-2</v>
      </c>
      <c r="D5" s="3">
        <v>-3</v>
      </c>
      <c r="E5" s="3">
        <v>2</v>
      </c>
      <c r="F5" s="3">
        <v>6</v>
      </c>
      <c r="G5" s="3">
        <v>2</v>
      </c>
      <c r="H5" s="3">
        <v>-9</v>
      </c>
      <c r="I5" s="3">
        <v>-16</v>
      </c>
      <c r="J5" s="3">
        <v>-13</v>
      </c>
      <c r="K5" s="3">
        <v>0</v>
      </c>
      <c r="L5" s="3">
        <v>12</v>
      </c>
      <c r="M5" s="41">
        <v>14</v>
      </c>
    </row>
    <row r="6" spans="1:13" x14ac:dyDescent="0.25">
      <c r="A6" s="40">
        <v>4</v>
      </c>
      <c r="B6" s="3">
        <v>6</v>
      </c>
      <c r="C6" s="3">
        <v>-2</v>
      </c>
      <c r="D6" s="3">
        <v>-3</v>
      </c>
      <c r="E6" s="3">
        <v>2</v>
      </c>
      <c r="F6" s="3">
        <v>6</v>
      </c>
      <c r="G6" s="3">
        <v>1</v>
      </c>
      <c r="H6" s="3">
        <v>-9</v>
      </c>
      <c r="I6" s="3">
        <v>-16</v>
      </c>
      <c r="J6" s="3">
        <v>-13</v>
      </c>
      <c r="K6" s="3">
        <v>0</v>
      </c>
      <c r="L6" s="3">
        <v>12</v>
      </c>
      <c r="M6" s="41">
        <v>14</v>
      </c>
    </row>
    <row r="7" spans="1:13" x14ac:dyDescent="0.25">
      <c r="A7" s="40">
        <v>5</v>
      </c>
      <c r="B7" s="3">
        <v>6</v>
      </c>
      <c r="C7" s="3">
        <v>-2</v>
      </c>
      <c r="D7" s="3">
        <v>-3</v>
      </c>
      <c r="E7" s="3">
        <v>3</v>
      </c>
      <c r="F7" s="3">
        <v>6</v>
      </c>
      <c r="G7" s="3">
        <v>1</v>
      </c>
      <c r="H7" s="3">
        <v>-9</v>
      </c>
      <c r="I7" s="3">
        <v>-16</v>
      </c>
      <c r="J7" s="3">
        <v>-12</v>
      </c>
      <c r="K7" s="3">
        <v>1</v>
      </c>
      <c r="L7" s="3">
        <v>13</v>
      </c>
      <c r="M7" s="41">
        <v>13</v>
      </c>
    </row>
    <row r="8" spans="1:13" x14ac:dyDescent="0.25">
      <c r="A8" s="40">
        <v>6</v>
      </c>
      <c r="B8" s="3">
        <v>6</v>
      </c>
      <c r="C8" s="3">
        <v>-2</v>
      </c>
      <c r="D8" s="3">
        <v>-3</v>
      </c>
      <c r="E8" s="3">
        <v>3</v>
      </c>
      <c r="F8" s="3">
        <v>6</v>
      </c>
      <c r="G8" s="3">
        <v>1</v>
      </c>
      <c r="H8" s="3">
        <v>-10</v>
      </c>
      <c r="I8" s="3">
        <v>-16</v>
      </c>
      <c r="J8" s="3">
        <v>-12</v>
      </c>
      <c r="K8" s="3">
        <v>1</v>
      </c>
      <c r="L8" s="3">
        <v>13</v>
      </c>
      <c r="M8" s="41">
        <v>13</v>
      </c>
    </row>
    <row r="9" spans="1:13" x14ac:dyDescent="0.25">
      <c r="A9" s="40">
        <v>7</v>
      </c>
      <c r="B9" s="3">
        <v>5</v>
      </c>
      <c r="C9" s="3">
        <v>-2</v>
      </c>
      <c r="D9" s="3">
        <v>-3</v>
      </c>
      <c r="E9" s="3">
        <v>3</v>
      </c>
      <c r="F9" s="3">
        <v>6</v>
      </c>
      <c r="G9" s="3">
        <v>0</v>
      </c>
      <c r="H9" s="3">
        <v>-10</v>
      </c>
      <c r="I9" s="3">
        <v>-16</v>
      </c>
      <c r="J9" s="3">
        <v>-11</v>
      </c>
      <c r="K9" s="3">
        <v>2</v>
      </c>
      <c r="L9" s="3">
        <v>13</v>
      </c>
      <c r="M9" s="41">
        <v>13</v>
      </c>
    </row>
    <row r="10" spans="1:13" x14ac:dyDescent="0.25">
      <c r="A10" s="40">
        <v>8</v>
      </c>
      <c r="B10" s="3">
        <v>5</v>
      </c>
      <c r="C10" s="3">
        <v>-3</v>
      </c>
      <c r="D10" s="3">
        <v>-3</v>
      </c>
      <c r="E10" s="3">
        <v>3</v>
      </c>
      <c r="F10" s="3">
        <v>6</v>
      </c>
      <c r="G10" s="3">
        <v>0</v>
      </c>
      <c r="H10" s="3">
        <v>-10</v>
      </c>
      <c r="I10" s="3">
        <v>-16</v>
      </c>
      <c r="J10" s="3">
        <v>-11</v>
      </c>
      <c r="K10" s="3">
        <v>2</v>
      </c>
      <c r="L10" s="3">
        <v>13</v>
      </c>
      <c r="M10" s="41">
        <v>13</v>
      </c>
    </row>
    <row r="11" spans="1:13" x14ac:dyDescent="0.25">
      <c r="A11" s="40">
        <v>9</v>
      </c>
      <c r="B11" s="3">
        <v>5</v>
      </c>
      <c r="C11" s="3">
        <v>-3</v>
      </c>
      <c r="D11" s="3">
        <v>-3</v>
      </c>
      <c r="E11" s="3">
        <v>3</v>
      </c>
      <c r="F11" s="3">
        <v>6</v>
      </c>
      <c r="G11" s="3">
        <v>0</v>
      </c>
      <c r="H11" s="3">
        <v>-11</v>
      </c>
      <c r="I11" s="3">
        <v>-16</v>
      </c>
      <c r="J11" s="3">
        <v>-11</v>
      </c>
      <c r="K11" s="3">
        <v>3</v>
      </c>
      <c r="L11" s="3">
        <v>13</v>
      </c>
      <c r="M11" s="41">
        <v>13</v>
      </c>
    </row>
    <row r="12" spans="1:13" x14ac:dyDescent="0.25">
      <c r="A12" s="42">
        <v>10</v>
      </c>
      <c r="B12" s="43">
        <v>4</v>
      </c>
      <c r="C12" s="43">
        <v>-3</v>
      </c>
      <c r="D12" s="43">
        <v>-3</v>
      </c>
      <c r="E12" s="43">
        <v>4</v>
      </c>
      <c r="F12" s="43">
        <v>6</v>
      </c>
      <c r="G12" s="43">
        <v>0</v>
      </c>
      <c r="H12" s="43">
        <v>-11</v>
      </c>
      <c r="I12" s="43">
        <v>-16</v>
      </c>
      <c r="J12" s="43">
        <v>-10</v>
      </c>
      <c r="K12" s="43">
        <v>3</v>
      </c>
      <c r="L12" s="43">
        <v>13</v>
      </c>
      <c r="M12" s="44">
        <v>13</v>
      </c>
    </row>
    <row r="13" spans="1:13" x14ac:dyDescent="0.25">
      <c r="A13" s="37">
        <v>11</v>
      </c>
      <c r="B13" s="38">
        <v>4</v>
      </c>
      <c r="C13" s="38">
        <v>-3</v>
      </c>
      <c r="D13" s="38">
        <v>-2</v>
      </c>
      <c r="E13" s="38">
        <v>4</v>
      </c>
      <c r="F13" s="38">
        <v>6</v>
      </c>
      <c r="G13" s="38">
        <v>-1</v>
      </c>
      <c r="H13" s="38">
        <v>-11</v>
      </c>
      <c r="I13" s="38">
        <v>-16</v>
      </c>
      <c r="J13" s="38">
        <v>-10</v>
      </c>
      <c r="K13" s="38">
        <v>4</v>
      </c>
      <c r="L13" s="38">
        <v>14</v>
      </c>
      <c r="M13" s="39">
        <v>13</v>
      </c>
    </row>
    <row r="14" spans="1:13" x14ac:dyDescent="0.25">
      <c r="A14" s="40">
        <v>12</v>
      </c>
      <c r="B14" s="3">
        <v>4</v>
      </c>
      <c r="C14" s="3">
        <v>-4</v>
      </c>
      <c r="D14" s="3">
        <v>-2</v>
      </c>
      <c r="E14" s="3">
        <v>4</v>
      </c>
      <c r="F14" s="3">
        <v>6</v>
      </c>
      <c r="G14" s="3">
        <v>-1</v>
      </c>
      <c r="H14" s="3">
        <v>-12</v>
      </c>
      <c r="I14" s="3">
        <v>-16</v>
      </c>
      <c r="J14" s="3">
        <v>-10</v>
      </c>
      <c r="K14" s="3">
        <v>4</v>
      </c>
      <c r="L14" s="3">
        <v>14</v>
      </c>
      <c r="M14" s="41">
        <v>12</v>
      </c>
    </row>
    <row r="15" spans="1:13" x14ac:dyDescent="0.25">
      <c r="A15" s="40">
        <v>13</v>
      </c>
      <c r="B15" s="3">
        <v>4</v>
      </c>
      <c r="C15" s="3">
        <v>-4</v>
      </c>
      <c r="D15" s="3">
        <v>-2</v>
      </c>
      <c r="E15" s="3">
        <v>4</v>
      </c>
      <c r="F15" s="3">
        <v>6</v>
      </c>
      <c r="G15" s="3">
        <v>-1</v>
      </c>
      <c r="H15" s="3">
        <v>-12</v>
      </c>
      <c r="I15" s="3">
        <v>-16</v>
      </c>
      <c r="J15" s="3">
        <v>-9</v>
      </c>
      <c r="K15" s="3">
        <v>5</v>
      </c>
      <c r="L15" s="3">
        <v>14</v>
      </c>
      <c r="M15" s="41">
        <v>12</v>
      </c>
    </row>
    <row r="16" spans="1:13" x14ac:dyDescent="0.25">
      <c r="A16" s="40">
        <v>14</v>
      </c>
      <c r="B16" s="3">
        <v>3</v>
      </c>
      <c r="C16" s="3">
        <v>-4</v>
      </c>
      <c r="D16" s="3">
        <v>-2</v>
      </c>
      <c r="E16" s="3">
        <v>4</v>
      </c>
      <c r="F16" s="3">
        <v>6</v>
      </c>
      <c r="G16" s="3">
        <v>-2</v>
      </c>
      <c r="H16" s="3">
        <v>-12</v>
      </c>
      <c r="I16" s="3">
        <v>-16</v>
      </c>
      <c r="J16" s="3">
        <v>-9</v>
      </c>
      <c r="K16" s="3">
        <v>5</v>
      </c>
      <c r="L16" s="3">
        <v>14</v>
      </c>
      <c r="M16" s="41">
        <v>12</v>
      </c>
    </row>
    <row r="17" spans="1:13" x14ac:dyDescent="0.25">
      <c r="A17" s="40">
        <v>15</v>
      </c>
      <c r="B17" s="3">
        <v>3</v>
      </c>
      <c r="C17" s="3">
        <v>-4</v>
      </c>
      <c r="D17" s="3">
        <v>-2</v>
      </c>
      <c r="E17" s="3">
        <v>5</v>
      </c>
      <c r="F17" s="3">
        <v>6</v>
      </c>
      <c r="G17" s="3">
        <v>-2</v>
      </c>
      <c r="H17" s="3">
        <v>-12</v>
      </c>
      <c r="I17" s="3">
        <v>-16</v>
      </c>
      <c r="J17" s="3">
        <v>-8</v>
      </c>
      <c r="K17" s="3">
        <v>6</v>
      </c>
      <c r="L17" s="3">
        <v>14</v>
      </c>
      <c r="M17" s="41">
        <v>12</v>
      </c>
    </row>
    <row r="18" spans="1:13" x14ac:dyDescent="0.25">
      <c r="A18" s="40">
        <v>16</v>
      </c>
      <c r="B18" s="3">
        <v>3</v>
      </c>
      <c r="C18" s="3">
        <v>-4</v>
      </c>
      <c r="D18" s="3">
        <v>-2</v>
      </c>
      <c r="E18" s="3">
        <v>5</v>
      </c>
      <c r="F18" s="3">
        <v>5</v>
      </c>
      <c r="G18" s="3">
        <v>-2</v>
      </c>
      <c r="H18" s="3">
        <v>-13</v>
      </c>
      <c r="I18" s="3">
        <v>-16</v>
      </c>
      <c r="J18" s="3">
        <v>-8</v>
      </c>
      <c r="K18" s="3">
        <v>6</v>
      </c>
      <c r="L18" s="3">
        <v>14</v>
      </c>
      <c r="M18" s="41">
        <v>11</v>
      </c>
    </row>
    <row r="19" spans="1:13" x14ac:dyDescent="0.25">
      <c r="A19" s="40">
        <v>17</v>
      </c>
      <c r="B19" s="3">
        <v>2</v>
      </c>
      <c r="C19" s="3">
        <v>-4</v>
      </c>
      <c r="D19" s="3">
        <v>-1</v>
      </c>
      <c r="E19" s="3">
        <v>5</v>
      </c>
      <c r="F19" s="3">
        <v>5</v>
      </c>
      <c r="G19" s="3">
        <v>-3</v>
      </c>
      <c r="H19" s="3">
        <v>-13</v>
      </c>
      <c r="I19" s="3">
        <v>-16</v>
      </c>
      <c r="J19" s="3">
        <v>0</v>
      </c>
      <c r="K19" s="3">
        <v>6</v>
      </c>
      <c r="L19" s="3">
        <v>14</v>
      </c>
      <c r="M19" s="41">
        <v>11</v>
      </c>
    </row>
    <row r="20" spans="1:13" x14ac:dyDescent="0.25">
      <c r="A20" s="40">
        <v>18</v>
      </c>
      <c r="B20" s="3">
        <v>2</v>
      </c>
      <c r="C20" s="3">
        <v>-4</v>
      </c>
      <c r="D20" s="3">
        <v>-1</v>
      </c>
      <c r="E20" s="3">
        <v>5</v>
      </c>
      <c r="F20" s="3">
        <v>5</v>
      </c>
      <c r="G20" s="3">
        <v>-3</v>
      </c>
      <c r="H20" s="3">
        <v>-13</v>
      </c>
      <c r="I20" s="3">
        <v>-16</v>
      </c>
      <c r="J20" s="3">
        <v>-7</v>
      </c>
      <c r="K20" s="3">
        <v>7</v>
      </c>
      <c r="L20" s="3">
        <v>14</v>
      </c>
      <c r="M20" s="41">
        <v>11</v>
      </c>
    </row>
    <row r="21" spans="1:13" x14ac:dyDescent="0.25">
      <c r="A21" s="40">
        <v>19</v>
      </c>
      <c r="B21" s="3">
        <v>2</v>
      </c>
      <c r="C21" s="3">
        <v>-4</v>
      </c>
      <c r="D21" s="3">
        <v>-1</v>
      </c>
      <c r="E21" s="3">
        <v>5</v>
      </c>
      <c r="F21" s="3">
        <v>5</v>
      </c>
      <c r="G21" s="3">
        <v>-3</v>
      </c>
      <c r="H21" s="3">
        <v>-14</v>
      </c>
      <c r="I21" s="3">
        <v>-16</v>
      </c>
      <c r="J21" s="3">
        <v>-7</v>
      </c>
      <c r="K21" s="3">
        <v>7</v>
      </c>
      <c r="L21" s="3">
        <v>14</v>
      </c>
      <c r="M21" s="41">
        <v>11</v>
      </c>
    </row>
    <row r="22" spans="1:13" x14ac:dyDescent="0.25">
      <c r="A22" s="42">
        <v>20</v>
      </c>
      <c r="B22" s="43">
        <v>1</v>
      </c>
      <c r="C22" s="43">
        <v>-4</v>
      </c>
      <c r="D22" s="43">
        <v>-1</v>
      </c>
      <c r="E22" s="43">
        <v>5</v>
      </c>
      <c r="F22" s="43">
        <v>5</v>
      </c>
      <c r="G22" s="43">
        <v>-4</v>
      </c>
      <c r="H22" s="43">
        <v>-14</v>
      </c>
      <c r="I22" s="43">
        <v>-16</v>
      </c>
      <c r="J22" s="43">
        <v>-6</v>
      </c>
      <c r="K22" s="43">
        <v>8</v>
      </c>
      <c r="L22" s="43">
        <v>14</v>
      </c>
      <c r="M22" s="44">
        <v>10</v>
      </c>
    </row>
    <row r="23" spans="1:13" x14ac:dyDescent="0.25">
      <c r="A23" s="37">
        <v>21</v>
      </c>
      <c r="B23" s="38">
        <v>1</v>
      </c>
      <c r="C23" s="38">
        <v>-4</v>
      </c>
      <c r="D23" s="38">
        <v>0</v>
      </c>
      <c r="E23" s="38">
        <v>5</v>
      </c>
      <c r="F23" s="38">
        <v>5</v>
      </c>
      <c r="G23" s="38">
        <v>-4</v>
      </c>
      <c r="H23" s="38">
        <v>-14</v>
      </c>
      <c r="I23" s="38">
        <v>-16</v>
      </c>
      <c r="J23" s="38">
        <v>-6</v>
      </c>
      <c r="K23" s="38">
        <v>8</v>
      </c>
      <c r="L23" s="38">
        <v>14</v>
      </c>
      <c r="M23" s="39">
        <v>10</v>
      </c>
    </row>
    <row r="24" spans="1:13" x14ac:dyDescent="0.25">
      <c r="A24" s="40">
        <v>22</v>
      </c>
      <c r="B24" s="3">
        <v>1</v>
      </c>
      <c r="C24" s="3">
        <v>-4</v>
      </c>
      <c r="D24" s="3">
        <v>0</v>
      </c>
      <c r="E24" s="3">
        <v>6</v>
      </c>
      <c r="F24" s="3">
        <v>4</v>
      </c>
      <c r="G24" s="3">
        <v>-4</v>
      </c>
      <c r="H24" s="3">
        <v>-14</v>
      </c>
      <c r="I24" s="3">
        <v>-15</v>
      </c>
      <c r="J24" s="3">
        <v>-5</v>
      </c>
      <c r="K24" s="3">
        <v>8</v>
      </c>
      <c r="L24" s="3">
        <v>14</v>
      </c>
      <c r="M24" s="41">
        <v>10</v>
      </c>
    </row>
    <row r="25" spans="1:13" x14ac:dyDescent="0.25">
      <c r="A25" s="40">
        <v>23</v>
      </c>
      <c r="B25" s="3">
        <v>1</v>
      </c>
      <c r="C25" s="3">
        <v>-4</v>
      </c>
      <c r="D25" s="3">
        <v>0</v>
      </c>
      <c r="E25" s="3">
        <v>6</v>
      </c>
      <c r="F25" s="3">
        <v>4</v>
      </c>
      <c r="G25" s="3">
        <v>-5</v>
      </c>
      <c r="H25" s="3">
        <v>-14</v>
      </c>
      <c r="I25" s="3">
        <v>-15</v>
      </c>
      <c r="J25" s="3">
        <v>-5</v>
      </c>
      <c r="K25" s="3">
        <v>9</v>
      </c>
      <c r="L25" s="3">
        <v>14</v>
      </c>
      <c r="M25" s="41">
        <v>10</v>
      </c>
    </row>
    <row r="26" spans="1:13" x14ac:dyDescent="0.25">
      <c r="A26" s="40">
        <v>24</v>
      </c>
      <c r="B26" s="3">
        <v>0</v>
      </c>
      <c r="C26" s="3">
        <v>-4</v>
      </c>
      <c r="D26" s="3">
        <v>0</v>
      </c>
      <c r="E26" s="3">
        <v>6</v>
      </c>
      <c r="F26" s="3">
        <v>4</v>
      </c>
      <c r="G26" s="3">
        <v>-5</v>
      </c>
      <c r="H26" s="3">
        <v>-15</v>
      </c>
      <c r="I26" s="3">
        <v>-15</v>
      </c>
      <c r="J26" s="3">
        <v>-5</v>
      </c>
      <c r="K26" s="3">
        <v>9</v>
      </c>
      <c r="L26" s="3">
        <v>14</v>
      </c>
      <c r="M26" s="41">
        <v>9</v>
      </c>
    </row>
    <row r="27" spans="1:13" x14ac:dyDescent="0.25">
      <c r="A27" s="40">
        <v>25</v>
      </c>
      <c r="B27" s="3">
        <v>0</v>
      </c>
      <c r="C27" s="3">
        <v>-4</v>
      </c>
      <c r="D27" s="3">
        <v>0</v>
      </c>
      <c r="E27" s="3">
        <v>6</v>
      </c>
      <c r="F27" s="3">
        <v>4</v>
      </c>
      <c r="G27" s="3">
        <v>-5</v>
      </c>
      <c r="H27" s="3">
        <v>-15</v>
      </c>
      <c r="I27" s="3">
        <v>-15</v>
      </c>
      <c r="J27" s="3">
        <v>-4</v>
      </c>
      <c r="K27" s="3">
        <v>9</v>
      </c>
      <c r="L27" s="3">
        <v>14</v>
      </c>
      <c r="M27" s="41">
        <v>9</v>
      </c>
    </row>
    <row r="28" spans="1:13" x14ac:dyDescent="0.25">
      <c r="A28" s="40">
        <v>26</v>
      </c>
      <c r="B28" s="3">
        <v>0</v>
      </c>
      <c r="C28" s="3">
        <v>-4</v>
      </c>
      <c r="D28" s="3">
        <v>1</v>
      </c>
      <c r="E28" s="3">
        <v>6</v>
      </c>
      <c r="F28" s="3">
        <v>3</v>
      </c>
      <c r="G28" s="3">
        <v>-6</v>
      </c>
      <c r="H28" s="3">
        <v>-15</v>
      </c>
      <c r="I28" s="3">
        <v>-15</v>
      </c>
      <c r="J28" s="3">
        <v>-4</v>
      </c>
      <c r="K28" s="3">
        <v>10</v>
      </c>
      <c r="L28" s="3">
        <v>14</v>
      </c>
      <c r="M28" s="41">
        <v>9</v>
      </c>
    </row>
    <row r="29" spans="1:13" x14ac:dyDescent="0.25">
      <c r="A29" s="40">
        <v>27</v>
      </c>
      <c r="B29" s="3">
        <v>-1</v>
      </c>
      <c r="C29" s="3">
        <v>-4</v>
      </c>
      <c r="D29" s="3">
        <v>1</v>
      </c>
      <c r="E29" s="3">
        <v>6</v>
      </c>
      <c r="F29" s="3">
        <v>3</v>
      </c>
      <c r="G29" s="3">
        <v>-6</v>
      </c>
      <c r="H29" s="3">
        <v>-15</v>
      </c>
      <c r="I29" s="3">
        <v>-14</v>
      </c>
      <c r="J29" s="3">
        <v>-3</v>
      </c>
      <c r="K29" s="3">
        <v>10</v>
      </c>
      <c r="L29" s="3">
        <v>14</v>
      </c>
      <c r="M29" s="41">
        <v>8</v>
      </c>
    </row>
    <row r="30" spans="1:13" x14ac:dyDescent="0.25">
      <c r="A30" s="40">
        <v>28</v>
      </c>
      <c r="B30" s="3">
        <v>-1</v>
      </c>
      <c r="C30" s="3">
        <v>-4</v>
      </c>
      <c r="D30" s="3">
        <v>1</v>
      </c>
      <c r="E30" s="3">
        <v>6</v>
      </c>
      <c r="F30" s="3">
        <v>3</v>
      </c>
      <c r="G30" s="3">
        <v>-7</v>
      </c>
      <c r="H30" s="3">
        <v>-15</v>
      </c>
      <c r="I30" s="3">
        <v>-14</v>
      </c>
      <c r="J30" s="3">
        <v>-3</v>
      </c>
      <c r="K30" s="3">
        <v>11</v>
      </c>
      <c r="L30" s="3">
        <v>14</v>
      </c>
      <c r="M30" s="41">
        <v>8</v>
      </c>
    </row>
    <row r="31" spans="1:13" x14ac:dyDescent="0.25">
      <c r="A31" s="40">
        <v>29</v>
      </c>
      <c r="B31" s="3">
        <v>-1</v>
      </c>
      <c r="C31" s="3">
        <v>-4</v>
      </c>
      <c r="D31" s="3">
        <v>1</v>
      </c>
      <c r="E31" s="3">
        <v>6</v>
      </c>
      <c r="F31" s="3">
        <v>3</v>
      </c>
      <c r="G31" s="3">
        <v>-7</v>
      </c>
      <c r="H31" s="3">
        <v>-15</v>
      </c>
      <c r="I31" s="3">
        <v>-14</v>
      </c>
      <c r="J31" s="3">
        <v>-2</v>
      </c>
      <c r="K31" s="3">
        <v>11</v>
      </c>
      <c r="L31" s="3">
        <v>14</v>
      </c>
      <c r="M31" s="41">
        <v>8</v>
      </c>
    </row>
    <row r="32" spans="1:13" x14ac:dyDescent="0.25">
      <c r="A32" s="42">
        <v>30</v>
      </c>
      <c r="B32" s="43">
        <v>-1</v>
      </c>
      <c r="C32" s="43">
        <v>-4</v>
      </c>
      <c r="D32" s="43">
        <v>1</v>
      </c>
      <c r="E32" s="43">
        <v>6</v>
      </c>
      <c r="F32" s="43">
        <v>3</v>
      </c>
      <c r="G32" s="43">
        <v>-7</v>
      </c>
      <c r="H32" s="43">
        <v>-15</v>
      </c>
      <c r="I32" s="43">
        <v>-14</v>
      </c>
      <c r="J32" s="43">
        <v>-2</v>
      </c>
      <c r="K32" s="43">
        <v>11</v>
      </c>
      <c r="L32" s="43">
        <v>14</v>
      </c>
      <c r="M32" s="44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52B2-7258-415F-938E-C863A2BE63F1}">
  <dimension ref="A1:M32"/>
  <sheetViews>
    <sheetView workbookViewId="0">
      <selection activeCell="D1" sqref="D1"/>
    </sheetView>
  </sheetViews>
  <sheetFormatPr defaultRowHeight="15" x14ac:dyDescent="0.25"/>
  <cols>
    <col min="2" max="3" width="12.7109375" customWidth="1"/>
    <col min="4" max="5" width="12.42578125" customWidth="1"/>
    <col min="6" max="7" width="13" customWidth="1"/>
    <col min="8" max="8" width="12.42578125" customWidth="1"/>
    <col min="9" max="9" width="14" customWidth="1"/>
    <col min="10" max="10" width="13.5703125" customWidth="1"/>
    <col min="11" max="11" width="14.28515625" customWidth="1"/>
    <col min="12" max="12" width="14" customWidth="1"/>
    <col min="13" max="13" width="13.5703125" customWidth="1"/>
  </cols>
  <sheetData>
    <row r="1" spans="1:13" x14ac:dyDescent="0.25">
      <c r="A1" s="13" t="s">
        <v>32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</row>
    <row r="2" spans="1:13" x14ac:dyDescent="0.25">
      <c r="A2" s="14">
        <v>0</v>
      </c>
      <c r="B2" s="15">
        <f>0</f>
        <v>0</v>
      </c>
      <c r="C2" s="15">
        <f>0+-56/60+-44/3600</f>
        <v>-0.94555555555555559</v>
      </c>
      <c r="D2" s="15">
        <f>-1+-39/60+0/3600</f>
        <v>-1.65</v>
      </c>
      <c r="E2" s="15">
        <f>-1+-55/60+-30/3600</f>
        <v>-1.9249999999999998</v>
      </c>
      <c r="F2" s="15">
        <f>-1+-41/60+-6/3600</f>
        <v>-1.6850000000000001</v>
      </c>
      <c r="G2" s="15">
        <f>0+-58/60+-50/3600</f>
        <v>-0.98055555555555551</v>
      </c>
      <c r="H2" s="15">
        <f>0</f>
        <v>0</v>
      </c>
      <c r="I2" s="15">
        <f>0+58/60+50/3600</f>
        <v>0.98055555555555551</v>
      </c>
      <c r="J2" s="15">
        <f>1+41/60+6/3600</f>
        <v>1.6850000000000001</v>
      </c>
      <c r="K2" s="15">
        <f>1+55/60+30/3600</f>
        <v>1.9249999999999998</v>
      </c>
      <c r="L2" s="15">
        <f>1+39/60+0/3600</f>
        <v>1.65</v>
      </c>
      <c r="M2" s="15">
        <f>0+56/60+44/3600</f>
        <v>0.94555555555555559</v>
      </c>
    </row>
    <row r="3" spans="1:13" x14ac:dyDescent="0.25">
      <c r="A3" s="14">
        <v>1</v>
      </c>
      <c r="B3" s="16">
        <f>0+-1/60+-59/3600</f>
        <v>-3.305555555555556E-2</v>
      </c>
      <c r="C3" s="16">
        <f>0+-58/60+-27/3600</f>
        <v>-0.97416666666666663</v>
      </c>
      <c r="D3" s="16">
        <f>-1+-40/60+0/3600</f>
        <v>-1.6666666666666665</v>
      </c>
      <c r="E3" s="16">
        <f>-1+-55/60+-32/3600</f>
        <v>-1.9255555555555555</v>
      </c>
      <c r="F3" s="16">
        <f>-1+-40/60+-6/3600</f>
        <v>-1.6683333333333332</v>
      </c>
      <c r="G3" s="16">
        <f>0+-57/60+-3/3600</f>
        <v>-0.95083333333333331</v>
      </c>
      <c r="H3" s="16">
        <f>0+2/60+4/3600</f>
        <v>3.4444444444444444E-2</v>
      </c>
      <c r="I3" s="16">
        <f>1+0/60+35/3600</f>
        <v>1.0097222222222222</v>
      </c>
      <c r="J3" s="16">
        <f>1+42/60+4/3600</f>
        <v>1.701111111111111</v>
      </c>
      <c r="K3" s="16">
        <f>1+55/60+27/3600</f>
        <v>1.9241666666666666</v>
      </c>
      <c r="L3" s="16">
        <f>1+37/60+57/3600</f>
        <v>1.6325000000000001</v>
      </c>
      <c r="M3" s="16">
        <f>0+55/60+0/3600</f>
        <v>0.91666666666666663</v>
      </c>
    </row>
    <row r="4" spans="1:13" x14ac:dyDescent="0.25">
      <c r="A4" s="14">
        <v>2</v>
      </c>
      <c r="B4" s="16">
        <f>0+-3/60+-57/3600</f>
        <v>-6.5833333333333341E-2</v>
      </c>
      <c r="C4" s="16">
        <f>-1+0/60+-9/3600</f>
        <v>-1.0024999999999999</v>
      </c>
      <c r="D4" s="16">
        <f>-1+-40/60+-59/3600</f>
        <v>-1.6830555555555553</v>
      </c>
      <c r="E4" s="16">
        <f>-1+-55/60+-31/3600</f>
        <v>-1.9252777777777776</v>
      </c>
      <c r="F4" s="16">
        <f>-1+-39/60+-4/3600</f>
        <v>-1.651111111111111</v>
      </c>
      <c r="G4" s="16">
        <f>0+-53/60+-27/3600</f>
        <v>-0.89083333333333325</v>
      </c>
      <c r="H4" s="16">
        <f>0+4/60+7/3600</f>
        <v>6.8611111111111109E-2</v>
      </c>
      <c r="I4" s="16">
        <f>1+2/60+19/3600</f>
        <v>1.0386111111111112</v>
      </c>
      <c r="J4" s="16">
        <f>1+43/60+0/3600</f>
        <v>1.7166666666666668</v>
      </c>
      <c r="K4" s="16">
        <f>1+55/60+21/3600</f>
        <v>1.9224999999999999</v>
      </c>
      <c r="L4" s="16">
        <f>1+36/60+13/3600</f>
        <v>1.6036111111111111</v>
      </c>
      <c r="M4" s="16">
        <f>0+53/60+15/3600</f>
        <v>0.88749999999999996</v>
      </c>
    </row>
    <row r="5" spans="1:13" x14ac:dyDescent="0.25">
      <c r="A5" s="14">
        <v>3</v>
      </c>
      <c r="B5" s="16">
        <f>0+-5/60+-55/3600</f>
        <v>-9.8611111111111108E-2</v>
      </c>
      <c r="C5" s="16">
        <f>-1+-1/60+-50/3600</f>
        <v>-1.0305555555555554</v>
      </c>
      <c r="D5" s="16">
        <f>-1+-41/60+-57/3600</f>
        <v>-1.6991666666666667</v>
      </c>
      <c r="E5" s="16">
        <f>-1+-55/60+-28/3600</f>
        <v>-1.9244444444444444</v>
      </c>
      <c r="F5" s="16">
        <f>-1+-38/60+0/3600</f>
        <v>-1.6333333333333333</v>
      </c>
      <c r="G5" s="16">
        <f>0+-51/60+-37/3600</f>
        <v>-0.86027777777777781</v>
      </c>
      <c r="H5" s="16">
        <f>0+6/60+11/3600</f>
        <v>0.10305555555555557</v>
      </c>
      <c r="I5" s="16">
        <f>1+4/60+3/3600</f>
        <v>1.0674999999999999</v>
      </c>
      <c r="J5" s="16">
        <f>1+43/60+54/3600</f>
        <v>1.7316666666666667</v>
      </c>
      <c r="K5" s="16">
        <f>1+55/60+13/3600</f>
        <v>1.9202777777777775</v>
      </c>
      <c r="L5" s="16">
        <f>1+35/60+47/3600</f>
        <v>1.5963888888888891</v>
      </c>
      <c r="M5" s="16">
        <f>0+51/60+29/3600</f>
        <v>0.85805555555555557</v>
      </c>
    </row>
    <row r="6" spans="1:13" x14ac:dyDescent="0.25">
      <c r="A6" s="14">
        <v>4</v>
      </c>
      <c r="B6" s="16">
        <f>0+-7/60+-54/3600</f>
        <v>-0.13166666666666665</v>
      </c>
      <c r="C6" s="16">
        <f>-1+-3/60+-29/3600</f>
        <v>-1.0580555555555555</v>
      </c>
      <c r="D6" s="16">
        <f>-1+-42/60+-52/3600</f>
        <v>-1.7144444444444444</v>
      </c>
      <c r="E6" s="16">
        <f>-1+-55/60+-23/3600</f>
        <v>-1.9230555555555555</v>
      </c>
      <c r="F6" s="16">
        <f>-1+-36/60+-54/3600</f>
        <v>-1.615</v>
      </c>
      <c r="G6" s="16">
        <f>0+-49/60+-46/3600</f>
        <v>-0.82944444444444443</v>
      </c>
      <c r="H6" s="16">
        <f>0+8/60+14/3600</f>
        <v>0.13722222222222222</v>
      </c>
      <c r="I6" s="16">
        <f>1+5/60+44/3600</f>
        <v>1.0955555555555554</v>
      </c>
      <c r="J6" s="16">
        <f>1+44/60+47/3600</f>
        <v>1.746388888888889</v>
      </c>
      <c r="K6" s="16">
        <f>1+55/60+3/3600</f>
        <v>1.9174999999999998</v>
      </c>
      <c r="L6" s="16">
        <f>1+34/60+39/3600</f>
        <v>1.5774999999999999</v>
      </c>
      <c r="M6" s="16">
        <f>0+49/60+42/3600</f>
        <v>0.82833333333333337</v>
      </c>
    </row>
    <row r="7" spans="1:13" x14ac:dyDescent="0.25">
      <c r="A7" s="14">
        <v>5</v>
      </c>
      <c r="B7" s="16">
        <f>0+-9/60+-52/3600</f>
        <v>-0.16444444444444445</v>
      </c>
      <c r="C7" s="16">
        <f>-1+-5/60+-8/3600</f>
        <v>-1.0855555555555554</v>
      </c>
      <c r="D7" s="16">
        <f>-1+-43/60+-46/3600</f>
        <v>-1.7294444444444446</v>
      </c>
      <c r="E7" s="16">
        <f>-1+-55/60+-17/3600</f>
        <v>-1.9213888888888888</v>
      </c>
      <c r="F7" s="16">
        <f>-1+-35/60+-46/3600</f>
        <v>-1.5961111111111113</v>
      </c>
      <c r="G7" s="16">
        <f>0+-47/60+-54/3600</f>
        <v>-0.79833333333333334</v>
      </c>
      <c r="H7" s="16">
        <f>0+10/60+17/3600</f>
        <v>0.17138888888888887</v>
      </c>
      <c r="I7" s="16">
        <f>1+7/60+25/3600</f>
        <v>1.1236111111111111</v>
      </c>
      <c r="J7" s="16">
        <f>1+45/60+37/3600</f>
        <v>1.7602777777777778</v>
      </c>
      <c r="K7" s="16">
        <f>1+54/60+51/3600</f>
        <v>1.9141666666666666</v>
      </c>
      <c r="L7" s="16">
        <f>1+33/60+30/3600</f>
        <v>1.5583333333333333</v>
      </c>
      <c r="M7" s="16">
        <f>0+47/60+55/3600</f>
        <v>0.79861111111111105</v>
      </c>
    </row>
    <row r="8" spans="1:13" x14ac:dyDescent="0.25">
      <c r="A8" s="14">
        <v>6</v>
      </c>
      <c r="B8" s="16">
        <f>0+-11/60+-50/3600</f>
        <v>-0.19722222222222222</v>
      </c>
      <c r="C8" s="16">
        <f>-1+-6/60+-46/3600</f>
        <v>-1.1127777777777779</v>
      </c>
      <c r="D8" s="16">
        <f>-1+-44/60+-37/3600</f>
        <v>-1.7436111111111112</v>
      </c>
      <c r="E8" s="16">
        <f>-1+-55/60+-8/3600</f>
        <v>-1.9188888888888886</v>
      </c>
      <c r="F8" s="16">
        <f>-1+-34/60+-37/3600</f>
        <v>-1.5769444444444445</v>
      </c>
      <c r="G8" s="16">
        <f>0+-47/60+-54/3600</f>
        <v>-0.79833333333333334</v>
      </c>
      <c r="H8" s="16">
        <f>0+12/60+20/3600</f>
        <v>0.20555555555555557</v>
      </c>
      <c r="I8" s="16">
        <f>1+9/60+4/3600</f>
        <v>1.151111111111111</v>
      </c>
      <c r="J8" s="16">
        <f>1+46/60+26/3600</f>
        <v>1.7738888888888888</v>
      </c>
      <c r="K8" s="16">
        <f>1+54/60+37/3600</f>
        <v>1.9102777777777777</v>
      </c>
      <c r="L8" s="16">
        <f>1+32/60+19/3600</f>
        <v>1.5386111111111109</v>
      </c>
      <c r="M8" s="16">
        <f>0+46/60+6/3600</f>
        <v>0.76833333333333342</v>
      </c>
    </row>
    <row r="9" spans="1:13" x14ac:dyDescent="0.25">
      <c r="A9" s="14">
        <v>7</v>
      </c>
      <c r="B9" s="16">
        <f>0+-13/60+-48/3600</f>
        <v>-0.23</v>
      </c>
      <c r="C9" s="16">
        <f>-1+-8/60+-22/3600</f>
        <v>-1.1394444444444445</v>
      </c>
      <c r="D9" s="16">
        <f>-1+-45/60+-27/3600</f>
        <v>-1.7575000000000001</v>
      </c>
      <c r="E9" s="16">
        <f>-1+-54/60+-56/3600</f>
        <v>-1.9155555555555555</v>
      </c>
      <c r="F9" s="16">
        <f>-1+-33/60+-27/3600</f>
        <v>-1.5575000000000001</v>
      </c>
      <c r="G9" s="16">
        <f>0+-46/60+-2/3600</f>
        <v>-0.76722222222222225</v>
      </c>
      <c r="H9" s="16">
        <f>0+14/60+23/3600</f>
        <v>0.23972222222222223</v>
      </c>
      <c r="I9" s="16">
        <f>1+10/60+42/3600</f>
        <v>1.1783333333333335</v>
      </c>
      <c r="J9" s="16">
        <f>1+47/60+12/3600</f>
        <v>1.7866666666666666</v>
      </c>
      <c r="K9" s="16">
        <f>1+54/60+21/3600</f>
        <v>1.9058333333333333</v>
      </c>
      <c r="L9" s="16">
        <f>1+31/60+6/3600</f>
        <v>1.5183333333333333</v>
      </c>
      <c r="M9" s="16">
        <f>0+44/60+17/3600</f>
        <v>0.73805555555555546</v>
      </c>
    </row>
    <row r="10" spans="1:13" x14ac:dyDescent="0.25">
      <c r="A10" s="14">
        <v>8</v>
      </c>
      <c r="B10" s="16">
        <f>0+-15/60+-45/3600</f>
        <v>-0.26250000000000001</v>
      </c>
      <c r="C10" s="16">
        <f>-1+-9/60+-57/3600</f>
        <v>-1.1658333333333333</v>
      </c>
      <c r="D10" s="16">
        <f>-1+-46/60+-15/3600</f>
        <v>-1.7708333333333333</v>
      </c>
      <c r="E10" s="16">
        <f>-1+-54/60+-43/3600</f>
        <v>-1.9119444444444444</v>
      </c>
      <c r="F10" s="16">
        <f>-1+-32/60+-13/3600</f>
        <v>-1.5369444444444442</v>
      </c>
      <c r="G10" s="16">
        <f>0+-44/60+-8/3600</f>
        <v>-0.73555555555555552</v>
      </c>
      <c r="H10" s="16">
        <f>0+16/60+25/3600</f>
        <v>0.27361111111111108</v>
      </c>
      <c r="I10" s="16">
        <f>1+12/60+19/3600</f>
        <v>1.2052777777777777</v>
      </c>
      <c r="J10" s="16">
        <f>1+47/60+56/3600</f>
        <v>1.7988888888888888</v>
      </c>
      <c r="K10" s="16">
        <f>1+54/60+3/3600</f>
        <v>1.9008333333333332</v>
      </c>
      <c r="L10" s="16">
        <f>1+29/60+52/3600</f>
        <v>1.4977777777777779</v>
      </c>
      <c r="M10" s="16">
        <f>0+42/60+27/3600</f>
        <v>0.70749999999999991</v>
      </c>
    </row>
    <row r="11" spans="1:13" x14ac:dyDescent="0.25">
      <c r="A11" s="14">
        <v>9</v>
      </c>
      <c r="B11" s="16">
        <f>0+-17/60+-47/3600</f>
        <v>-0.29638888888888887</v>
      </c>
      <c r="C11" s="16">
        <f>-1+-11/60+-32/3600</f>
        <v>-1.1922222222222223</v>
      </c>
      <c r="D11" s="16">
        <f>-1+-47/60+-2/3600</f>
        <v>-1.7838888888888889</v>
      </c>
      <c r="E11" s="16">
        <f>-1+-54/60+-27/3600</f>
        <v>-1.9075</v>
      </c>
      <c r="F11" s="16">
        <f>-1+-30/60+-58/3600</f>
        <v>-1.5161111111111112</v>
      </c>
      <c r="G11" s="16">
        <f>0+-42/60+-14/3600</f>
        <v>-0.7038888888888889</v>
      </c>
      <c r="H11" s="16">
        <f>0+18/60+27/3600</f>
        <v>0.3075</v>
      </c>
      <c r="I11" s="16">
        <f>1+13/60+54/3600</f>
        <v>1.2316666666666667</v>
      </c>
      <c r="J11" s="16">
        <f>1+48/60+38/3600</f>
        <v>1.8105555555555557</v>
      </c>
      <c r="K11" s="16">
        <f>1+53/60+43/3600</f>
        <v>1.8952777777777778</v>
      </c>
      <c r="L11" s="16">
        <f>1+28/60+36/3600</f>
        <v>1.4766666666666668</v>
      </c>
      <c r="M11" s="16">
        <f>0+40/60+36/3600</f>
        <v>0.67666666666666664</v>
      </c>
    </row>
    <row r="12" spans="1:13" x14ac:dyDescent="0.25">
      <c r="A12" s="14">
        <v>10</v>
      </c>
      <c r="B12" s="16">
        <f>0+-19/60+-39/3600</f>
        <v>-0.32750000000000001</v>
      </c>
      <c r="C12" s="16">
        <f>-1+-13/60+-4/3600</f>
        <v>-1.2177777777777778</v>
      </c>
      <c r="D12" s="16">
        <f>-1+-47/60+-46/3600</f>
        <v>-1.796111111111111</v>
      </c>
      <c r="E12" s="16">
        <f>-1+-54/60+-10/3600</f>
        <v>-1.9027777777777777</v>
      </c>
      <c r="F12" s="16">
        <f>-1+-29/60+-42/3600</f>
        <v>-1.4950000000000001</v>
      </c>
      <c r="G12" s="16">
        <f>0+-40/60+-18/3600</f>
        <v>-0.67166666666666663</v>
      </c>
      <c r="H12" s="16">
        <f>0+20/60+29/3600</f>
        <v>0.34138888888888885</v>
      </c>
      <c r="I12" s="16">
        <f>1+15/60+28/3600</f>
        <v>1.2577777777777779</v>
      </c>
      <c r="J12" s="16">
        <f>1+49/60+19/3600</f>
        <v>1.8219444444444444</v>
      </c>
      <c r="K12" s="16">
        <f>1+53/60+20/3600</f>
        <v>1.8888888888888888</v>
      </c>
      <c r="L12" s="16">
        <f>1+27/60+18/3600</f>
        <v>1.4549999999999998</v>
      </c>
      <c r="M12" s="16">
        <f>0+38/60+45/3600</f>
        <v>0.64583333333333326</v>
      </c>
    </row>
    <row r="13" spans="1:13" x14ac:dyDescent="0.25">
      <c r="A13" s="14">
        <v>11</v>
      </c>
      <c r="B13" s="16">
        <f>0+-21/60+-36/3600</f>
        <v>-0.36</v>
      </c>
      <c r="C13" s="16">
        <f>-1+-14/60+-36/3600</f>
        <v>-1.2433333333333334</v>
      </c>
      <c r="D13" s="16">
        <f>-1+-48/60+-28/3600</f>
        <v>-1.8077777777777779</v>
      </c>
      <c r="E13" s="16">
        <f>-1+-53/60+-50/3600</f>
        <v>-1.8972222222222221</v>
      </c>
      <c r="F13" s="16">
        <f>-1+-28/60+-24/3600</f>
        <v>-1.4733333333333334</v>
      </c>
      <c r="G13" s="16">
        <f>0+-38/60+-22/3600</f>
        <v>-0.63944444444444437</v>
      </c>
      <c r="H13" s="16">
        <f>0+22/60+30/3600</f>
        <v>0.375</v>
      </c>
      <c r="I13" s="16">
        <f>1+17/60+0/3600</f>
        <v>1.2833333333333332</v>
      </c>
      <c r="J13" s="16">
        <f>1+49/60+58/3600</f>
        <v>1.8327777777777778</v>
      </c>
      <c r="K13" s="16">
        <f>1+52/60+56/3600</f>
        <v>1.8822222222222222</v>
      </c>
      <c r="L13" s="16">
        <f>1+26/60+0/3600</f>
        <v>1.4333333333333333</v>
      </c>
      <c r="M13" s="16">
        <f>0+36/60+53/3600</f>
        <v>0.61472222222222217</v>
      </c>
    </row>
    <row r="14" spans="1:13" x14ac:dyDescent="0.25">
      <c r="A14" s="14">
        <v>12</v>
      </c>
      <c r="B14" s="16">
        <f>0+-23/60+-32/3600</f>
        <v>-0.39222222222222225</v>
      </c>
      <c r="C14" s="16">
        <f>-1+-16/60+-6/3600</f>
        <v>-1.2683333333333333</v>
      </c>
      <c r="D14" s="16">
        <f>-1+-49/60+-8/3600</f>
        <v>-1.8188888888888888</v>
      </c>
      <c r="E14" s="16">
        <f>-1+-53/60+-28/3600</f>
        <v>-1.8911111111111112</v>
      </c>
      <c r="F14" s="16">
        <f>-1+-27/60+-4/3600</f>
        <v>-1.451111111111111</v>
      </c>
      <c r="G14" s="16">
        <f>0+-36/60+-25/3600</f>
        <v>-0.6069444444444444</v>
      </c>
      <c r="H14" s="16">
        <f>0+24/60+31/3600</f>
        <v>0.40861111111111115</v>
      </c>
      <c r="I14" s="16">
        <f>1+18/60+31/3600</f>
        <v>1.3086111111111112</v>
      </c>
      <c r="J14" s="16">
        <f>1+50/60+34/3600</f>
        <v>1.8427777777777778</v>
      </c>
      <c r="K14" s="16">
        <f>1+52/60+29/3600</f>
        <v>1.8747222222222222</v>
      </c>
      <c r="L14" s="16">
        <f>1+24/60+39/3600</f>
        <v>1.4108333333333332</v>
      </c>
      <c r="M14" s="16">
        <f>0+35/60+0/3600</f>
        <v>0.58333333333333337</v>
      </c>
    </row>
    <row r="15" spans="1:13" x14ac:dyDescent="0.25">
      <c r="A15" s="14">
        <v>13</v>
      </c>
      <c r="B15" s="16">
        <f>0+-25/60+-28/3600</f>
        <v>-0.42444444444444446</v>
      </c>
      <c r="C15" s="16">
        <f>-1+-17/60+-35/3600</f>
        <v>-1.2930555555555554</v>
      </c>
      <c r="D15" s="16">
        <f>-1+-49/60+-47/3600</f>
        <v>-1.8297222222222222</v>
      </c>
      <c r="E15" s="16">
        <f>-1+-53/60+-5/3600</f>
        <v>-1.8847222222222222</v>
      </c>
      <c r="F15" s="16">
        <f>-1+-25/60+-43/3600</f>
        <v>-1.4286111111111113</v>
      </c>
      <c r="G15" s="16">
        <f>0+-34/60+-28/3600</f>
        <v>-0.57444444444444442</v>
      </c>
      <c r="H15" s="16">
        <f>0+26/60+32/3600</f>
        <v>0.44222222222222224</v>
      </c>
      <c r="I15" s="16">
        <f>1+20/60+1/3600</f>
        <v>1.3336111111111111</v>
      </c>
      <c r="J15" s="16">
        <f>1+51/60+8/3600</f>
        <v>1.8522222222222222</v>
      </c>
      <c r="K15" s="16">
        <f>1+52/60+1/3600</f>
        <v>1.8669444444444445</v>
      </c>
      <c r="L15" s="16">
        <f>1+23/60+17/3600</f>
        <v>1.3880555555555556</v>
      </c>
      <c r="M15" s="16">
        <f>0+33/60+7/3600</f>
        <v>0.55194444444444446</v>
      </c>
    </row>
    <row r="16" spans="1:13" x14ac:dyDescent="0.25">
      <c r="A16" s="14">
        <v>14</v>
      </c>
      <c r="B16" s="16">
        <f>0+-27/60+-23/3600</f>
        <v>-0.4563888888888889</v>
      </c>
      <c r="C16" s="16">
        <f>-1+-19/60+-3/3600</f>
        <v>-1.3174999999999999</v>
      </c>
      <c r="D16" s="16">
        <f>-1+-50/60+-24/3600</f>
        <v>-1.84</v>
      </c>
      <c r="E16" s="16">
        <f>-1+-52/60+-39/3600</f>
        <v>-1.8774999999999999</v>
      </c>
      <c r="F16" s="16">
        <f>-1+-24/60+-19/3600</f>
        <v>-1.4052777777777776</v>
      </c>
      <c r="G16" s="16">
        <f>0+-32/60+-30/3600</f>
        <v>-0.54166666666666663</v>
      </c>
      <c r="H16" s="16">
        <f>0+28/60+32/3600</f>
        <v>0.47555555555555556</v>
      </c>
      <c r="I16" s="16">
        <f>1+21/60+28/3600</f>
        <v>1.357777777777778</v>
      </c>
      <c r="J16" s="16">
        <f>1+51/60+41/3600</f>
        <v>1.861388888888889</v>
      </c>
      <c r="K16" s="16">
        <f>1+51/60+30/3600</f>
        <v>1.8583333333333334</v>
      </c>
      <c r="L16" s="16">
        <f>1+21/60+54/3600</f>
        <v>1.365</v>
      </c>
      <c r="M16" s="16">
        <f>0+31/60+13/3600</f>
        <v>0.52027777777777784</v>
      </c>
    </row>
    <row r="17" spans="1:13" x14ac:dyDescent="0.25">
      <c r="A17" s="14">
        <v>15</v>
      </c>
      <c r="B17" s="16">
        <f>0+-29/60+-18/3600</f>
        <v>-0.48833333333333334</v>
      </c>
      <c r="C17" s="16">
        <f>-1+-20/60+-29/3600</f>
        <v>-1.3413888888888887</v>
      </c>
      <c r="D17" s="16">
        <f>-1+-50/60+-58/3600</f>
        <v>-1.8494444444444447</v>
      </c>
      <c r="E17" s="16">
        <f>-1+-52/60+-11/3600</f>
        <v>-1.8697222222222223</v>
      </c>
      <c r="F17" s="16">
        <f>-1+-22/60+-55/3600</f>
        <v>-1.3819444444444444</v>
      </c>
      <c r="G17" s="16">
        <f>0+-30/60+-31/3600</f>
        <v>-0.50861111111111112</v>
      </c>
      <c r="H17" s="16">
        <f>0+30/60+31/3600</f>
        <v>0.50861111111111112</v>
      </c>
      <c r="I17" s="16">
        <f>1+22/60+55/3600</f>
        <v>1.3819444444444444</v>
      </c>
      <c r="J17" s="16">
        <f>1+52/60+11/3600</f>
        <v>1.8697222222222223</v>
      </c>
      <c r="K17" s="16">
        <f>1+50/60+58/3600</f>
        <v>1.8494444444444447</v>
      </c>
      <c r="L17" s="16">
        <f>1+20/60+29/3600</f>
        <v>1.3413888888888887</v>
      </c>
      <c r="M17" s="16">
        <f>0+29/60+18/3600</f>
        <v>0.48833333333333334</v>
      </c>
    </row>
    <row r="18" spans="1:13" x14ac:dyDescent="0.25">
      <c r="A18" s="14">
        <v>16</v>
      </c>
      <c r="B18" s="16">
        <f>0+-31/60+-13/3600</f>
        <v>-0.52027777777777784</v>
      </c>
      <c r="C18" s="16">
        <f>-1+-21/60+-54/3600</f>
        <v>-1.365</v>
      </c>
      <c r="D18" s="16">
        <f>-1+-51/60+-30/3600</f>
        <v>-1.8583333333333334</v>
      </c>
      <c r="E18" s="16">
        <f>-1+-51/60+-41/3600</f>
        <v>-1.861388888888889</v>
      </c>
      <c r="F18" s="16">
        <f>-1+-21/60+-28/3600</f>
        <v>-1.357777777777778</v>
      </c>
      <c r="G18" s="16">
        <f>0+-28/60+-32/3600</f>
        <v>-0.47555555555555556</v>
      </c>
      <c r="H18" s="16">
        <f>0+32/60+30/3600</f>
        <v>0.54166666666666663</v>
      </c>
      <c r="I18" s="16">
        <f>1+24/60+19/3600</f>
        <v>1.4052777777777776</v>
      </c>
      <c r="J18" s="16">
        <f>1+52/60+39/3600</f>
        <v>1.8774999999999999</v>
      </c>
      <c r="K18" s="16">
        <f>1+50/60+24/3600</f>
        <v>1.84</v>
      </c>
      <c r="L18" s="16">
        <f>1+19/60+3/3600</f>
        <v>1.3174999999999999</v>
      </c>
      <c r="M18" s="16">
        <f>0+27/60+23/3600</f>
        <v>0.4563888888888889</v>
      </c>
    </row>
    <row r="19" spans="1:13" x14ac:dyDescent="0.25">
      <c r="A19" s="14">
        <v>17</v>
      </c>
      <c r="B19" s="16">
        <f>0+-33/60+-7/3600</f>
        <v>-0.55194444444444446</v>
      </c>
      <c r="C19" s="16">
        <f>-1+-23/60+-17/3600</f>
        <v>-1.3880555555555556</v>
      </c>
      <c r="D19" s="16">
        <f>-1+-52/60+-1/3600</f>
        <v>-1.8669444444444445</v>
      </c>
      <c r="E19" s="16">
        <f>-1+-51/60+-8/3600</f>
        <v>-1.8522222222222222</v>
      </c>
      <c r="F19" s="16">
        <f>-1+-20/60+-1/3600</f>
        <v>-1.3336111111111111</v>
      </c>
      <c r="G19" s="16">
        <f>0+-26/60+-32/3600</f>
        <v>-0.44222222222222224</v>
      </c>
      <c r="H19" s="16">
        <f>0+34/60+28/3600</f>
        <v>0.57444444444444442</v>
      </c>
      <c r="I19" s="16">
        <f>1+25/60+43/3600</f>
        <v>1.4286111111111113</v>
      </c>
      <c r="J19" s="16">
        <f>1+53/60+5/3600</f>
        <v>1.8847222222222222</v>
      </c>
      <c r="K19" s="16">
        <f>1+49/60+47/3600</f>
        <v>1.8297222222222222</v>
      </c>
      <c r="L19" s="16">
        <f>1+17/60+35/3600</f>
        <v>1.2930555555555554</v>
      </c>
      <c r="M19" s="16">
        <f>0+25/60+28/3600</f>
        <v>0.42444444444444446</v>
      </c>
    </row>
    <row r="20" spans="1:13" x14ac:dyDescent="0.25">
      <c r="A20" s="14">
        <v>18</v>
      </c>
      <c r="B20" s="16">
        <f>0+-35/60+0/3600</f>
        <v>-0.58333333333333337</v>
      </c>
      <c r="C20" s="16">
        <f>-1+-24/60+-39/3600</f>
        <v>-1.4108333333333332</v>
      </c>
      <c r="D20" s="16">
        <f>-1+-52/60+-29/3600</f>
        <v>-1.8747222222222222</v>
      </c>
      <c r="E20" s="16">
        <f>-1+-50/60+-34/3600</f>
        <v>-1.8427777777777778</v>
      </c>
      <c r="F20" s="16">
        <f>-1+-18/60+-31/3600</f>
        <v>-1.3086111111111112</v>
      </c>
      <c r="G20" s="16">
        <f>0+-24/60+-31/3600</f>
        <v>-0.40861111111111115</v>
      </c>
      <c r="H20" s="16">
        <f>0+36/60+25/3600</f>
        <v>0.6069444444444444</v>
      </c>
      <c r="I20" s="16">
        <f>1+27/60+4/3600</f>
        <v>1.451111111111111</v>
      </c>
      <c r="J20" s="16">
        <f>1+53/60+28/3600</f>
        <v>1.8911111111111112</v>
      </c>
      <c r="K20" s="16">
        <f>1+49/60+8/3600</f>
        <v>1.8188888888888888</v>
      </c>
      <c r="L20" s="16">
        <f>1+16/60+6/3600</f>
        <v>1.2683333333333333</v>
      </c>
      <c r="M20" s="16">
        <f>0+23/60+32/3600</f>
        <v>0.39222222222222225</v>
      </c>
    </row>
    <row r="21" spans="1:13" x14ac:dyDescent="0.25">
      <c r="A21" s="14">
        <v>19</v>
      </c>
      <c r="B21" s="16">
        <f>0+-36/60+-53/3600</f>
        <v>-0.61472222222222217</v>
      </c>
      <c r="C21" s="16">
        <f>-1+-26/60+0/3600</f>
        <v>-1.4333333333333333</v>
      </c>
      <c r="D21" s="16">
        <f>-1+-52/60+-56/3600</f>
        <v>-1.8822222222222222</v>
      </c>
      <c r="E21" s="16">
        <f>-1+-49/60+-58/3600</f>
        <v>-1.8327777777777778</v>
      </c>
      <c r="F21" s="16">
        <f>-1+-17/60+0/3600</f>
        <v>-1.2833333333333332</v>
      </c>
      <c r="G21" s="16">
        <f>0+-22/60+-30/3600</f>
        <v>-0.375</v>
      </c>
      <c r="H21" s="16">
        <f>0+38/60+22/3600</f>
        <v>0.63944444444444437</v>
      </c>
      <c r="I21" s="16">
        <f>1+28/60+24/3600</f>
        <v>1.4733333333333334</v>
      </c>
      <c r="J21" s="16">
        <f>1+53/60+50/3600</f>
        <v>1.8972222222222221</v>
      </c>
      <c r="K21" s="16">
        <f>1+48/60+28/3600</f>
        <v>1.8077777777777779</v>
      </c>
      <c r="L21" s="16">
        <f>1+14/60+36/3600</f>
        <v>1.2433333333333334</v>
      </c>
      <c r="M21" s="16">
        <f>0+21/60+36/3600</f>
        <v>0.36</v>
      </c>
    </row>
    <row r="22" spans="1:13" x14ac:dyDescent="0.25">
      <c r="A22" s="14">
        <v>20</v>
      </c>
      <c r="B22" s="16">
        <f>0+-38/60+-45/3600</f>
        <v>-0.64583333333333326</v>
      </c>
      <c r="C22" s="16">
        <f>-1+-27/60+-18/3600</f>
        <v>-1.4549999999999998</v>
      </c>
      <c r="D22" s="16">
        <f>-1+-53/60+-20/3600</f>
        <v>-1.8888888888888888</v>
      </c>
      <c r="E22" s="16">
        <f>-1+-49/60+-19/3600</f>
        <v>-1.8219444444444444</v>
      </c>
      <c r="F22" s="16">
        <f>-1+-15/60+-28/3600</f>
        <v>-1.2577777777777779</v>
      </c>
      <c r="G22" s="16">
        <f>0+-20/60+-29/3600</f>
        <v>-0.34138888888888885</v>
      </c>
      <c r="H22" s="16">
        <f>0+40/60+18/3600</f>
        <v>0.67166666666666663</v>
      </c>
      <c r="I22" s="16">
        <f>1+29/60+42/3600</f>
        <v>1.4950000000000001</v>
      </c>
      <c r="J22" s="16">
        <f>1+54/60+10/3600</f>
        <v>1.9027777777777777</v>
      </c>
      <c r="K22" s="16">
        <f>1+47/60+46/3600</f>
        <v>1.796111111111111</v>
      </c>
      <c r="L22" s="16">
        <f>1+13/60+4/3600</f>
        <v>1.2177777777777778</v>
      </c>
      <c r="M22" s="16">
        <f>0+19/60+39/3600</f>
        <v>0.32750000000000001</v>
      </c>
    </row>
    <row r="23" spans="1:13" x14ac:dyDescent="0.25">
      <c r="A23" s="14">
        <v>21</v>
      </c>
      <c r="B23" s="16">
        <f>0+-40/60+-36/3600</f>
        <v>-0.67666666666666664</v>
      </c>
      <c r="C23" s="16">
        <f>-1+-28/60+-36/3600</f>
        <v>-1.4766666666666668</v>
      </c>
      <c r="D23" s="16">
        <f>-1+-53/60+-43/3600</f>
        <v>-1.8952777777777778</v>
      </c>
      <c r="E23" s="16">
        <f>-1+-48/60+-38/3600</f>
        <v>-1.8105555555555557</v>
      </c>
      <c r="F23" s="16">
        <f>-1+-13/60+-54/3600</f>
        <v>-1.2316666666666667</v>
      </c>
      <c r="G23" s="16">
        <f>0+-18/60+-27/3600</f>
        <v>-0.3075</v>
      </c>
      <c r="H23" s="16">
        <f>0+42/60+14/3600</f>
        <v>0.7038888888888889</v>
      </c>
      <c r="I23" s="16">
        <f>1+30/60+58/3600</f>
        <v>1.5161111111111112</v>
      </c>
      <c r="J23" s="16">
        <f>1+54/60+27/3600</f>
        <v>1.9075</v>
      </c>
      <c r="K23" s="16">
        <f>1+47/60+2/3600</f>
        <v>1.7838888888888889</v>
      </c>
      <c r="L23" s="16">
        <f>1+11/60+32/3600</f>
        <v>1.1922222222222223</v>
      </c>
      <c r="M23" s="16">
        <f>0+17/60+47/3600</f>
        <v>0.29638888888888887</v>
      </c>
    </row>
    <row r="24" spans="1:13" x14ac:dyDescent="0.25">
      <c r="A24" s="14">
        <v>22</v>
      </c>
      <c r="B24" s="16">
        <f>0+-42/60+-27/3600</f>
        <v>-0.70749999999999991</v>
      </c>
      <c r="C24" s="16">
        <f>-1+-29/60+-52/3600</f>
        <v>-1.4977777777777779</v>
      </c>
      <c r="D24" s="16">
        <f>-1+-54/60+-3/3600</f>
        <v>-1.9008333333333332</v>
      </c>
      <c r="E24" s="16">
        <f>-1+-47/60+-56/3600</f>
        <v>-1.7988888888888888</v>
      </c>
      <c r="F24" s="16">
        <f>-1+-12/60+-19/3600</f>
        <v>-1.2052777777777777</v>
      </c>
      <c r="G24" s="16">
        <f>0+-16/60+-25/3600</f>
        <v>-0.27361111111111108</v>
      </c>
      <c r="H24" s="16">
        <f>0+44/60+8/3600</f>
        <v>0.73555555555555552</v>
      </c>
      <c r="I24" s="16">
        <f>1+32/60+13/3600</f>
        <v>1.5369444444444442</v>
      </c>
      <c r="J24" s="16">
        <f>1+54/60+43/3600</f>
        <v>1.9119444444444444</v>
      </c>
      <c r="K24" s="16">
        <f>1+46/60+15/3600</f>
        <v>1.7708333333333333</v>
      </c>
      <c r="L24" s="16">
        <f>1+9/60+57/3600</f>
        <v>1.1658333333333333</v>
      </c>
      <c r="M24" s="16">
        <f>0+15/60+45/3600</f>
        <v>0.26250000000000001</v>
      </c>
    </row>
    <row r="25" spans="1:13" x14ac:dyDescent="0.25">
      <c r="A25" s="14">
        <v>23</v>
      </c>
      <c r="B25" s="16">
        <f>0+-44/60+-17/3600</f>
        <v>-0.73805555555555546</v>
      </c>
      <c r="C25" s="16">
        <f>-1+-31/60+-6/3600</f>
        <v>-1.5183333333333333</v>
      </c>
      <c r="D25" s="16">
        <f>-1+-54/60+-21/3600</f>
        <v>-1.9058333333333333</v>
      </c>
      <c r="E25" s="16">
        <f>-1+-47/60+-12/3600</f>
        <v>-1.7866666666666666</v>
      </c>
      <c r="F25" s="16">
        <f>-1+-10/60+-42/3600</f>
        <v>-1.1783333333333335</v>
      </c>
      <c r="G25" s="16">
        <f>0+-14/60+-23/3600</f>
        <v>-0.23972222222222223</v>
      </c>
      <c r="H25" s="16">
        <f>0+46/60+2/3600</f>
        <v>0.76722222222222225</v>
      </c>
      <c r="I25" s="16">
        <f>1+33/60+26/3600</f>
        <v>1.5572222222222223</v>
      </c>
      <c r="J25" s="16">
        <f>1+54/60+56/3600</f>
        <v>1.9155555555555555</v>
      </c>
      <c r="K25" s="16">
        <f>1+45/60+27/3600</f>
        <v>1.7575000000000001</v>
      </c>
      <c r="L25" s="16">
        <f>1+8/60+22/3600</f>
        <v>1.1394444444444445</v>
      </c>
      <c r="M25" s="16">
        <f>0+13/60+48/3600</f>
        <v>0.23</v>
      </c>
    </row>
    <row r="26" spans="1:13" x14ac:dyDescent="0.25">
      <c r="A26" s="14">
        <v>24</v>
      </c>
      <c r="B26" s="16">
        <f>0+-46/60+-6/3600</f>
        <v>-0.76833333333333342</v>
      </c>
      <c r="C26" s="16">
        <f>-1+-32/60+-19/3600</f>
        <v>-1.5386111111111109</v>
      </c>
      <c r="D26" s="16">
        <f>-1+-54/60+-37/3600</f>
        <v>-1.9102777777777777</v>
      </c>
      <c r="E26" s="16">
        <f>-1+-46/60+-26/3600</f>
        <v>-1.7738888888888888</v>
      </c>
      <c r="F26" s="16">
        <f>-1+-9/60+-4/3600</f>
        <v>-1.151111111111111</v>
      </c>
      <c r="G26" s="16">
        <f>0+-12/60+-20/3600</f>
        <v>-0.20555555555555557</v>
      </c>
      <c r="H26" s="16">
        <f>0+47/60+54/3600</f>
        <v>0.79833333333333334</v>
      </c>
      <c r="I26" s="16">
        <f>1+34/60+37/3600</f>
        <v>1.5769444444444445</v>
      </c>
      <c r="J26" s="16">
        <f>1+55/60+8/3600</f>
        <v>1.9188888888888886</v>
      </c>
      <c r="K26" s="16">
        <f>1+44/60+37/3600</f>
        <v>1.7436111111111112</v>
      </c>
      <c r="L26" s="16">
        <f>1+6/60+46/3600</f>
        <v>1.1127777777777779</v>
      </c>
      <c r="M26" s="16">
        <f>0+11/60+50/3600</f>
        <v>0.19722222222222222</v>
      </c>
    </row>
    <row r="27" spans="1:13" x14ac:dyDescent="0.25">
      <c r="A27" s="14">
        <v>25</v>
      </c>
      <c r="B27" s="16">
        <f>0+-47/60+-55/3600</f>
        <v>-0.79861111111111105</v>
      </c>
      <c r="C27" s="16">
        <f>-1+-33/60+-30/3600</f>
        <v>-1.5583333333333333</v>
      </c>
      <c r="D27" s="16">
        <f>-1+-54/60+-51/3600</f>
        <v>-1.9141666666666666</v>
      </c>
      <c r="E27" s="16">
        <f>-1+-45/60+-37/3600</f>
        <v>-1.7602777777777778</v>
      </c>
      <c r="F27" s="16">
        <f>-1+-7/60+-25/3600</f>
        <v>-1.1236111111111111</v>
      </c>
      <c r="G27" s="16">
        <f>0+-10/60+-17/3600</f>
        <v>-0.17138888888888887</v>
      </c>
      <c r="H27" s="16">
        <f>0+49/60+49/3600</f>
        <v>0.83027777777777778</v>
      </c>
      <c r="I27" s="16">
        <f>1+35/60+46/3600</f>
        <v>1.5961111111111113</v>
      </c>
      <c r="J27" s="16">
        <f>1+55/60+17/3600</f>
        <v>1.9213888888888888</v>
      </c>
      <c r="K27" s="16">
        <f>1+43/60+46/3600</f>
        <v>1.7294444444444446</v>
      </c>
      <c r="L27" s="16">
        <f>1+5/60+8/3600</f>
        <v>1.0855555555555554</v>
      </c>
      <c r="M27" s="16">
        <f>0+9/60+52/3600</f>
        <v>0.16444444444444445</v>
      </c>
    </row>
    <row r="28" spans="1:13" x14ac:dyDescent="0.25">
      <c r="A28" s="14">
        <v>26</v>
      </c>
      <c r="B28" s="16">
        <f>0+-49/60+-42/3600</f>
        <v>-0.82833333333333337</v>
      </c>
      <c r="C28" s="16">
        <f>-1+-34/60+-39/3600</f>
        <v>-1.5774999999999999</v>
      </c>
      <c r="D28" s="16">
        <f>-1+-55/60+-3/3600</f>
        <v>-1.9174999999999998</v>
      </c>
      <c r="E28" s="16">
        <f>-1+-44/60+-47/3600</f>
        <v>-1.746388888888889</v>
      </c>
      <c r="F28" s="16">
        <f>-1+-5/60+-44/3600</f>
        <v>-1.0955555555555554</v>
      </c>
      <c r="G28" s="16">
        <f>0+-8/60+-14/3600</f>
        <v>-0.13722222222222222</v>
      </c>
      <c r="H28" s="16">
        <f>0+51/60+37/3600</f>
        <v>0.86027777777777781</v>
      </c>
      <c r="I28" s="16">
        <f>1+36/60+54/3600</f>
        <v>1.615</v>
      </c>
      <c r="J28" s="16">
        <f>1+55/60+23/3600</f>
        <v>1.9230555555555555</v>
      </c>
      <c r="K28" s="16">
        <f>1+42/60+52/3600</f>
        <v>1.7144444444444444</v>
      </c>
      <c r="L28" s="16">
        <f>1+3/60+29/3600</f>
        <v>1.0580555555555555</v>
      </c>
      <c r="M28" s="16">
        <f>0+7/60+54/3600</f>
        <v>0.13166666666666665</v>
      </c>
    </row>
    <row r="29" spans="1:13" x14ac:dyDescent="0.25">
      <c r="A29" s="14">
        <v>27</v>
      </c>
      <c r="B29" s="16">
        <f>0+-51/60+-29/3600</f>
        <v>-0.85805555555555557</v>
      </c>
      <c r="C29" s="16">
        <f>-1+-35/60+-47/3600</f>
        <v>-1.5963888888888891</v>
      </c>
      <c r="D29" s="16">
        <f>-1+-55/60+-13/3600</f>
        <v>-1.9202777777777775</v>
      </c>
      <c r="E29" s="16">
        <f>-1+-43/60+-54/3600</f>
        <v>-1.7316666666666667</v>
      </c>
      <c r="F29" s="16">
        <f>-1+-4/60+-3/3600</f>
        <v>-1.0674999999999999</v>
      </c>
      <c r="G29" s="16">
        <f>0+-6/60+-11/3600</f>
        <v>-0.10305555555555557</v>
      </c>
      <c r="H29" s="16">
        <f>0+53/60+27/3600</f>
        <v>0.89083333333333325</v>
      </c>
      <c r="I29" s="16">
        <f>1+38/60+0/3600</f>
        <v>1.6333333333333333</v>
      </c>
      <c r="J29" s="16">
        <f>1+55/60+28/3600</f>
        <v>1.9244444444444444</v>
      </c>
      <c r="K29" s="16">
        <f>1+41/60+57/3600</f>
        <v>1.6991666666666667</v>
      </c>
      <c r="L29" s="16">
        <f>1+1/60+50/3600</f>
        <v>1.0305555555555554</v>
      </c>
      <c r="M29" s="16">
        <f>0+5/60+55/3600</f>
        <v>9.8611111111111108E-2</v>
      </c>
    </row>
    <row r="30" spans="1:13" x14ac:dyDescent="0.25">
      <c r="A30" s="14">
        <v>28</v>
      </c>
      <c r="B30" s="16">
        <f>0+-53/60+-15/3600</f>
        <v>-0.88749999999999996</v>
      </c>
      <c r="C30" s="16">
        <f>-1+-36/60+-13/3600</f>
        <v>-1.6036111111111111</v>
      </c>
      <c r="D30" s="16">
        <f>-1+-55/60+-21/3600</f>
        <v>-1.9224999999999999</v>
      </c>
      <c r="E30" s="16">
        <f>-1+-43/60+0/3600</f>
        <v>-1.7166666666666668</v>
      </c>
      <c r="F30" s="16">
        <f>-1+-2/60+-19/3600</f>
        <v>-1.0386111111111112</v>
      </c>
      <c r="G30" s="16">
        <f>0+-4/60+-7/3600</f>
        <v>-6.8611111111111109E-2</v>
      </c>
      <c r="H30" s="16">
        <f>0+55/60+15/3600</f>
        <v>0.92083333333333328</v>
      </c>
      <c r="I30" s="16">
        <f>1+39/60+4/3600</f>
        <v>1.651111111111111</v>
      </c>
      <c r="J30" s="16">
        <f>1+55/60+31/3600</f>
        <v>1.9252777777777776</v>
      </c>
      <c r="K30" s="16">
        <f>1+40/60+59/3600</f>
        <v>1.6830555555555553</v>
      </c>
      <c r="L30" s="16">
        <f>1+0/60+9/3600</f>
        <v>1.0024999999999999</v>
      </c>
      <c r="M30" s="16">
        <f>0+3/60+57/3600</f>
        <v>6.5833333333333341E-2</v>
      </c>
    </row>
    <row r="31" spans="1:13" x14ac:dyDescent="0.25">
      <c r="A31" s="14">
        <v>29</v>
      </c>
      <c r="B31" s="16">
        <f>0+-55/60+0/3600</f>
        <v>-0.91666666666666663</v>
      </c>
      <c r="C31" s="16">
        <f>-1+-37/60+-57/3600</f>
        <v>-1.6325000000000001</v>
      </c>
      <c r="D31" s="16">
        <f>-1+-55/60+-27/3600</f>
        <v>-1.9241666666666666</v>
      </c>
      <c r="E31" s="16">
        <f>-1+-42/60+-4/3600</f>
        <v>-1.701111111111111</v>
      </c>
      <c r="F31" s="16">
        <f>-1+0/60+-35/3600</f>
        <v>-1.0097222222222222</v>
      </c>
      <c r="G31" s="16">
        <f>0+-2/60+-4/3600</f>
        <v>-3.4444444444444444E-2</v>
      </c>
      <c r="H31" s="16">
        <f>0+57/60+3/3600</f>
        <v>0.95083333333333331</v>
      </c>
      <c r="I31" s="16">
        <f>1+40/60+6/3600</f>
        <v>1.6683333333333332</v>
      </c>
      <c r="J31" s="16">
        <f>1+55/60+32/3600</f>
        <v>1.9255555555555555</v>
      </c>
      <c r="K31" s="16">
        <f>1+40/60+0/3600</f>
        <v>1.6666666666666665</v>
      </c>
      <c r="L31" s="16">
        <f>0+58/60+27/3600</f>
        <v>0.97416666666666663</v>
      </c>
      <c r="M31" s="16">
        <f>0+1/60+59/3600</f>
        <v>3.305555555555556E-2</v>
      </c>
    </row>
    <row r="32" spans="1:13" x14ac:dyDescent="0.25">
      <c r="A32" s="14">
        <v>30</v>
      </c>
      <c r="B32" s="16">
        <f>0+-56/60+-44/3600</f>
        <v>-0.94555555555555559</v>
      </c>
      <c r="C32" s="16">
        <f>-1+-39/60+0/3600</f>
        <v>-1.65</v>
      </c>
      <c r="D32" s="16">
        <f>-1+-55/60+-30/3600</f>
        <v>-1.9249999999999998</v>
      </c>
      <c r="E32" s="16">
        <f>-1+-41/60+-6/3600</f>
        <v>-1.6850000000000001</v>
      </c>
      <c r="F32" s="16">
        <f>-1+-58/60+-50/3600</f>
        <v>-1.9805555555555556</v>
      </c>
      <c r="G32" s="16">
        <f>0</f>
        <v>0</v>
      </c>
      <c r="H32" s="16">
        <f>0+58/60+50/3600</f>
        <v>0.98055555555555551</v>
      </c>
      <c r="I32" s="16">
        <f>1+41/60+6/3600</f>
        <v>1.6850000000000001</v>
      </c>
      <c r="J32" s="16">
        <f>1+55/60+30/3600</f>
        <v>1.9249999999999998</v>
      </c>
      <c r="K32" s="16">
        <f>1+39/60+0/3600</f>
        <v>1.65</v>
      </c>
      <c r="L32" s="16">
        <f>0+56/60+44/3600</f>
        <v>0.94555555555555559</v>
      </c>
      <c r="M32" s="16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Tahun</vt:lpstr>
      <vt:lpstr>Bulan</vt:lpstr>
      <vt:lpstr>TahunMaj</vt:lpstr>
      <vt:lpstr>TahunMab</vt:lpstr>
      <vt:lpstr>Hari</vt:lpstr>
      <vt:lpstr>Jam</vt:lpstr>
      <vt:lpstr>Menit</vt:lpstr>
      <vt:lpstr>Tafawut</vt:lpstr>
      <vt:lpstr>TadilA0</vt:lpstr>
      <vt:lpstr>TadilC0D0</vt:lpstr>
      <vt:lpstr>TadilC1D1</vt:lpstr>
      <vt:lpstr>TadilC2</vt:lpstr>
      <vt:lpstr>TadilC3</vt:lpstr>
      <vt:lpstr>TadilE0</vt:lpstr>
      <vt:lpstr>TadilC4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helmi</dc:creator>
  <cp:lastModifiedBy>ahmad helmi</cp:lastModifiedBy>
  <dcterms:created xsi:type="dcterms:W3CDTF">2024-11-08T06:35:19Z</dcterms:created>
  <dcterms:modified xsi:type="dcterms:W3CDTF">2024-11-25T04:14:59Z</dcterms:modified>
</cp:coreProperties>
</file>