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OM_science\Science activities\Calculations\Aerosolphysik\"/>
    </mc:Choice>
  </mc:AlternateContent>
  <xr:revisionPtr revIDLastSave="0" documentId="8_{018A0A54-7AE6-4E88-922E-266237B19087}" xr6:coauthVersionLast="45" xr6:coauthVersionMax="45" xr10:uidLastSave="{00000000-0000-0000-0000-000000000000}"/>
  <bookViews>
    <workbookView xWindow="32640" yWindow="1920" windowWidth="23040" windowHeight="12204"/>
  </bookViews>
  <sheets>
    <sheet name="AEROSO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6" i="1" l="1"/>
  <c r="B752" i="1"/>
  <c r="B753" i="1" s="1"/>
  <c r="B750" i="1"/>
  <c r="B748" i="1"/>
  <c r="B732" i="1"/>
  <c r="B730" i="1"/>
  <c r="B731" i="1" s="1"/>
  <c r="B734" i="1" s="1"/>
  <c r="B729" i="1"/>
  <c r="B728" i="1"/>
  <c r="B198" i="1"/>
  <c r="B199" i="1" s="1"/>
  <c r="D199" i="1" s="1"/>
  <c r="B197" i="1"/>
  <c r="B157" i="1"/>
  <c r="B32" i="1"/>
  <c r="B31" i="1"/>
  <c r="B19" i="1"/>
  <c r="B1359" i="1"/>
  <c r="B1264" i="1"/>
  <c r="B1268" i="1" s="1"/>
  <c r="B1202" i="1"/>
  <c r="B938" i="1"/>
  <c r="B903" i="1"/>
  <c r="B910" i="1" s="1"/>
  <c r="B831" i="1"/>
  <c r="B769" i="1"/>
  <c r="B749" i="1"/>
  <c r="B709" i="1"/>
  <c r="B689" i="1"/>
  <c r="B665" i="1"/>
  <c r="B670" i="1" s="1"/>
  <c r="B671" i="1" s="1"/>
  <c r="B625" i="1"/>
  <c r="B603" i="1"/>
  <c r="B582" i="1"/>
  <c r="B584" i="1" s="1"/>
  <c r="B559" i="1"/>
  <c r="B534" i="1"/>
  <c r="B507" i="1"/>
  <c r="B509" i="1" s="1"/>
  <c r="B419" i="1"/>
  <c r="B308" i="1"/>
  <c r="B264" i="1"/>
  <c r="B266" i="1" s="1"/>
  <c r="B248" i="1"/>
  <c r="B232" i="1"/>
  <c r="B184" i="1"/>
  <c r="B186" i="1" s="1"/>
  <c r="B18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B20" i="1"/>
  <c r="B21" i="1" s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B33" i="1"/>
  <c r="I33" i="1"/>
  <c r="I34" i="1"/>
  <c r="I35" i="1"/>
  <c r="I36" i="1"/>
  <c r="I37" i="1"/>
  <c r="I38" i="1"/>
  <c r="I39" i="1"/>
  <c r="I40" i="1"/>
  <c r="I41" i="1"/>
  <c r="B42" i="1"/>
  <c r="B43" i="1" s="1"/>
  <c r="I42" i="1"/>
  <c r="I43" i="1"/>
  <c r="I44" i="1"/>
  <c r="I45" i="1"/>
  <c r="I46" i="1"/>
  <c r="I47" i="1"/>
  <c r="I48" i="1"/>
  <c r="I49" i="1"/>
  <c r="I50" i="1"/>
  <c r="B51" i="1"/>
  <c r="I51" i="1"/>
  <c r="I52" i="1"/>
  <c r="I53" i="1"/>
  <c r="I54" i="1"/>
  <c r="I55" i="1"/>
  <c r="I56" i="1"/>
  <c r="I57" i="1"/>
  <c r="I58" i="1"/>
  <c r="I59" i="1"/>
  <c r="I60" i="1"/>
  <c r="B61" i="1"/>
  <c r="B62" i="1"/>
  <c r="I61" i="1"/>
  <c r="I62" i="1"/>
  <c r="I63" i="1"/>
  <c r="I64" i="1"/>
  <c r="I65" i="1"/>
  <c r="I66" i="1"/>
  <c r="I67" i="1"/>
  <c r="I68" i="1"/>
  <c r="I69" i="1"/>
  <c r="I70" i="1"/>
  <c r="I71" i="1"/>
  <c r="B72" i="1"/>
  <c r="I72" i="1"/>
  <c r="I73" i="1"/>
  <c r="I74" i="1"/>
  <c r="I75" i="1"/>
  <c r="I76" i="1"/>
  <c r="I77" i="1"/>
  <c r="I78" i="1"/>
  <c r="I79" i="1"/>
  <c r="I80" i="1"/>
  <c r="I81" i="1"/>
  <c r="I82" i="1"/>
  <c r="B83" i="1"/>
  <c r="B84" i="1" s="1"/>
  <c r="I83" i="1"/>
  <c r="I84" i="1"/>
  <c r="I85" i="1"/>
  <c r="I86" i="1"/>
  <c r="I87" i="1"/>
  <c r="I88" i="1"/>
  <c r="I89" i="1"/>
  <c r="I90" i="1"/>
  <c r="I91" i="1"/>
  <c r="B92" i="1"/>
  <c r="I92" i="1"/>
  <c r="I93" i="1"/>
  <c r="I94" i="1"/>
  <c r="I95" i="1"/>
  <c r="I96" i="1"/>
  <c r="I97" i="1"/>
  <c r="I98" i="1"/>
  <c r="I99" i="1"/>
  <c r="I100" i="1"/>
  <c r="I101" i="1"/>
  <c r="B103" i="1"/>
  <c r="B104" i="1"/>
  <c r="B105" i="1"/>
  <c r="B115" i="1"/>
  <c r="B116" i="1"/>
  <c r="B119" i="1" s="1"/>
  <c r="B117" i="1"/>
  <c r="B120" i="1"/>
  <c r="B130" i="1"/>
  <c r="B132" i="1" s="1"/>
  <c r="B133" i="1" s="1"/>
  <c r="B131" i="1"/>
  <c r="B144" i="1"/>
  <c r="B146" i="1"/>
  <c r="B147" i="1" s="1"/>
  <c r="B145" i="1"/>
  <c r="B158" i="1"/>
  <c r="B161" i="1" s="1"/>
  <c r="B159" i="1"/>
  <c r="B160" i="1" s="1"/>
  <c r="B172" i="1"/>
  <c r="B174" i="1" s="1"/>
  <c r="B173" i="1"/>
  <c r="B185" i="1"/>
  <c r="B208" i="1"/>
  <c r="B233" i="1"/>
  <c r="B235" i="1"/>
  <c r="B249" i="1"/>
  <c r="B250" i="1" s="1"/>
  <c r="B252" i="1" s="1"/>
  <c r="B253" i="1" s="1"/>
  <c r="B251" i="1"/>
  <c r="B265" i="1"/>
  <c r="B280" i="1"/>
  <c r="B281" i="1" s="1"/>
  <c r="B282" i="1"/>
  <c r="B283" i="1" s="1"/>
  <c r="B284" i="1" s="1"/>
  <c r="B295" i="1"/>
  <c r="B296" i="1"/>
  <c r="B297" i="1"/>
  <c r="B309" i="1"/>
  <c r="B310" i="1"/>
  <c r="B322" i="1"/>
  <c r="B323" i="1"/>
  <c r="B334" i="1"/>
  <c r="B345" i="1"/>
  <c r="B353" i="1"/>
  <c r="B357" i="1" s="1"/>
  <c r="D354" i="1"/>
  <c r="B365" i="1"/>
  <c r="B370" i="1" s="1"/>
  <c r="D367" i="1"/>
  <c r="B379" i="1"/>
  <c r="B384" i="1" s="1"/>
  <c r="B380" i="1"/>
  <c r="B390" i="1"/>
  <c r="B400" i="1" s="1"/>
  <c r="B393" i="1"/>
  <c r="B410" i="1"/>
  <c r="B418" i="1" s="1"/>
  <c r="B420" i="1"/>
  <c r="B423" i="1"/>
  <c r="B421" i="1"/>
  <c r="B422" i="1" s="1"/>
  <c r="B424" i="1" s="1"/>
  <c r="B433" i="1"/>
  <c r="B434" i="1"/>
  <c r="B435" i="1"/>
  <c r="B446" i="1"/>
  <c r="B447" i="1"/>
  <c r="B448" i="1"/>
  <c r="C452" i="1" s="1"/>
  <c r="B462" i="1"/>
  <c r="B463" i="1"/>
  <c r="B473" i="1"/>
  <c r="B474" i="1" s="1"/>
  <c r="B483" i="1"/>
  <c r="B484" i="1" s="1"/>
  <c r="B493" i="1"/>
  <c r="B508" i="1"/>
  <c r="B512" i="1" s="1"/>
  <c r="B513" i="1" s="1"/>
  <c r="B510" i="1"/>
  <c r="B518" i="1"/>
  <c r="B535" i="1"/>
  <c r="B536" i="1"/>
  <c r="B537" i="1"/>
  <c r="B538" i="1" s="1"/>
  <c r="C542" i="1"/>
  <c r="C544" i="1"/>
  <c r="B556" i="1"/>
  <c r="B561" i="1" s="1"/>
  <c r="B560" i="1"/>
  <c r="B562" i="1"/>
  <c r="B564" i="1" s="1"/>
  <c r="C577" i="1"/>
  <c r="C580" i="1"/>
  <c r="B583" i="1"/>
  <c r="B586" i="1"/>
  <c r="B585" i="1"/>
  <c r="B588" i="1"/>
  <c r="B589" i="1"/>
  <c r="B599" i="1"/>
  <c r="B608" i="1" s="1"/>
  <c r="B604" i="1"/>
  <c r="B607" i="1" s="1"/>
  <c r="B611" i="1" s="1"/>
  <c r="B606" i="1"/>
  <c r="B626" i="1"/>
  <c r="B627" i="1"/>
  <c r="D627" i="1" s="1"/>
  <c r="B628" i="1"/>
  <c r="B629" i="1"/>
  <c r="B635" i="1" s="1"/>
  <c r="B650" i="1"/>
  <c r="B651" i="1"/>
  <c r="B652" i="1"/>
  <c r="B653" i="1" s="1"/>
  <c r="B666" i="1"/>
  <c r="B669" i="1"/>
  <c r="B672" i="1" s="1"/>
  <c r="B667" i="1"/>
  <c r="B687" i="1"/>
  <c r="B691" i="1"/>
  <c r="C691" i="1" s="1"/>
  <c r="B690" i="1"/>
  <c r="B692" i="1"/>
  <c r="B693" i="1" s="1"/>
  <c r="B694" i="1" s="1"/>
  <c r="B695" i="1" s="1"/>
  <c r="B696" i="1" s="1"/>
  <c r="B697" i="1" s="1"/>
  <c r="B710" i="1"/>
  <c r="B713" i="1" s="1"/>
  <c r="B711" i="1"/>
  <c r="B712" i="1"/>
  <c r="B714" i="1" s="1"/>
  <c r="B715" i="1" s="1"/>
  <c r="B751" i="1"/>
  <c r="B770" i="1"/>
  <c r="B771" i="1" s="1"/>
  <c r="B772" i="1"/>
  <c r="B773" i="1" s="1"/>
  <c r="B774" i="1" s="1"/>
  <c r="B775" i="1" s="1"/>
  <c r="B788" i="1"/>
  <c r="B790" i="1" s="1"/>
  <c r="B791" i="1" s="1"/>
  <c r="B789" i="1"/>
  <c r="B805" i="1"/>
  <c r="B807" i="1"/>
  <c r="B808" i="1" s="1"/>
  <c r="B806" i="1"/>
  <c r="B816" i="1"/>
  <c r="B817" i="1"/>
  <c r="B818" i="1"/>
  <c r="B819" i="1"/>
  <c r="B820" i="1"/>
  <c r="B832" i="1"/>
  <c r="B833" i="1"/>
  <c r="B847" i="1"/>
  <c r="B848" i="1"/>
  <c r="B857" i="1" s="1"/>
  <c r="B858" i="1" s="1"/>
  <c r="B851" i="1"/>
  <c r="B854" i="1"/>
  <c r="B853" i="1"/>
  <c r="B871" i="1"/>
  <c r="B872" i="1"/>
  <c r="B875" i="1" s="1"/>
  <c r="B873" i="1"/>
  <c r="B887" i="1"/>
  <c r="B891" i="1" s="1"/>
  <c r="B888" i="1"/>
  <c r="B889" i="1"/>
  <c r="B904" i="1"/>
  <c r="B905" i="1" s="1"/>
  <c r="B909" i="1" s="1"/>
  <c r="B912" i="1" s="1"/>
  <c r="B906" i="1"/>
  <c r="B908" i="1"/>
  <c r="B925" i="1"/>
  <c r="B939" i="1"/>
  <c r="B940" i="1" s="1"/>
  <c r="B949" i="1"/>
  <c r="D956" i="1"/>
  <c r="B959" i="1"/>
  <c r="B968" i="1"/>
  <c r="B977" i="1"/>
  <c r="B980" i="1" s="1"/>
  <c r="B985" i="1"/>
  <c r="B990" i="1"/>
  <c r="B987" i="1"/>
  <c r="B995" i="1"/>
  <c r="B1002" i="1"/>
  <c r="B996" i="1"/>
  <c r="B999" i="1"/>
  <c r="B1007" i="1"/>
  <c r="B1015" i="1" s="1"/>
  <c r="B1008" i="1"/>
  <c r="B1016" i="1" s="1"/>
  <c r="B1009" i="1"/>
  <c r="B1012" i="1"/>
  <c r="B1025" i="1"/>
  <c r="B1033" i="1"/>
  <c r="D1040" i="1"/>
  <c r="D1041" i="1"/>
  <c r="A1044" i="1"/>
  <c r="B1044" i="1"/>
  <c r="B1054" i="1"/>
  <c r="B1055" i="1"/>
  <c r="B1056" i="1" s="1"/>
  <c r="B1065" i="1"/>
  <c r="B1070" i="1" s="1"/>
  <c r="B1067" i="1"/>
  <c r="B1068" i="1"/>
  <c r="B1069" i="1"/>
  <c r="B1080" i="1"/>
  <c r="B1089" i="1"/>
  <c r="B1093" i="1" s="1"/>
  <c r="B1099" i="1"/>
  <c r="B1102" i="1"/>
  <c r="B1109" i="1"/>
  <c r="B1110" i="1"/>
  <c r="B1118" i="1"/>
  <c r="D1124" i="1"/>
  <c r="B1127" i="1"/>
  <c r="B1128" i="1"/>
  <c r="C1128" i="1"/>
  <c r="B1136" i="1"/>
  <c r="B1148" i="1"/>
  <c r="B1151" i="1"/>
  <c r="B1152" i="1"/>
  <c r="B1154" i="1"/>
  <c r="B1168" i="1"/>
  <c r="B1170" i="1"/>
  <c r="B1172" i="1"/>
  <c r="B1173" i="1"/>
  <c r="B1174" i="1" s="1"/>
  <c r="B1175" i="1" s="1"/>
  <c r="B1188" i="1"/>
  <c r="B1189" i="1" s="1"/>
  <c r="B1201" i="1"/>
  <c r="B1203" i="1" s="1"/>
  <c r="B1216" i="1"/>
  <c r="B1219" i="1" s="1"/>
  <c r="B1217" i="1"/>
  <c r="B1234" i="1"/>
  <c r="B1250" i="1"/>
  <c r="B1265" i="1"/>
  <c r="B1266" i="1"/>
  <c r="B1267" i="1"/>
  <c r="B1271" i="1" s="1"/>
  <c r="B1272" i="1" s="1"/>
  <c r="B1285" i="1"/>
  <c r="B1286" i="1"/>
  <c r="B1287" i="1" s="1"/>
  <c r="B1304" i="1"/>
  <c r="B1305" i="1"/>
  <c r="B1306" i="1" s="1"/>
  <c r="B1307" i="1" s="1"/>
  <c r="B1308" i="1" s="1"/>
  <c r="B1321" i="1"/>
  <c r="B1322" i="1"/>
  <c r="B1323" i="1"/>
  <c r="B1324" i="1" s="1"/>
  <c r="B1325" i="1" s="1"/>
  <c r="B1337" i="1"/>
  <c r="B1339" i="1"/>
  <c r="B1340" i="1"/>
  <c r="B1341" i="1"/>
  <c r="B1343" i="1"/>
  <c r="B1356" i="1"/>
  <c r="B1357" i="1"/>
  <c r="B1360" i="1"/>
  <c r="B1364" i="1" s="1"/>
  <c r="B1365" i="1" s="1"/>
  <c r="B1361" i="1"/>
  <c r="B1362" i="1"/>
  <c r="B1363" i="1"/>
  <c r="B1366" i="1" s="1"/>
  <c r="B1378" i="1"/>
  <c r="B1379" i="1" s="1"/>
  <c r="B1380" i="1" s="1"/>
  <c r="B1390" i="1"/>
  <c r="B1391" i="1"/>
  <c r="B1392" i="1"/>
  <c r="B1396" i="1" s="1"/>
  <c r="B1393" i="1"/>
  <c r="B1397" i="1"/>
  <c r="C1405" i="1"/>
  <c r="C1406" i="1"/>
  <c r="B1410" i="1"/>
  <c r="B1420" i="1"/>
  <c r="B1421" i="1"/>
  <c r="B1422" i="1"/>
  <c r="D1431" i="1"/>
  <c r="B1433" i="1"/>
  <c r="B1434" i="1"/>
  <c r="B1435" i="1" s="1"/>
  <c r="B1436" i="1" s="1"/>
  <c r="B1437" i="1"/>
  <c r="B1448" i="1"/>
  <c r="B1449" i="1" s="1"/>
  <c r="B1450" i="1" s="1"/>
  <c r="B1459" i="1"/>
  <c r="B1460" i="1"/>
  <c r="B630" i="1"/>
  <c r="B451" i="1"/>
  <c r="B1395" i="1"/>
  <c r="B1153" i="1"/>
  <c r="B1156" i="1"/>
  <c r="B1157" i="1" s="1"/>
  <c r="B1399" i="1"/>
  <c r="B1155" i="1"/>
  <c r="B1342" i="1"/>
  <c r="B1344" i="1" s="1"/>
  <c r="B1345" i="1" s="1"/>
  <c r="B1269" i="1"/>
  <c r="B1270" i="1" s="1"/>
  <c r="B855" i="1"/>
  <c r="B856" i="1" s="1"/>
  <c r="B668" i="1"/>
  <c r="B673" i="1" s="1"/>
  <c r="B587" i="1"/>
  <c r="B590" i="1" s="1"/>
  <c r="B591" i="1" s="1"/>
  <c r="B1346" i="1"/>
  <c r="C587" i="1"/>
  <c r="B610" i="1" l="1"/>
  <c r="D608" i="1"/>
  <c r="B609" i="1"/>
  <c r="B733" i="1"/>
  <c r="B676" i="1"/>
  <c r="B675" i="1"/>
  <c r="B674" i="1"/>
  <c r="B1367" i="1"/>
  <c r="B267" i="1"/>
  <c r="D267" i="1"/>
  <c r="B1290" i="1"/>
  <c r="B1291" i="1" s="1"/>
  <c r="B1288" i="1"/>
  <c r="B1289" i="1" s="1"/>
  <c r="B517" i="1"/>
  <c r="B514" i="1"/>
  <c r="B1368" i="1"/>
  <c r="B754" i="1"/>
  <c r="B755" i="1"/>
  <c r="B756" i="1" s="1"/>
  <c r="B911" i="1"/>
  <c r="B1394" i="1"/>
  <c r="B874" i="1"/>
  <c r="B449" i="1"/>
  <c r="B539" i="1"/>
  <c r="B1398" i="1"/>
  <c r="B605" i="1"/>
  <c r="C451" i="1"/>
  <c r="B311" i="1"/>
  <c r="B312" i="1" s="1"/>
  <c r="B118" i="1"/>
  <c r="B511" i="1"/>
  <c r="B515" i="1" s="1"/>
  <c r="B516" i="1" s="1"/>
  <c r="B452" i="1"/>
  <c r="B631" i="1"/>
  <c r="B890" i="1"/>
  <c r="B849" i="1"/>
  <c r="B850" i="1" s="1"/>
  <c r="B852" i="1" s="1"/>
  <c r="B859" i="1" s="1"/>
  <c r="B860" i="1" s="1"/>
  <c r="B563" i="1"/>
  <c r="B565" i="1" s="1"/>
  <c r="B566" i="1" s="1"/>
  <c r="B567" i="1" s="1"/>
  <c r="B399" i="1"/>
  <c r="B450" i="1"/>
  <c r="B907" i="1"/>
  <c r="B632" i="1" l="1"/>
  <c r="B633" i="1" s="1"/>
  <c r="B634" i="1" s="1"/>
  <c r="C756" i="1"/>
  <c r="C754" i="1"/>
  <c r="B736" i="1"/>
  <c r="B735" i="1"/>
  <c r="B915" i="1"/>
  <c r="B913" i="1"/>
  <c r="B519" i="1"/>
  <c r="B540" i="1"/>
  <c r="B543" i="1"/>
  <c r="B544" i="1" s="1"/>
  <c r="B541" i="1"/>
  <c r="B542" i="1" s="1"/>
  <c r="B914" i="1"/>
  <c r="B236" i="1"/>
  <c r="B237" i="1"/>
  <c r="B234" i="1"/>
  <c r="B1251" i="1"/>
  <c r="B1252" i="1"/>
  <c r="B219" i="1"/>
  <c r="B220" i="1"/>
  <c r="B218" i="1"/>
  <c r="B1179" i="1"/>
  <c r="B1177" i="1"/>
  <c r="B1178" i="1"/>
  <c r="B1176" i="1"/>
</calcChain>
</file>

<file path=xl/sharedStrings.xml><?xml version="1.0" encoding="utf-8"?>
<sst xmlns="http://schemas.openxmlformats.org/spreadsheetml/2006/main" count="2710" uniqueCount="813">
  <si>
    <t>Aerosol Calculations</t>
  </si>
  <si>
    <t>INDEX</t>
  </si>
  <si>
    <t>by Paul Baron                43 Arcadia Place, Cincinnati OH</t>
  </si>
  <si>
    <t xml:space="preserve"> Copyright 1987-1992</t>
  </si>
  <si>
    <t>-Location-</t>
  </si>
  <si>
    <t>-Calculation-</t>
  </si>
  <si>
    <t>Particle Reynolds Number (W&amp;B 3-1)</t>
  </si>
  <si>
    <t>Tube Reynolds Number (W&amp;B 3-1; Hinds 2-41)</t>
  </si>
  <si>
    <t>Air pressure from ideal gas law (W&amp;B 3-3)</t>
  </si>
  <si>
    <t>Gas molecular velocity (W&amp;B 3-5)</t>
  </si>
  <si>
    <t>Molecular mean free path (use constants for appropriate gas) (W&amp;B 3-6)</t>
  </si>
  <si>
    <t>Note-----&gt;</t>
  </si>
  <si>
    <t>Many equations from Willeke and Baron (W&amp;B), Aerosol Measurement, Van Nostrand Reinhold 1992</t>
  </si>
  <si>
    <t>Gas viscosity (W&amp;B 3-10; Rader, J. Aerosol Sci. 21:2 161-168 )</t>
  </si>
  <si>
    <t>and from Hinds, Aerosol Technology, J. Wiley and Sons, 1982</t>
  </si>
  <si>
    <t>Knudsen number (W&amp;B 3-7)</t>
  </si>
  <si>
    <t>Air Density</t>
  </si>
  <si>
    <t>*</t>
  </si>
  <si>
    <t>Slip Correction Factor (W&amp;B 3-9; Hinds 3-22)</t>
  </si>
  <si>
    <t>Root mean square Brownian displacement (Hinds 7-18)</t>
  </si>
  <si>
    <t>Peclet Number (W&amp;B 3-16)</t>
  </si>
  <si>
    <t>Temperature</t>
  </si>
  <si>
    <t xml:space="preserve"> degrees Kelvin</t>
  </si>
  <si>
    <t>Schmidt Number (W&amp;B 3-17)</t>
  </si>
  <si>
    <t>Pressure</t>
  </si>
  <si>
    <t xml:space="preserve"> Kilopascals</t>
  </si>
  <si>
    <t>Drag force on a particle (Hinds 3-18; W&amp;B 3-22)</t>
  </si>
  <si>
    <t>Particle diameter</t>
  </si>
  <si>
    <t xml:space="preserve"> µm</t>
  </si>
  <si>
    <t>Drag coefficient of a sphere (W&amp;B 3-19, 23, 24)</t>
  </si>
  <si>
    <t>Particle velocity</t>
  </si>
  <si>
    <t xml:space="preserve"> cm/sec</t>
  </si>
  <si>
    <t>Particle settling velocity in Stokes regime (W&amp;B 3-28; Hinds 3-21)</t>
  </si>
  <si>
    <t>-</t>
  </si>
  <si>
    <t>Aerodynamic Diameter from physical diameter of a particle (doesn't take slip correction or shape factor into account)</t>
  </si>
  <si>
    <t xml:space="preserve">Air density = </t>
  </si>
  <si>
    <t xml:space="preserve"> g/cm^3</t>
  </si>
  <si>
    <t>Physical diameter from aerodynamic diameter (Raabe, APCA J. 26:856-80 (1976))</t>
  </si>
  <si>
    <t xml:space="preserve">Air viscosity = </t>
  </si>
  <si>
    <t xml:space="preserve"> poise</t>
  </si>
  <si>
    <t>Settling velocity at high Re (W&amp;B 3-33)</t>
  </si>
  <si>
    <t xml:space="preserve">Reynolds number = </t>
  </si>
  <si>
    <t>If Re &lt; 0.1 then flow is laminar</t>
  </si>
  <si>
    <t>Stopping distance, relaxation time for a moving particle (W&amp;B 3-34, 3-36; Hinds 5-19, 20, 21)</t>
  </si>
  <si>
    <t>Stopping distance at higher Re (W&amp;B 3-37)</t>
  </si>
  <si>
    <t>Stokes Number  (W&amp;B 3-39; Hinds eqn 5-24)</t>
  </si>
  <si>
    <t>Particle velocity in electric field (W&amp;B 3-43; Hinds 15-16)</t>
  </si>
  <si>
    <t>Thermophoretic velocity (W&amp;B 3-50, 52; Hinds 8-2, 8-4)</t>
  </si>
  <si>
    <t>Saturation vapor pressure of some liquids (W&amp;B 4-1, 19-1, 19-2; Hinds 13.2)</t>
  </si>
  <si>
    <t>Kelvin diameter is the diameter of a drop that neither shrinks nor grows at a specific saturation vapor pressure ratio (W&amp;B 4-2, 19-3; Hinds eqn 13.5)</t>
  </si>
  <si>
    <t>Tube diameter</t>
  </si>
  <si>
    <t xml:space="preserve"> cm</t>
  </si>
  <si>
    <t>Saturation vapor pressure ratio of a droplet at Kelvin diameter (W&amp;B 4-2)</t>
  </si>
  <si>
    <t>Air velocity</t>
  </si>
  <si>
    <t>Rate of droplet  growth due to condensation for droplet smaller than mean free path (W&amp;B 4-3; Hinds 13-10)</t>
  </si>
  <si>
    <t>Rate of droplet  growth due to condensation for droplet larger than mean free path (W&amp;B 4-4; Hinds 13-13)</t>
  </si>
  <si>
    <t>Droplet evaporation time (W&amp;B 4-7; Hinds 13-18)</t>
  </si>
  <si>
    <t>If Re &lt; 2000 then flow is laminar</t>
  </si>
  <si>
    <t>Diameter of low vapor pressure or large droplet evaporating in given time (Hinds13-17, 13-18)</t>
  </si>
  <si>
    <t>If Re &gt; 4000 then flow is turbulent</t>
  </si>
  <si>
    <t>Droplet diameter when drying time = settling time (Kukkonen et al. J. Aerosol Sci. 7:749-763,1989)</t>
  </si>
  <si>
    <t>Coagulation coefficient (W&amp;B 4-9; Hinds 12-9)</t>
  </si>
  <si>
    <t>Time dependent coagulation, monodisperse aerosol (W&amp;B 4-10, 4-12; Hinds 12-12,12-15)</t>
  </si>
  <si>
    <t>Coagulation: number concentration and particle volume after a time (W&amp;B 4-10, 4-11; Hinds 12-12, 12-14)</t>
  </si>
  <si>
    <t>Polydisperse coagulation coefficient (W&amp;B 4-13)</t>
  </si>
  <si>
    <t>Particle size from vibrating orifice generator (W&amp;B 5-1, 5-2; Hinds 20-3)</t>
  </si>
  <si>
    <t>Gas density</t>
  </si>
  <si>
    <t xml:space="preserve"> = 1.1.92E-3 g/cm^3 for air at NTP</t>
  </si>
  <si>
    <t xml:space="preserve"> Aerosol from nebulized suspension of particles containing single particles, i.e., no multiplets (W&amp;B 5-7)</t>
  </si>
  <si>
    <t>Molecular weight</t>
  </si>
  <si>
    <t xml:space="preserve"> g/mole</t>
  </si>
  <si>
    <t xml:space="preserve"> = 28.96 for air</t>
  </si>
  <si>
    <t>Inlet efficiency for an isoaxial horizontal sharp-edged inlet: aspiration + transmission (W&amp;B 6-8, 6-14, 6-16, 6-18, Hinds 10-7)</t>
  </si>
  <si>
    <t>Aspiration efficiency-all forward angles (W&amp;B 6-20, 6-21, 6-22)</t>
  </si>
  <si>
    <t xml:space="preserve"> dyne/cm^2</t>
  </si>
  <si>
    <t>Gravitational losses in an inlet (W&amp;B 6-24)</t>
  </si>
  <si>
    <t xml:space="preserve"> kPascal</t>
  </si>
  <si>
    <t>Inertial losses in a sharp-edged inlet (W&amp;B 6-25, 6-26, 6-27, 6-28, 6-29)</t>
  </si>
  <si>
    <t>Sampling criteria in still air (W&amp;B 6-31 to 6-34; Hinds 10-10,10-12,10-15)</t>
  </si>
  <si>
    <t>Penetration efficiency of an inclined tube under laminar and turbulent flow conditions, gravitational settling (W&amp;B 6-37, 6-40)</t>
  </si>
  <si>
    <t>Particle concentration exiting a tube under turbulent flow conditions (W&amp;B 6-41)</t>
  </si>
  <si>
    <t>Diffusion losses in a tube--fraction passing through tube (W&amp;B 6-42, 6-43, 6-44, 19-12, 19-13)</t>
  </si>
  <si>
    <t>Penetration efficiency of a tube under turbulent flow conditions, inertial deposition (W&amp;B 6-47 to 6-51)</t>
  </si>
  <si>
    <t xml:space="preserve"> atomic units</t>
  </si>
  <si>
    <t>Turbulent diffusional losses in a tube (Hinds 7-32)</t>
  </si>
  <si>
    <t>Loss in a bent section of circular tubing (W&amp;B 6-52, 6-53)</t>
  </si>
  <si>
    <t xml:space="preserve">Gas molecular velocity = </t>
  </si>
  <si>
    <t>Losses in 90° bends of circular cross section tubing (turbulent flow)</t>
  </si>
  <si>
    <t>Loss at an abrupt contraction in circular tubing (W&amp;B 6-54, 17-25)</t>
  </si>
  <si>
    <t>Particle loss in an enclosed rectangular vessel undergoing uniform stirring (Hinds 3-36)</t>
  </si>
  <si>
    <t>Particle loss in an enclosed spherical vessel undergoing uniform stirring</t>
  </si>
  <si>
    <t>Hatch-Choate equations for lognormal distributions of spherical particles (W&amp;B 9-17, 9-18; Hinds 4-47)</t>
  </si>
  <si>
    <t>Filter efficiency (W&amp;B 10-1)</t>
  </si>
  <si>
    <t>Single fiber efficiencies (W&amp;B 10-5, 10-8, 10-11, 10-13; Hinds 9-13 to 9-33)</t>
  </si>
  <si>
    <t>m. f. p. (ref)</t>
  </si>
  <si>
    <t>Most penetrating size and minimum filter efficiency (W&amp;B 10-17, 10-18; Hinds 9-34, 9-35)</t>
  </si>
  <si>
    <t>Sutherland constant (S)</t>
  </si>
  <si>
    <t xml:space="preserve">Constants for viscosity and mean free path calculation </t>
  </si>
  <si>
    <t>Pressure drop across a fibrous filter (W&amp;B 10-21; Hinds 9-36)</t>
  </si>
  <si>
    <t>T(ref) = 296.15 and 760 mm Hg pressure</t>
  </si>
  <si>
    <t>Particle motion in an oscillating field (W&amp;B 17-4 to 17-13)</t>
  </si>
  <si>
    <t xml:space="preserve">Molecular mean free path = </t>
  </si>
  <si>
    <t>Gas</t>
  </si>
  <si>
    <t>µ(ref)</t>
  </si>
  <si>
    <t>S</t>
  </si>
  <si>
    <t>m.f.p.(ref)</t>
  </si>
  <si>
    <t>Gas velocity in a nozzle under compressible flow (W&amp;B 17-27)</t>
  </si>
  <si>
    <t xml:space="preserve">or = </t>
  </si>
  <si>
    <t>air</t>
  </si>
  <si>
    <t>Weber number is the ratio of the inertial to the surface tension forces (W&amp;B 17-32)</t>
  </si>
  <si>
    <t>Ar</t>
  </si>
  <si>
    <t>Sonic velocity (W&amp;B 17-34)</t>
  </si>
  <si>
    <t>He</t>
  </si>
  <si>
    <t>Average angular deflection of a fiber from alignment by an electric field due to Brownian motion (W&amp;B 17-35)</t>
  </si>
  <si>
    <t>H2</t>
  </si>
  <si>
    <t>Relative light scattering intensity as a function of fiber length (W&amp;B 17-36)</t>
  </si>
  <si>
    <t>CH4</t>
  </si>
  <si>
    <t>Number of charges accumulated on a particle due to field charging (W&amp;B 18-2; Hinds 15-25)</t>
  </si>
  <si>
    <t>C2H6</t>
  </si>
  <si>
    <t>Limiting electrical mobility of particles passing through a parallel plate mobility analyzer (W&amp;B 18-12)</t>
  </si>
  <si>
    <t>Reference temp. (T(ref))</t>
  </si>
  <si>
    <t>i-C4H10</t>
  </si>
  <si>
    <t>Mean electrical mobility of particles deposited near the end of a cylindrical mobility analyzer (W&amp;B 18-13)</t>
  </si>
  <si>
    <t>Reference viscosity (µ(ref))</t>
  </si>
  <si>
    <t xml:space="preserve"> micropoise</t>
  </si>
  <si>
    <t>N2O</t>
  </si>
  <si>
    <t>Mean electrical mobility of particles passing through the TSI differential mobility analyzer (W&amp;B 18-14)</t>
  </si>
  <si>
    <t>CO2</t>
  </si>
  <si>
    <t>Electrostatic force between two particles assuming point charges (Hinds 15-11)</t>
  </si>
  <si>
    <t>Electric field strength between parallel plates (Hinds 15-12)</t>
  </si>
  <si>
    <t xml:space="preserve">viscosity = </t>
  </si>
  <si>
    <t>Electric field strength between concentric tubes (Hinds 15-13)</t>
  </si>
  <si>
    <t>Electrical mobility of a charged particle (W&amp;B 18-8; Hinds 15-21)</t>
  </si>
  <si>
    <t>Terminal electrostatic drift velocity of a charged particle (W&amp;B 18-6, 18-7; Hinds 15-22)</t>
  </si>
  <si>
    <t>Number of charges accumulated by a particle due to diffusion charging (W&amp;B 18-1; Hinds 15-24)</t>
  </si>
  <si>
    <t>Number of charges accumulated on a particle due to combined diffusion and field charging under moderate conditions (W&amp;B 18-3)</t>
  </si>
  <si>
    <t>Saturation charge for field charging conditions--Pauthenier's limit (Hinds 15-26)</t>
  </si>
  <si>
    <t>Limiting number of charges on particles (Hinds 15-28)</t>
  </si>
  <si>
    <t>Rayleigh limit - maximum number of charges on a droplet before it shatters (Hinds 15-29)</t>
  </si>
  <si>
    <t>Boltzmann distribution - percentage of particles carrying a specific charge (W&amp;B 18-11; Hinds 15-31)</t>
  </si>
  <si>
    <t>Fraction of charge remaining on a particle after exposure to a bipolar ion cloud (Hinds 15-33)</t>
  </si>
  <si>
    <t xml:space="preserve">Loss of unipolar charged particles in a conductive tube due to space charge </t>
  </si>
  <si>
    <t xml:space="preserve"> Loss of unipolar particles in a conductive tube due to image forces </t>
  </si>
  <si>
    <t xml:space="preserve">Knudsen number = </t>
  </si>
  <si>
    <t>Coincidence loss in a particle counter (see also W&amp;B 15-30)</t>
  </si>
  <si>
    <t xml:space="preserve">Velocity distribution approaching Poiseuille flow in </t>
  </si>
  <si>
    <t>Saturation ratio as a function of particle size for a solute droplet (Hinds 13-14)</t>
  </si>
  <si>
    <t>Kelvin diameter is the diameter of an ideal solution drop that neither shrinks nor grows</t>
  </si>
  <si>
    <t xml:space="preserve">Air Density </t>
  </si>
  <si>
    <t>Droplet surface temperature of pure droplet or insoluble particle with wettable surface (W&amp;B 19-9; Hinds 13-20)</t>
  </si>
  <si>
    <t>Diffusion losses in a cylindrical tube--fraction passing through tube under laminar flow (W&amp;B 19-20, 19-21; Hinds 7-28, 7-29)</t>
  </si>
  <si>
    <t>Diffusion losses in rectangular tube (W&amp;B 19-22, 19-23; Hinds 7-33, 7-34)</t>
  </si>
  <si>
    <t>Diffusion penetration through circular parallel plates (W&amp;B 19-22, 19-24)</t>
  </si>
  <si>
    <t xml:space="preserve"> grams/cm^3</t>
  </si>
  <si>
    <t>Diffusion losses in an annular tube (W&amp;B 19-22, 19-24)</t>
  </si>
  <si>
    <t>Diffusional penetration through a screen (W&amp;B 19-25 to 19-29; Cheng, Yeh and Brinsko, Aerosol Sci. Tech. 4:165, 1985)</t>
  </si>
  <si>
    <t>Diffusion losses in a coiled tube (W&amp;B 19-35)</t>
  </si>
  <si>
    <t>Potential field required to levitate a spherical particle (W&amp;B 20-2)</t>
  </si>
  <si>
    <t>Values of alpha for slip correction factor</t>
  </si>
  <si>
    <t>Aerodynamic diameter of a prolate spheroid and cylinders W&amp;B 25-2, 25-3, 25-4, 25-5, 25-6)</t>
  </si>
  <si>
    <t>Also from Rader, J. Aerosol Sci. 21(2):161-68 (1990) eqn 8</t>
  </si>
  <si>
    <t>alpha</t>
  </si>
  <si>
    <t>Dilution factor for particles in nebulized suspension W&amp;B 22-1)</t>
  </si>
  <si>
    <t>Solute particle from vibrating orfice generator (W&amp;B 22-2, 22-3)</t>
  </si>
  <si>
    <t>Flow rate through a venturi meter at standard conditions (W&amp;B 22-6; Lippmann, Air Sampling Instruments, ACGIH 1989 p 84)</t>
  </si>
  <si>
    <t>alpha for gas</t>
  </si>
  <si>
    <t>Flow rate through a critical orifice (W&amp;B 22-7)</t>
  </si>
  <si>
    <t>mean free path for gas</t>
  </si>
  <si>
    <t>Air velocity from Bernoulli's theorem -Pitot tube-(W&amp;B 22-12; Lippmann in Air Sampling Instruments ACGIH 1989 p. 80)</t>
  </si>
  <si>
    <t xml:space="preserve">S.C.F. (Hinds) = </t>
  </si>
  <si>
    <t xml:space="preserve">S.C.F. (Rader) = </t>
  </si>
  <si>
    <t xml:space="preserve">S.C.F. (W&amp;B) = </t>
  </si>
  <si>
    <t>Conversion Factors</t>
  </si>
  <si>
    <t>Diffusion coefficient (W&amp;B 3-12; Hinds 2-35, 7-7), mechanical mobility (W&amp;B 3-14; Hinds 3-16) and mean thermal velocity (Hinds 7-10)</t>
  </si>
  <si>
    <t>Length</t>
  </si>
  <si>
    <t>Particle/molecule diameter</t>
  </si>
  <si>
    <t>1 micrometer (µm) = 10^-6 m = 10^-4 cm = 10^-3 mm = 10E3 nm = 10^4 Å = 3.937 x 10^-5 in. = 3.281 x 10^-6 ft.</t>
  </si>
  <si>
    <t>Particle density</t>
  </si>
  <si>
    <t>1 nanometer (nm) = 10^-3 µm = 10^-9 m</t>
  </si>
  <si>
    <t>1 Ångstrom (Å) = 10^-4 µm = 10^-10 m</t>
  </si>
  <si>
    <t>1 inch (in.) = 2.540 cm</t>
  </si>
  <si>
    <t xml:space="preserve">Slip correction factor = </t>
  </si>
  <si>
    <t>1 foot (ft.) = 12 in. = 0.3048 m</t>
  </si>
  <si>
    <t xml:space="preserve">Diffusion coefficient = </t>
  </si>
  <si>
    <t xml:space="preserve"> cm^2/sec</t>
  </si>
  <si>
    <t>molecular range</t>
  </si>
  <si>
    <t>particle range</t>
  </si>
  <si>
    <t>Volume</t>
  </si>
  <si>
    <t xml:space="preserve">Mechanical mobility = </t>
  </si>
  <si>
    <t xml:space="preserve"> cm/(sec-dyne)</t>
  </si>
  <si>
    <t xml:space="preserve">Mean thermal velocity = </t>
  </si>
  <si>
    <t>1 µm^3 = 10^-15 l = 10^-18 m^3 = 6.102*10^-14 in.^3 = 3.531*10^-17 ft.^3</t>
  </si>
  <si>
    <t>1 liter (l) = 10^15 µm3 = 10^-3 m3 = 61.02 in.^3 = 3.531 x 10^-3 ft.^3</t>
  </si>
  <si>
    <t>1 m^3 = 10^18 µm3 = 10^3 l = 6.102 x 10^4 in.^3 = 35.31 ft.^3</t>
  </si>
  <si>
    <t>1 in.^3 = 5.787*10^4 ft.^3 = 1.639*10^3 µm^3 = 1.639*10^-2 l = 1.639*10^-5 m^3</t>
  </si>
  <si>
    <t>1 ft.^3 = 1.728*10^3 in.^3 = 2.832*10^16 µm^3 = 28.32 l = 2.832*10^-2 m^3</t>
  </si>
  <si>
    <t>Force</t>
  </si>
  <si>
    <t>Time</t>
  </si>
  <si>
    <t xml:space="preserve"> sec</t>
  </si>
  <si>
    <t>1 dyne = 10^-5 N = 2.248 *10^-6 lb = 1.021*10^-3 g</t>
  </si>
  <si>
    <t>1 Newton (N) = 10^5 dyne = 0.2248 lb = 102 g</t>
  </si>
  <si>
    <t>1 pound (lb) = 4.448*10^5 dynes = 4.448 N = 453.6 g</t>
  </si>
  <si>
    <t>1 gram (g) force = 980.7 dyne = 9.807*10^-3 N = 2.205*10^-3 lb</t>
  </si>
  <si>
    <t>1 grain (gr) = 63.55 dynes</t>
  </si>
  <si>
    <t xml:space="preserve">R.m.s. displacement = </t>
  </si>
  <si>
    <t>1 poundal = 1.383*10^4 dynes</t>
  </si>
  <si>
    <t xml:space="preserve">Temperature </t>
  </si>
  <si>
    <t>degrees Celsius (°C) = T K - 273.16 = 5/9 (T °F -32)</t>
  </si>
  <si>
    <t>degrees Kelvin (K) = T °C + 273.16 = 5/9 (T °F + 459.69)</t>
  </si>
  <si>
    <t>degrees Fahrenheit (°F) = 1.8 T °C + 32 = 1.8 T K - 459.69</t>
  </si>
  <si>
    <t>degrees Rankine (R) = T °F + 459.69</t>
  </si>
  <si>
    <t>Collecting surface dimension</t>
  </si>
  <si>
    <t>where T is temperature in the indicated units</t>
  </si>
  <si>
    <t>gas velocity</t>
  </si>
  <si>
    <t xml:space="preserve"> cm/s</t>
  </si>
  <si>
    <t>1 atmosphere (atm) = 1.013*10^6 dyne/cm^2 = 1.013*10^5 N/m^2 = 14.70 lb/in.^2 = 760 mm Hg = 406.8 in. H2O = 1.013*10^5 Pa = 101.3 kPa</t>
  </si>
  <si>
    <t>1 dyne/cm^2 = 9.869*10^-7 atm = 0.1 N/m^2 = 1.450*10^-5 lb/in.2 = 7.501*10^-4 mm Hg = 4.015*10^-4 in. H2O</t>
  </si>
  <si>
    <t xml:space="preserve">Peclet number = </t>
  </si>
  <si>
    <t>1 inch of water (in. H2O) (at 4 °C) = 2.458*10^-3 atm = 2491 dyne/cm^2 = 249.1 N/m^2 = 3.613*10^-3 lb/in.^2 = 1.868 mm Hg</t>
  </si>
  <si>
    <t>1 mm of mercury (mm Hg) (at 0 °C) = 1.316*10^-3 atm = 1.333*10^3 dyne/cm^2 = 1.333*10^2 N/m^2 = 0.535 in. H2O = 1.934*10^-2 lb/in^2</t>
  </si>
  <si>
    <t xml:space="preserve">1 Pascal (Pa) = 10 dyne cm^2 = 1 N/m^2 </t>
  </si>
  <si>
    <t>1 torr = 1 mm Hg</t>
  </si>
  <si>
    <t>Viscosity</t>
  </si>
  <si>
    <t>1 poise (P) = 1 g/cm.s = 1 dyne.s/cm^2 = 0.1 Pa.s</t>
  </si>
  <si>
    <t>Electrical units</t>
  </si>
  <si>
    <t>1 ampere (amp) = 2.998*10^9 statamp</t>
  </si>
  <si>
    <t>1 statampere (statamp) = 3.336*10^-10 amp</t>
  </si>
  <si>
    <t xml:space="preserve">Diffusion coeff. = </t>
  </si>
  <si>
    <t>1 volt (V) = 3.336*10^-3 statV</t>
  </si>
  <si>
    <t xml:space="preserve">Schmidt number = </t>
  </si>
  <si>
    <t>1 statvolt (statV) = 299.8 V</t>
  </si>
  <si>
    <t>1 farad (F) = 106 µF = 8.987 statF</t>
  </si>
  <si>
    <t>1 statfarad (statF) = 1.113*10^-12 F</t>
  </si>
  <si>
    <t>1 ohm = 1.113*10^-12 statohm</t>
  </si>
  <si>
    <t>1 statohm = 8.987*10^11 ohm</t>
  </si>
  <si>
    <t>Commonly Used Constants</t>
  </si>
  <si>
    <t>Particle velocity relative to air</t>
  </si>
  <si>
    <t>Boltzmann's constant</t>
  </si>
  <si>
    <t>k</t>
  </si>
  <si>
    <t>1.381*10^-16 dyne.cm/K</t>
  </si>
  <si>
    <t>Dynamic shape factor</t>
  </si>
  <si>
    <t>Avogadro's number</t>
  </si>
  <si>
    <t>N(a)</t>
  </si>
  <si>
    <t>6.022*10^23 molecules/mole</t>
  </si>
  <si>
    <t>gas constant</t>
  </si>
  <si>
    <t>R</t>
  </si>
  <si>
    <t>8.314*10^7 dyne.cm/mole.K, 82.06 cm^3.atm/mole.K</t>
  </si>
  <si>
    <t>Stefan-Boltzmann constant</t>
  </si>
  <si>
    <t>s</t>
  </si>
  <si>
    <t>5.670*10^-5 dyne/cm.s.K^4</t>
  </si>
  <si>
    <t>elementary charge</t>
  </si>
  <si>
    <t>e</t>
  </si>
  <si>
    <t>1.602*10^-19 C, 4.803*10^-10 statC</t>
  </si>
  <si>
    <t xml:space="preserve">Drag force on particle = </t>
  </si>
  <si>
    <t>dynes</t>
  </si>
  <si>
    <t>permittivity of free space</t>
  </si>
  <si>
    <t>e(0)</t>
  </si>
  <si>
    <t>1 electrostatic unit, 8.854*10^-12 F/m</t>
  </si>
  <si>
    <t>speed of light in vacuum</t>
  </si>
  <si>
    <t>c</t>
  </si>
  <si>
    <t>2.998*10^10 cm/s</t>
  </si>
  <si>
    <t>gravitational acceleration</t>
  </si>
  <si>
    <t>g</t>
  </si>
  <si>
    <t>980.7 cm/s^2</t>
  </si>
  <si>
    <t>Air at 20 °C and 1 atm (NTP)</t>
  </si>
  <si>
    <t>density</t>
  </si>
  <si>
    <t>1.205*10^-3 g/cm^3 = 1.205 g/L = 0.075lb/ft.^3</t>
  </si>
  <si>
    <t>viscosity</t>
  </si>
  <si>
    <t>1.832*10^-4 P = 1.832*10^-5 Pa.s</t>
  </si>
  <si>
    <t>mean free path</t>
  </si>
  <si>
    <t>0.0665 µm</t>
  </si>
  <si>
    <t>average molecular weight</t>
  </si>
  <si>
    <t>28.96 g/mole</t>
  </si>
  <si>
    <t>specific heat ratio</t>
  </si>
  <si>
    <t>diffusion coefficient</t>
  </si>
  <si>
    <t>0.19 cm^2/s</t>
  </si>
  <si>
    <t xml:space="preserve">Drag coefficient = </t>
  </si>
  <si>
    <t>Water at 20 °C</t>
  </si>
  <si>
    <t>0.01002 dyne.s/cm^2</t>
  </si>
  <si>
    <t>surface tension</t>
  </si>
  <si>
    <t>72.75 dyne/cm</t>
  </si>
  <si>
    <t>vapor pressure</t>
  </si>
  <si>
    <t>17.54 mm Hg = 2.338 kPa</t>
  </si>
  <si>
    <t>Water Vapor at 20 °C</t>
  </si>
  <si>
    <t>Diffusion coefficient</t>
  </si>
  <si>
    <t>0.24 cm^2/s</t>
  </si>
  <si>
    <t>Density</t>
  </si>
  <si>
    <t>0.75.10-3 g/cm3</t>
  </si>
  <si>
    <t>Settling velocity =</t>
  </si>
  <si>
    <t>(Hinds 3-28)</t>
  </si>
  <si>
    <t xml:space="preserve">Aerodynamic diameter = </t>
  </si>
  <si>
    <t>NOTE: Use iteration so that answer converges.</t>
  </si>
  <si>
    <t>Aerodynamic diameter</t>
  </si>
  <si>
    <t xml:space="preserve"> -intermediate number- </t>
  </si>
  <si>
    <t xml:space="preserve">Physical diameter = </t>
  </si>
  <si>
    <t>Particle shape factor</t>
  </si>
  <si>
    <t xml:space="preserve">Settling velocity = </t>
  </si>
  <si>
    <t xml:space="preserve">Stopping distance = </t>
  </si>
  <si>
    <t xml:space="preserve">Relaxation time = </t>
  </si>
  <si>
    <t>Initial particle velocity</t>
  </si>
  <si>
    <t>Jet diameter</t>
  </si>
  <si>
    <t xml:space="preserve">Nozzle Reynolds number = </t>
  </si>
  <si>
    <t xml:space="preserve">Stokes number = </t>
  </si>
  <si>
    <t>50% cut point for rectangular jet at 0.83</t>
  </si>
  <si>
    <t xml:space="preserve">(Stokes number) = </t>
  </si>
  <si>
    <t xml:space="preserve"> ------&gt;</t>
  </si>
  <si>
    <t>50% cut point for round jet at 0.47</t>
  </si>
  <si>
    <t>No. charges on particle</t>
  </si>
  <si>
    <t>Electric field</t>
  </si>
  <si>
    <t xml:space="preserve"> statV/cm</t>
  </si>
  <si>
    <t xml:space="preserve">Drift velocity = </t>
  </si>
  <si>
    <t>Thermal conductivities</t>
  </si>
  <si>
    <t>Stearic Acid</t>
  </si>
  <si>
    <t>Magnesium Oxide</t>
  </si>
  <si>
    <t>Sodium chloride</t>
  </si>
  <si>
    <t>Quartz</t>
  </si>
  <si>
    <t>Iron</t>
  </si>
  <si>
    <t>Fused Silica</t>
  </si>
  <si>
    <t>Mercury</t>
  </si>
  <si>
    <t>Glycerol</t>
  </si>
  <si>
    <t>Particle thermal conductivity</t>
  </si>
  <si>
    <t xml:space="preserve"> cal/cm-sec-K</t>
  </si>
  <si>
    <t>Asbestos</t>
  </si>
  <si>
    <t>Castor Oil</t>
  </si>
  <si>
    <t>Thermal gradient</t>
  </si>
  <si>
    <t xml:space="preserve"> K/cm</t>
  </si>
  <si>
    <t>Carbon</t>
  </si>
  <si>
    <t>Paraffin Oil</t>
  </si>
  <si>
    <t>Granite</t>
  </si>
  <si>
    <t>Clay</t>
  </si>
  <si>
    <t>Glass</t>
  </si>
  <si>
    <t>Air</t>
  </si>
  <si>
    <t xml:space="preserve">Mean free path = </t>
  </si>
  <si>
    <t xml:space="preserve">molecular accomodation coeff. = </t>
  </si>
  <si>
    <t>for particle diameter &gt; mean free path</t>
  </si>
  <si>
    <t xml:space="preserve">Thermophoretic velocity = </t>
  </si>
  <si>
    <t>Fluid</t>
  </si>
  <si>
    <t>a</t>
  </si>
  <si>
    <t>b</t>
  </si>
  <si>
    <t>Water</t>
  </si>
  <si>
    <t>Methanol</t>
  </si>
  <si>
    <t>Ethanol</t>
  </si>
  <si>
    <t>N-butanol</t>
  </si>
  <si>
    <t xml:space="preserve">Saturation v.p. = </t>
  </si>
  <si>
    <t xml:space="preserve"> mm Hg</t>
  </si>
  <si>
    <t>for 273 to 330 K</t>
  </si>
  <si>
    <t>Dibutyl phthalate</t>
  </si>
  <si>
    <t>Liquid surface tension</t>
  </si>
  <si>
    <t xml:space="preserve"> dyne/cm</t>
  </si>
  <si>
    <t>surface tension of water is 72.7 dyne/cm at 20°C</t>
  </si>
  <si>
    <t xml:space="preserve"> grams/mole</t>
  </si>
  <si>
    <t>Liquid density</t>
  </si>
  <si>
    <t>Saturation v.p. ratio</t>
  </si>
  <si>
    <t xml:space="preserve">Kelvin diameter = </t>
  </si>
  <si>
    <t>Droplet diameter</t>
  </si>
  <si>
    <t>Note units</t>
  </si>
  <si>
    <t xml:space="preserve">Saturation v.p. ratio = </t>
  </si>
  <si>
    <t xml:space="preserve"> K</t>
  </si>
  <si>
    <t>Vapor molecular weight</t>
  </si>
  <si>
    <t>Vapor pressure</t>
  </si>
  <si>
    <t>Partial press. at particle surface</t>
  </si>
  <si>
    <t xml:space="preserve"> Initial particle diameter</t>
  </si>
  <si>
    <t xml:space="preserve">Rate of particle growth = </t>
  </si>
  <si>
    <t xml:space="preserve"> µm/sec</t>
  </si>
  <si>
    <t>Vapor diffusion coefficient</t>
  </si>
  <si>
    <t>Vapor pressure at droplet surface</t>
  </si>
  <si>
    <t>Saturation vapor pressure of liquid</t>
  </si>
  <si>
    <t>Temperature at droplet surface</t>
  </si>
  <si>
    <t xml:space="preserve"> Liquid vapor pressure (infinity)</t>
  </si>
  <si>
    <t xml:space="preserve">Time to droplet evaporation = </t>
  </si>
  <si>
    <t>Vapor pressure at distance</t>
  </si>
  <si>
    <t>Vapor pressure of at droplet surface</t>
  </si>
  <si>
    <t>Temperature at surface</t>
  </si>
  <si>
    <t>Initial drop diameter</t>
  </si>
  <si>
    <t>Evaporation time</t>
  </si>
  <si>
    <t xml:space="preserve">Final diameter = </t>
  </si>
  <si>
    <t xml:space="preserve">Time to complete dryness = </t>
  </si>
  <si>
    <t>Droplet diameter when drying time = settling time; Schmidt number (Kukkonen et al. J. Aerosol Sci. 7:749-763,1989)</t>
  </si>
  <si>
    <t xml:space="preserve"> Atmospheric pressure</t>
  </si>
  <si>
    <t>dyne/cm^2</t>
  </si>
  <si>
    <t>g/cm^3</t>
  </si>
  <si>
    <t>g/mol</t>
  </si>
  <si>
    <t>Partial pressure of vapor at droplet surface</t>
  </si>
  <si>
    <t>Bulk vapor pressure</t>
  </si>
  <si>
    <t>degrees Kelvin</t>
  </si>
  <si>
    <t>sec</t>
  </si>
  <si>
    <t>Particle release height</t>
  </si>
  <si>
    <t>cm</t>
  </si>
  <si>
    <t>µ</t>
  </si>
  <si>
    <t xml:space="preserve">Relative humidity = </t>
  </si>
  <si>
    <t>%</t>
  </si>
  <si>
    <t xml:space="preserve">C = </t>
  </si>
  <si>
    <t xml:space="preserve">B = </t>
  </si>
  <si>
    <t>Schmidt number =</t>
  </si>
  <si>
    <t xml:space="preserve">Droplet diameter = </t>
  </si>
  <si>
    <t>µm</t>
  </si>
  <si>
    <t xml:space="preserve">Coagulation coefficient = </t>
  </si>
  <si>
    <t>Initial concentration</t>
  </si>
  <si>
    <t xml:space="preserve"> particle/cm^3</t>
  </si>
  <si>
    <t>---------------------------------------</t>
  </si>
  <si>
    <t>----------------------</t>
  </si>
  <si>
    <t xml:space="preserve">Conc'n at time (t) = </t>
  </si>
  <si>
    <t>particles/cm^3</t>
  </si>
  <si>
    <t xml:space="preserve">Particle size at time (t) = </t>
  </si>
  <si>
    <t xml:space="preserve">Time to half conc'n = </t>
  </si>
  <si>
    <t xml:space="preserve">Time to double size = </t>
  </si>
  <si>
    <t>Initial number concentration</t>
  </si>
  <si>
    <t>Coagulation coefficient</t>
  </si>
  <si>
    <t>Initial particle size</t>
  </si>
  <si>
    <t xml:space="preserve">Final particle concentration = </t>
  </si>
  <si>
    <t xml:space="preserve">Final particle size = </t>
  </si>
  <si>
    <t>Particle count median diameter</t>
  </si>
  <si>
    <t>Geometric standard deviation</t>
  </si>
  <si>
    <t xml:space="preserve">Average coagulation coefficient = </t>
  </si>
  <si>
    <t>Note: good only for modest changes in particle size</t>
  </si>
  <si>
    <t>Solution flow rate</t>
  </si>
  <si>
    <t xml:space="preserve"> cm^3/min</t>
  </si>
  <si>
    <t>Orifice vibration frequency</t>
  </si>
  <si>
    <t xml:space="preserve"> kHz</t>
  </si>
  <si>
    <t>Solution concentration (Vol/Vol)</t>
  </si>
  <si>
    <t xml:space="preserve">Generator droplet size = </t>
  </si>
  <si>
    <t xml:space="preserve"> Final particle diameter = </t>
  </si>
  <si>
    <t>Vol. med. diam. of droplet distribution</t>
  </si>
  <si>
    <t>Sigma (g) of droplet distribution</t>
  </si>
  <si>
    <t>Ratio of singlets</t>
  </si>
  <si>
    <t xml:space="preserve">  i.e., droplets containing singlets/droplets containing particles including singlets and multiplets</t>
  </si>
  <si>
    <t xml:space="preserve">Concentration of suspension = </t>
  </si>
  <si>
    <t xml:space="preserve"> particles/cm^3</t>
  </si>
  <si>
    <t>Inlet diameter</t>
  </si>
  <si>
    <t>Inlet length</t>
  </si>
  <si>
    <t>Air velocity in inlet (Vi)</t>
  </si>
  <si>
    <t>Velocity ratio (Vw/Vi)</t>
  </si>
  <si>
    <t>R is 1 for isokinetic, &gt; 1 for subisokinetic</t>
  </si>
  <si>
    <t xml:space="preserve">Flow Reynolds number = </t>
  </si>
  <si>
    <t xml:space="preserve">Aspiration efficiency = </t>
  </si>
  <si>
    <t xml:space="preserve">Gravitational parameter = </t>
  </si>
  <si>
    <t xml:space="preserve">Gravitational efficiency = </t>
  </si>
  <si>
    <t xml:space="preserve">Inertial transm. efficiency = </t>
  </si>
  <si>
    <t xml:space="preserve">Vena contracta efficiency = </t>
  </si>
  <si>
    <t xml:space="preserve">Isoaxial inlet efficiency = </t>
  </si>
  <si>
    <t>Hangal and Willeke Eviron. Sci. Tech. 24:688-691 (1990)</t>
  </si>
  <si>
    <t>Sampling angle</t>
  </si>
  <si>
    <t xml:space="preserve"> degrees</t>
  </si>
  <si>
    <t>between 0 to 90°</t>
  </si>
  <si>
    <t xml:space="preserve">inertial parameter = </t>
  </si>
  <si>
    <t>Overlapping equations 45&lt;angle&lt;60--check validity conditions</t>
  </si>
  <si>
    <t>Sampling angle (theta)</t>
  </si>
  <si>
    <t>keep between 0 to 90°</t>
  </si>
  <si>
    <t>Air velocity in Inlet (U)</t>
  </si>
  <si>
    <t>Velocity ratio (R=U0/U)</t>
  </si>
  <si>
    <t>R is 1 for isokinetic, &gt; 1 for subisokinetic, &lt; 1 for superisokinetic</t>
  </si>
  <si>
    <t xml:space="preserve">Gravitational dep. parameter = </t>
  </si>
  <si>
    <t xml:space="preserve">K(theta) = </t>
  </si>
  <si>
    <t xml:space="preserve">Fraction penetrating = </t>
  </si>
  <si>
    <t>Air flow direction into inlet</t>
  </si>
  <si>
    <t>down</t>
  </si>
  <si>
    <t xml:space="preserve"> (up or down)</t>
  </si>
  <si>
    <t xml:space="preserve">I(vena contracta) = </t>
  </si>
  <si>
    <t xml:space="preserve">(alpha) = </t>
  </si>
  <si>
    <t xml:space="preserve">I(wall impaction) = </t>
  </si>
  <si>
    <t xml:space="preserve">inertial transmission efficiency = </t>
  </si>
  <si>
    <t>Sampler diameter</t>
  </si>
  <si>
    <t xml:space="preserve">Flow rate = </t>
  </si>
  <si>
    <t xml:space="preserve"> cm^3/sec  or</t>
  </si>
  <si>
    <t xml:space="preserve"> L/min</t>
  </si>
  <si>
    <t>Davies criteria (settling)&lt;=</t>
  </si>
  <si>
    <t xml:space="preserve"> cm diameter inlet for unbiased sampling</t>
  </si>
  <si>
    <t>Davies criteria (inertia)&gt;=</t>
  </si>
  <si>
    <t>Agarwal/Liu criteria &gt;=</t>
  </si>
  <si>
    <t xml:space="preserve"> cm diameter inlet for less than 10% bias</t>
  </si>
  <si>
    <t>Tube length</t>
  </si>
  <si>
    <t>Incline angle (0-90)</t>
  </si>
  <si>
    <t xml:space="preserve"> degrees from horizontal</t>
  </si>
  <si>
    <t>Mean flow velocity</t>
  </si>
  <si>
    <t>This value must be  &lt;&lt; 1 --&gt;</t>
  </si>
  <si>
    <t xml:space="preserve"> -intermediate number (k)-</t>
  </si>
  <si>
    <t xml:space="preserve"> -intermediate number-</t>
  </si>
  <si>
    <t>for laminar flow</t>
  </si>
  <si>
    <t>for turbulent flow</t>
  </si>
  <si>
    <t>Initial particle concentration</t>
  </si>
  <si>
    <t xml:space="preserve"> particles/cc</t>
  </si>
  <si>
    <t xml:space="preserve">Outlet concentration = </t>
  </si>
  <si>
    <t>Air flow rate</t>
  </si>
  <si>
    <t xml:space="preserve"> cm^3/sec</t>
  </si>
  <si>
    <t xml:space="preserve">Sherwood number = </t>
  </si>
  <si>
    <t xml:space="preserve"> for laminar flow (W&amp;B 6-43)</t>
  </si>
  <si>
    <t xml:space="preserve"> for turbulent flow (W&amp;B 6-45)</t>
  </si>
  <si>
    <t xml:space="preserve">µ = </t>
  </si>
  <si>
    <t xml:space="preserve"> dimensionless diffusion parameter</t>
  </si>
  <si>
    <t>laminar flow from Gormley and Kennedy (W&amp;B 6-46)</t>
  </si>
  <si>
    <t>laminar flow (W&amp;B 6-42, 6-43)</t>
  </si>
  <si>
    <t>turbulent flow (W&amp;B 6-42, 6-45)</t>
  </si>
  <si>
    <t xml:space="preserve">tau+ = </t>
  </si>
  <si>
    <t xml:space="preserve">V+ = </t>
  </si>
  <si>
    <t xml:space="preserve">V(t) = </t>
  </si>
  <si>
    <t xml:space="preserve">Inertial deposition efficiency = </t>
  </si>
  <si>
    <t>Tube width</t>
  </si>
  <si>
    <t xml:space="preserve">Deposition velocity= </t>
  </si>
  <si>
    <t>Particle Diameter</t>
  </si>
  <si>
    <t>Particle Density</t>
  </si>
  <si>
    <t>Tube air velocity</t>
  </si>
  <si>
    <t>Angle of bend</t>
  </si>
  <si>
    <t xml:space="preserve">Air Viscosity = </t>
  </si>
  <si>
    <t>Reynolds number</t>
  </si>
  <si>
    <t xml:space="preserve"> for laminar flow (W&amp;B 6-52)</t>
  </si>
  <si>
    <t xml:space="preserve"> for turbulent flow (W&amp;B 6-53)</t>
  </si>
  <si>
    <t xml:space="preserve">Kinematic viscosity = </t>
  </si>
  <si>
    <t xml:space="preserve">Mean axial velocity = </t>
  </si>
  <si>
    <t xml:space="preserve">Fractional penetration = </t>
  </si>
  <si>
    <t>Contraction diameter</t>
  </si>
  <si>
    <t xml:space="preserve"> -intermediate number-  </t>
  </si>
  <si>
    <t>Time period</t>
  </si>
  <si>
    <t>Initial particle conc.</t>
  </si>
  <si>
    <t>Vessel height</t>
  </si>
  <si>
    <t xml:space="preserve">Final concentration = </t>
  </si>
  <si>
    <t>Dennis, Handbook on Aerosols, NTIS TID-6608 eqn 3-19</t>
  </si>
  <si>
    <t>Sphere diameter</t>
  </si>
  <si>
    <t>Count median diameter</t>
  </si>
  <si>
    <t>Sigma (g)</t>
  </si>
  <si>
    <t xml:space="preserve">Mode = </t>
  </si>
  <si>
    <t xml:space="preserve">Count mean diameter = </t>
  </si>
  <si>
    <t xml:space="preserve">Volume median diameter = </t>
  </si>
  <si>
    <t xml:space="preserve">Mass median diameter = </t>
  </si>
  <si>
    <t xml:space="preserve">Mass mean diameter = </t>
  </si>
  <si>
    <t>Solidity or packing density (alpha)</t>
  </si>
  <si>
    <t>Filter depth</t>
  </si>
  <si>
    <t>Fiber diameter</t>
  </si>
  <si>
    <t xml:space="preserve">Filter efficiency = </t>
  </si>
  <si>
    <t>Gas velocity</t>
  </si>
  <si>
    <t xml:space="preserve">K (hydrodynamic factor) = </t>
  </si>
  <si>
    <t xml:space="preserve">Diffusion efficiency = </t>
  </si>
  <si>
    <t xml:space="preserve">R = </t>
  </si>
  <si>
    <t xml:space="preserve">Interception efficiency = </t>
  </si>
  <si>
    <t xml:space="preserve">Impaction efficiency = </t>
  </si>
  <si>
    <t xml:space="preserve">Total single fiber efficiency = </t>
  </si>
  <si>
    <t xml:space="preserve">Most penetrating size = </t>
  </si>
  <si>
    <t xml:space="preserve">Minimum efficiency = </t>
  </si>
  <si>
    <t>Pressure drop (Hinds)</t>
  </si>
  <si>
    <t>Pressure drop (W&amp;B)</t>
  </si>
  <si>
    <t xml:space="preserve">Oscillation frequency </t>
  </si>
  <si>
    <t xml:space="preserve"> cycles/sec</t>
  </si>
  <si>
    <t>Particle charge</t>
  </si>
  <si>
    <t xml:space="preserve"> unit charges</t>
  </si>
  <si>
    <t xml:space="preserve">Particle relaxation time = </t>
  </si>
  <si>
    <t xml:space="preserve">Frequency (omega) = </t>
  </si>
  <si>
    <t xml:space="preserve"> radians/sec</t>
  </si>
  <si>
    <t xml:space="preserve">xi = </t>
  </si>
  <si>
    <t>Eq. 17-4</t>
  </si>
  <si>
    <t xml:space="preserve">alpha = </t>
  </si>
  <si>
    <t>Eq. 17-10</t>
  </si>
  <si>
    <t xml:space="preserve">Phase lag = </t>
  </si>
  <si>
    <t xml:space="preserve"> radians</t>
  </si>
  <si>
    <t>Eq. 17-8</t>
  </si>
  <si>
    <t xml:space="preserve">Amplitude ratio = </t>
  </si>
  <si>
    <t>Eq. 17-7</t>
  </si>
  <si>
    <t>Eq. 17-12</t>
  </si>
  <si>
    <t>Eq. 17-13</t>
  </si>
  <si>
    <t xml:space="preserve"> cm/statvolt</t>
  </si>
  <si>
    <t>Eq. 17-15</t>
  </si>
  <si>
    <t>Pressure drop</t>
  </si>
  <si>
    <t>Gas molecular weight</t>
  </si>
  <si>
    <t xml:space="preserve">Gas velocity in nozzle = </t>
  </si>
  <si>
    <t>Surface tension</t>
  </si>
  <si>
    <t xml:space="preserve"> m/sec</t>
  </si>
  <si>
    <t>Droplet velocity</t>
  </si>
  <si>
    <t>Droplets will show increasing distortion up</t>
  </si>
  <si>
    <t xml:space="preserve">Weber number = </t>
  </si>
  <si>
    <t>to We = 12 and break up above the range 12-28</t>
  </si>
  <si>
    <t xml:space="preserve">Droplet breakup time = </t>
  </si>
  <si>
    <t xml:space="preserve">in steady accelerating flow </t>
  </si>
  <si>
    <t>In turbulent flow it may break up  if We&gt;6.5</t>
  </si>
  <si>
    <t>Ratio of specific heat capacities</t>
  </si>
  <si>
    <t xml:space="preserve"> = 1.40 for air</t>
  </si>
  <si>
    <t xml:space="preserve">Sonic velocity = </t>
  </si>
  <si>
    <t>Fiber length</t>
  </si>
  <si>
    <t>Fiber aspect ratio</t>
  </si>
  <si>
    <t>Electric field strength</t>
  </si>
  <si>
    <t xml:space="preserve"> statvolt/cm</t>
  </si>
  <si>
    <t xml:space="preserve">Angular deflection = </t>
  </si>
  <si>
    <t>Fiber rotation angle</t>
  </si>
  <si>
    <t>Light wavelength</t>
  </si>
  <si>
    <t xml:space="preserve">Relative intensity = </t>
  </si>
  <si>
    <t>Ion concentration</t>
  </si>
  <si>
    <t xml:space="preserve"> ions/cm^3</t>
  </si>
  <si>
    <t>Typical concentration is 10^7 ions/cm^3</t>
  </si>
  <si>
    <t>Charging time</t>
  </si>
  <si>
    <t>Typical dielectric constants</t>
  </si>
  <si>
    <t>Field strength</t>
  </si>
  <si>
    <t>Dielectric constant</t>
  </si>
  <si>
    <t>Conductors</t>
  </si>
  <si>
    <t>infinite</t>
  </si>
  <si>
    <t xml:space="preserve">Number of charges = </t>
  </si>
  <si>
    <t>This result is within a factor of 2 down to 0.4 µm and</t>
  </si>
  <si>
    <t>accurate above 4 µm</t>
  </si>
  <si>
    <t>Mean air velocity</t>
  </si>
  <si>
    <t>Distance between the plates</t>
  </si>
  <si>
    <t>Voltage</t>
  </si>
  <si>
    <t xml:space="preserve"> statVolt</t>
  </si>
  <si>
    <t>Length of plates</t>
  </si>
  <si>
    <t xml:space="preserve">Limiting particle mobility = </t>
  </si>
  <si>
    <t xml:space="preserve"> cm^2/statvolt-sec</t>
  </si>
  <si>
    <t>Total flow rate</t>
  </si>
  <si>
    <t>Aerosol flow rate</t>
  </si>
  <si>
    <t>Outer radius of analyzer</t>
  </si>
  <si>
    <t>Collector rod radius</t>
  </si>
  <si>
    <t>Rod voltage</t>
  </si>
  <si>
    <t>Collector rod length</t>
  </si>
  <si>
    <t xml:space="preserve">Mean particle mobility = </t>
  </si>
  <si>
    <t>Slit flow rate</t>
  </si>
  <si>
    <t xml:space="preserve">Mobility spread = </t>
  </si>
  <si>
    <t># of charges/Particle1</t>
  </si>
  <si>
    <t># of charges/Particle2</t>
  </si>
  <si>
    <t>Distance between 1 &amp; 2</t>
  </si>
  <si>
    <t>********Conversion Factors*******</t>
  </si>
  <si>
    <t>Quantity</t>
  </si>
  <si>
    <t>CGS units</t>
  </si>
  <si>
    <t>SI units</t>
  </si>
  <si>
    <t xml:space="preserve">Force between parts. = </t>
  </si>
  <si>
    <t xml:space="preserve"> dynes</t>
  </si>
  <si>
    <t>Charge</t>
  </si>
  <si>
    <t>1 StatCoulombs</t>
  </si>
  <si>
    <t>3.3E-10 Coul</t>
  </si>
  <si>
    <t>Current</t>
  </si>
  <si>
    <t>1 StatAmpere</t>
  </si>
  <si>
    <t>3.3E-10 Amp</t>
  </si>
  <si>
    <t>Potential</t>
  </si>
  <si>
    <t>1 StatVolt</t>
  </si>
  <si>
    <t>300 Volts</t>
  </si>
  <si>
    <t>Charge/electron</t>
  </si>
  <si>
    <t>4.8E-10 StatCoul</t>
  </si>
  <si>
    <t>1.6E-19 Coul</t>
  </si>
  <si>
    <t>Potential between plates</t>
  </si>
  <si>
    <t xml:space="preserve"> volts</t>
  </si>
  <si>
    <t>Plate separation</t>
  </si>
  <si>
    <t xml:space="preserve">Field strength = </t>
  </si>
  <si>
    <t xml:space="preserve"> statvolts/cm</t>
  </si>
  <si>
    <t>Potential between tubes</t>
  </si>
  <si>
    <t>Outer tube diameter</t>
  </si>
  <si>
    <t>Inner tube diameter</t>
  </si>
  <si>
    <t>Radial distance to calculate field</t>
  </si>
  <si>
    <t xml:space="preserve">Field strength  </t>
  </si>
  <si>
    <t># of charges on part.</t>
  </si>
  <si>
    <t xml:space="preserve">Electrical mobility = </t>
  </si>
  <si>
    <t xml:space="preserve"> cm^2/statvolt*sec</t>
  </si>
  <si>
    <t>statvolt/cm</t>
  </si>
  <si>
    <t xml:space="preserve"> cm^2/statvolt-cm</t>
  </si>
  <si>
    <t xml:space="preserve">Terminal velocity = </t>
  </si>
  <si>
    <t>This is only accurate within a factor of for</t>
  </si>
  <si>
    <t>particle diameter 0.1&lt;diam&lt;2µm and ion conc.&gt;10^6</t>
  </si>
  <si>
    <t xml:space="preserve">Ion Knudsen number = </t>
  </si>
  <si>
    <t>&lt;--how do you calculate this?</t>
  </si>
  <si>
    <t xml:space="preserve">Saturation charge = </t>
  </si>
  <si>
    <t>unit charges</t>
  </si>
  <si>
    <t xml:space="preserve">Max positive charges = </t>
  </si>
  <si>
    <t xml:space="preserve"> unit charges </t>
  </si>
  <si>
    <t xml:space="preserve">Max negative charges = </t>
  </si>
  <si>
    <t>dynes/cm</t>
  </si>
  <si>
    <t xml:space="preserve">Rayleigh limit = </t>
  </si>
  <si>
    <t>Diameter</t>
  </si>
  <si>
    <t>Number of charges</t>
  </si>
  <si>
    <t xml:space="preserve">-intermediate number- </t>
  </si>
  <si>
    <t xml:space="preserve">Percent with Charge = </t>
  </si>
  <si>
    <t>Exposure time period</t>
  </si>
  <si>
    <t xml:space="preserve"> ions/cc</t>
  </si>
  <si>
    <t xml:space="preserve">Fraction of charge = </t>
  </si>
  <si>
    <t>(Fuchs, The Mechanics of Aerosols, eqn 24.13; also, Kaspar J Colloid Int Sci 81:32 eqn 7)</t>
  </si>
  <si>
    <t>length of tubing</t>
  </si>
  <si>
    <t xml:space="preserve">Rate constant E = </t>
  </si>
  <si>
    <t xml:space="preserve">Loss = </t>
  </si>
  <si>
    <t xml:space="preserve"> %</t>
  </si>
  <si>
    <t>(Yu and Chandra J. Aerosol Sci. 9:175 175-180 1978)</t>
  </si>
  <si>
    <t xml:space="preserve"> -intermediate no.-</t>
  </si>
  <si>
    <t xml:space="preserve">Penetration = </t>
  </si>
  <si>
    <t>Note: Limits on penetration iteration are .01 and .99</t>
  </si>
  <si>
    <t>Willeke and Liu in Fine Particles, Academic Press p. 698 (1976)</t>
  </si>
  <si>
    <t>Detection volume</t>
  </si>
  <si>
    <t xml:space="preserve"> cm^3</t>
  </si>
  <si>
    <t>Particles concentration</t>
  </si>
  <si>
    <t>Observed concentration =</t>
  </si>
  <si>
    <t xml:space="preserve">Percent coincidence = </t>
  </si>
  <si>
    <t xml:space="preserve">     a circular tube after initial startup of flow</t>
  </si>
  <si>
    <t>Bird Stewart and Lightfoot, "Transport Phenomena" p129</t>
  </si>
  <si>
    <t>Centerline relative</t>
  </si>
  <si>
    <t xml:space="preserve">      velocity</t>
  </si>
  <si>
    <t>factor</t>
  </si>
  <si>
    <t>v(z)/v(max)</t>
  </si>
  <si>
    <t>Tube radius</t>
  </si>
  <si>
    <t>Time after startup</t>
  </si>
  <si>
    <t xml:space="preserve">factor = </t>
  </si>
  <si>
    <t xml:space="preserve"> --&gt;</t>
  </si>
  <si>
    <t>v(z)/v(max) should be close to 1 for Poisseuille flow</t>
  </si>
  <si>
    <t>Molecular weight of liquid</t>
  </si>
  <si>
    <t>Molecular weight of solute</t>
  </si>
  <si>
    <t># of ions per solute molecule</t>
  </si>
  <si>
    <t>solid particle diameter</t>
  </si>
  <si>
    <t>weight of solute</t>
  </si>
  <si>
    <t xml:space="preserve"> g</t>
  </si>
  <si>
    <t>Droplet size</t>
  </si>
  <si>
    <t xml:space="preserve">saturation ratio = </t>
  </si>
  <si>
    <t>at a specific saturation vapor pressure ratio (W&amp;B 19-4)</t>
  </si>
  <si>
    <t>surface tension of water is 72.75 dyne/cm at 20°C</t>
  </si>
  <si>
    <t>partial molar volume of solvent</t>
  </si>
  <si>
    <t>???</t>
  </si>
  <si>
    <t>number of moles of solute</t>
  </si>
  <si>
    <t xml:space="preserve">Vapor pressure at droplet surface = </t>
  </si>
  <si>
    <t>Ambient temperature</t>
  </si>
  <si>
    <t>degrees K</t>
  </si>
  <si>
    <t xml:space="preserve">Heat of </t>
  </si>
  <si>
    <t>Heat of vaporization</t>
  </si>
  <si>
    <t xml:space="preserve"> cal/g</t>
  </si>
  <si>
    <t>Temp</t>
  </si>
  <si>
    <t>vaporization</t>
  </si>
  <si>
    <t>Thermal conductivity of gas</t>
  </si>
  <si>
    <t xml:space="preserve"> cal/(sec-cm-K)</t>
  </si>
  <si>
    <t>Diffusion coefficient of vapor</t>
  </si>
  <si>
    <t>Molecular weight of vapor</t>
  </si>
  <si>
    <t>Saturation vapor pressure</t>
  </si>
  <si>
    <t>Relative humidity</t>
  </si>
  <si>
    <t xml:space="preserve">Saturation v. p. at drop surface = </t>
  </si>
  <si>
    <t xml:space="preserve">Temperature at drop surface = </t>
  </si>
  <si>
    <t xml:space="preserve"> (dimensionless diffusion parameter)</t>
  </si>
  <si>
    <t xml:space="preserve">Fraction penetrating (Hinds) = </t>
  </si>
  <si>
    <t xml:space="preserve">Fraction penetrating (W&amp;B) = </t>
  </si>
  <si>
    <t>Channel length</t>
  </si>
  <si>
    <t>Combined chan. width</t>
  </si>
  <si>
    <t>Channel height</t>
  </si>
  <si>
    <t xml:space="preserve">µ (Hinds) = </t>
  </si>
  <si>
    <t>Fraction penetrating (Hinds) =</t>
  </si>
  <si>
    <t xml:space="preserve">µ (W&amp;B)= </t>
  </si>
  <si>
    <t>Fraction penetrating (W&amp;B) =</t>
  </si>
  <si>
    <t>Inner diameter of disks</t>
  </si>
  <si>
    <t>Outer diameter of disks</t>
  </si>
  <si>
    <t>Spacing between plates</t>
  </si>
  <si>
    <t>Valid only for penetrations less than 0.1</t>
  </si>
  <si>
    <t>Should be &lt; 1 µm</t>
  </si>
  <si>
    <t>Number of screens</t>
  </si>
  <si>
    <t>Fiber (wire) diameter</t>
  </si>
  <si>
    <t>Thickness of one screen</t>
  </si>
  <si>
    <t>Solid volume fraction of screen</t>
  </si>
  <si>
    <t>Air velocity into screen</t>
  </si>
  <si>
    <t xml:space="preserve">Hydrodynamic factor (k) = </t>
  </si>
  <si>
    <t xml:space="preserve">Single fiber efficiency = </t>
  </si>
  <si>
    <t xml:space="preserve">Pressure drop = </t>
  </si>
  <si>
    <t xml:space="preserve"> Pascals</t>
  </si>
  <si>
    <t>Tube coil diameter</t>
  </si>
  <si>
    <t xml:space="preserve">Tube Reynolds number = </t>
  </si>
  <si>
    <t xml:space="preserve">thickness ratio of boundary layers (delta ) = </t>
  </si>
  <si>
    <t xml:space="preserve">Dean number = </t>
  </si>
  <si>
    <t>Spherical particle diameter</t>
  </si>
  <si>
    <t>particle density</t>
  </si>
  <si>
    <t>Electrode spacing</t>
  </si>
  <si>
    <t>Charge on particle</t>
  </si>
  <si>
    <t xml:space="preserve">Particle mass = </t>
  </si>
  <si>
    <t xml:space="preserve">Required potential field = </t>
  </si>
  <si>
    <t xml:space="preserve"> statV</t>
  </si>
  <si>
    <t xml:space="preserve"> or </t>
  </si>
  <si>
    <t>Griffiths and Vaughan, 1986 Ann. Occup. Hyg.17:53-65 (originally from Cox 1970, J. Fluid mech. 44:791)</t>
  </si>
  <si>
    <t>Fiber density</t>
  </si>
  <si>
    <t xml:space="preserve"> g/cm3</t>
  </si>
  <si>
    <t>Aspect ratio</t>
  </si>
  <si>
    <t>D(ae) for motion _|_ to axis</t>
  </si>
  <si>
    <t>Cox's eq'n for a cylinder(W&amp;B 25-6)</t>
  </si>
  <si>
    <t>D(ae) for motion || to axis</t>
  </si>
  <si>
    <t>Cox's eq'n for a cylinder(W&amp;B 25-5)</t>
  </si>
  <si>
    <t>Shape factor for motion _|_ to axis</t>
  </si>
  <si>
    <t>Oseen theory for prolate spheroid (W&amp;B 25-4)</t>
  </si>
  <si>
    <t>Shape factor for motion || to axis</t>
  </si>
  <si>
    <t>Oseen theory for prolate spheroid (W&amp;B 25-3)</t>
  </si>
  <si>
    <t>Oseen theory for prolate spheroid (G&amp;V 2, 3 and 11)</t>
  </si>
  <si>
    <t>Oseen theory(G&amp;V 2, 3 and 12) for equivalent diameter cylinder--volume corrected</t>
  </si>
  <si>
    <t>Oseen theory for equivalent diameter cylinder--mass corrected</t>
  </si>
  <si>
    <t xml:space="preserve">Droplet volume median diameter = </t>
  </si>
  <si>
    <t>Droplet sigma(g)</t>
  </si>
  <si>
    <t xml:space="preserve">Percent singlets desired </t>
  </si>
  <si>
    <t xml:space="preserve"> Volumetric fraction of particles in original suspension</t>
  </si>
  <si>
    <t xml:space="preserve">Required dilution factor = </t>
  </si>
  <si>
    <t>Liquid flow rate thru orifice</t>
  </si>
  <si>
    <t xml:space="preserve">Orifice frequency </t>
  </si>
  <si>
    <t xml:space="preserve"> Hz</t>
  </si>
  <si>
    <t>Solute concentration</t>
  </si>
  <si>
    <t xml:space="preserve"> g/liter</t>
  </si>
  <si>
    <t>Solute density</t>
  </si>
  <si>
    <t xml:space="preserve">Volumetric concentration = </t>
  </si>
  <si>
    <t xml:space="preserve">Droplet size = </t>
  </si>
  <si>
    <t xml:space="preserve">Particle size = </t>
  </si>
  <si>
    <t>Discharge coefficient</t>
  </si>
  <si>
    <t xml:space="preserve"> =0.985 for standard conditions</t>
  </si>
  <si>
    <t>Upstream pressure</t>
  </si>
  <si>
    <t xml:space="preserve"> cm Hg</t>
  </si>
  <si>
    <t>Throat pressure</t>
  </si>
  <si>
    <t>Tube area</t>
  </si>
  <si>
    <t xml:space="preserve"> cm^2</t>
  </si>
  <si>
    <t>Throat area</t>
  </si>
  <si>
    <t xml:space="preserve"> in H2O</t>
  </si>
  <si>
    <t xml:space="preserve">Upstream gas density = </t>
  </si>
  <si>
    <t>Lippmann's formula</t>
  </si>
  <si>
    <t>Orifice diameter</t>
  </si>
  <si>
    <t>Downstream pressure must &lt; 0.53 of upstream pressure</t>
  </si>
  <si>
    <t>Specific heat ratio</t>
  </si>
  <si>
    <t xml:space="preserve"> =1.4 for air</t>
  </si>
  <si>
    <t xml:space="preserve"> = </t>
  </si>
  <si>
    <t xml:space="preserve"> l/min</t>
  </si>
  <si>
    <t>Liquid column height difference</t>
  </si>
  <si>
    <t>(g/cm^3)</t>
  </si>
  <si>
    <t>Liquid  density</t>
  </si>
  <si>
    <t>water</t>
  </si>
  <si>
    <t>mercury</t>
  </si>
  <si>
    <t xml:space="preserve">Velocity = </t>
  </si>
  <si>
    <t xml:space="preserve"> Flow Rate = </t>
  </si>
  <si>
    <t xml:space="preserve"> cm^3/s</t>
  </si>
  <si>
    <t>Gas flow rate</t>
  </si>
  <si>
    <t>Jet flow</t>
  </si>
  <si>
    <t xml:space="preserve">Jet velocity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</si>
</sst>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"/>
  </numFmts>
  <fonts count="3">
    <font>
      <sz val="10"/>
      <name val="Geneva"/>
    </font>
    <font>
      <b/>
      <sz val="10"/>
      <name val="Geneva"/>
    </font>
    <font>
      <u/>
      <sz val="10"/>
      <name val="Genev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15" fontId="0" fillId="0" borderId="0" xfId="0" applyNumberFormat="1"/>
    <xf numFmtId="174" fontId="0" fillId="0" borderId="0" xfId="0" applyNumberFormat="1"/>
    <xf numFmtId="0" fontId="0" fillId="0" borderId="0" xfId="0" applyProtection="1">
      <protection hidden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fill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11" fontId="0" fillId="0" borderId="0" xfId="0" applyNumberFormat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3"/>
  <sheetViews>
    <sheetView tabSelected="1" workbookViewId="0">
      <selection activeCell="B744" sqref="B744"/>
    </sheetView>
  </sheetViews>
  <sheetFormatPr baseColWidth="10" defaultRowHeight="13.2"/>
  <cols>
    <col min="1" max="1" width="29" customWidth="1"/>
    <col min="2" max="2" width="11.33203125" customWidth="1"/>
    <col min="3" max="3" width="14.6640625" customWidth="1"/>
    <col min="4" max="5" width="12.6640625" customWidth="1"/>
    <col min="10" max="10" width="23.33203125" customWidth="1"/>
    <col min="12" max="12" width="8.44140625" customWidth="1"/>
  </cols>
  <sheetData>
    <row r="1" spans="1:10">
      <c r="A1" s="9" t="s">
        <v>0</v>
      </c>
      <c r="C1" s="6"/>
      <c r="I1" t="s">
        <v>1</v>
      </c>
    </row>
    <row r="2" spans="1:10">
      <c r="A2" t="s">
        <v>2</v>
      </c>
      <c r="D2" t="s">
        <v>3</v>
      </c>
      <c r="I2" t="s">
        <v>4</v>
      </c>
      <c r="J2" t="s">
        <v>5</v>
      </c>
    </row>
    <row r="3" spans="1:10">
      <c r="I3" t="str">
        <f ca="1">CELL("address",A13)</f>
        <v>$A$13</v>
      </c>
      <c r="J3" t="s">
        <v>6</v>
      </c>
    </row>
    <row r="4" spans="1:10">
      <c r="A4" s="7">
        <v>32727</v>
      </c>
      <c r="I4" t="str">
        <f ca="1">CELL("address",A25)</f>
        <v>$A$25</v>
      </c>
      <c r="J4" t="s">
        <v>7</v>
      </c>
    </row>
    <row r="5" spans="1:10">
      <c r="A5" s="7"/>
      <c r="I5" t="str">
        <f ca="1">CELL("address",A37)</f>
        <v>$A$37</v>
      </c>
      <c r="J5" t="s">
        <v>8</v>
      </c>
    </row>
    <row r="6" spans="1:10">
      <c r="I6" t="str">
        <f ca="1">CELL("address",A47)</f>
        <v>$A$47</v>
      </c>
      <c r="J6" t="s">
        <v>9</v>
      </c>
    </row>
    <row r="7" spans="1:10">
      <c r="I7" t="str">
        <f ca="1">CELL("address",A55)</f>
        <v>$A$55</v>
      </c>
      <c r="J7" t="s">
        <v>10</v>
      </c>
    </row>
    <row r="8" spans="1:10">
      <c r="A8" t="s">
        <v>11</v>
      </c>
      <c r="B8" t="s">
        <v>12</v>
      </c>
      <c r="I8" t="str">
        <f ca="1">CELL("address",A66)</f>
        <v>$A$66</v>
      </c>
      <c r="J8" t="s">
        <v>13</v>
      </c>
    </row>
    <row r="9" spans="1:10">
      <c r="B9" t="s">
        <v>14</v>
      </c>
      <c r="I9" t="str">
        <f ca="1">CELL("address",A76)</f>
        <v>$A$76</v>
      </c>
      <c r="J9" t="s">
        <v>15</v>
      </c>
    </row>
    <row r="10" spans="1:10">
      <c r="I10" t="str">
        <f ca="1">CELL("address",A88)</f>
        <v>$A$88</v>
      </c>
      <c r="J10" t="s">
        <v>16</v>
      </c>
    </row>
    <row r="11" spans="1:10">
      <c r="A11" s="16" t="s">
        <v>17</v>
      </c>
      <c r="B11" s="16" t="s">
        <v>17</v>
      </c>
      <c r="C11" s="16" t="s">
        <v>17</v>
      </c>
      <c r="I11" t="str">
        <f ca="1">CELL("address",A96)</f>
        <v>$A$96</v>
      </c>
      <c r="J11" t="s">
        <v>18</v>
      </c>
    </row>
    <row r="12" spans="1:10">
      <c r="I12" t="str">
        <f ca="1">CELL("address",A124)</f>
        <v>$A$124</v>
      </c>
      <c r="J12" t="s">
        <v>19</v>
      </c>
    </row>
    <row r="13" spans="1:10">
      <c r="A13" t="s">
        <v>6</v>
      </c>
      <c r="I13" t="str">
        <f ca="1">CELL("address",A137)</f>
        <v>$A$137</v>
      </c>
      <c r="J13" t="s">
        <v>20</v>
      </c>
    </row>
    <row r="14" spans="1:10">
      <c r="A14" t="s">
        <v>21</v>
      </c>
      <c r="B14" s="1">
        <v>273.14999999999998</v>
      </c>
      <c r="C14" t="s">
        <v>22</v>
      </c>
      <c r="I14" t="str">
        <f ca="1">CELL("address",A151)</f>
        <v>$A$151</v>
      </c>
      <c r="J14" t="s">
        <v>23</v>
      </c>
    </row>
    <row r="15" spans="1:10">
      <c r="A15" t="s">
        <v>24</v>
      </c>
      <c r="B15" s="1">
        <v>101.3</v>
      </c>
      <c r="C15" t="s">
        <v>25</v>
      </c>
      <c r="I15" t="str">
        <f ca="1">CELL("address",A165)</f>
        <v>$A$165</v>
      </c>
      <c r="J15" t="s">
        <v>26</v>
      </c>
    </row>
    <row r="16" spans="1:10">
      <c r="A16" t="s">
        <v>27</v>
      </c>
      <c r="B16" s="1">
        <v>5</v>
      </c>
      <c r="C16" t="s">
        <v>28</v>
      </c>
      <c r="I16" t="str">
        <f ca="1">CELL("address",A178)</f>
        <v>$A$178</v>
      </c>
      <c r="J16" t="s">
        <v>29</v>
      </c>
    </row>
    <row r="17" spans="1:10">
      <c r="A17" t="s">
        <v>30</v>
      </c>
      <c r="B17" s="1">
        <v>1</v>
      </c>
      <c r="C17" t="s">
        <v>31</v>
      </c>
      <c r="I17" t="str">
        <f ca="1">CELL("address",A191)</f>
        <v>$A$191</v>
      </c>
      <c r="J17" t="s">
        <v>32</v>
      </c>
    </row>
    <row r="18" spans="1:10">
      <c r="A18" s="16" t="s">
        <v>33</v>
      </c>
      <c r="B18" s="16" t="s">
        <v>33</v>
      </c>
      <c r="C18" s="16" t="s">
        <v>33</v>
      </c>
      <c r="I18" t="str">
        <f ca="1">CELL("address",A203)</f>
        <v>$A$203</v>
      </c>
      <c r="J18" t="s">
        <v>34</v>
      </c>
    </row>
    <row r="19" spans="1:10">
      <c r="A19" s="13" t="s">
        <v>35</v>
      </c>
      <c r="B19">
        <f>0.001293*(273.15/B14)*(B15/101.3)</f>
        <v>1.2930000000000001E-3</v>
      </c>
      <c r="C19" t="s">
        <v>36</v>
      </c>
      <c r="I19" t="str">
        <f ca="1">CELL("address",A212)</f>
        <v>$A$212</v>
      </c>
      <c r="J19" t="s">
        <v>37</v>
      </c>
    </row>
    <row r="20" spans="1:10">
      <c r="A20" s="13" t="s">
        <v>38</v>
      </c>
      <c r="B20">
        <f>0.0001708*((B14/273.15)^1.5)*((393.396)/(B14+120.246))</f>
        <v>1.7080000000000003E-4</v>
      </c>
      <c r="C20" t="s">
        <v>39</v>
      </c>
      <c r="I20" t="str">
        <f ca="1">CELL("address",A224)</f>
        <v>$A$224</v>
      </c>
      <c r="J20" t="s">
        <v>40</v>
      </c>
    </row>
    <row r="21" spans="1:10">
      <c r="A21" s="13" t="s">
        <v>41</v>
      </c>
      <c r="B21">
        <f>0.0001*B19*B16*B17/B20</f>
        <v>3.7851288056206089E-3</v>
      </c>
      <c r="D21" t="s">
        <v>42</v>
      </c>
      <c r="I21" t="str">
        <f ca="1">CELL("address",A241)</f>
        <v>$A$241</v>
      </c>
      <c r="J21" t="s">
        <v>43</v>
      </c>
    </row>
    <row r="22" spans="1:10">
      <c r="I22" t="str">
        <f ca="1">CELL("address",A257)</f>
        <v>$A$257</v>
      </c>
      <c r="J22" t="s">
        <v>44</v>
      </c>
    </row>
    <row r="23" spans="1:10">
      <c r="A23" s="16" t="s">
        <v>17</v>
      </c>
      <c r="B23" s="16" t="s">
        <v>17</v>
      </c>
      <c r="C23" s="16" t="s">
        <v>17</v>
      </c>
      <c r="I23" t="str">
        <f ca="1">CELL("address",A271)</f>
        <v>$A$271</v>
      </c>
      <c r="J23" t="s">
        <v>45</v>
      </c>
    </row>
    <row r="24" spans="1:10">
      <c r="I24" t="str">
        <f ca="1">CELL("address",A288)</f>
        <v>$A$288</v>
      </c>
      <c r="J24" t="s">
        <v>46</v>
      </c>
    </row>
    <row r="25" spans="1:10">
      <c r="A25" t="s">
        <v>7</v>
      </c>
      <c r="I25" t="str">
        <f ca="1">CELL("address",A301)</f>
        <v>$A$301</v>
      </c>
      <c r="J25" t="s">
        <v>47</v>
      </c>
    </row>
    <row r="26" spans="1:10">
      <c r="A26" t="s">
        <v>21</v>
      </c>
      <c r="B26" s="1">
        <v>200</v>
      </c>
      <c r="C26" t="s">
        <v>22</v>
      </c>
      <c r="I26" t="str">
        <f ca="1">CELL("address",A316)</f>
        <v>$A$316</v>
      </c>
      <c r="J26" t="s">
        <v>48</v>
      </c>
    </row>
    <row r="27" spans="1:10">
      <c r="A27" t="s">
        <v>24</v>
      </c>
      <c r="B27" s="1">
        <v>14</v>
      </c>
      <c r="C27" t="s">
        <v>25</v>
      </c>
      <c r="I27" t="str">
        <f ca="1">CELL("address",A327)</f>
        <v>$A$327</v>
      </c>
      <c r="J27" t="s">
        <v>49</v>
      </c>
    </row>
    <row r="28" spans="1:10">
      <c r="A28" t="s">
        <v>50</v>
      </c>
      <c r="B28" s="1">
        <v>0.2</v>
      </c>
      <c r="C28" t="s">
        <v>51</v>
      </c>
      <c r="I28" t="str">
        <f ca="1">CELL("address",A338)</f>
        <v>$A$338</v>
      </c>
      <c r="J28" t="s">
        <v>52</v>
      </c>
    </row>
    <row r="29" spans="1:10">
      <c r="A29" t="s">
        <v>53</v>
      </c>
      <c r="B29" s="1">
        <v>500</v>
      </c>
      <c r="C29" t="s">
        <v>31</v>
      </c>
      <c r="I29" t="str">
        <f ca="1">CELL("address",A349)</f>
        <v>$A$349</v>
      </c>
      <c r="J29" t="s">
        <v>54</v>
      </c>
    </row>
    <row r="30" spans="1:10">
      <c r="A30" s="16" t="s">
        <v>33</v>
      </c>
      <c r="B30" s="16" t="s">
        <v>33</v>
      </c>
      <c r="C30" s="16" t="s">
        <v>33</v>
      </c>
      <c r="I30" t="str">
        <f ca="1">CELL("address",A361)</f>
        <v>$A$361</v>
      </c>
      <c r="J30" t="s">
        <v>55</v>
      </c>
    </row>
    <row r="31" spans="1:10">
      <c r="A31" s="13" t="s">
        <v>35</v>
      </c>
      <c r="B31">
        <f>0.001293*(273.15/B26)*(B27/101)</f>
        <v>2.447802623762376E-4</v>
      </c>
      <c r="C31" t="s">
        <v>36</v>
      </c>
      <c r="I31" t="str">
        <f ca="1">CELL("address",A374)</f>
        <v>$A$374</v>
      </c>
      <c r="J31" t="s">
        <v>56</v>
      </c>
    </row>
    <row r="32" spans="1:10">
      <c r="A32" s="13" t="s">
        <v>38</v>
      </c>
      <c r="B32">
        <f>0.000182*((B26/273.15)^1.5)*((383.5)/(B26+110.4))</f>
        <v>1.408828828494067E-4</v>
      </c>
      <c r="C32" t="s">
        <v>39</v>
      </c>
      <c r="D32" t="s">
        <v>57</v>
      </c>
      <c r="I32" t="str">
        <f ca="1">CELL("address",A388)</f>
        <v>$A$388</v>
      </c>
      <c r="J32" t="s">
        <v>58</v>
      </c>
    </row>
    <row r="33" spans="1:10">
      <c r="A33" s="13" t="s">
        <v>41</v>
      </c>
      <c r="B33">
        <f>B31*B28*B29/B32</f>
        <v>173.74734064598144</v>
      </c>
      <c r="D33" t="s">
        <v>59</v>
      </c>
      <c r="I33" t="str">
        <f ca="1">CELL("address",A404)</f>
        <v>$A$404</v>
      </c>
      <c r="J33" t="s">
        <v>60</v>
      </c>
    </row>
    <row r="34" spans="1:10">
      <c r="I34" t="str">
        <f ca="1">CELL("address",A428)</f>
        <v>$A$428</v>
      </c>
      <c r="J34" t="s">
        <v>61</v>
      </c>
    </row>
    <row r="35" spans="1:10">
      <c r="A35" s="16" t="s">
        <v>17</v>
      </c>
      <c r="B35" s="16" t="s">
        <v>17</v>
      </c>
      <c r="C35" s="16" t="s">
        <v>17</v>
      </c>
      <c r="I35" t="str">
        <f ca="1">CELL("address",A439)</f>
        <v>$A$439</v>
      </c>
      <c r="J35" t="s">
        <v>62</v>
      </c>
    </row>
    <row r="36" spans="1:10">
      <c r="I36" t="str">
        <f ca="1">CELL("address",A456)</f>
        <v>$A$456</v>
      </c>
      <c r="J36" t="s">
        <v>63</v>
      </c>
    </row>
    <row r="37" spans="1:10">
      <c r="A37" t="s">
        <v>8</v>
      </c>
      <c r="I37" t="str">
        <f ca="1">CELL("address",A467)</f>
        <v>$A$467</v>
      </c>
      <c r="J37" t="s">
        <v>64</v>
      </c>
    </row>
    <row r="38" spans="1:10">
      <c r="A38" t="s">
        <v>21</v>
      </c>
      <c r="B38" s="1">
        <v>293.14999999999998</v>
      </c>
      <c r="C38" t="s">
        <v>22</v>
      </c>
      <c r="I38" t="str">
        <f ca="1">CELL("address",A478)</f>
        <v>$A$478</v>
      </c>
      <c r="J38" t="s">
        <v>65</v>
      </c>
    </row>
    <row r="39" spans="1:10">
      <c r="A39" t="s">
        <v>66</v>
      </c>
      <c r="B39" s="1">
        <v>1.1919999999999999E-3</v>
      </c>
      <c r="C39" t="s">
        <v>36</v>
      </c>
      <c r="D39" t="s">
        <v>67</v>
      </c>
      <c r="I39" t="str">
        <f ca="1">CELL("address",A488)</f>
        <v>$A$488</v>
      </c>
      <c r="J39" t="s">
        <v>68</v>
      </c>
    </row>
    <row r="40" spans="1:10">
      <c r="A40" t="s">
        <v>69</v>
      </c>
      <c r="B40" s="1">
        <v>28.96</v>
      </c>
      <c r="C40" t="s">
        <v>70</v>
      </c>
      <c r="D40" t="s">
        <v>71</v>
      </c>
      <c r="I40" t="str">
        <f ca="1">CELL("address",A497)</f>
        <v>$A$497</v>
      </c>
      <c r="J40" t="s">
        <v>72</v>
      </c>
    </row>
    <row r="41" spans="1:10">
      <c r="A41" s="16" t="s">
        <v>33</v>
      </c>
      <c r="B41" s="16" t="s">
        <v>33</v>
      </c>
      <c r="C41" s="16" t="s">
        <v>33</v>
      </c>
      <c r="I41" t="str">
        <f ca="1">CELL("address",A523)</f>
        <v>$A$523</v>
      </c>
      <c r="J41" t="s">
        <v>73</v>
      </c>
    </row>
    <row r="42" spans="1:10">
      <c r="A42" s="13" t="s">
        <v>35</v>
      </c>
      <c r="B42">
        <f>B39*B38*83100000/B40</f>
        <v>1002694.4709944749</v>
      </c>
      <c r="C42" t="s">
        <v>74</v>
      </c>
      <c r="I42" t="str">
        <f ca="1">CELL("address",A548)</f>
        <v>$A$548</v>
      </c>
      <c r="J42" t="s">
        <v>75</v>
      </c>
    </row>
    <row r="43" spans="1:10">
      <c r="B43">
        <f>B42/10000</f>
        <v>100.26944709944749</v>
      </c>
      <c r="C43" t="s">
        <v>76</v>
      </c>
      <c r="I43" t="str">
        <f ca="1">CELL("address",A571)</f>
        <v>$A$571</v>
      </c>
      <c r="J43" t="s">
        <v>77</v>
      </c>
    </row>
    <row r="44" spans="1:10">
      <c r="I44" t="str">
        <f ca="1">CELL("address",A595)</f>
        <v>$A$595</v>
      </c>
      <c r="J44" t="s">
        <v>78</v>
      </c>
    </row>
    <row r="45" spans="1:10">
      <c r="A45" s="16" t="s">
        <v>17</v>
      </c>
      <c r="B45" s="16" t="s">
        <v>17</v>
      </c>
      <c r="C45" s="16" t="s">
        <v>17</v>
      </c>
      <c r="I45" t="str">
        <f ca="1">CELL("address",A615)</f>
        <v>$A$615</v>
      </c>
      <c r="J45" t="s">
        <v>79</v>
      </c>
    </row>
    <row r="46" spans="1:10">
      <c r="I46" t="str">
        <f ca="1">CELL("address",A639)</f>
        <v>$A$639</v>
      </c>
      <c r="J46" t="s">
        <v>80</v>
      </c>
    </row>
    <row r="47" spans="1:10">
      <c r="A47" t="s">
        <v>9</v>
      </c>
      <c r="I47" t="str">
        <f ca="1">CELL("address",A657)</f>
        <v>$A$657</v>
      </c>
      <c r="J47" t="s">
        <v>81</v>
      </c>
    </row>
    <row r="48" spans="1:10">
      <c r="A48" t="s">
        <v>21</v>
      </c>
      <c r="B48" s="1">
        <v>293</v>
      </c>
      <c r="C48" t="s">
        <v>22</v>
      </c>
      <c r="D48" s="1"/>
      <c r="I48" t="str">
        <f ca="1">CELL("address",A680)</f>
        <v>$A$680</v>
      </c>
      <c r="J48" t="s">
        <v>82</v>
      </c>
    </row>
    <row r="49" spans="1:10">
      <c r="A49" t="s">
        <v>69</v>
      </c>
      <c r="B49" s="1">
        <v>29</v>
      </c>
      <c r="C49" t="s">
        <v>83</v>
      </c>
      <c r="D49" s="1"/>
      <c r="I49" t="str">
        <f ca="1">CELL("address",A701)</f>
        <v>$A$701</v>
      </c>
      <c r="J49" t="s">
        <v>84</v>
      </c>
    </row>
    <row r="50" spans="1:10">
      <c r="A50" s="16" t="s">
        <v>33</v>
      </c>
      <c r="B50" s="16" t="s">
        <v>33</v>
      </c>
      <c r="C50" s="16" t="s">
        <v>33</v>
      </c>
      <c r="I50" t="str">
        <f ca="1">CELL("address",A719)</f>
        <v>$A$719</v>
      </c>
      <c r="J50" t="s">
        <v>85</v>
      </c>
    </row>
    <row r="51" spans="1:10">
      <c r="A51" s="13" t="s">
        <v>86</v>
      </c>
      <c r="B51">
        <f>46300*SQRT(B48/293.15)*SQRT(28.9/B49)</f>
        <v>46208.276934209069</v>
      </c>
      <c r="C51" t="s">
        <v>31</v>
      </c>
      <c r="I51" t="str">
        <f ca="1">CELL("address",A740)</f>
        <v>$A$740</v>
      </c>
      <c r="J51" t="s">
        <v>87</v>
      </c>
    </row>
    <row r="52" spans="1:10">
      <c r="I52" t="str">
        <f ca="1">CELL("address",A760)</f>
        <v>$A$760</v>
      </c>
      <c r="J52" t="s">
        <v>88</v>
      </c>
    </row>
    <row r="53" spans="1:10">
      <c r="A53" s="16" t="s">
        <v>17</v>
      </c>
      <c r="B53" s="16" t="s">
        <v>17</v>
      </c>
      <c r="C53" s="16" t="s">
        <v>17</v>
      </c>
      <c r="I53" t="str">
        <f ca="1">CELL("address",A779)</f>
        <v>$A$779</v>
      </c>
      <c r="J53" t="s">
        <v>89</v>
      </c>
    </row>
    <row r="54" spans="1:10">
      <c r="I54" t="str">
        <f ca="1">CELL("address",A795)</f>
        <v>$A$795</v>
      </c>
      <c r="J54" t="s">
        <v>90</v>
      </c>
    </row>
    <row r="55" spans="1:10">
      <c r="A55" t="s">
        <v>10</v>
      </c>
      <c r="I55" t="str">
        <f ca="1">CELL("address",A812)</f>
        <v>$A$812</v>
      </c>
      <c r="J55" t="s">
        <v>91</v>
      </c>
    </row>
    <row r="56" spans="1:10">
      <c r="A56" t="s">
        <v>21</v>
      </c>
      <c r="B56" s="1">
        <v>293</v>
      </c>
      <c r="C56" t="s">
        <v>22</v>
      </c>
      <c r="I56" t="str">
        <f ca="1">CELL("address",A824)</f>
        <v>$A$824</v>
      </c>
      <c r="J56" t="s">
        <v>92</v>
      </c>
    </row>
    <row r="57" spans="1:10">
      <c r="A57" t="s">
        <v>24</v>
      </c>
      <c r="B57" s="1">
        <v>101.3</v>
      </c>
      <c r="C57" t="s">
        <v>25</v>
      </c>
      <c r="I57" t="str">
        <f ca="1">CELL("address",A837)</f>
        <v>$A$837</v>
      </c>
      <c r="J57" t="s">
        <v>93</v>
      </c>
    </row>
    <row r="58" spans="1:10">
      <c r="A58" t="s">
        <v>94</v>
      </c>
      <c r="B58" s="1">
        <v>6.7400000000000002E-2</v>
      </c>
      <c r="C58" t="s">
        <v>28</v>
      </c>
      <c r="I58" t="str">
        <f ca="1">CELL("address",A864)</f>
        <v>$A$864</v>
      </c>
      <c r="J58" t="s">
        <v>95</v>
      </c>
    </row>
    <row r="59" spans="1:10">
      <c r="A59" t="s">
        <v>96</v>
      </c>
      <c r="B59" s="1">
        <v>110.4</v>
      </c>
      <c r="C59" t="s">
        <v>22</v>
      </c>
      <c r="D59" s="27" t="s">
        <v>97</v>
      </c>
      <c r="E59" s="26"/>
      <c r="F59" s="26"/>
      <c r="G59" s="29"/>
      <c r="I59" t="str">
        <f ca="1">CELL("address",A879)</f>
        <v>$A$879</v>
      </c>
      <c r="J59" t="s">
        <v>98</v>
      </c>
    </row>
    <row r="60" spans="1:10">
      <c r="A60" s="16" t="s">
        <v>33</v>
      </c>
      <c r="B60" s="16" t="s">
        <v>33</v>
      </c>
      <c r="C60" s="16" t="s">
        <v>33</v>
      </c>
      <c r="D60" s="17" t="s">
        <v>99</v>
      </c>
      <c r="G60" s="22"/>
      <c r="I60" t="str">
        <f ca="1">CELL("address",A895)</f>
        <v>$A$895</v>
      </c>
      <c r="J60" t="s">
        <v>100</v>
      </c>
    </row>
    <row r="61" spans="1:10">
      <c r="A61" s="13" t="s">
        <v>101</v>
      </c>
      <c r="B61">
        <f>B58*0.0001*(B56/296.15)*(101.3/B57)*(1+(B59/296.15))/(1+(B59/B56))</f>
        <v>6.6488989840118319E-6</v>
      </c>
      <c r="C61" t="s">
        <v>51</v>
      </c>
      <c r="D61" s="18" t="s">
        <v>102</v>
      </c>
      <c r="E61" t="s">
        <v>103</v>
      </c>
      <c r="F61" t="s">
        <v>104</v>
      </c>
      <c r="G61" s="22" t="s">
        <v>105</v>
      </c>
      <c r="I61" t="str">
        <f ca="1">CELL("address",A919)</f>
        <v>$A$919</v>
      </c>
      <c r="J61" t="s">
        <v>106</v>
      </c>
    </row>
    <row r="62" spans="1:10">
      <c r="A62" s="13" t="s">
        <v>107</v>
      </c>
      <c r="B62">
        <f>+B61*10000</f>
        <v>6.648898984011832E-2</v>
      </c>
      <c r="C62" t="s">
        <v>28</v>
      </c>
      <c r="D62" s="17" t="s">
        <v>108</v>
      </c>
      <c r="E62" s="5">
        <v>183.14</v>
      </c>
      <c r="F62">
        <v>110.4</v>
      </c>
      <c r="G62" s="22">
        <v>6.7400000000000002E-2</v>
      </c>
      <c r="I62" t="str">
        <f ca="1">CELL("address",A929)</f>
        <v>$A$929</v>
      </c>
      <c r="J62" t="s">
        <v>109</v>
      </c>
    </row>
    <row r="63" spans="1:10">
      <c r="D63" s="17" t="s">
        <v>110</v>
      </c>
      <c r="E63" s="5">
        <v>222</v>
      </c>
      <c r="F63">
        <v>141.4</v>
      </c>
      <c r="G63" s="22">
        <v>7.0300000000000001E-2</v>
      </c>
      <c r="I63" t="str">
        <f ca="1">CELL("address",A944)</f>
        <v>$A$944</v>
      </c>
      <c r="J63" t="s">
        <v>111</v>
      </c>
    </row>
    <row r="64" spans="1:10">
      <c r="A64" s="16" t="s">
        <v>17</v>
      </c>
      <c r="B64" s="16" t="s">
        <v>17</v>
      </c>
      <c r="C64" s="16" t="s">
        <v>17</v>
      </c>
      <c r="D64" s="17" t="s">
        <v>112</v>
      </c>
      <c r="E64" s="5">
        <v>199.1</v>
      </c>
      <c r="F64">
        <v>73.8</v>
      </c>
      <c r="G64" s="22">
        <v>0.1943</v>
      </c>
      <c r="I64" t="str">
        <f ca="1">CELL("address",A953)</f>
        <v>$A$953</v>
      </c>
      <c r="J64" t="s">
        <v>113</v>
      </c>
    </row>
    <row r="65" spans="1:10">
      <c r="D65" s="17" t="s">
        <v>114</v>
      </c>
      <c r="E65" s="5">
        <v>88.41</v>
      </c>
      <c r="F65">
        <v>66.7</v>
      </c>
      <c r="G65" s="22">
        <v>0.124</v>
      </c>
      <c r="I65" t="str">
        <f ca="1">CELL("address",A963)</f>
        <v>$A$963</v>
      </c>
      <c r="J65" t="s">
        <v>115</v>
      </c>
    </row>
    <row r="66" spans="1:10">
      <c r="A66" t="s">
        <v>13</v>
      </c>
      <c r="D66" s="17" t="s">
        <v>116</v>
      </c>
      <c r="E66" s="5">
        <v>108.39</v>
      </c>
      <c r="F66">
        <v>173.7</v>
      </c>
      <c r="G66" s="22">
        <v>5.45E-2</v>
      </c>
      <c r="I66" t="str">
        <f ca="1">CELL("address",A972)</f>
        <v>$A$972</v>
      </c>
      <c r="J66" t="s">
        <v>117</v>
      </c>
    </row>
    <row r="67" spans="1:10">
      <c r="A67" t="s">
        <v>21</v>
      </c>
      <c r="B67">
        <v>320</v>
      </c>
      <c r="C67" t="s">
        <v>22</v>
      </c>
      <c r="D67" s="19" t="s">
        <v>118</v>
      </c>
      <c r="E67" s="5">
        <v>93.13</v>
      </c>
      <c r="F67">
        <v>223.2</v>
      </c>
      <c r="G67" s="22">
        <v>3.3300000000000003E-2</v>
      </c>
      <c r="I67" t="str">
        <f ca="1">CELL("address",A984)</f>
        <v>$A$984</v>
      </c>
      <c r="J67" t="s">
        <v>119</v>
      </c>
    </row>
    <row r="68" spans="1:10">
      <c r="A68" t="s">
        <v>120</v>
      </c>
      <c r="B68">
        <v>293.14999999999998</v>
      </c>
      <c r="C68" t="s">
        <v>22</v>
      </c>
      <c r="D68" s="19" t="s">
        <v>121</v>
      </c>
      <c r="E68" s="5">
        <v>75.89</v>
      </c>
      <c r="F68">
        <v>255</v>
      </c>
      <c r="G68" s="22">
        <v>1.9300000000000001E-2</v>
      </c>
      <c r="I68" t="str">
        <f ca="1">CELL("address",A994)</f>
        <v>$A$994</v>
      </c>
      <c r="J68" t="s">
        <v>122</v>
      </c>
    </row>
    <row r="69" spans="1:10">
      <c r="A69" t="s">
        <v>123</v>
      </c>
      <c r="B69">
        <v>183.25</v>
      </c>
      <c r="C69" t="s">
        <v>124</v>
      </c>
      <c r="D69" s="19" t="s">
        <v>125</v>
      </c>
      <c r="E69" s="5">
        <v>145.57</v>
      </c>
      <c r="F69">
        <v>241</v>
      </c>
      <c r="G69" s="22">
        <v>4.3900000000000002E-2</v>
      </c>
      <c r="I69" t="str">
        <f ca="1">CELL("address",A1006)</f>
        <v>$A$1006</v>
      </c>
      <c r="J69" t="s">
        <v>126</v>
      </c>
    </row>
    <row r="70" spans="1:10">
      <c r="A70" t="s">
        <v>96</v>
      </c>
      <c r="B70">
        <v>110.4</v>
      </c>
      <c r="D70" s="34" t="s">
        <v>127</v>
      </c>
      <c r="E70" s="33">
        <v>147.75</v>
      </c>
      <c r="F70" s="32">
        <v>230.5</v>
      </c>
      <c r="G70" s="37">
        <v>4.3799999999999999E-2</v>
      </c>
      <c r="I70" t="str">
        <f ca="1">CELL("address",A1020)</f>
        <v>$A$1020</v>
      </c>
      <c r="J70" t="s">
        <v>128</v>
      </c>
    </row>
    <row r="71" spans="1:10">
      <c r="A71" s="16" t="s">
        <v>33</v>
      </c>
      <c r="B71" s="16" t="s">
        <v>33</v>
      </c>
      <c r="C71" s="16" t="s">
        <v>33</v>
      </c>
      <c r="I71" t="str">
        <f ca="1">CELL("address",A1029)</f>
        <v>$A$1029</v>
      </c>
      <c r="J71" t="s">
        <v>129</v>
      </c>
    </row>
    <row r="72" spans="1:10">
      <c r="A72" s="13" t="s">
        <v>130</v>
      </c>
      <c r="B72">
        <f>B69*(B68+B70)/(B67+B70)*(B67/B68)^(1.5)</f>
        <v>195.9562825750061</v>
      </c>
      <c r="C72" t="s">
        <v>124</v>
      </c>
      <c r="I72" t="str">
        <f ca="1">CELL("address",A1037)</f>
        <v>$A$1037</v>
      </c>
      <c r="J72" t="s">
        <v>131</v>
      </c>
    </row>
    <row r="73" spans="1:10">
      <c r="A73" s="13"/>
      <c r="I73" t="str">
        <f ca="1">CELL("address",A1048)</f>
        <v>$A$1048</v>
      </c>
      <c r="J73" t="s">
        <v>132</v>
      </c>
    </row>
    <row r="74" spans="1:10">
      <c r="A74" s="16" t="s">
        <v>17</v>
      </c>
      <c r="B74" s="16" t="s">
        <v>17</v>
      </c>
      <c r="C74" s="16" t="s">
        <v>17</v>
      </c>
      <c r="I74" t="str">
        <f ca="1">CELL("address",A1060)</f>
        <v>$A$1060</v>
      </c>
      <c r="J74" t="s">
        <v>133</v>
      </c>
    </row>
    <row r="75" spans="1:10">
      <c r="I75" t="str">
        <f ca="1">CELL("address",A1074)</f>
        <v>$A$1074</v>
      </c>
      <c r="J75" t="s">
        <v>134</v>
      </c>
    </row>
    <row r="76" spans="1:10">
      <c r="A76" t="s">
        <v>15</v>
      </c>
      <c r="I76" t="str">
        <f ca="1">CELL("address",A1084)</f>
        <v>$A$1084</v>
      </c>
      <c r="J76" t="s">
        <v>135</v>
      </c>
    </row>
    <row r="77" spans="1:10">
      <c r="A77" t="s">
        <v>21</v>
      </c>
      <c r="B77" s="1">
        <v>293.14999999999998</v>
      </c>
      <c r="C77" t="s">
        <v>22</v>
      </c>
      <c r="I77" t="str">
        <f ca="1">CELL("address",A1097)</f>
        <v>$A$1097</v>
      </c>
      <c r="J77" t="s">
        <v>136</v>
      </c>
    </row>
    <row r="78" spans="1:10">
      <c r="A78" t="s">
        <v>24</v>
      </c>
      <c r="B78" s="1">
        <v>101.3</v>
      </c>
      <c r="C78" t="s">
        <v>25</v>
      </c>
      <c r="I78" t="str">
        <f ca="1">CELL("address",A1106)</f>
        <v>$A$1106</v>
      </c>
      <c r="J78" t="s">
        <v>137</v>
      </c>
    </row>
    <row r="79" spans="1:10">
      <c r="A79" t="s">
        <v>94</v>
      </c>
      <c r="B79" s="1">
        <v>6.7400000000000002E-2</v>
      </c>
      <c r="C79" t="s">
        <v>28</v>
      </c>
      <c r="I79" t="str">
        <f ca="1">CELL("address",A1114)</f>
        <v>$A$1114</v>
      </c>
      <c r="J79" t="s">
        <v>138</v>
      </c>
    </row>
    <row r="80" spans="1:10">
      <c r="A80" t="s">
        <v>96</v>
      </c>
      <c r="B80" s="1">
        <v>110.4</v>
      </c>
      <c r="C80" t="s">
        <v>22</v>
      </c>
      <c r="I80" t="str">
        <f ca="1">CELL("address",A1122)</f>
        <v>$A$1122</v>
      </c>
      <c r="J80" t="s">
        <v>139</v>
      </c>
    </row>
    <row r="81" spans="1:10">
      <c r="A81" t="s">
        <v>27</v>
      </c>
      <c r="B81" s="1">
        <v>0.1</v>
      </c>
      <c r="C81" t="s">
        <v>28</v>
      </c>
      <c r="I81" t="str">
        <f ca="1">CELL("address",A1132)</f>
        <v>$A$1132</v>
      </c>
      <c r="J81" t="s">
        <v>140</v>
      </c>
    </row>
    <row r="82" spans="1:10">
      <c r="A82" s="16" t="s">
        <v>33</v>
      </c>
      <c r="B82" s="16" t="s">
        <v>33</v>
      </c>
      <c r="C82" s="16" t="s">
        <v>33</v>
      </c>
      <c r="I82" t="str">
        <f ca="1">CELL("address",A1140)</f>
        <v>$A$1140</v>
      </c>
      <c r="J82" t="s">
        <v>141</v>
      </c>
    </row>
    <row r="83" spans="1:10">
      <c r="A83" s="13" t="s">
        <v>101</v>
      </c>
      <c r="B83">
        <f>B79*0.0001*(B77/296.15)*(101.3/B78)*(1+(B80/296.15))/(1+(B80/B77))</f>
        <v>6.6532345385004286E-6</v>
      </c>
      <c r="C83" t="s">
        <v>51</v>
      </c>
      <c r="I83" t="str">
        <f ca="1">CELL("address",A1161)</f>
        <v>$A$1161</v>
      </c>
      <c r="J83" t="s">
        <v>142</v>
      </c>
    </row>
    <row r="84" spans="1:10">
      <c r="A84" s="13" t="s">
        <v>143</v>
      </c>
      <c r="B84">
        <f>2*B83/(B81*0.0001)</f>
        <v>1.3306469077000855</v>
      </c>
      <c r="I84" t="str">
        <f ca="1">CELL("address",A1183)</f>
        <v>$A$1183</v>
      </c>
      <c r="J84" t="s">
        <v>144</v>
      </c>
    </row>
    <row r="85" spans="1:10">
      <c r="I85" t="str">
        <f ca="1">CELL("address",A1193)</f>
        <v>$A$1193</v>
      </c>
      <c r="J85" t="s">
        <v>145</v>
      </c>
    </row>
    <row r="86" spans="1:10">
      <c r="A86" s="16" t="s">
        <v>17</v>
      </c>
      <c r="B86" s="16" t="s">
        <v>17</v>
      </c>
      <c r="C86" s="16" t="s">
        <v>17</v>
      </c>
      <c r="I86" t="str">
        <f ca="1">CELL("address",A1208)</f>
        <v>$A$1208</v>
      </c>
      <c r="J86" t="s">
        <v>146</v>
      </c>
    </row>
    <row r="87" spans="1:10">
      <c r="I87" t="str">
        <f ca="1">CELL("address",A1223)</f>
        <v>$A$1223</v>
      </c>
      <c r="J87" t="s">
        <v>147</v>
      </c>
    </row>
    <row r="88" spans="1:10">
      <c r="A88" t="s">
        <v>148</v>
      </c>
      <c r="I88" t="str">
        <f ca="1">CELL("address",A1238)</f>
        <v>$A$1238</v>
      </c>
      <c r="J88" t="s">
        <v>149</v>
      </c>
    </row>
    <row r="89" spans="1:10">
      <c r="A89" t="s">
        <v>21</v>
      </c>
      <c r="B89" s="1">
        <v>293.14999999999998</v>
      </c>
      <c r="C89" t="s">
        <v>22</v>
      </c>
      <c r="I89" t="str">
        <f ca="1">CELL("address",A1256)</f>
        <v>$A$1256</v>
      </c>
      <c r="J89" t="s">
        <v>150</v>
      </c>
    </row>
    <row r="90" spans="1:10">
      <c r="A90" t="s">
        <v>24</v>
      </c>
      <c r="B90" s="1">
        <v>100</v>
      </c>
      <c r="C90" t="s">
        <v>25</v>
      </c>
      <c r="I90" t="str">
        <f ca="1">CELL("address",A1276)</f>
        <v>$A$1276</v>
      </c>
      <c r="J90" t="s">
        <v>151</v>
      </c>
    </row>
    <row r="91" spans="1:10">
      <c r="A91" s="16" t="s">
        <v>33</v>
      </c>
      <c r="B91" s="16" t="s">
        <v>33</v>
      </c>
      <c r="C91" s="16" t="s">
        <v>33</v>
      </c>
      <c r="I91" t="str">
        <f ca="1">CELL("address",A1295)</f>
        <v>$A$1295</v>
      </c>
      <c r="J91" t="s">
        <v>152</v>
      </c>
    </row>
    <row r="92" spans="1:10">
      <c r="A92" s="13" t="s">
        <v>35</v>
      </c>
      <c r="B92">
        <f>0.001293*(273.15/B89)*(B90/101.3)</f>
        <v>1.1893245559727636E-3</v>
      </c>
      <c r="C92" t="s">
        <v>153</v>
      </c>
      <c r="I92" t="str">
        <f ca="1">CELL("address",A1312)</f>
        <v>$A$1312</v>
      </c>
      <c r="J92" t="s">
        <v>154</v>
      </c>
    </row>
    <row r="93" spans="1:10">
      <c r="I93" t="str">
        <f ca="1">CELL("address",A1329)</f>
        <v>$A$1329</v>
      </c>
      <c r="J93" t="s">
        <v>155</v>
      </c>
    </row>
    <row r="94" spans="1:10">
      <c r="A94" s="16" t="s">
        <v>17</v>
      </c>
      <c r="B94" s="16" t="s">
        <v>17</v>
      </c>
      <c r="C94" s="16" t="s">
        <v>17</v>
      </c>
      <c r="I94" t="str">
        <f ca="1">CELL("address",A1350)</f>
        <v>$A$1350</v>
      </c>
      <c r="J94" t="s">
        <v>156</v>
      </c>
    </row>
    <row r="95" spans="1:10">
      <c r="I95" t="str">
        <f ca="1">CELL("address",A1372)</f>
        <v>$A$1372</v>
      </c>
      <c r="J95" t="s">
        <v>157</v>
      </c>
    </row>
    <row r="96" spans="1:10">
      <c r="A96" t="s">
        <v>18</v>
      </c>
      <c r="D96" s="27" t="s">
        <v>158</v>
      </c>
      <c r="E96" s="26"/>
      <c r="F96" s="29"/>
      <c r="I96" t="str">
        <f ca="1">CELL("address",A1384)</f>
        <v>$A$1384</v>
      </c>
      <c r="J96" t="s">
        <v>159</v>
      </c>
    </row>
    <row r="97" spans="1:10">
      <c r="A97" t="s">
        <v>160</v>
      </c>
      <c r="B97" s="1"/>
      <c r="D97" s="17" t="s">
        <v>102</v>
      </c>
      <c r="E97" t="s">
        <v>161</v>
      </c>
      <c r="F97" s="22"/>
      <c r="I97" t="str">
        <f ca="1">CELL("address",A1403)</f>
        <v>$A$1403</v>
      </c>
      <c r="J97" t="s">
        <v>162</v>
      </c>
    </row>
    <row r="98" spans="1:10">
      <c r="A98" t="s">
        <v>24</v>
      </c>
      <c r="B98" s="1">
        <v>101.3</v>
      </c>
      <c r="C98" t="s">
        <v>25</v>
      </c>
      <c r="D98" s="17" t="s">
        <v>108</v>
      </c>
      <c r="E98">
        <v>1.2070000000000001</v>
      </c>
      <c r="F98" s="22"/>
      <c r="I98" t="str">
        <f ca="1">CELL("address",A1414)</f>
        <v>$A$1414</v>
      </c>
      <c r="J98" t="s">
        <v>163</v>
      </c>
    </row>
    <row r="99" spans="1:10">
      <c r="A99" t="s">
        <v>27</v>
      </c>
      <c r="B99" s="1">
        <v>0.01</v>
      </c>
      <c r="C99" t="s">
        <v>28</v>
      </c>
      <c r="D99" s="17" t="s">
        <v>110</v>
      </c>
      <c r="E99">
        <v>1.2270000000000001</v>
      </c>
      <c r="F99" s="22"/>
      <c r="I99" t="str">
        <f ca="1">CELL("address",A1426)</f>
        <v>$A$1426</v>
      </c>
      <c r="J99" t="s">
        <v>164</v>
      </c>
    </row>
    <row r="100" spans="1:10">
      <c r="A100" t="s">
        <v>165</v>
      </c>
      <c r="B100">
        <v>1.2070000000000001</v>
      </c>
      <c r="D100" s="17" t="s">
        <v>112</v>
      </c>
      <c r="E100">
        <v>1.2769999999999999</v>
      </c>
      <c r="F100" s="22"/>
      <c r="I100" t="str">
        <f ca="1">CELL("address",A1441)</f>
        <v>$A$1441</v>
      </c>
      <c r="J100" t="s">
        <v>166</v>
      </c>
    </row>
    <row r="101" spans="1:10">
      <c r="A101" t="s">
        <v>167</v>
      </c>
      <c r="B101">
        <v>6.6500000000000004E-2</v>
      </c>
      <c r="C101" t="s">
        <v>28</v>
      </c>
      <c r="D101" s="17" t="s">
        <v>114</v>
      </c>
      <c r="E101">
        <v>1.141</v>
      </c>
      <c r="F101" s="22"/>
      <c r="I101" t="str">
        <f ca="1">CELL("address",A1454)</f>
        <v>$A$1454</v>
      </c>
      <c r="J101" t="s">
        <v>168</v>
      </c>
    </row>
    <row r="102" spans="1:10">
      <c r="A102" s="16" t="s">
        <v>33</v>
      </c>
      <c r="B102" s="16" t="s">
        <v>33</v>
      </c>
      <c r="C102" s="16" t="s">
        <v>33</v>
      </c>
      <c r="D102" s="17" t="s">
        <v>116</v>
      </c>
      <c r="E102">
        <v>1.1539999999999999</v>
      </c>
      <c r="F102" s="22"/>
    </row>
    <row r="103" spans="1:10">
      <c r="A103" s="13" t="s">
        <v>169</v>
      </c>
      <c r="B103" s="8">
        <f>1+(2/(B98*B99*0.7502))*(6.32+2.01*EXP(-0.1095*B98*0.7502*B99))</f>
        <v>22.500047426322361</v>
      </c>
      <c r="D103" s="19" t="s">
        <v>118</v>
      </c>
      <c r="E103">
        <v>1.254</v>
      </c>
      <c r="F103" s="22"/>
    </row>
    <row r="104" spans="1:10">
      <c r="A104" s="13" t="s">
        <v>170</v>
      </c>
      <c r="B104" s="8">
        <f>1+B100*(B101*2/B99)</f>
        <v>17.053100000000001</v>
      </c>
      <c r="D104" s="19" t="s">
        <v>121</v>
      </c>
      <c r="E104">
        <v>1.1859999999999999</v>
      </c>
      <c r="F104" s="22"/>
    </row>
    <row r="105" spans="1:10">
      <c r="A105" s="13" t="s">
        <v>171</v>
      </c>
      <c r="B105" s="8">
        <f>1+(1/(B98*B99))*(15.32+7.484*EXP(-0.0745*B98*B99))</f>
        <v>22.974314026897165</v>
      </c>
      <c r="D105" s="19" t="s">
        <v>125</v>
      </c>
      <c r="E105">
        <v>1.2070000000000001</v>
      </c>
      <c r="F105" s="22"/>
    </row>
    <row r="106" spans="1:10">
      <c r="A106" s="13"/>
      <c r="B106" s="8"/>
      <c r="D106" s="34" t="s">
        <v>127</v>
      </c>
      <c r="E106" s="32">
        <v>1.208</v>
      </c>
      <c r="F106" s="37"/>
    </row>
    <row r="107" spans="1:10">
      <c r="A107" s="16" t="s">
        <v>17</v>
      </c>
      <c r="B107" s="16" t="s">
        <v>17</v>
      </c>
      <c r="C107" s="16" t="s">
        <v>17</v>
      </c>
    </row>
    <row r="108" spans="1:10">
      <c r="J108" s="3" t="s">
        <v>172</v>
      </c>
    </row>
    <row r="109" spans="1:10">
      <c r="A109" t="s">
        <v>173</v>
      </c>
    </row>
    <row r="110" spans="1:10">
      <c r="A110" t="s">
        <v>21</v>
      </c>
      <c r="B110" s="1">
        <v>293.14999999999998</v>
      </c>
      <c r="C110" t="s">
        <v>22</v>
      </c>
      <c r="J110" s="3" t="s">
        <v>174</v>
      </c>
    </row>
    <row r="111" spans="1:10">
      <c r="A111" t="s">
        <v>24</v>
      </c>
      <c r="B111" s="1">
        <v>101.3</v>
      </c>
      <c r="C111" t="s">
        <v>25</v>
      </c>
    </row>
    <row r="112" spans="1:10">
      <c r="A112" t="s">
        <v>175</v>
      </c>
      <c r="B112" s="1">
        <v>3.6999999999999999E-4</v>
      </c>
      <c r="C112" t="s">
        <v>28</v>
      </c>
      <c r="J112" t="s">
        <v>176</v>
      </c>
    </row>
    <row r="113" spans="1:10">
      <c r="A113" t="s">
        <v>177</v>
      </c>
      <c r="B113" s="1">
        <v>1</v>
      </c>
      <c r="C113" t="s">
        <v>153</v>
      </c>
      <c r="J113" t="s">
        <v>178</v>
      </c>
    </row>
    <row r="114" spans="1:10">
      <c r="A114" s="16" t="s">
        <v>33</v>
      </c>
      <c r="B114" s="16" t="s">
        <v>33</v>
      </c>
      <c r="C114" s="16" t="s">
        <v>33</v>
      </c>
      <c r="J114" t="s">
        <v>179</v>
      </c>
    </row>
    <row r="115" spans="1:10">
      <c r="A115" s="13" t="s">
        <v>38</v>
      </c>
      <c r="B115">
        <f>0.0001708*((B110/273.15)^1.5)*((393.396)/(B110+120.246))</f>
        <v>1.8071099473721675E-4</v>
      </c>
      <c r="C115" t="s">
        <v>39</v>
      </c>
      <c r="J115" t="s">
        <v>180</v>
      </c>
    </row>
    <row r="116" spans="1:10">
      <c r="A116" s="13" t="s">
        <v>181</v>
      </c>
      <c r="B116">
        <f>1+(2/(B111*B112*0.752))*(6.32+2.01*EXP(-0.1095*B111*0.752*B112))</f>
        <v>591.64011077458611</v>
      </c>
      <c r="J116" t="s">
        <v>182</v>
      </c>
    </row>
    <row r="117" spans="1:10">
      <c r="A117" s="13" t="s">
        <v>183</v>
      </c>
      <c r="B117" s="6">
        <f>(3*SQRT(2)*PI()/64)*(1/(25000000000000000000*(B112*0.0001)^2))*SQRT(83100000*B110/28)</f>
        <v>0.17948540524468978</v>
      </c>
      <c r="C117" t="s">
        <v>184</v>
      </c>
      <c r="D117" t="s">
        <v>185</v>
      </c>
    </row>
    <row r="118" spans="1:10">
      <c r="A118" s="13" t="s">
        <v>183</v>
      </c>
      <c r="B118" s="6">
        <f>0.000000000000000138*B110*B116/(PI()*B115*B112*0.0003)</f>
        <v>0.37981242386514119</v>
      </c>
      <c r="C118" t="s">
        <v>184</v>
      </c>
      <c r="D118" t="s">
        <v>186</v>
      </c>
      <c r="J118" s="3" t="s">
        <v>187</v>
      </c>
    </row>
    <row r="119" spans="1:10">
      <c r="A119" s="13" t="s">
        <v>188</v>
      </c>
      <c r="B119" s="6">
        <f>B116/(3*PI()*B115*B112*0.0001)</f>
        <v>9388585847012.6133</v>
      </c>
      <c r="C119" t="s">
        <v>189</v>
      </c>
    </row>
    <row r="120" spans="1:10">
      <c r="A120" s="13" t="s">
        <v>190</v>
      </c>
      <c r="B120">
        <f>SQRT(0.006624*B110/(PI()*PI()*B113*B112*B112*B112))</f>
        <v>62323.617335422299</v>
      </c>
      <c r="C120" t="s">
        <v>31</v>
      </c>
      <c r="J120" t="s">
        <v>191</v>
      </c>
    </row>
    <row r="121" spans="1:10">
      <c r="J121" t="s">
        <v>192</v>
      </c>
    </row>
    <row r="122" spans="1:10">
      <c r="A122" s="16" t="s">
        <v>17</v>
      </c>
      <c r="B122" s="16" t="s">
        <v>17</v>
      </c>
      <c r="C122" s="16" t="s">
        <v>17</v>
      </c>
      <c r="J122" t="s">
        <v>193</v>
      </c>
    </row>
    <row r="123" spans="1:10">
      <c r="J123" t="s">
        <v>194</v>
      </c>
    </row>
    <row r="124" spans="1:10">
      <c r="A124" t="s">
        <v>19</v>
      </c>
      <c r="J124" t="s">
        <v>195</v>
      </c>
    </row>
    <row r="125" spans="1:10">
      <c r="A125" t="s">
        <v>21</v>
      </c>
      <c r="B125" s="1">
        <v>293.14999999999998</v>
      </c>
      <c r="C125" t="s">
        <v>22</v>
      </c>
    </row>
    <row r="126" spans="1:10">
      <c r="A126" t="s">
        <v>24</v>
      </c>
      <c r="B126" s="1">
        <v>101.3</v>
      </c>
      <c r="C126" t="s">
        <v>25</v>
      </c>
      <c r="J126" s="3" t="s">
        <v>196</v>
      </c>
    </row>
    <row r="127" spans="1:10">
      <c r="A127" t="s">
        <v>27</v>
      </c>
      <c r="B127" s="1">
        <v>0.01</v>
      </c>
      <c r="C127" t="s">
        <v>28</v>
      </c>
    </row>
    <row r="128" spans="1:10">
      <c r="A128" t="s">
        <v>197</v>
      </c>
      <c r="B128" s="1">
        <v>100</v>
      </c>
      <c r="C128" t="s">
        <v>198</v>
      </c>
      <c r="J128" t="s">
        <v>199</v>
      </c>
    </row>
    <row r="129" spans="1:10">
      <c r="A129" s="16" t="s">
        <v>33</v>
      </c>
      <c r="B129" s="16" t="s">
        <v>33</v>
      </c>
      <c r="C129" s="16" t="s">
        <v>33</v>
      </c>
      <c r="J129" t="s">
        <v>200</v>
      </c>
    </row>
    <row r="130" spans="1:10">
      <c r="A130" s="13" t="s">
        <v>38</v>
      </c>
      <c r="B130">
        <f>0.0001708*((B125/273.15)^1.5)*((393.396)/(B125+120.246))</f>
        <v>1.8071099473721675E-4</v>
      </c>
      <c r="C130" t="s">
        <v>39</v>
      </c>
      <c r="J130" t="s">
        <v>201</v>
      </c>
    </row>
    <row r="131" spans="1:10">
      <c r="A131" s="13" t="s">
        <v>181</v>
      </c>
      <c r="B131">
        <f>1+(2/(B126*B127*0.752))*(6.32+2.01*EXP(-0.1095*B126*0.752*B127))</f>
        <v>22.447615127350385</v>
      </c>
      <c r="J131" t="s">
        <v>202</v>
      </c>
    </row>
    <row r="132" spans="1:10">
      <c r="A132" s="13" t="s">
        <v>183</v>
      </c>
      <c r="B132" s="6">
        <f>0.000000000000000138*B125*B131/(PI()*B130*B127*0.0003)</f>
        <v>5.3319183297578494E-4</v>
      </c>
      <c r="C132" t="s">
        <v>184</v>
      </c>
      <c r="J132" t="s">
        <v>203</v>
      </c>
    </row>
    <row r="133" spans="1:10">
      <c r="A133" s="13" t="s">
        <v>204</v>
      </c>
      <c r="B133">
        <f>SQRT(2*B132*B128)</f>
        <v>0.32655530403770355</v>
      </c>
      <c r="C133" t="s">
        <v>51</v>
      </c>
      <c r="J133" t="s">
        <v>205</v>
      </c>
    </row>
    <row r="135" spans="1:10">
      <c r="A135" s="16" t="s">
        <v>17</v>
      </c>
      <c r="B135" s="16" t="s">
        <v>17</v>
      </c>
      <c r="C135" s="16" t="s">
        <v>17</v>
      </c>
      <c r="J135" s="3" t="s">
        <v>206</v>
      </c>
    </row>
    <row r="137" spans="1:10">
      <c r="A137" t="s">
        <v>20</v>
      </c>
      <c r="J137" t="s">
        <v>207</v>
      </c>
    </row>
    <row r="138" spans="1:10">
      <c r="A138" t="s">
        <v>21</v>
      </c>
      <c r="B138" s="1">
        <v>293.14999999999998</v>
      </c>
      <c r="C138" t="s">
        <v>22</v>
      </c>
      <c r="J138" t="s">
        <v>208</v>
      </c>
    </row>
    <row r="139" spans="1:10">
      <c r="A139" t="s">
        <v>24</v>
      </c>
      <c r="B139" s="1">
        <v>101.3</v>
      </c>
      <c r="C139" t="s">
        <v>25</v>
      </c>
      <c r="J139" t="s">
        <v>209</v>
      </c>
    </row>
    <row r="140" spans="1:10">
      <c r="A140" t="s">
        <v>27</v>
      </c>
      <c r="B140" s="1">
        <v>0.01</v>
      </c>
      <c r="C140" t="s">
        <v>28</v>
      </c>
      <c r="J140" t="s">
        <v>210</v>
      </c>
    </row>
    <row r="141" spans="1:10">
      <c r="A141" t="s">
        <v>211</v>
      </c>
      <c r="B141">
        <v>1E-3</v>
      </c>
      <c r="C141" t="s">
        <v>51</v>
      </c>
      <c r="J141" t="s">
        <v>212</v>
      </c>
    </row>
    <row r="142" spans="1:10">
      <c r="A142" t="s">
        <v>213</v>
      </c>
      <c r="B142">
        <v>10</v>
      </c>
      <c r="C142" t="s">
        <v>214</v>
      </c>
    </row>
    <row r="143" spans="1:10">
      <c r="A143" s="16" t="s">
        <v>33</v>
      </c>
      <c r="B143" s="16" t="s">
        <v>33</v>
      </c>
      <c r="C143" s="16" t="s">
        <v>33</v>
      </c>
      <c r="J143" s="3" t="s">
        <v>24</v>
      </c>
    </row>
    <row r="144" spans="1:10">
      <c r="A144" s="13" t="s">
        <v>38</v>
      </c>
      <c r="B144">
        <f>0.0001708*((B138/273.15)^1.5)*((393.396)/(B138+120.246))</f>
        <v>1.8071099473721675E-4</v>
      </c>
      <c r="C144" t="s">
        <v>39</v>
      </c>
    </row>
    <row r="145" spans="1:10">
      <c r="A145" s="13" t="s">
        <v>181</v>
      </c>
      <c r="B145">
        <f>1+(2/(B139*B140*0.752))*(6.32+2.01*EXP(-0.1095*B139*0.752*B140))</f>
        <v>22.447615127350385</v>
      </c>
      <c r="J145" t="s">
        <v>215</v>
      </c>
    </row>
    <row r="146" spans="1:10">
      <c r="A146" s="13" t="s">
        <v>183</v>
      </c>
      <c r="B146" s="6">
        <f>0.000000000000000138*B138*B145/(PI()*B144*B140*0.0003)</f>
        <v>5.3319183297578494E-4</v>
      </c>
      <c r="C146" t="s">
        <v>184</v>
      </c>
      <c r="J146" t="s">
        <v>216</v>
      </c>
    </row>
    <row r="147" spans="1:10">
      <c r="A147" s="13" t="s">
        <v>217</v>
      </c>
      <c r="B147">
        <f>B141*B142/B146</f>
        <v>18.754975942128041</v>
      </c>
      <c r="J147" t="s">
        <v>218</v>
      </c>
    </row>
    <row r="148" spans="1:10">
      <c r="J148" t="s">
        <v>219</v>
      </c>
    </row>
    <row r="149" spans="1:10">
      <c r="A149" s="16" t="s">
        <v>17</v>
      </c>
      <c r="B149" s="16" t="s">
        <v>17</v>
      </c>
      <c r="C149" s="16" t="s">
        <v>17</v>
      </c>
      <c r="J149" t="s">
        <v>220</v>
      </c>
    </row>
    <row r="150" spans="1:10">
      <c r="J150" t="s">
        <v>221</v>
      </c>
    </row>
    <row r="151" spans="1:10">
      <c r="A151" t="s">
        <v>23</v>
      </c>
    </row>
    <row r="152" spans="1:10">
      <c r="A152" t="s">
        <v>21</v>
      </c>
      <c r="B152" s="1">
        <v>273.14999999999998</v>
      </c>
      <c r="C152" t="s">
        <v>22</v>
      </c>
      <c r="J152" s="3" t="s">
        <v>222</v>
      </c>
    </row>
    <row r="153" spans="1:10">
      <c r="A153" t="s">
        <v>24</v>
      </c>
      <c r="B153" s="1">
        <v>101.3</v>
      </c>
      <c r="C153" t="s">
        <v>25</v>
      </c>
    </row>
    <row r="154" spans="1:10">
      <c r="A154" t="s">
        <v>27</v>
      </c>
      <c r="B154" s="1">
        <v>0.01</v>
      </c>
      <c r="C154" t="s">
        <v>28</v>
      </c>
      <c r="J154" t="s">
        <v>223</v>
      </c>
    </row>
    <row r="155" spans="1:10">
      <c r="A155" t="s">
        <v>213</v>
      </c>
      <c r="B155">
        <v>10</v>
      </c>
      <c r="C155" t="s">
        <v>214</v>
      </c>
    </row>
    <row r="156" spans="1:10">
      <c r="A156" s="16" t="s">
        <v>33</v>
      </c>
      <c r="B156" s="16" t="s">
        <v>33</v>
      </c>
      <c r="C156" s="16" t="s">
        <v>33</v>
      </c>
      <c r="J156" s="3" t="s">
        <v>224</v>
      </c>
    </row>
    <row r="157" spans="1:10">
      <c r="A157" s="13" t="s">
        <v>35</v>
      </c>
      <c r="B157">
        <f>0.001293*(273.15/B152)*(B153/101.3)</f>
        <v>1.2930000000000001E-3</v>
      </c>
      <c r="C157" t="s">
        <v>36</v>
      </c>
    </row>
    <row r="158" spans="1:10">
      <c r="A158" s="13" t="s">
        <v>38</v>
      </c>
      <c r="B158">
        <f>0.0001708*((B152/273.15)^1.5)*((393.396)/(B152+120.246))</f>
        <v>1.7080000000000003E-4</v>
      </c>
      <c r="C158" t="s">
        <v>39</v>
      </c>
      <c r="J158" t="s">
        <v>225</v>
      </c>
    </row>
    <row r="159" spans="1:10">
      <c r="A159" s="13" t="s">
        <v>181</v>
      </c>
      <c r="B159">
        <f>1+(2/(B153*B154*0.752))*(6.32+2.01*EXP(-0.1095*B153*0.752*B154))</f>
        <v>22.447615127350385</v>
      </c>
      <c r="J159" t="s">
        <v>226</v>
      </c>
    </row>
    <row r="160" spans="1:10">
      <c r="A160" s="13" t="s">
        <v>227</v>
      </c>
      <c r="B160" s="6">
        <f>0.000000000000000138*B152*B159/(PI()*B158*B154*0.0003)</f>
        <v>5.2564375018637191E-4</v>
      </c>
      <c r="C160" t="s">
        <v>184</v>
      </c>
      <c r="J160" t="s">
        <v>228</v>
      </c>
    </row>
    <row r="161" spans="1:12">
      <c r="A161" s="13" t="s">
        <v>229</v>
      </c>
      <c r="B161">
        <f>B158/(B157*B160)</f>
        <v>251.30309446003673</v>
      </c>
      <c r="J161" t="s">
        <v>230</v>
      </c>
    </row>
    <row r="162" spans="1:12">
      <c r="J162" t="s">
        <v>231</v>
      </c>
    </row>
    <row r="163" spans="1:12">
      <c r="A163" s="16" t="s">
        <v>17</v>
      </c>
      <c r="B163" s="16" t="s">
        <v>17</v>
      </c>
      <c r="C163" s="16" t="s">
        <v>17</v>
      </c>
      <c r="J163" t="s">
        <v>232</v>
      </c>
    </row>
    <row r="164" spans="1:12">
      <c r="J164" t="s">
        <v>233</v>
      </c>
    </row>
    <row r="165" spans="1:12">
      <c r="A165" t="s">
        <v>26</v>
      </c>
      <c r="J165" t="s">
        <v>234</v>
      </c>
    </row>
    <row r="166" spans="1:12">
      <c r="A166" t="s">
        <v>21</v>
      </c>
      <c r="B166" s="1">
        <v>293.14999999999998</v>
      </c>
      <c r="C166" t="s">
        <v>22</v>
      </c>
    </row>
    <row r="167" spans="1:12">
      <c r="A167" t="s">
        <v>24</v>
      </c>
      <c r="B167" s="1">
        <v>101.3</v>
      </c>
      <c r="C167" t="s">
        <v>25</v>
      </c>
      <c r="J167" s="3" t="s">
        <v>235</v>
      </c>
    </row>
    <row r="168" spans="1:12">
      <c r="A168" t="s">
        <v>27</v>
      </c>
      <c r="B168" s="1">
        <v>3</v>
      </c>
      <c r="C168" t="s">
        <v>28</v>
      </c>
    </row>
    <row r="169" spans="1:12">
      <c r="A169" t="s">
        <v>236</v>
      </c>
      <c r="B169">
        <v>10</v>
      </c>
      <c r="C169" t="s">
        <v>214</v>
      </c>
      <c r="J169" t="s">
        <v>237</v>
      </c>
      <c r="K169" t="s">
        <v>238</v>
      </c>
      <c r="L169" t="s">
        <v>239</v>
      </c>
    </row>
    <row r="170" spans="1:12">
      <c r="A170" t="s">
        <v>240</v>
      </c>
      <c r="B170">
        <v>1</v>
      </c>
      <c r="J170" t="s">
        <v>241</v>
      </c>
      <c r="K170" t="s">
        <v>242</v>
      </c>
      <c r="L170" t="s">
        <v>243</v>
      </c>
    </row>
    <row r="171" spans="1:12">
      <c r="A171" s="16" t="s">
        <v>33</v>
      </c>
      <c r="B171" s="16" t="s">
        <v>33</v>
      </c>
      <c r="C171" s="16" t="s">
        <v>33</v>
      </c>
      <c r="J171" t="s">
        <v>244</v>
      </c>
      <c r="K171" t="s">
        <v>245</v>
      </c>
      <c r="L171" t="s">
        <v>246</v>
      </c>
    </row>
    <row r="172" spans="1:12">
      <c r="A172" s="13" t="s">
        <v>38</v>
      </c>
      <c r="B172">
        <f>0.0001708*((B166/273.15)^1.5)*((393.396)/(B166+120.246))</f>
        <v>1.8071099473721675E-4</v>
      </c>
      <c r="C172" t="s">
        <v>39</v>
      </c>
      <c r="J172" t="s">
        <v>247</v>
      </c>
      <c r="K172" t="s">
        <v>248</v>
      </c>
      <c r="L172" t="s">
        <v>249</v>
      </c>
    </row>
    <row r="173" spans="1:12">
      <c r="A173" s="13" t="s">
        <v>181</v>
      </c>
      <c r="B173">
        <f>1+(2/(B167*B168*0.752))*(6.32+2.01*EXP(-0.1095*B167*0.752*B168))</f>
        <v>1.0553093472799286</v>
      </c>
      <c r="J173" t="s">
        <v>250</v>
      </c>
      <c r="K173" t="s">
        <v>251</v>
      </c>
      <c r="L173" t="s">
        <v>252</v>
      </c>
    </row>
    <row r="174" spans="1:12">
      <c r="A174" s="13" t="s">
        <v>253</v>
      </c>
      <c r="B174">
        <f>3*PI()*B172*B170*B169*B168*0.0001/B173</f>
        <v>4.8416921678689235E-6</v>
      </c>
      <c r="C174" t="s">
        <v>254</v>
      </c>
      <c r="J174" t="s">
        <v>255</v>
      </c>
      <c r="K174" t="s">
        <v>256</v>
      </c>
      <c r="L174" t="s">
        <v>257</v>
      </c>
    </row>
    <row r="175" spans="1:12">
      <c r="J175" t="s">
        <v>258</v>
      </c>
      <c r="K175" t="s">
        <v>259</v>
      </c>
      <c r="L175" t="s">
        <v>260</v>
      </c>
    </row>
    <row r="176" spans="1:12">
      <c r="A176" s="16" t="s">
        <v>17</v>
      </c>
      <c r="B176" s="16" t="s">
        <v>17</v>
      </c>
      <c r="C176" s="16" t="s">
        <v>17</v>
      </c>
      <c r="J176" t="s">
        <v>261</v>
      </c>
      <c r="K176" t="s">
        <v>262</v>
      </c>
      <c r="L176" t="s">
        <v>263</v>
      </c>
    </row>
    <row r="178" spans="1:11">
      <c r="A178" t="s">
        <v>29</v>
      </c>
      <c r="J178" s="3" t="s">
        <v>264</v>
      </c>
    </row>
    <row r="179" spans="1:11">
      <c r="A179" t="s">
        <v>21</v>
      </c>
      <c r="B179" s="1">
        <v>293.14999999999998</v>
      </c>
      <c r="C179" t="s">
        <v>22</v>
      </c>
    </row>
    <row r="180" spans="1:11">
      <c r="A180" t="s">
        <v>24</v>
      </c>
      <c r="B180" s="1">
        <v>101</v>
      </c>
      <c r="C180" t="s">
        <v>25</v>
      </c>
      <c r="J180" t="s">
        <v>265</v>
      </c>
      <c r="K180" t="s">
        <v>266</v>
      </c>
    </row>
    <row r="181" spans="1:11">
      <c r="A181" t="s">
        <v>27</v>
      </c>
      <c r="B181" s="1">
        <v>5</v>
      </c>
      <c r="C181" t="s">
        <v>28</v>
      </c>
      <c r="J181" t="s">
        <v>267</v>
      </c>
      <c r="K181" t="s">
        <v>268</v>
      </c>
    </row>
    <row r="182" spans="1:11">
      <c r="A182" t="s">
        <v>30</v>
      </c>
      <c r="B182" s="1">
        <v>100</v>
      </c>
      <c r="C182" t="s">
        <v>31</v>
      </c>
      <c r="J182" t="s">
        <v>269</v>
      </c>
      <c r="K182" t="s">
        <v>270</v>
      </c>
    </row>
    <row r="183" spans="1:11">
      <c r="A183" s="16" t="s">
        <v>33</v>
      </c>
      <c r="B183" s="16" t="s">
        <v>33</v>
      </c>
      <c r="C183" s="16" t="s">
        <v>33</v>
      </c>
      <c r="J183" t="s">
        <v>271</v>
      </c>
      <c r="K183" t="s">
        <v>272</v>
      </c>
    </row>
    <row r="184" spans="1:11">
      <c r="A184" s="13" t="s">
        <v>35</v>
      </c>
      <c r="B184">
        <f>0.001293*(273.15/B179)*(B180/101.3)</f>
        <v>1.2012178015324913E-3</v>
      </c>
      <c r="C184" t="s">
        <v>36</v>
      </c>
      <c r="J184" t="s">
        <v>273</v>
      </c>
      <c r="K184">
        <v>1.4</v>
      </c>
    </row>
    <row r="185" spans="1:11">
      <c r="A185" s="13" t="s">
        <v>38</v>
      </c>
      <c r="B185">
        <f>0.0001708*((B179/273.15)^1.5)*((393.396)/(B179+120.246))</f>
        <v>1.8071099473721675E-4</v>
      </c>
      <c r="C185" t="s">
        <v>39</v>
      </c>
      <c r="J185" t="s">
        <v>274</v>
      </c>
      <c r="K185" t="s">
        <v>275</v>
      </c>
    </row>
    <row r="186" spans="1:11">
      <c r="A186" s="13" t="s">
        <v>41</v>
      </c>
      <c r="B186">
        <f>0.0001*B184*B181*B182/B185</f>
        <v>0.33235880397849005</v>
      </c>
    </row>
    <row r="187" spans="1:11">
      <c r="A187" s="13" t="s">
        <v>276</v>
      </c>
      <c r="B187">
        <f>IF(B186&lt;0.1,24/B186,IF(B186&lt;5,24/B186*(1+0.0916*B186),IF(B186&lt;1000,24/B186*(1+0.158*B186^(2/3)),"out of range")))</f>
        <v>74.409515555564624</v>
      </c>
      <c r="J187" s="3" t="s">
        <v>277</v>
      </c>
    </row>
    <row r="189" spans="1:11">
      <c r="A189" s="16" t="s">
        <v>17</v>
      </c>
      <c r="B189" s="16" t="s">
        <v>17</v>
      </c>
      <c r="C189" s="16" t="s">
        <v>17</v>
      </c>
      <c r="J189" t="s">
        <v>267</v>
      </c>
      <c r="K189" t="s">
        <v>278</v>
      </c>
    </row>
    <row r="190" spans="1:11">
      <c r="J190" t="s">
        <v>279</v>
      </c>
      <c r="K190" t="s">
        <v>280</v>
      </c>
    </row>
    <row r="191" spans="1:11">
      <c r="A191" t="s">
        <v>32</v>
      </c>
      <c r="J191" t="s">
        <v>281</v>
      </c>
      <c r="K191" t="s">
        <v>282</v>
      </c>
    </row>
    <row r="192" spans="1:11">
      <c r="A192" t="s">
        <v>21</v>
      </c>
      <c r="B192" s="1">
        <v>200</v>
      </c>
      <c r="C192" t="s">
        <v>22</v>
      </c>
    </row>
    <row r="193" spans="1:11">
      <c r="A193" t="s">
        <v>24</v>
      </c>
      <c r="B193" s="1">
        <v>1</v>
      </c>
      <c r="C193" t="s">
        <v>25</v>
      </c>
      <c r="J193" s="3" t="s">
        <v>283</v>
      </c>
    </row>
    <row r="194" spans="1:11">
      <c r="A194" t="s">
        <v>27</v>
      </c>
      <c r="B194" s="1">
        <v>0.1</v>
      </c>
      <c r="C194" t="s">
        <v>28</v>
      </c>
    </row>
    <row r="195" spans="1:11">
      <c r="A195" t="s">
        <v>177</v>
      </c>
      <c r="B195" s="1">
        <v>1</v>
      </c>
      <c r="C195" t="s">
        <v>153</v>
      </c>
      <c r="J195" t="s">
        <v>284</v>
      </c>
      <c r="K195" t="s">
        <v>285</v>
      </c>
    </row>
    <row r="196" spans="1:11">
      <c r="A196" s="16" t="s">
        <v>33</v>
      </c>
      <c r="B196" s="16" t="s">
        <v>33</v>
      </c>
      <c r="C196" s="16" t="s">
        <v>33</v>
      </c>
      <c r="J196" t="s">
        <v>286</v>
      </c>
      <c r="K196" t="s">
        <v>287</v>
      </c>
    </row>
    <row r="197" spans="1:11">
      <c r="A197" s="13" t="s">
        <v>38</v>
      </c>
      <c r="B197">
        <f>0.0001708*((B192/273.15)^1.5)*((393.396)/(B192+120.246))</f>
        <v>1.3145505111801699E-4</v>
      </c>
      <c r="C197" t="s">
        <v>39</v>
      </c>
    </row>
    <row r="198" spans="1:11">
      <c r="A198" s="13" t="s">
        <v>181</v>
      </c>
      <c r="B198">
        <f>1+(2/(B193*B194*0.752))*(6.32+2.01*EXP(-0.1095*B193*0.752*B194))</f>
        <v>222.10417057744209</v>
      </c>
    </row>
    <row r="199" spans="1:11">
      <c r="A199" s="13" t="s">
        <v>288</v>
      </c>
      <c r="B199">
        <f>B195*B194*B194*0.00000981*B198/(18*B197)</f>
        <v>9.2082253161982555E-3</v>
      </c>
      <c r="C199" t="s">
        <v>31</v>
      </c>
      <c r="D199">
        <f>B199/100*3600*24</f>
        <v>7.9559066731952921</v>
      </c>
    </row>
    <row r="201" spans="1:11">
      <c r="A201" s="16" t="s">
        <v>17</v>
      </c>
      <c r="B201" s="16" t="s">
        <v>17</v>
      </c>
      <c r="C201" s="16" t="s">
        <v>17</v>
      </c>
    </row>
    <row r="203" spans="1:11">
      <c r="A203" t="s">
        <v>34</v>
      </c>
    </row>
    <row r="204" spans="1:11">
      <c r="A204" t="s">
        <v>289</v>
      </c>
      <c r="B204" s="1"/>
    </row>
    <row r="205" spans="1:11">
      <c r="A205" t="s">
        <v>27</v>
      </c>
      <c r="B205" s="1">
        <v>5</v>
      </c>
      <c r="C205" t="s">
        <v>28</v>
      </c>
    </row>
    <row r="206" spans="1:11">
      <c r="A206" t="s">
        <v>177</v>
      </c>
      <c r="B206" s="1">
        <v>1</v>
      </c>
      <c r="C206" t="s">
        <v>153</v>
      </c>
    </row>
    <row r="207" spans="1:11">
      <c r="A207" s="16" t="s">
        <v>33</v>
      </c>
      <c r="B207" s="16" t="s">
        <v>33</v>
      </c>
      <c r="C207" s="16" t="s">
        <v>33</v>
      </c>
    </row>
    <row r="208" spans="1:11">
      <c r="A208" s="13" t="s">
        <v>290</v>
      </c>
      <c r="B208">
        <f>B205*SQRT(B206)</f>
        <v>5</v>
      </c>
      <c r="C208" t="s">
        <v>28</v>
      </c>
    </row>
    <row r="210" spans="1:4">
      <c r="A210" s="16" t="s">
        <v>17</v>
      </c>
      <c r="B210" s="16" t="s">
        <v>17</v>
      </c>
      <c r="C210" s="16" t="s">
        <v>17</v>
      </c>
    </row>
    <row r="212" spans="1:4">
      <c r="A212" t="s">
        <v>37</v>
      </c>
    </row>
    <row r="213" spans="1:4">
      <c r="A213" t="s">
        <v>291</v>
      </c>
    </row>
    <row r="214" spans="1:4">
      <c r="A214" t="s">
        <v>24</v>
      </c>
      <c r="B214" s="1">
        <v>101.3</v>
      </c>
      <c r="C214" t="s">
        <v>25</v>
      </c>
    </row>
    <row r="215" spans="1:4">
      <c r="A215" t="s">
        <v>292</v>
      </c>
      <c r="B215" s="1">
        <v>7</v>
      </c>
      <c r="C215" t="s">
        <v>28</v>
      </c>
    </row>
    <row r="216" spans="1:4">
      <c r="A216" t="s">
        <v>177</v>
      </c>
      <c r="B216" s="1">
        <v>2</v>
      </c>
      <c r="C216" t="s">
        <v>153</v>
      </c>
    </row>
    <row r="217" spans="1:4">
      <c r="A217" s="16" t="s">
        <v>33</v>
      </c>
      <c r="B217" s="16" t="s">
        <v>33</v>
      </c>
      <c r="C217" s="16" t="s">
        <v>33</v>
      </c>
    </row>
    <row r="218" spans="1:4">
      <c r="A218" s="13" t="s">
        <v>181</v>
      </c>
      <c r="B218">
        <f ca="1">1+(2/(B214*B220*7.6))*(6.32+2.01*EXP(-0.1095*B214*7.6*B220))</f>
        <v>1.0033224714961113</v>
      </c>
      <c r="C218" s="9"/>
      <c r="D218" s="9"/>
    </row>
    <row r="219" spans="1:4">
      <c r="A219" s="13" t="s">
        <v>293</v>
      </c>
      <c r="B219" s="9">
        <f ca="1">B220*SQRT(B216*B218)</f>
        <v>6.9999999999999982</v>
      </c>
      <c r="C219" s="9"/>
      <c r="D219" s="9"/>
    </row>
    <row r="220" spans="1:4">
      <c r="A220" s="13" t="s">
        <v>294</v>
      </c>
      <c r="B220">
        <f ca="1">B220-((B219-B215)/SQRT(B216*B218))/4</f>
        <v>4.9415452040599295</v>
      </c>
      <c r="C220" s="9"/>
    </row>
    <row r="222" spans="1:4">
      <c r="A222" s="16" t="s">
        <v>17</v>
      </c>
      <c r="B222" s="16" t="s">
        <v>17</v>
      </c>
      <c r="C222" s="16" t="s">
        <v>17</v>
      </c>
    </row>
    <row r="224" spans="1:4">
      <c r="A224" t="s">
        <v>40</v>
      </c>
    </row>
    <row r="225" spans="1:3">
      <c r="A225" t="s">
        <v>291</v>
      </c>
    </row>
    <row r="226" spans="1:3">
      <c r="A226" t="s">
        <v>21</v>
      </c>
      <c r="B226" s="1">
        <v>293.14999999999998</v>
      </c>
      <c r="C226" t="s">
        <v>22</v>
      </c>
    </row>
    <row r="227" spans="1:3">
      <c r="A227" t="s">
        <v>24</v>
      </c>
      <c r="B227" s="1">
        <v>101</v>
      </c>
      <c r="C227" t="s">
        <v>25</v>
      </c>
    </row>
    <row r="228" spans="1:3">
      <c r="A228" t="s">
        <v>27</v>
      </c>
      <c r="B228" s="1">
        <v>1</v>
      </c>
      <c r="C228" t="s">
        <v>28</v>
      </c>
    </row>
    <row r="229" spans="1:3">
      <c r="A229" t="s">
        <v>177</v>
      </c>
      <c r="B229" s="1">
        <v>2.2000000000000002</v>
      </c>
      <c r="C229" t="s">
        <v>36</v>
      </c>
    </row>
    <row r="230" spans="1:3">
      <c r="A230" t="s">
        <v>295</v>
      </c>
      <c r="B230" s="1">
        <v>1</v>
      </c>
    </row>
    <row r="231" spans="1:3">
      <c r="A231" s="16" t="s">
        <v>33</v>
      </c>
      <c r="B231" s="16" t="s">
        <v>33</v>
      </c>
      <c r="C231" s="16" t="s">
        <v>33</v>
      </c>
    </row>
    <row r="232" spans="1:3">
      <c r="A232" s="13" t="s">
        <v>35</v>
      </c>
      <c r="B232">
        <f>0.001293*(273.15/B226)*(B227/101.3)</f>
        <v>1.2012178015324913E-3</v>
      </c>
      <c r="C232" t="s">
        <v>36</v>
      </c>
    </row>
    <row r="233" spans="1:3">
      <c r="A233" s="13" t="s">
        <v>38</v>
      </c>
      <c r="B233">
        <f>0.0001708*((B226/273.15)^1.5)*((393.396)/(B226+120.246))</f>
        <v>1.8071099473721675E-4</v>
      </c>
      <c r="C233" t="s">
        <v>39</v>
      </c>
    </row>
    <row r="234" spans="1:3">
      <c r="A234" s="13" t="s">
        <v>41</v>
      </c>
      <c r="B234">
        <f ca="1">0.0001*B232*B228*B237/B233</f>
        <v>17.235559442266212</v>
      </c>
    </row>
    <row r="235" spans="1:3">
      <c r="A235" s="13" t="s">
        <v>181</v>
      </c>
      <c r="B235">
        <f>1+(2/(B227*B228*0.752))*(6.32+2.01*EXP(-0.1095*B227*0.752*B228))</f>
        <v>1.166433832539316</v>
      </c>
    </row>
    <row r="236" spans="1:3">
      <c r="A236" s="13" t="s">
        <v>276</v>
      </c>
      <c r="B236">
        <f ca="1">IF(B234&lt;0.1,24/B234,IF(B234&lt;5,24/B234*(1+0.0916*B234),IF(B234&lt;1000,24/B234*(1+0.158*B234^(2/3)),"out of range")))</f>
        <v>2.860471648041929</v>
      </c>
    </row>
    <row r="237" spans="1:3">
      <c r="A237" s="13" t="s">
        <v>296</v>
      </c>
      <c r="B237">
        <f ca="1">SQRT(4*B229*B235*B228*0.0001*980.7/(3*B232*B236*B230))</f>
        <v>129.261780632588</v>
      </c>
      <c r="C237" t="s">
        <v>31</v>
      </c>
    </row>
    <row r="239" spans="1:3">
      <c r="A239" s="16" t="s">
        <v>17</v>
      </c>
      <c r="B239" s="16" t="s">
        <v>17</v>
      </c>
      <c r="C239" s="16" t="s">
        <v>17</v>
      </c>
    </row>
    <row r="241" spans="1:3">
      <c r="A241" t="s">
        <v>43</v>
      </c>
    </row>
    <row r="242" spans="1:3">
      <c r="A242" t="s">
        <v>21</v>
      </c>
      <c r="B242" s="1">
        <v>293.14999999999998</v>
      </c>
      <c r="C242" t="s">
        <v>22</v>
      </c>
    </row>
    <row r="243" spans="1:3">
      <c r="A243" t="s">
        <v>24</v>
      </c>
      <c r="B243" s="1">
        <v>101.3</v>
      </c>
      <c r="C243" t="s">
        <v>25</v>
      </c>
    </row>
    <row r="244" spans="1:3">
      <c r="A244" t="s">
        <v>27</v>
      </c>
      <c r="B244" s="1">
        <v>10</v>
      </c>
      <c r="C244" t="s">
        <v>28</v>
      </c>
    </row>
    <row r="245" spans="1:3">
      <c r="A245" t="s">
        <v>30</v>
      </c>
      <c r="B245" s="1">
        <v>30</v>
      </c>
      <c r="C245" t="s">
        <v>31</v>
      </c>
    </row>
    <row r="246" spans="1:3">
      <c r="A246" t="s">
        <v>177</v>
      </c>
      <c r="B246" s="1">
        <v>1</v>
      </c>
      <c r="C246" t="s">
        <v>153</v>
      </c>
    </row>
    <row r="247" spans="1:3">
      <c r="A247" s="16" t="s">
        <v>33</v>
      </c>
      <c r="B247" s="16" t="s">
        <v>33</v>
      </c>
      <c r="C247" s="16" t="s">
        <v>33</v>
      </c>
    </row>
    <row r="248" spans="1:3">
      <c r="A248" s="13" t="s">
        <v>35</v>
      </c>
      <c r="B248">
        <f>0.001293*(273.15/B242)*(B243/101.3)</f>
        <v>1.2047857752004094E-3</v>
      </c>
      <c r="C248" t="s">
        <v>36</v>
      </c>
    </row>
    <row r="249" spans="1:3">
      <c r="A249" s="13" t="s">
        <v>38</v>
      </c>
      <c r="B249">
        <f>0.0001708*((B242/273.15)^1.5)*((393.396)/(B242+120.246))</f>
        <v>1.8071099473721675E-4</v>
      </c>
      <c r="C249" t="s">
        <v>39</v>
      </c>
    </row>
    <row r="250" spans="1:3">
      <c r="A250" s="13" t="s">
        <v>41</v>
      </c>
      <c r="B250">
        <f>0.0001*B248*B244*B245/B249</f>
        <v>0.20000760500804571</v>
      </c>
    </row>
    <row r="251" spans="1:3">
      <c r="A251" s="13" t="s">
        <v>181</v>
      </c>
      <c r="B251">
        <f>1+(2/(B243*B244*0.752))*(6.32+2.01*EXP(-0.1095*B243*0.752*B244))</f>
        <v>1.0165928041839072</v>
      </c>
    </row>
    <row r="252" spans="1:3">
      <c r="A252" s="13" t="s">
        <v>297</v>
      </c>
      <c r="B252">
        <f>IF(B250&lt;1,B245*B244*B244*B251/(B249*1800000000),B246*B244*((B250)^(1/3)-ATAN(((B250)^(1/3))/SQRT(6))*SQRT(6))/(B248*10000))</f>
        <v>9.3758619544446163E-3</v>
      </c>
      <c r="C252" t="s">
        <v>51</v>
      </c>
    </row>
    <row r="253" spans="1:3">
      <c r="A253" s="13" t="s">
        <v>298</v>
      </c>
      <c r="B253">
        <f>B252/B245</f>
        <v>3.1252873181482056E-4</v>
      </c>
      <c r="C253" t="s">
        <v>198</v>
      </c>
    </row>
    <row r="255" spans="1:3">
      <c r="A255" s="16" t="s">
        <v>17</v>
      </c>
      <c r="B255" s="16" t="s">
        <v>17</v>
      </c>
      <c r="C255" s="16" t="s">
        <v>17</v>
      </c>
    </row>
    <row r="257" spans="1:4">
      <c r="A257" t="s">
        <v>44</v>
      </c>
    </row>
    <row r="258" spans="1:4">
      <c r="A258" t="s">
        <v>21</v>
      </c>
      <c r="B258" s="1">
        <v>293.14999999999998</v>
      </c>
      <c r="C258" t="s">
        <v>22</v>
      </c>
    </row>
    <row r="259" spans="1:4">
      <c r="A259" t="s">
        <v>24</v>
      </c>
      <c r="B259" s="1">
        <v>101.3</v>
      </c>
      <c r="C259" t="s">
        <v>25</v>
      </c>
    </row>
    <row r="260" spans="1:4">
      <c r="A260" t="s">
        <v>27</v>
      </c>
      <c r="B260" s="1">
        <v>5</v>
      </c>
      <c r="C260" t="s">
        <v>28</v>
      </c>
    </row>
    <row r="261" spans="1:4">
      <c r="A261" t="s">
        <v>177</v>
      </c>
      <c r="B261" s="1">
        <v>1</v>
      </c>
      <c r="C261" t="s">
        <v>36</v>
      </c>
    </row>
    <row r="262" spans="1:4">
      <c r="A262" t="s">
        <v>299</v>
      </c>
      <c r="B262" s="1">
        <v>100</v>
      </c>
      <c r="C262" t="s">
        <v>31</v>
      </c>
    </row>
    <row r="263" spans="1:4">
      <c r="A263" s="16" t="s">
        <v>33</v>
      </c>
      <c r="B263" s="16" t="s">
        <v>33</v>
      </c>
      <c r="C263" s="16" t="s">
        <v>33</v>
      </c>
    </row>
    <row r="264" spans="1:4">
      <c r="A264" s="13" t="s">
        <v>35</v>
      </c>
      <c r="B264">
        <f>0.001293*(273.15/B258)*(B259/101.3)</f>
        <v>1.2047857752004094E-3</v>
      </c>
      <c r="C264" t="s">
        <v>36</v>
      </c>
    </row>
    <row r="265" spans="1:4">
      <c r="A265" s="13" t="s">
        <v>38</v>
      </c>
      <c r="B265">
        <f>0.0001708*((B258/273.15)^1.5)*((393.396)/(B258+120.246))</f>
        <v>1.8071099473721675E-4</v>
      </c>
      <c r="C265" t="s">
        <v>39</v>
      </c>
    </row>
    <row r="266" spans="1:4">
      <c r="A266" s="13" t="s">
        <v>41</v>
      </c>
      <c r="B266">
        <f>0.0001*B264*B260*B262/B265</f>
        <v>0.33334600834674294</v>
      </c>
    </row>
    <row r="267" spans="1:4">
      <c r="A267" s="13" t="s">
        <v>297</v>
      </c>
      <c r="B267" t="str">
        <f>IF(B266&lt;1,"",IF(B266&gt;400,"not valid",(B261*B260*0.0001/B264)*(B266^(1/3)-SQRT(6)*ATAN((B266^(1/3))/SQRT(6)))))</f>
        <v/>
      </c>
      <c r="C267" t="s">
        <v>51</v>
      </c>
      <c r="D267" t="str">
        <f>IF(B266&lt;1,"Use W&amp;B 3-36 equation","")</f>
        <v>Use W&amp;B 3-36 equation</v>
      </c>
    </row>
    <row r="269" spans="1:4">
      <c r="A269" s="16" t="s">
        <v>17</v>
      </c>
      <c r="B269" s="16" t="s">
        <v>17</v>
      </c>
      <c r="C269" s="16" t="s">
        <v>17</v>
      </c>
    </row>
    <row r="271" spans="1:4">
      <c r="A271" t="s">
        <v>45</v>
      </c>
    </row>
    <row r="272" spans="1:4">
      <c r="A272" t="s">
        <v>21</v>
      </c>
      <c r="B272" s="1">
        <v>293.14999999999998</v>
      </c>
      <c r="C272" t="s">
        <v>22</v>
      </c>
    </row>
    <row r="273" spans="1:4">
      <c r="A273" t="s">
        <v>24</v>
      </c>
      <c r="B273" s="1">
        <v>103</v>
      </c>
      <c r="C273" t="s">
        <v>25</v>
      </c>
    </row>
    <row r="274" spans="1:4">
      <c r="A274" t="s">
        <v>27</v>
      </c>
      <c r="B274" s="1">
        <v>1.06</v>
      </c>
      <c r="C274" t="s">
        <v>28</v>
      </c>
    </row>
    <row r="275" spans="1:4">
      <c r="A275" t="s">
        <v>811</v>
      </c>
      <c r="B275" s="1">
        <v>0.52</v>
      </c>
      <c r="C275" t="s">
        <v>801</v>
      </c>
    </row>
    <row r="276" spans="1:4">
      <c r="A276" s="13" t="s">
        <v>812</v>
      </c>
      <c r="B276" s="1">
        <f>B275*4*1000/(60*B277*B277*PI())</f>
        <v>2251.9883104159335</v>
      </c>
      <c r="C276" t="s">
        <v>31</v>
      </c>
    </row>
    <row r="277" spans="1:4">
      <c r="A277" t="s">
        <v>300</v>
      </c>
      <c r="B277" s="1">
        <v>7.0000000000000007E-2</v>
      </c>
      <c r="C277" t="s">
        <v>51</v>
      </c>
    </row>
    <row r="278" spans="1:4">
      <c r="A278" t="s">
        <v>177</v>
      </c>
      <c r="B278" s="1">
        <v>1</v>
      </c>
      <c r="C278" t="s">
        <v>153</v>
      </c>
    </row>
    <row r="279" spans="1:4">
      <c r="A279" s="16" t="s">
        <v>33</v>
      </c>
      <c r="B279" s="16" t="s">
        <v>33</v>
      </c>
      <c r="C279" s="16" t="s">
        <v>33</v>
      </c>
    </row>
    <row r="280" spans="1:4">
      <c r="A280" s="13" t="s">
        <v>38</v>
      </c>
      <c r="B280">
        <f>0.0001708*((B272/273.15)^1.5)*((393.396)/(B272+120.246))</f>
        <v>1.8071099473721675E-4</v>
      </c>
      <c r="C280" t="s">
        <v>39</v>
      </c>
    </row>
    <row r="281" spans="1:4">
      <c r="A281" s="13" t="s">
        <v>301</v>
      </c>
      <c r="B281">
        <f>0.001293*(273.15/B272)*(101/B273)*B276*B277/B280</f>
        <v>1030.5606972491628</v>
      </c>
      <c r="D281" t="s">
        <v>59</v>
      </c>
    </row>
    <row r="282" spans="1:4">
      <c r="A282" s="13" t="s">
        <v>181</v>
      </c>
      <c r="B282">
        <f>1+(2/(B273*B274*0.752))*(6.32+2.01*EXP(-0.1095*B273*0.752*B274))</f>
        <v>1.1539583877455506</v>
      </c>
    </row>
    <row r="283" spans="1:4">
      <c r="A283" s="13" t="s">
        <v>302</v>
      </c>
      <c r="B283">
        <f>B278*B274*B274*B276*B282/(9*B280*B277)*0.00000001</f>
        <v>0.25647372805227409</v>
      </c>
      <c r="D283" t="s">
        <v>303</v>
      </c>
    </row>
    <row r="284" spans="1:4">
      <c r="A284" s="13" t="s">
        <v>304</v>
      </c>
      <c r="B284">
        <f>SQRT(B283)</f>
        <v>0.50643235288859068</v>
      </c>
      <c r="C284" t="s">
        <v>305</v>
      </c>
      <c r="D284" t="s">
        <v>306</v>
      </c>
    </row>
    <row r="286" spans="1:4">
      <c r="A286" s="16" t="s">
        <v>17</v>
      </c>
      <c r="B286" s="16" t="s">
        <v>17</v>
      </c>
      <c r="C286" s="16" t="s">
        <v>17</v>
      </c>
    </row>
    <row r="288" spans="1:4">
      <c r="A288" t="s">
        <v>46</v>
      </c>
    </row>
    <row r="289" spans="1:8">
      <c r="A289" t="s">
        <v>21</v>
      </c>
      <c r="B289" s="1">
        <v>293.14999999999998</v>
      </c>
      <c r="C289" t="s">
        <v>22</v>
      </c>
    </row>
    <row r="290" spans="1:8">
      <c r="A290" t="s">
        <v>24</v>
      </c>
      <c r="B290" s="1">
        <v>101.3</v>
      </c>
      <c r="C290" t="s">
        <v>25</v>
      </c>
    </row>
    <row r="291" spans="1:8">
      <c r="A291" t="s">
        <v>27</v>
      </c>
      <c r="B291" s="1">
        <v>10</v>
      </c>
      <c r="C291" t="s">
        <v>28</v>
      </c>
    </row>
    <row r="292" spans="1:8">
      <c r="A292" t="s">
        <v>307</v>
      </c>
      <c r="B292" s="1">
        <v>10</v>
      </c>
    </row>
    <row r="293" spans="1:8">
      <c r="A293" t="s">
        <v>308</v>
      </c>
      <c r="B293" s="1">
        <v>1</v>
      </c>
      <c r="C293" t="s">
        <v>309</v>
      </c>
    </row>
    <row r="294" spans="1:8">
      <c r="A294" s="16" t="s">
        <v>33</v>
      </c>
      <c r="B294" s="16" t="s">
        <v>33</v>
      </c>
      <c r="C294" s="16" t="s">
        <v>33</v>
      </c>
    </row>
    <row r="295" spans="1:8">
      <c r="A295" s="13" t="s">
        <v>38</v>
      </c>
      <c r="B295">
        <f>0.0001708*((B289/273.15)^1.5)*((393.396)/(B289+120.246))</f>
        <v>1.8071099473721675E-4</v>
      </c>
      <c r="C295" t="s">
        <v>39</v>
      </c>
    </row>
    <row r="296" spans="1:8">
      <c r="A296" s="13" t="s">
        <v>181</v>
      </c>
      <c r="B296">
        <f>1+(2/(B290*B291*0.752))*(6.32+2.01*EXP(-0.1095*B290*0.752*B291))</f>
        <v>1.0165928041839072</v>
      </c>
    </row>
    <row r="297" spans="1:8">
      <c r="A297" s="13" t="s">
        <v>310</v>
      </c>
      <c r="B297">
        <f>B292*0.0000000004803*B293*B296/(3*PI()*B295*B291*0.0001)</f>
        <v>2.8668430272613876E-3</v>
      </c>
      <c r="C297" t="s">
        <v>31</v>
      </c>
    </row>
    <row r="299" spans="1:8">
      <c r="A299" s="16" t="s">
        <v>17</v>
      </c>
      <c r="B299" s="16" t="s">
        <v>17</v>
      </c>
      <c r="C299" s="16" t="s">
        <v>17</v>
      </c>
    </row>
    <row r="300" spans="1:8">
      <c r="E300" s="27" t="s">
        <v>311</v>
      </c>
      <c r="F300" s="26"/>
      <c r="G300" s="26"/>
      <c r="H300" s="29"/>
    </row>
    <row r="301" spans="1:8">
      <c r="A301" t="s">
        <v>47</v>
      </c>
      <c r="E301" s="17" t="s">
        <v>312</v>
      </c>
      <c r="F301">
        <v>2.9999999999999997E-4</v>
      </c>
      <c r="G301" t="s">
        <v>313</v>
      </c>
      <c r="H301" s="22">
        <v>2.9999999999999997E-4</v>
      </c>
    </row>
    <row r="302" spans="1:8">
      <c r="A302" t="s">
        <v>21</v>
      </c>
      <c r="B302" s="1">
        <v>293</v>
      </c>
      <c r="C302" t="s">
        <v>22</v>
      </c>
      <c r="E302" s="17" t="s">
        <v>314</v>
      </c>
      <c r="F302">
        <v>1.6E-2</v>
      </c>
      <c r="G302" t="s">
        <v>315</v>
      </c>
      <c r="H302" s="22">
        <v>2.3E-2</v>
      </c>
    </row>
    <row r="303" spans="1:8">
      <c r="A303" t="s">
        <v>24</v>
      </c>
      <c r="B303" s="1">
        <v>101</v>
      </c>
      <c r="C303" t="s">
        <v>25</v>
      </c>
      <c r="E303" s="17" t="s">
        <v>316</v>
      </c>
      <c r="F303">
        <v>0.16</v>
      </c>
      <c r="G303" t="s">
        <v>317</v>
      </c>
      <c r="H303" s="22">
        <v>2.3999999999999998E-3</v>
      </c>
    </row>
    <row r="304" spans="1:8">
      <c r="A304" t="s">
        <v>27</v>
      </c>
      <c r="B304" s="1">
        <v>5</v>
      </c>
      <c r="C304" t="s">
        <v>28</v>
      </c>
      <c r="E304" s="17" t="s">
        <v>318</v>
      </c>
      <c r="F304">
        <v>0.02</v>
      </c>
      <c r="G304" t="s">
        <v>319</v>
      </c>
      <c r="H304" s="22">
        <v>6.4000000000000005E-4</v>
      </c>
    </row>
    <row r="305" spans="1:8">
      <c r="A305" t="s">
        <v>320</v>
      </c>
      <c r="B305" s="1">
        <v>5.0000000000000001E-3</v>
      </c>
      <c r="C305" t="s">
        <v>321</v>
      </c>
      <c r="E305" s="17" t="s">
        <v>322</v>
      </c>
      <c r="F305">
        <v>1.9000000000000001E-4</v>
      </c>
      <c r="G305" t="s">
        <v>323</v>
      </c>
      <c r="H305" s="22">
        <v>4.2999999999999999E-4</v>
      </c>
    </row>
    <row r="306" spans="1:8">
      <c r="A306" t="s">
        <v>324</v>
      </c>
      <c r="B306" s="1">
        <v>100</v>
      </c>
      <c r="C306" t="s">
        <v>325</v>
      </c>
      <c r="E306" s="17" t="s">
        <v>326</v>
      </c>
      <c r="F306">
        <v>0.01</v>
      </c>
      <c r="G306" t="s">
        <v>327</v>
      </c>
      <c r="H306" s="22">
        <v>2.9999999999999997E-4</v>
      </c>
    </row>
    <row r="307" spans="1:8">
      <c r="A307" s="16" t="s">
        <v>33</v>
      </c>
      <c r="B307" s="16" t="s">
        <v>33</v>
      </c>
      <c r="C307" s="16" t="s">
        <v>33</v>
      </c>
      <c r="E307" s="17" t="s">
        <v>328</v>
      </c>
      <c r="F307">
        <v>5.0000000000000001E-3</v>
      </c>
      <c r="G307" t="s">
        <v>329</v>
      </c>
      <c r="H307" s="22">
        <v>1.6999999999999999E-3</v>
      </c>
    </row>
    <row r="308" spans="1:8">
      <c r="A308" s="13" t="s">
        <v>35</v>
      </c>
      <c r="B308">
        <f>0.001293*(273.15/B302)*(B303/101.3)</f>
        <v>1.2018327594513643E-3</v>
      </c>
      <c r="C308" t="s">
        <v>36</v>
      </c>
      <c r="E308" s="34" t="s">
        <v>330</v>
      </c>
      <c r="F308" s="32">
        <v>2E-3</v>
      </c>
      <c r="G308" s="32" t="s">
        <v>331</v>
      </c>
      <c r="H308" s="37">
        <v>5.5999999999999999E-5</v>
      </c>
    </row>
    <row r="309" spans="1:8">
      <c r="A309" s="13" t="s">
        <v>38</v>
      </c>
      <c r="B309">
        <f>0.0001708*((B302/273.15)^1.5)*((393.396)/(B302+120.246))</f>
        <v>1.8063785637008177E-4</v>
      </c>
      <c r="C309" t="s">
        <v>39</v>
      </c>
    </row>
    <row r="310" spans="1:8">
      <c r="A310" s="13" t="s">
        <v>332</v>
      </c>
      <c r="B310">
        <f>0.0674*0.0001*(B302/296.15)*(101.3/B303)*(1+(110.4/296.15))/(1+(110.4/B302))</f>
        <v>6.668648188914837E-6</v>
      </c>
    </row>
    <row r="311" spans="1:8">
      <c r="A311" s="13" t="s">
        <v>333</v>
      </c>
      <c r="B311">
        <f>1/(1+(6*B310/B304))*(0.000056/B305+4.4*(B310/B304))/(1+(2*0.000056/B305)+8.8*(B310/B304))</f>
        <v>1.0960142899352168E-2</v>
      </c>
      <c r="D311" t="s">
        <v>334</v>
      </c>
    </row>
    <row r="312" spans="1:8">
      <c r="A312" s="13" t="s">
        <v>335</v>
      </c>
      <c r="B312">
        <f>IF(B304&lt;B310,-0.55*B309*B306/B308,-3*B309*B311*B306/(2*B308*B302))</f>
        <v>-8.4334366759554837E-4</v>
      </c>
      <c r="C312" t="s">
        <v>31</v>
      </c>
    </row>
    <row r="314" spans="1:8">
      <c r="A314" s="16" t="s">
        <v>17</v>
      </c>
      <c r="B314" s="16" t="s">
        <v>17</v>
      </c>
      <c r="C314" s="16" t="s">
        <v>17</v>
      </c>
    </row>
    <row r="316" spans="1:8">
      <c r="A316" t="s">
        <v>48</v>
      </c>
    </row>
    <row r="317" spans="1:8">
      <c r="A317" t="s">
        <v>21</v>
      </c>
      <c r="B317" s="1">
        <v>293.14999999999998</v>
      </c>
      <c r="C317" t="s">
        <v>22</v>
      </c>
      <c r="E317" s="27" t="s">
        <v>336</v>
      </c>
      <c r="F317" s="26" t="s">
        <v>337</v>
      </c>
      <c r="G317" s="26" t="s">
        <v>338</v>
      </c>
      <c r="H317" s="29" t="s">
        <v>259</v>
      </c>
    </row>
    <row r="318" spans="1:8">
      <c r="A318" t="s">
        <v>337</v>
      </c>
      <c r="B318" s="1">
        <v>8.1080000000000005</v>
      </c>
      <c r="E318" s="17" t="s">
        <v>339</v>
      </c>
      <c r="F318">
        <v>8.1080000000000005</v>
      </c>
      <c r="G318">
        <v>1750</v>
      </c>
      <c r="H318" s="22">
        <v>38</v>
      </c>
    </row>
    <row r="319" spans="1:8">
      <c r="A319" t="s">
        <v>338</v>
      </c>
      <c r="B319" s="1">
        <v>1750</v>
      </c>
      <c r="E319" s="17" t="s">
        <v>340</v>
      </c>
      <c r="F319">
        <v>7.8789999999999996</v>
      </c>
      <c r="G319">
        <v>1233</v>
      </c>
      <c r="H319" s="22">
        <v>45</v>
      </c>
    </row>
    <row r="320" spans="1:8">
      <c r="A320" t="s">
        <v>259</v>
      </c>
      <c r="B320" s="1">
        <v>38</v>
      </c>
      <c r="E320" s="17" t="s">
        <v>341</v>
      </c>
      <c r="F320">
        <v>8.0449999999999999</v>
      </c>
      <c r="G320">
        <v>1554</v>
      </c>
      <c r="H320" s="22">
        <v>50.2</v>
      </c>
    </row>
    <row r="321" spans="1:8">
      <c r="A321" s="16" t="s">
        <v>33</v>
      </c>
      <c r="B321" s="16" t="s">
        <v>33</v>
      </c>
      <c r="C321" s="16" t="s">
        <v>33</v>
      </c>
      <c r="E321" s="17" t="s">
        <v>342</v>
      </c>
      <c r="G321">
        <v>46.78</v>
      </c>
      <c r="H321" s="22">
        <v>9.1359999999999992</v>
      </c>
    </row>
    <row r="322" spans="1:8">
      <c r="A322" s="13" t="s">
        <v>343</v>
      </c>
      <c r="B322" s="5">
        <f>IF(B318=0,10^((-52.3*B319/B317)+B320),10^(B318-(B319/(B317-B320))))</f>
        <v>17.753722918568034</v>
      </c>
      <c r="C322" t="s">
        <v>344</v>
      </c>
      <c r="D322" t="s">
        <v>345</v>
      </c>
      <c r="E322" s="34" t="s">
        <v>346</v>
      </c>
      <c r="F322" s="32">
        <v>16.27</v>
      </c>
      <c r="G322" s="32">
        <v>5099</v>
      </c>
      <c r="H322" s="37">
        <v>109</v>
      </c>
    </row>
    <row r="323" spans="1:8">
      <c r="A323" s="13"/>
      <c r="B323" s="5">
        <f>1333*B322</f>
        <v>23665.712650451191</v>
      </c>
      <c r="C323" t="s">
        <v>74</v>
      </c>
    </row>
    <row r="325" spans="1:8">
      <c r="A325" s="16" t="s">
        <v>17</v>
      </c>
      <c r="B325" s="16" t="s">
        <v>17</v>
      </c>
      <c r="C325" s="16" t="s">
        <v>17</v>
      </c>
    </row>
    <row r="327" spans="1:8">
      <c r="A327" t="s">
        <v>49</v>
      </c>
    </row>
    <row r="328" spans="1:8">
      <c r="A328" t="s">
        <v>21</v>
      </c>
      <c r="B328" s="1">
        <v>274.14999999999998</v>
      </c>
      <c r="C328" t="s">
        <v>22</v>
      </c>
    </row>
    <row r="329" spans="1:8">
      <c r="A329" t="s">
        <v>347</v>
      </c>
      <c r="B329" s="1">
        <v>72.7</v>
      </c>
      <c r="C329" t="s">
        <v>348</v>
      </c>
      <c r="D329" t="s">
        <v>349</v>
      </c>
    </row>
    <row r="330" spans="1:8">
      <c r="A330" t="s">
        <v>69</v>
      </c>
      <c r="B330" s="1">
        <v>18</v>
      </c>
      <c r="C330" t="s">
        <v>350</v>
      </c>
    </row>
    <row r="331" spans="1:8">
      <c r="A331" t="s">
        <v>351</v>
      </c>
      <c r="B331" s="1">
        <v>1</v>
      </c>
      <c r="C331" t="s">
        <v>153</v>
      </c>
    </row>
    <row r="332" spans="1:8">
      <c r="A332" t="s">
        <v>352</v>
      </c>
      <c r="B332" s="1">
        <v>1.0109999999999999</v>
      </c>
    </row>
    <row r="333" spans="1:8">
      <c r="A333" s="16" t="s">
        <v>33</v>
      </c>
      <c r="B333" s="16" t="s">
        <v>33</v>
      </c>
      <c r="C333" s="16" t="s">
        <v>33</v>
      </c>
    </row>
    <row r="334" spans="1:8">
      <c r="A334" s="13" t="s">
        <v>353</v>
      </c>
      <c r="B334">
        <f>40000*B329*B330/(B331*83100000*B328*LN(B332))</f>
        <v>0.21002098531539179</v>
      </c>
      <c r="C334" t="s">
        <v>28</v>
      </c>
    </row>
    <row r="336" spans="1:8">
      <c r="A336" s="16" t="s">
        <v>17</v>
      </c>
      <c r="B336" s="16" t="s">
        <v>17</v>
      </c>
      <c r="C336" s="16" t="s">
        <v>17</v>
      </c>
    </row>
    <row r="338" spans="1:4">
      <c r="A338" t="s">
        <v>52</v>
      </c>
    </row>
    <row r="339" spans="1:4">
      <c r="A339" t="s">
        <v>21</v>
      </c>
      <c r="B339" s="1">
        <v>293.14999999999998</v>
      </c>
      <c r="C339" t="s">
        <v>22</v>
      </c>
    </row>
    <row r="340" spans="1:4">
      <c r="A340" t="s">
        <v>347</v>
      </c>
      <c r="B340" s="1">
        <v>72.7</v>
      </c>
      <c r="C340" t="s">
        <v>348</v>
      </c>
      <c r="D340" t="s">
        <v>349</v>
      </c>
    </row>
    <row r="341" spans="1:4">
      <c r="A341" t="s">
        <v>69</v>
      </c>
      <c r="B341" s="1">
        <v>66</v>
      </c>
      <c r="C341" t="s">
        <v>350</v>
      </c>
    </row>
    <row r="342" spans="1:4">
      <c r="A342" t="s">
        <v>351</v>
      </c>
      <c r="B342" s="1">
        <v>1.5</v>
      </c>
      <c r="C342" t="s">
        <v>153</v>
      </c>
    </row>
    <row r="343" spans="1:4">
      <c r="A343" t="s">
        <v>354</v>
      </c>
      <c r="B343" s="40">
        <v>1.9999999999999999E-6</v>
      </c>
      <c r="C343" t="s">
        <v>51</v>
      </c>
      <c r="D343" t="s">
        <v>355</v>
      </c>
    </row>
    <row r="344" spans="1:4">
      <c r="A344" s="16" t="s">
        <v>33</v>
      </c>
      <c r="B344" s="16" t="s">
        <v>33</v>
      </c>
      <c r="C344" s="16" t="s">
        <v>33</v>
      </c>
    </row>
    <row r="345" spans="1:4">
      <c r="A345" s="13" t="s">
        <v>356</v>
      </c>
      <c r="B345">
        <f>EXP(4*B340*B341/(B342*83100000*B339*B343))</f>
        <v>1.3003312120640806</v>
      </c>
    </row>
    <row r="347" spans="1:4">
      <c r="A347" s="16" t="s">
        <v>17</v>
      </c>
      <c r="B347" s="16" t="s">
        <v>17</v>
      </c>
      <c r="C347" s="16" t="s">
        <v>17</v>
      </c>
    </row>
    <row r="349" spans="1:4">
      <c r="A349" t="s">
        <v>54</v>
      </c>
    </row>
    <row r="350" spans="1:4">
      <c r="A350" t="s">
        <v>21</v>
      </c>
      <c r="B350">
        <v>293.14999999999998</v>
      </c>
      <c r="C350" t="s">
        <v>357</v>
      </c>
    </row>
    <row r="351" spans="1:4">
      <c r="A351" t="s">
        <v>358</v>
      </c>
      <c r="B351">
        <v>18</v>
      </c>
      <c r="C351" t="s">
        <v>70</v>
      </c>
    </row>
    <row r="352" spans="1:4">
      <c r="A352" t="s">
        <v>359</v>
      </c>
      <c r="B352">
        <v>17.600000000000001</v>
      </c>
      <c r="C352" t="s">
        <v>344</v>
      </c>
    </row>
    <row r="353" spans="1:4">
      <c r="A353" t="s">
        <v>360</v>
      </c>
      <c r="B353">
        <f>B352*24400/23400</f>
        <v>18.352136752136754</v>
      </c>
      <c r="C353" t="s">
        <v>344</v>
      </c>
    </row>
    <row r="354" spans="1:4">
      <c r="A354" t="s">
        <v>361</v>
      </c>
      <c r="B354">
        <v>0.1</v>
      </c>
      <c r="C354" t="s">
        <v>28</v>
      </c>
      <c r="D354" t="str">
        <f>IF(B354&gt;0.0664,"Note that diameter must be less than 0.0664 µm","")</f>
        <v>Note that diameter must be less than 0.0664 µm</v>
      </c>
    </row>
    <row r="355" spans="1:4">
      <c r="A355" t="s">
        <v>177</v>
      </c>
      <c r="B355">
        <v>1</v>
      </c>
      <c r="C355" t="s">
        <v>36</v>
      </c>
    </row>
    <row r="356" spans="1:4">
      <c r="A356" s="16" t="s">
        <v>33</v>
      </c>
      <c r="B356" s="16" t="s">
        <v>33</v>
      </c>
      <c r="C356" s="16" t="s">
        <v>33</v>
      </c>
    </row>
    <row r="357" spans="1:4">
      <c r="A357" s="13" t="s">
        <v>362</v>
      </c>
      <c r="B357">
        <f>2*(B353-B352)*1333/(B355*SQRT(2*PI()*83140000*B350/B351))</f>
        <v>2.1739688377857953E-2</v>
      </c>
      <c r="C357" t="s">
        <v>363</v>
      </c>
    </row>
    <row r="359" spans="1:4">
      <c r="A359" s="16" t="s">
        <v>17</v>
      </c>
      <c r="B359" s="16" t="s">
        <v>17</v>
      </c>
      <c r="C359" s="16" t="s">
        <v>17</v>
      </c>
    </row>
    <row r="361" spans="1:4">
      <c r="A361" t="s">
        <v>55</v>
      </c>
    </row>
    <row r="362" spans="1:4">
      <c r="A362" t="s">
        <v>21</v>
      </c>
      <c r="B362">
        <v>293.14999999999998</v>
      </c>
      <c r="C362" t="s">
        <v>357</v>
      </c>
    </row>
    <row r="363" spans="1:4">
      <c r="A363" t="s">
        <v>364</v>
      </c>
      <c r="B363">
        <v>0.24</v>
      </c>
      <c r="C363" t="s">
        <v>184</v>
      </c>
    </row>
    <row r="364" spans="1:4">
      <c r="A364" t="s">
        <v>358</v>
      </c>
      <c r="B364">
        <v>18</v>
      </c>
      <c r="C364" t="s">
        <v>70</v>
      </c>
    </row>
    <row r="365" spans="1:4">
      <c r="A365" t="s">
        <v>365</v>
      </c>
      <c r="B365">
        <f>1.08*B366</f>
        <v>19.008000000000003</v>
      </c>
      <c r="C365" t="s">
        <v>344</v>
      </c>
    </row>
    <row r="366" spans="1:4">
      <c r="A366" t="s">
        <v>366</v>
      </c>
      <c r="B366">
        <v>17.600000000000001</v>
      </c>
      <c r="C366" t="s">
        <v>344</v>
      </c>
    </row>
    <row r="367" spans="1:4">
      <c r="A367" t="s">
        <v>361</v>
      </c>
      <c r="B367">
        <v>0.5</v>
      </c>
      <c r="C367" t="s">
        <v>28</v>
      </c>
      <c r="D367" t="str">
        <f>IF(B367&lt;0.0664,"Note that diameter must be greater than 0.0664 µm","")</f>
        <v/>
      </c>
    </row>
    <row r="368" spans="1:4">
      <c r="A368" t="s">
        <v>177</v>
      </c>
      <c r="B368">
        <v>1</v>
      </c>
      <c r="C368" t="s">
        <v>36</v>
      </c>
    </row>
    <row r="369" spans="1:3">
      <c r="A369" s="16" t="s">
        <v>33</v>
      </c>
      <c r="B369" s="16" t="s">
        <v>33</v>
      </c>
      <c r="C369" s="16" t="s">
        <v>33</v>
      </c>
    </row>
    <row r="370" spans="1:3">
      <c r="A370" s="13" t="s">
        <v>362</v>
      </c>
      <c r="B370">
        <f>4*B363*B364*(B365-B366)*1333*10000/(B368*0.0001*B367*83140000*B362)</f>
        <v>266.13783482369558</v>
      </c>
      <c r="C370" t="s">
        <v>363</v>
      </c>
    </row>
    <row r="372" spans="1:3">
      <c r="A372" s="16" t="s">
        <v>17</v>
      </c>
      <c r="B372" s="16" t="s">
        <v>17</v>
      </c>
      <c r="C372" s="16" t="s">
        <v>17</v>
      </c>
    </row>
    <row r="374" spans="1:3">
      <c r="A374" t="s">
        <v>56</v>
      </c>
    </row>
    <row r="375" spans="1:3">
      <c r="A375" t="s">
        <v>21</v>
      </c>
      <c r="B375">
        <v>293.14999999999998</v>
      </c>
      <c r="C375" t="s">
        <v>357</v>
      </c>
    </row>
    <row r="376" spans="1:3">
      <c r="A376" t="s">
        <v>364</v>
      </c>
      <c r="B376">
        <v>0.24</v>
      </c>
      <c r="C376" t="s">
        <v>184</v>
      </c>
    </row>
    <row r="377" spans="1:3">
      <c r="A377" t="s">
        <v>358</v>
      </c>
      <c r="B377">
        <v>18</v>
      </c>
      <c r="C377" t="s">
        <v>70</v>
      </c>
    </row>
    <row r="378" spans="1:3">
      <c r="A378" t="s">
        <v>365</v>
      </c>
      <c r="B378">
        <v>11.3</v>
      </c>
      <c r="C378" t="s">
        <v>344</v>
      </c>
    </row>
    <row r="379" spans="1:3">
      <c r="A379" t="s">
        <v>367</v>
      </c>
      <c r="B379">
        <f>B375-7</f>
        <v>286.14999999999998</v>
      </c>
      <c r="C379" t="s">
        <v>357</v>
      </c>
    </row>
    <row r="380" spans="1:3">
      <c r="A380" t="s">
        <v>368</v>
      </c>
      <c r="B380">
        <f>17.6/2</f>
        <v>8.8000000000000007</v>
      </c>
      <c r="C380" t="s">
        <v>344</v>
      </c>
    </row>
    <row r="381" spans="1:3">
      <c r="A381" t="s">
        <v>361</v>
      </c>
      <c r="B381">
        <v>1</v>
      </c>
      <c r="C381" t="s">
        <v>28</v>
      </c>
    </row>
    <row r="382" spans="1:3">
      <c r="A382" t="s">
        <v>177</v>
      </c>
      <c r="B382">
        <v>1</v>
      </c>
      <c r="C382" t="s">
        <v>36</v>
      </c>
    </row>
    <row r="383" spans="1:3">
      <c r="A383" s="16" t="s">
        <v>33</v>
      </c>
      <c r="B383" s="16" t="s">
        <v>33</v>
      </c>
      <c r="C383" s="16" t="s">
        <v>33</v>
      </c>
    </row>
    <row r="384" spans="1:3">
      <c r="A384" s="13" t="s">
        <v>369</v>
      </c>
      <c r="B384">
        <f>83140000*B382*B381*B381*0.00000001/(8*B376*B377*(B378*1333/B379-B380*1333/B375))</f>
        <v>1.9055026190865141E-3</v>
      </c>
      <c r="C384" t="s">
        <v>198</v>
      </c>
    </row>
    <row r="386" spans="1:3">
      <c r="A386" s="16" t="s">
        <v>17</v>
      </c>
      <c r="B386" s="16" t="s">
        <v>17</v>
      </c>
      <c r="C386" s="16" t="s">
        <v>17</v>
      </c>
    </row>
    <row r="388" spans="1:3">
      <c r="A388" t="s">
        <v>58</v>
      </c>
    </row>
    <row r="389" spans="1:3">
      <c r="A389" t="s">
        <v>21</v>
      </c>
      <c r="B389" s="1">
        <v>293.14999999999998</v>
      </c>
      <c r="C389" t="s">
        <v>22</v>
      </c>
    </row>
    <row r="390" spans="1:3">
      <c r="A390" t="s">
        <v>370</v>
      </c>
      <c r="B390" s="1">
        <f>B392/2</f>
        <v>11700</v>
      </c>
      <c r="C390" t="s">
        <v>74</v>
      </c>
    </row>
    <row r="391" spans="1:3">
      <c r="A391" t="s">
        <v>69</v>
      </c>
      <c r="B391" s="1">
        <v>18</v>
      </c>
      <c r="C391" t="s">
        <v>70</v>
      </c>
    </row>
    <row r="392" spans="1:3">
      <c r="A392" t="s">
        <v>371</v>
      </c>
      <c r="B392" s="1">
        <v>23400</v>
      </c>
      <c r="C392" t="s">
        <v>74</v>
      </c>
    </row>
    <row r="393" spans="1:3">
      <c r="A393" t="s">
        <v>372</v>
      </c>
      <c r="B393" s="1">
        <f>B389-7</f>
        <v>286.14999999999998</v>
      </c>
      <c r="C393" t="s">
        <v>22</v>
      </c>
    </row>
    <row r="394" spans="1:3">
      <c r="A394" t="s">
        <v>284</v>
      </c>
      <c r="B394" s="1">
        <v>0.24</v>
      </c>
      <c r="C394" t="s">
        <v>184</v>
      </c>
    </row>
    <row r="395" spans="1:3">
      <c r="A395" t="s">
        <v>177</v>
      </c>
      <c r="B395" s="1">
        <v>1</v>
      </c>
      <c r="C395" t="s">
        <v>36</v>
      </c>
    </row>
    <row r="396" spans="1:3">
      <c r="A396" t="s">
        <v>373</v>
      </c>
      <c r="B396" s="1">
        <v>60</v>
      </c>
      <c r="C396" t="s">
        <v>28</v>
      </c>
    </row>
    <row r="397" spans="1:3">
      <c r="A397" t="s">
        <v>374</v>
      </c>
      <c r="B397" s="1">
        <v>2.0000000000000001E-4</v>
      </c>
      <c r="C397" t="s">
        <v>198</v>
      </c>
    </row>
    <row r="398" spans="1:3">
      <c r="A398" s="16" t="s">
        <v>33</v>
      </c>
      <c r="B398" s="16" t="s">
        <v>33</v>
      </c>
      <c r="C398" s="16" t="s">
        <v>33</v>
      </c>
    </row>
    <row r="399" spans="1:3">
      <c r="A399" s="13" t="s">
        <v>375</v>
      </c>
      <c r="B399">
        <f>10000*SQRT(B396*B396*0.00000001+(8*B394*B391*B397/(8.31*10000000*B395))*(B390/B389-B392/B393))</f>
        <v>59.997098166283195</v>
      </c>
      <c r="C399" t="s">
        <v>28</v>
      </c>
    </row>
    <row r="400" spans="1:3">
      <c r="A400" s="13" t="s">
        <v>376</v>
      </c>
      <c r="B400">
        <f>(B396*B396*0.00000001)/(SQRT((8*B394*B391/(8.31*10000000*B395))*(-B390/B389+B392/B393)))</f>
        <v>8.6277164867041064E-3</v>
      </c>
      <c r="C400" t="s">
        <v>198</v>
      </c>
    </row>
    <row r="401" spans="1:3">
      <c r="A401" s="13"/>
    </row>
    <row r="402" spans="1:3">
      <c r="A402" s="16" t="s">
        <v>17</v>
      </c>
      <c r="B402" s="16" t="s">
        <v>17</v>
      </c>
      <c r="C402" s="16" t="s">
        <v>17</v>
      </c>
    </row>
    <row r="404" spans="1:3">
      <c r="A404" t="s">
        <v>377</v>
      </c>
    </row>
    <row r="405" spans="1:3">
      <c r="A405" t="s">
        <v>21</v>
      </c>
      <c r="B405" s="1">
        <v>293.14999999999998</v>
      </c>
      <c r="C405" t="s">
        <v>22</v>
      </c>
    </row>
    <row r="406" spans="1:3">
      <c r="A406" t="s">
        <v>378</v>
      </c>
      <c r="B406" s="1">
        <v>101300000</v>
      </c>
      <c r="C406" t="s">
        <v>379</v>
      </c>
    </row>
    <row r="407" spans="1:3">
      <c r="A407" t="s">
        <v>66</v>
      </c>
      <c r="B407" s="1">
        <v>1.2049999999999999E-3</v>
      </c>
      <c r="C407" t="s">
        <v>380</v>
      </c>
    </row>
    <row r="408" spans="1:3">
      <c r="A408" t="s">
        <v>69</v>
      </c>
      <c r="B408" s="1">
        <v>18.02</v>
      </c>
      <c r="C408" t="s">
        <v>381</v>
      </c>
    </row>
    <row r="409" spans="1:3">
      <c r="A409" t="s">
        <v>382</v>
      </c>
      <c r="B409" s="1">
        <v>23400</v>
      </c>
      <c r="C409" t="s">
        <v>379</v>
      </c>
    </row>
    <row r="410" spans="1:3">
      <c r="A410" t="s">
        <v>383</v>
      </c>
      <c r="B410" s="1">
        <f>0.5*B409</f>
        <v>11700</v>
      </c>
      <c r="C410" t="s">
        <v>379</v>
      </c>
    </row>
    <row r="411" spans="1:3">
      <c r="A411" t="s">
        <v>372</v>
      </c>
      <c r="B411" s="1">
        <v>285</v>
      </c>
      <c r="C411" t="s">
        <v>384</v>
      </c>
    </row>
    <row r="412" spans="1:3">
      <c r="A412" t="s">
        <v>284</v>
      </c>
      <c r="B412" s="1">
        <v>0.24</v>
      </c>
      <c r="C412" t="s">
        <v>184</v>
      </c>
    </row>
    <row r="413" spans="1:3">
      <c r="A413" t="s">
        <v>177</v>
      </c>
      <c r="B413" s="1">
        <v>1</v>
      </c>
      <c r="C413" t="s">
        <v>36</v>
      </c>
    </row>
    <row r="414" spans="1:3">
      <c r="A414" t="s">
        <v>374</v>
      </c>
      <c r="B414" s="1">
        <v>0.96</v>
      </c>
      <c r="C414" t="s">
        <v>385</v>
      </c>
    </row>
    <row r="415" spans="1:3">
      <c r="A415" t="s">
        <v>386</v>
      </c>
      <c r="B415" s="1">
        <v>100</v>
      </c>
      <c r="C415" t="s">
        <v>387</v>
      </c>
    </row>
    <row r="416" spans="1:3">
      <c r="A416" t="s">
        <v>388</v>
      </c>
      <c r="B416" s="1">
        <v>1.8</v>
      </c>
    </row>
    <row r="417" spans="1:3">
      <c r="A417" s="16" t="s">
        <v>33</v>
      </c>
      <c r="B417" s="16" t="s">
        <v>33</v>
      </c>
      <c r="C417" s="16" t="s">
        <v>33</v>
      </c>
    </row>
    <row r="418" spans="1:3">
      <c r="A418" s="13" t="s">
        <v>389</v>
      </c>
      <c r="B418">
        <f>B410/B409*100</f>
        <v>50</v>
      </c>
      <c r="C418" t="s">
        <v>390</v>
      </c>
    </row>
    <row r="419" spans="1:3">
      <c r="A419" s="13" t="s">
        <v>35</v>
      </c>
      <c r="B419">
        <f>0.001293*(273.15/B405)*(B406/101000000)</f>
        <v>1.2083643468099156E-3</v>
      </c>
      <c r="C419" t="s">
        <v>36</v>
      </c>
    </row>
    <row r="420" spans="1:3">
      <c r="A420" s="13" t="s">
        <v>38</v>
      </c>
      <c r="B420">
        <f>0.0001708*((B405/273.15)^1.5)*((393.396)/(B405+120.246))</f>
        <v>1.8071099473721675E-4</v>
      </c>
      <c r="C420" t="s">
        <v>39</v>
      </c>
    </row>
    <row r="421" spans="1:3">
      <c r="A421" s="13" t="s">
        <v>391</v>
      </c>
      <c r="B421">
        <f>((B405-B411)/B405^(B416-1))*(2-B416)/(B405^(2-B416)-B411^(2-B416))</f>
        <v>0.98881670460439675</v>
      </c>
    </row>
    <row r="422" spans="1:3">
      <c r="A422" s="13" t="s">
        <v>392</v>
      </c>
      <c r="B422">
        <f>-4*B408*B412*B421*B406/(B413*83100000*B405)*LN((1-B409/B406)/(1-B410/B406))</f>
        <v>8.2169756737597975E-6</v>
      </c>
    </row>
    <row r="423" spans="1:3">
      <c r="A423" s="13" t="s">
        <v>393</v>
      </c>
      <c r="B423">
        <f>B420/(B419*B412)</f>
        <v>0.62312536782433126</v>
      </c>
    </row>
    <row r="424" spans="1:3">
      <c r="A424" s="13" t="s">
        <v>394</v>
      </c>
      <c r="B424" s="5">
        <f>20000*(9*B420*B422*B415/(2*B413*981)*(1-0.204*B423^(1/3)*SQRT(B419*B413*981/(18*B420*B420))*(72*B420*B422*B415/(B413*981))^(3/8))^-1)^0.25</f>
        <v>109.99711924397066</v>
      </c>
      <c r="C424" t="s">
        <v>395</v>
      </c>
    </row>
    <row r="426" spans="1:3">
      <c r="A426" s="16" t="s">
        <v>17</v>
      </c>
      <c r="B426" s="16" t="s">
        <v>17</v>
      </c>
      <c r="C426" s="16" t="s">
        <v>17</v>
      </c>
    </row>
    <row r="428" spans="1:3">
      <c r="A428" t="s">
        <v>61</v>
      </c>
    </row>
    <row r="429" spans="1:3">
      <c r="A429" t="s">
        <v>21</v>
      </c>
      <c r="B429" s="1">
        <v>293.14999999999998</v>
      </c>
      <c r="C429" t="s">
        <v>22</v>
      </c>
    </row>
    <row r="430" spans="1:3">
      <c r="A430" t="s">
        <v>24</v>
      </c>
      <c r="B430" s="1">
        <v>101.3</v>
      </c>
      <c r="C430" t="s">
        <v>25</v>
      </c>
    </row>
    <row r="431" spans="1:3">
      <c r="A431" t="s">
        <v>27</v>
      </c>
      <c r="B431" s="1">
        <v>0.2</v>
      </c>
      <c r="C431" t="s">
        <v>28</v>
      </c>
    </row>
    <row r="432" spans="1:3">
      <c r="A432" s="16" t="s">
        <v>33</v>
      </c>
      <c r="B432" s="16" t="s">
        <v>33</v>
      </c>
      <c r="C432" s="16" t="s">
        <v>33</v>
      </c>
    </row>
    <row r="433" spans="1:3">
      <c r="A433" s="13" t="s">
        <v>38</v>
      </c>
      <c r="B433">
        <f>0.0001708*((B429/273.15)^1.5)*((393.396)/(B429+120.246))</f>
        <v>1.8071099473721675E-4</v>
      </c>
      <c r="C433" t="s">
        <v>39</v>
      </c>
    </row>
    <row r="434" spans="1:3">
      <c r="A434" s="13" t="s">
        <v>181</v>
      </c>
      <c r="B434">
        <f>1+(2/(B430*B431*0.752))*(6.32+2.01*EXP(-0.1095*B430*0.752*B431))</f>
        <v>1.8793955692615363</v>
      </c>
    </row>
    <row r="435" spans="1:3">
      <c r="A435" s="13" t="s">
        <v>396</v>
      </c>
      <c r="B435">
        <f>4*B429*0.000000000000000138*B434/(3*B433)</f>
        <v>5.6097220534452629E-10</v>
      </c>
    </row>
    <row r="437" spans="1:3">
      <c r="A437" s="16" t="s">
        <v>17</v>
      </c>
      <c r="B437" s="16" t="s">
        <v>17</v>
      </c>
      <c r="C437" s="16" t="s">
        <v>17</v>
      </c>
    </row>
    <row r="439" spans="1:3">
      <c r="A439" t="s">
        <v>62</v>
      </c>
    </row>
    <row r="440" spans="1:3">
      <c r="A440" t="s">
        <v>21</v>
      </c>
      <c r="B440" s="1">
        <v>293.14999999999998</v>
      </c>
      <c r="C440" t="s">
        <v>22</v>
      </c>
    </row>
    <row r="441" spans="1:3">
      <c r="A441" t="s">
        <v>24</v>
      </c>
      <c r="B441" s="1">
        <v>101.3</v>
      </c>
      <c r="C441" t="s">
        <v>25</v>
      </c>
    </row>
    <row r="442" spans="1:3">
      <c r="A442" t="s">
        <v>27</v>
      </c>
      <c r="B442" s="1">
        <v>0.01</v>
      </c>
      <c r="C442" t="s">
        <v>28</v>
      </c>
    </row>
    <row r="443" spans="1:3">
      <c r="A443" t="s">
        <v>397</v>
      </c>
      <c r="B443" s="40">
        <v>1000000</v>
      </c>
      <c r="C443" t="s">
        <v>398</v>
      </c>
    </row>
    <row r="444" spans="1:3">
      <c r="A444" t="s">
        <v>197</v>
      </c>
      <c r="B444" s="1">
        <v>100</v>
      </c>
      <c r="C444" t="s">
        <v>198</v>
      </c>
    </row>
    <row r="445" spans="1:3">
      <c r="A445" t="s">
        <v>399</v>
      </c>
      <c r="B445" t="s">
        <v>399</v>
      </c>
      <c r="C445" t="s">
        <v>400</v>
      </c>
    </row>
    <row r="446" spans="1:3">
      <c r="A446" s="13" t="s">
        <v>38</v>
      </c>
      <c r="B446">
        <f>0.0001708*((B440/273.15)^1.5)*((393.396)/(B440+120.246))</f>
        <v>1.8071099473721675E-4</v>
      </c>
      <c r="C446" t="s">
        <v>39</v>
      </c>
    </row>
    <row r="447" spans="1:3">
      <c r="A447" s="13" t="s">
        <v>181</v>
      </c>
      <c r="B447">
        <f>1+(2/(B441*B442*0.752))*(6.32+2.01*EXP(-0.1095*B441*0.752*B442))</f>
        <v>22.447615127350385</v>
      </c>
    </row>
    <row r="448" spans="1:3">
      <c r="A448" s="13" t="s">
        <v>396</v>
      </c>
      <c r="B448">
        <f>4*B440*0.000000000000000138*B447/(3*B446)</f>
        <v>6.7002861817232085E-9</v>
      </c>
    </row>
    <row r="449" spans="1:3">
      <c r="A449" s="13" t="s">
        <v>401</v>
      </c>
      <c r="B449">
        <f>B443/(1+B443*B448*B444)</f>
        <v>598792.13393025566</v>
      </c>
      <c r="C449" t="s">
        <v>402</v>
      </c>
    </row>
    <row r="450" spans="1:3">
      <c r="A450" s="13" t="s">
        <v>403</v>
      </c>
      <c r="B450">
        <f>B442*(1+B443*B448*B444)^(1/3)</f>
        <v>1.1864277729157971E-2</v>
      </c>
      <c r="C450" t="s">
        <v>28</v>
      </c>
    </row>
    <row r="451" spans="1:3">
      <c r="A451" s="13" t="s">
        <v>404</v>
      </c>
      <c r="B451">
        <f>IF(1/(B448*B443)&lt;60,1/(B448*B443),IF(1/(B448*B443)&lt;3600,1/(B448*B443*60),IF(1/(B448*B443)&lt;86400,1/(B448*B443*3600),IF(1/(B448*B443)&lt;31536000,1/(B448*B443*86400),1/(B448*B443*31536000)))))</f>
        <v>2.4874559406327119</v>
      </c>
      <c r="C451" t="str">
        <f>IF(1/(B448*B443)&lt;60," sec",IF(1/(B448*B443)&lt;3600," min",IF(1/(B448*B443)&lt;86400," hours",IF(1/(B448*B443)&lt;31536000," days"," years"))))</f>
        <v xml:space="preserve"> min</v>
      </c>
    </row>
    <row r="452" spans="1:3">
      <c r="A452" s="13" t="s">
        <v>405</v>
      </c>
      <c r="B452">
        <f>IF(7/(B448*B443)&lt;60,7/(B448*B443),IF(7/(B448*B443)&lt;3600,7/(B448*B443*60),IF(7/(B448*B443)&lt;86400,7/(B448*B443*3600),IF(7/(B448*B443)&lt;31536000,7/(B448*B443*86400),7/(B448*B443*31536000)))))</f>
        <v>17.412191584428985</v>
      </c>
      <c r="C452" t="str">
        <f>IF(7/(B448*B443)&lt;60," sec",IF(7/(B448*B443)&lt;3600," min",IF(7/(B448*B443)&lt;86400," hours",IF(7/(B448*B443)&lt;31536000," days"," years"))))</f>
        <v xml:space="preserve"> min</v>
      </c>
    </row>
    <row r="454" spans="1:3">
      <c r="A454" s="16" t="s">
        <v>17</v>
      </c>
      <c r="B454" s="16" t="s">
        <v>17</v>
      </c>
      <c r="C454" s="16" t="s">
        <v>17</v>
      </c>
    </row>
    <row r="456" spans="1:3">
      <c r="A456" t="s">
        <v>63</v>
      </c>
    </row>
    <row r="457" spans="1:3">
      <c r="A457" t="s">
        <v>406</v>
      </c>
      <c r="B457" s="6">
        <v>1000000</v>
      </c>
      <c r="C457" t="s">
        <v>398</v>
      </c>
    </row>
    <row r="458" spans="1:3">
      <c r="A458" t="s">
        <v>407</v>
      </c>
      <c r="B458" s="6">
        <v>6.9999999999999998E-9</v>
      </c>
    </row>
    <row r="459" spans="1:3">
      <c r="A459" t="s">
        <v>408</v>
      </c>
      <c r="B459">
        <v>0.01</v>
      </c>
      <c r="C459" t="s">
        <v>28</v>
      </c>
    </row>
    <row r="460" spans="1:3">
      <c r="A460" t="s">
        <v>197</v>
      </c>
      <c r="B460">
        <v>10</v>
      </c>
      <c r="C460" t="s">
        <v>198</v>
      </c>
    </row>
    <row r="461" spans="1:3">
      <c r="A461" s="16" t="s">
        <v>33</v>
      </c>
      <c r="B461" s="16" t="s">
        <v>33</v>
      </c>
      <c r="C461" s="16" t="s">
        <v>33</v>
      </c>
    </row>
    <row r="462" spans="1:3">
      <c r="A462" s="13" t="s">
        <v>409</v>
      </c>
      <c r="B462" s="6">
        <f>B457/(1+B457*B458*B460)</f>
        <v>934579.43925233639</v>
      </c>
      <c r="C462" t="s">
        <v>398</v>
      </c>
    </row>
    <row r="463" spans="1:3">
      <c r="A463" s="13" t="s">
        <v>410</v>
      </c>
      <c r="B463">
        <f>B459*(B457/B462)^(1/3)</f>
        <v>1.0228091217696715E-2</v>
      </c>
      <c r="C463" t="s">
        <v>28</v>
      </c>
    </row>
    <row r="464" spans="1:3">
      <c r="A464" s="13"/>
    </row>
    <row r="465" spans="1:4">
      <c r="A465" s="16" t="s">
        <v>17</v>
      </c>
      <c r="B465" s="16" t="s">
        <v>17</v>
      </c>
      <c r="C465" s="16" t="s">
        <v>17</v>
      </c>
    </row>
    <row r="467" spans="1:4">
      <c r="A467" t="s">
        <v>64</v>
      </c>
    </row>
    <row r="469" spans="1:4">
      <c r="A469" t="s">
        <v>21</v>
      </c>
      <c r="B469" s="1">
        <v>293.14999999999998</v>
      </c>
      <c r="C469" t="s">
        <v>22</v>
      </c>
    </row>
    <row r="470" spans="1:4">
      <c r="A470" t="s">
        <v>411</v>
      </c>
      <c r="B470" s="1">
        <v>0.2</v>
      </c>
      <c r="C470" t="s">
        <v>28</v>
      </c>
    </row>
    <row r="471" spans="1:4">
      <c r="A471" t="s">
        <v>412</v>
      </c>
      <c r="B471" s="1">
        <v>2</v>
      </c>
    </row>
    <row r="472" spans="1:4">
      <c r="A472" s="16" t="s">
        <v>33</v>
      </c>
      <c r="B472" s="16" t="s">
        <v>33</v>
      </c>
      <c r="C472" s="16" t="s">
        <v>33</v>
      </c>
    </row>
    <row r="473" spans="1:4">
      <c r="A473" s="13" t="s">
        <v>38</v>
      </c>
      <c r="B473">
        <f>0.0001708*((B469/273.15)^1.5)*((393.396)/(B469+120.246))</f>
        <v>1.8071099473721675E-4</v>
      </c>
      <c r="C473" t="s">
        <v>39</v>
      </c>
    </row>
    <row r="474" spans="1:4">
      <c r="A474" s="13" t="s">
        <v>413</v>
      </c>
      <c r="B474">
        <f>(2*0.0000000000000001381*B469/(3*B473))*(1+EXP((LN(B471))^2)+(2.49*0.665/B470)*(EXP(0.5*(LN(B471))^2)+EXP(2.5*(LN(B471))^2)))</f>
        <v>6.0731150477170248E-9</v>
      </c>
      <c r="D474" t="s">
        <v>414</v>
      </c>
    </row>
    <row r="476" spans="1:4">
      <c r="A476" s="16" t="s">
        <v>17</v>
      </c>
      <c r="B476" s="16" t="s">
        <v>17</v>
      </c>
      <c r="C476" s="16" t="s">
        <v>17</v>
      </c>
    </row>
    <row r="477" spans="1:4">
      <c r="B477" s="1"/>
    </row>
    <row r="478" spans="1:4">
      <c r="A478" t="s">
        <v>65</v>
      </c>
      <c r="B478" s="1"/>
    </row>
    <row r="479" spans="1:4">
      <c r="A479" t="s">
        <v>415</v>
      </c>
      <c r="B479" s="1">
        <v>0.2</v>
      </c>
      <c r="C479" t="s">
        <v>416</v>
      </c>
    </row>
    <row r="480" spans="1:4">
      <c r="A480" t="s">
        <v>417</v>
      </c>
      <c r="B480">
        <v>118</v>
      </c>
      <c r="C480" t="s">
        <v>418</v>
      </c>
    </row>
    <row r="481" spans="1:3">
      <c r="A481" t="s">
        <v>419</v>
      </c>
      <c r="B481" s="6">
        <v>6.3000000000000003E-4</v>
      </c>
    </row>
    <row r="482" spans="1:3">
      <c r="A482" s="16" t="s">
        <v>33</v>
      </c>
      <c r="B482" s="16" t="s">
        <v>33</v>
      </c>
      <c r="C482" s="16" t="s">
        <v>33</v>
      </c>
    </row>
    <row r="483" spans="1:3">
      <c r="A483" s="13" t="s">
        <v>420</v>
      </c>
      <c r="B483">
        <f>(6*B479/(PI()*60*B480*1000))^(1/3)*10000</f>
        <v>37.78615530392576</v>
      </c>
      <c r="C483" t="s">
        <v>28</v>
      </c>
    </row>
    <row r="484" spans="1:3">
      <c r="A484" s="13" t="s">
        <v>421</v>
      </c>
      <c r="B484">
        <f>B481^(1/3)*B483</f>
        <v>3.2392630844846049</v>
      </c>
      <c r="C484" t="s">
        <v>28</v>
      </c>
    </row>
    <row r="486" spans="1:3">
      <c r="A486" s="16" t="s">
        <v>17</v>
      </c>
      <c r="B486" s="16" t="s">
        <v>17</v>
      </c>
      <c r="C486" s="16" t="s">
        <v>17</v>
      </c>
    </row>
    <row r="488" spans="1:3">
      <c r="A488" t="s">
        <v>68</v>
      </c>
      <c r="B488" s="6"/>
    </row>
    <row r="489" spans="1:3">
      <c r="A489" t="s">
        <v>422</v>
      </c>
      <c r="B489">
        <v>3</v>
      </c>
      <c r="C489" t="s">
        <v>28</v>
      </c>
    </row>
    <row r="490" spans="1:3">
      <c r="A490" t="s">
        <v>423</v>
      </c>
      <c r="B490">
        <v>2</v>
      </c>
    </row>
    <row r="491" spans="1:3">
      <c r="A491" t="s">
        <v>424</v>
      </c>
      <c r="B491">
        <v>0.95</v>
      </c>
      <c r="C491" t="s">
        <v>425</v>
      </c>
    </row>
    <row r="492" spans="1:3">
      <c r="A492" s="16" t="s">
        <v>33</v>
      </c>
      <c r="B492" s="16" t="s">
        <v>33</v>
      </c>
      <c r="C492" s="16" t="s">
        <v>33</v>
      </c>
    </row>
    <row r="493" spans="1:3">
      <c r="A493" s="13" t="s">
        <v>426</v>
      </c>
      <c r="B493">
        <f>(6*(1-B491)*EXP(-4.5*LN(B490)^2))/(PI()*(B489*0.0001)^3*(1-0.5*EXP(LN(B490)^2)))</f>
        <v>2124507446.5957992</v>
      </c>
      <c r="C493" t="s">
        <v>427</v>
      </c>
    </row>
    <row r="495" spans="1:3">
      <c r="A495" s="16" t="s">
        <v>17</v>
      </c>
      <c r="B495" s="16" t="s">
        <v>17</v>
      </c>
      <c r="C495" s="16" t="s">
        <v>17</v>
      </c>
    </row>
    <row r="497" spans="1:4">
      <c r="A497" t="s">
        <v>72</v>
      </c>
    </row>
    <row r="498" spans="1:4">
      <c r="A498" t="s">
        <v>21</v>
      </c>
      <c r="B498" s="1">
        <v>293.14999999999998</v>
      </c>
      <c r="C498" t="s">
        <v>22</v>
      </c>
    </row>
    <row r="499" spans="1:4">
      <c r="A499" t="s">
        <v>24</v>
      </c>
      <c r="B499" s="1">
        <v>101.3</v>
      </c>
      <c r="C499" t="s">
        <v>25</v>
      </c>
    </row>
    <row r="500" spans="1:4">
      <c r="A500" t="s">
        <v>27</v>
      </c>
      <c r="B500" s="1">
        <v>15</v>
      </c>
      <c r="C500" t="s">
        <v>28</v>
      </c>
    </row>
    <row r="501" spans="1:4">
      <c r="A501" t="s">
        <v>177</v>
      </c>
      <c r="B501" s="1">
        <v>1</v>
      </c>
      <c r="C501" t="s">
        <v>153</v>
      </c>
    </row>
    <row r="502" spans="1:4">
      <c r="A502" t="s">
        <v>428</v>
      </c>
      <c r="B502" s="1">
        <v>1.27</v>
      </c>
      <c r="C502" t="s">
        <v>51</v>
      </c>
    </row>
    <row r="503" spans="1:4">
      <c r="A503" t="s">
        <v>429</v>
      </c>
      <c r="B503" s="1">
        <v>10</v>
      </c>
      <c r="C503" t="s">
        <v>51</v>
      </c>
    </row>
    <row r="504" spans="1:4">
      <c r="A504" t="s">
        <v>430</v>
      </c>
      <c r="B504" s="1">
        <v>150</v>
      </c>
      <c r="C504" t="s">
        <v>31</v>
      </c>
    </row>
    <row r="505" spans="1:4">
      <c r="A505" t="s">
        <v>431</v>
      </c>
      <c r="B505" s="1">
        <v>2</v>
      </c>
      <c r="D505" t="s">
        <v>432</v>
      </c>
    </row>
    <row r="506" spans="1:4">
      <c r="A506" s="16" t="s">
        <v>33</v>
      </c>
      <c r="B506" s="16" t="s">
        <v>33</v>
      </c>
      <c r="C506" s="16" t="s">
        <v>33</v>
      </c>
    </row>
    <row r="507" spans="1:4">
      <c r="A507" s="13" t="s">
        <v>35</v>
      </c>
      <c r="B507">
        <f>0.001293*(273.15/B498)*(B499/101.3)</f>
        <v>1.2047857752004094E-3</v>
      </c>
      <c r="C507" t="s">
        <v>36</v>
      </c>
    </row>
    <row r="508" spans="1:4">
      <c r="A508" s="13" t="s">
        <v>38</v>
      </c>
      <c r="B508">
        <f>0.0001708*((B498/273.15)^1.5)*((393.396)/(B498+120.246))</f>
        <v>1.8071099473721675E-4</v>
      </c>
      <c r="C508" t="s">
        <v>39</v>
      </c>
    </row>
    <row r="509" spans="1:4">
      <c r="A509" s="13" t="s">
        <v>433</v>
      </c>
      <c r="B509">
        <f>B507*B502*B504/B508</f>
        <v>1270.0482918010905</v>
      </c>
    </row>
    <row r="510" spans="1:4">
      <c r="A510" s="13" t="s">
        <v>181</v>
      </c>
      <c r="B510">
        <f>1+(2/(B499*B500*0.752))*(6.32+2.01*EXP(-0.1095*B499*0.752*B500))</f>
        <v>1.0110618694559381</v>
      </c>
    </row>
    <row r="511" spans="1:4">
      <c r="A511" s="13" t="s">
        <v>296</v>
      </c>
      <c r="B511">
        <f>B501*B500*B500*0.00000981*B510/(18*B508)</f>
        <v>0.68607591874707829</v>
      </c>
      <c r="C511" t="s">
        <v>31</v>
      </c>
    </row>
    <row r="512" spans="1:4">
      <c r="A512" s="13" t="s">
        <v>298</v>
      </c>
      <c r="B512">
        <f>B501*B500*B500*0.00000001*B510/(18*B508)</f>
        <v>6.9936383154646108E-4</v>
      </c>
      <c r="C512" t="s">
        <v>198</v>
      </c>
    </row>
    <row r="513" spans="1:3">
      <c r="A513" s="13" t="s">
        <v>302</v>
      </c>
      <c r="B513">
        <f>B512*B504*B505/B502</f>
        <v>0.16520405469601443</v>
      </c>
    </row>
    <row r="514" spans="1:3">
      <c r="A514" s="13" t="s">
        <v>434</v>
      </c>
      <c r="B514">
        <f>1+(B505-1)*(1-(1/(1+(2+(0.617/B505))*B513)))</f>
        <v>1.2760828578421468</v>
      </c>
    </row>
    <row r="515" spans="1:3">
      <c r="A515" s="13" t="s">
        <v>435</v>
      </c>
      <c r="B515">
        <f>(B503/B504)/(B502/B511)</f>
        <v>3.6014483923731147E-2</v>
      </c>
    </row>
    <row r="516" spans="1:3">
      <c r="A516" s="13" t="s">
        <v>436</v>
      </c>
      <c r="B516">
        <f>EXP(-4.7*(SQRT(B515*B513/SQRT(B509)))^0.75)</f>
        <v>0.83516778983052598</v>
      </c>
    </row>
    <row r="517" spans="1:3">
      <c r="A517" s="13" t="s">
        <v>437</v>
      </c>
      <c r="B517">
        <f>IF(B505&gt;1,(1+(B505-1)/(1+2.66/B513^(2/3)))/(1+(B505-1)/(1+0.418/B513)),1)</f>
        <v>0.85849357250565461</v>
      </c>
    </row>
    <row r="518" spans="1:3">
      <c r="A518" s="13" t="s">
        <v>438</v>
      </c>
      <c r="B518">
        <f>IF(B505&lt;1,EXP(-75*(0.09*(B513*(B504-B504*B505)/(B504*B505))^0.3)^2),1)</f>
        <v>1</v>
      </c>
    </row>
    <row r="519" spans="1:3">
      <c r="A519" s="13" t="s">
        <v>439</v>
      </c>
      <c r="B519">
        <f>B514*B516*B517*B518</f>
        <v>0.91493377301212486</v>
      </c>
    </row>
    <row r="520" spans="1:3">
      <c r="A520" s="13"/>
    </row>
    <row r="521" spans="1:3">
      <c r="A521" s="16" t="s">
        <v>17</v>
      </c>
      <c r="B521" s="16" t="s">
        <v>17</v>
      </c>
      <c r="C521" s="16" t="s">
        <v>17</v>
      </c>
    </row>
    <row r="523" spans="1:3">
      <c r="A523" t="s">
        <v>73</v>
      </c>
    </row>
    <row r="524" spans="1:3">
      <c r="A524" t="s">
        <v>440</v>
      </c>
      <c r="B524" s="1"/>
    </row>
    <row r="525" spans="1:3">
      <c r="A525" t="s">
        <v>21</v>
      </c>
      <c r="B525" s="1">
        <v>293.14999999999998</v>
      </c>
      <c r="C525" t="s">
        <v>22</v>
      </c>
    </row>
    <row r="526" spans="1:3">
      <c r="A526" t="s">
        <v>24</v>
      </c>
      <c r="B526" s="1">
        <v>101.3</v>
      </c>
      <c r="C526" t="s">
        <v>25</v>
      </c>
    </row>
    <row r="527" spans="1:3">
      <c r="A527" t="s">
        <v>27</v>
      </c>
      <c r="B527" s="1">
        <v>10</v>
      </c>
      <c r="C527" t="s">
        <v>28</v>
      </c>
    </row>
    <row r="528" spans="1:3">
      <c r="A528" t="s">
        <v>177</v>
      </c>
      <c r="B528" s="1">
        <v>1</v>
      </c>
      <c r="C528" t="s">
        <v>153</v>
      </c>
    </row>
    <row r="529" spans="1:4">
      <c r="A529" t="s">
        <v>428</v>
      </c>
      <c r="B529" s="1">
        <v>2.5</v>
      </c>
      <c r="C529" t="s">
        <v>51</v>
      </c>
    </row>
    <row r="530" spans="1:4">
      <c r="A530" t="s">
        <v>441</v>
      </c>
      <c r="B530" s="1">
        <v>61</v>
      </c>
      <c r="C530" t="s">
        <v>442</v>
      </c>
      <c r="D530" t="s">
        <v>443</v>
      </c>
    </row>
    <row r="531" spans="1:4">
      <c r="A531" t="s">
        <v>430</v>
      </c>
      <c r="B531" s="1">
        <v>34</v>
      </c>
      <c r="C531" t="s">
        <v>31</v>
      </c>
    </row>
    <row r="532" spans="1:4">
      <c r="A532" t="s">
        <v>431</v>
      </c>
      <c r="B532" s="1">
        <v>5</v>
      </c>
      <c r="D532" t="s">
        <v>432</v>
      </c>
    </row>
    <row r="533" spans="1:4">
      <c r="A533" s="16" t="s">
        <v>33</v>
      </c>
      <c r="B533" s="16" t="s">
        <v>33</v>
      </c>
      <c r="C533" s="16" t="s">
        <v>33</v>
      </c>
    </row>
    <row r="534" spans="1:4">
      <c r="A534" s="13" t="s">
        <v>35</v>
      </c>
      <c r="B534">
        <f>0.001293*(273.15/B525)*(B526/101.3)</f>
        <v>1.2047857752004094E-3</v>
      </c>
      <c r="C534" t="s">
        <v>36</v>
      </c>
    </row>
    <row r="535" spans="1:4">
      <c r="A535" s="13" t="s">
        <v>38</v>
      </c>
      <c r="B535">
        <f>0.0001708*((B525/273.15)^1.5)*((393.396)/(B525+120.246))</f>
        <v>1.8071099473721675E-4</v>
      </c>
      <c r="C535" t="s">
        <v>39</v>
      </c>
    </row>
    <row r="536" spans="1:4">
      <c r="A536" s="13" t="s">
        <v>433</v>
      </c>
      <c r="B536">
        <f>B534*B529*B531/B535</f>
        <v>566.68821418946288</v>
      </c>
    </row>
    <row r="537" spans="1:4">
      <c r="A537" s="13" t="s">
        <v>181</v>
      </c>
      <c r="B537">
        <f>1+(2/(B526*B527*0.752))*(6.32+2.01*EXP(-0.1095*B526*0.752*B527))</f>
        <v>1.0165928041839072</v>
      </c>
    </row>
    <row r="538" spans="1:4">
      <c r="A538" s="13" t="s">
        <v>296</v>
      </c>
      <c r="B538">
        <f>B528*B527*B527*0.00000981*B537/(18*B535)</f>
        <v>0.30659068591033894</v>
      </c>
      <c r="C538" t="s">
        <v>31</v>
      </c>
    </row>
    <row r="539" spans="1:4">
      <c r="A539" s="13" t="s">
        <v>302</v>
      </c>
      <c r="B539">
        <f>(B528*B527*B527*0.00000001*B537/(18*B535))*B531*B532/B529</f>
        <v>2.1251953763407796E-2</v>
      </c>
    </row>
    <row r="540" spans="1:4">
      <c r="A540" s="13" t="s">
        <v>293</v>
      </c>
      <c r="B540">
        <f>B539*EXP(0.022*B530)</f>
        <v>8.1324622701023475E-2</v>
      </c>
    </row>
    <row r="541" spans="1:4">
      <c r="A541" s="13" t="s">
        <v>444</v>
      </c>
      <c r="B541">
        <f>IF(B530=0,1-1/(1+(2+0.617/B532)*B539),IF(B530&gt;45,3*B539^(B532^-0.5),(1-1/(1+(2+0.617/B532)*B540))*(1-1/(1+0.55*B540*EXP(0.25*B540)))/(1-1/(1+2.617*B540))))</f>
        <v>0.53593397073152715</v>
      </c>
    </row>
    <row r="542" spans="1:4">
      <c r="A542" s="13" t="s">
        <v>434</v>
      </c>
      <c r="B542">
        <f>1+(B532*COS(B530*PI()/180)-1)*B541</f>
        <v>1.7631957534057889</v>
      </c>
      <c r="C542" t="str">
        <f>IF(B530&gt;90,"Not valid when angle &gt; 90°",IF(B530=0,"valid for 0.16&lt;R&lt;5.6; 0.18&lt;St&lt;2.03",IF(B530&gt;45,"valid for 45&lt;angle&lt;90; 1.25&lt;R&lt;6.25; 0.003&lt;St&lt;0.2","valid for 0°&lt;angle&lt;60°, 0.01&lt;St&lt;6")))</f>
        <v>valid for 45&lt;angle&lt;90; 1.25&lt;R&lt;6.25; 0.003&lt;St&lt;0.2</v>
      </c>
    </row>
    <row r="543" spans="1:4">
      <c r="A543" s="13" t="s">
        <v>444</v>
      </c>
      <c r="B543">
        <f>IF(B530=0,1-1/(1+(2+0.617/B532)*B539),IF(B530&gt;60,3*B539^(B532^-0.5),(1-1/(1+(2+0.617/B532)*B540))*(1-1/(1+0.55*B540*EXP(0.25*B540)))/(1-1/(1+2.617*B540))))</f>
        <v>0.53593397073152715</v>
      </c>
      <c r="D543" t="s">
        <v>445</v>
      </c>
    </row>
    <row r="544" spans="1:4">
      <c r="A544" s="13" t="s">
        <v>434</v>
      </c>
      <c r="B544">
        <f>1+(B532*COS(B530*PI()/180)-1)*B543</f>
        <v>1.7631957534057889</v>
      </c>
      <c r="C544" t="str">
        <f>IF(B530=0,"valid for 0.16&lt;R&lt;5.6; 0.18&lt;St&lt;2.03",IF(B530&gt;60,"valid for 45&lt;angle&lt;90; 1.25&lt;R&lt;6.25; 0.003&lt;St&lt;0.2","valid for 0°&lt;angle&lt;60°, 0.01&lt;St&lt;6"))</f>
        <v>valid for 45&lt;angle&lt;90; 1.25&lt;R&lt;6.25; 0.003&lt;St&lt;0.2</v>
      </c>
    </row>
    <row r="546" spans="1:4">
      <c r="A546" s="16" t="s">
        <v>17</v>
      </c>
      <c r="B546" s="16" t="s">
        <v>17</v>
      </c>
      <c r="C546" s="16" t="s">
        <v>17</v>
      </c>
    </row>
    <row r="548" spans="1:4">
      <c r="A548" t="s">
        <v>75</v>
      </c>
    </row>
    <row r="549" spans="1:4">
      <c r="A549" t="s">
        <v>21</v>
      </c>
      <c r="B549" s="1">
        <v>293.14999999999998</v>
      </c>
      <c r="C549" t="s">
        <v>22</v>
      </c>
    </row>
    <row r="550" spans="1:4">
      <c r="A550" t="s">
        <v>24</v>
      </c>
      <c r="B550" s="1">
        <v>101.3</v>
      </c>
      <c r="C550" t="s">
        <v>25</v>
      </c>
    </row>
    <row r="551" spans="1:4">
      <c r="A551" t="s">
        <v>27</v>
      </c>
      <c r="B551" s="1">
        <v>15</v>
      </c>
      <c r="C551" t="s">
        <v>28</v>
      </c>
    </row>
    <row r="552" spans="1:4">
      <c r="A552" t="s">
        <v>177</v>
      </c>
      <c r="B552" s="1">
        <v>1</v>
      </c>
      <c r="C552" t="s">
        <v>153</v>
      </c>
    </row>
    <row r="553" spans="1:4">
      <c r="A553" t="s">
        <v>428</v>
      </c>
      <c r="B553" s="1">
        <v>1.27</v>
      </c>
      <c r="C553" t="s">
        <v>51</v>
      </c>
    </row>
    <row r="554" spans="1:4">
      <c r="A554" t="s">
        <v>429</v>
      </c>
      <c r="B554" s="1">
        <v>100</v>
      </c>
      <c r="C554" t="s">
        <v>51</v>
      </c>
    </row>
    <row r="555" spans="1:4">
      <c r="A555" t="s">
        <v>446</v>
      </c>
      <c r="B555" s="1">
        <v>45</v>
      </c>
      <c r="C555" t="s">
        <v>442</v>
      </c>
      <c r="D555" t="s">
        <v>447</v>
      </c>
    </row>
    <row r="556" spans="1:4">
      <c r="A556" t="s">
        <v>448</v>
      </c>
      <c r="B556" s="1">
        <f>5000*4/(PI()*B553*B553)</f>
        <v>3947.0504827799696</v>
      </c>
      <c r="C556" t="s">
        <v>31</v>
      </c>
    </row>
    <row r="557" spans="1:4">
      <c r="A557" t="s">
        <v>449</v>
      </c>
      <c r="B557" s="1">
        <v>1.5</v>
      </c>
      <c r="D557" t="s">
        <v>450</v>
      </c>
    </row>
    <row r="558" spans="1:4">
      <c r="A558" s="16" t="s">
        <v>33</v>
      </c>
      <c r="B558" s="16" t="s">
        <v>33</v>
      </c>
      <c r="C558" s="16" t="s">
        <v>33</v>
      </c>
    </row>
    <row r="559" spans="1:4">
      <c r="A559" s="13" t="s">
        <v>35</v>
      </c>
      <c r="B559">
        <f>0.001293*(273.15/B549)*(B550/101.3)</f>
        <v>1.2047857752004094E-3</v>
      </c>
      <c r="C559" t="s">
        <v>36</v>
      </c>
    </row>
    <row r="560" spans="1:4">
      <c r="A560" s="13" t="s">
        <v>38</v>
      </c>
      <c r="B560">
        <f>0.0001708*((B549/273.15)^1.5)*((393.396)/(B549+120.246))</f>
        <v>1.8071099473721675E-4</v>
      </c>
      <c r="C560" t="s">
        <v>39</v>
      </c>
    </row>
    <row r="561" spans="1:3">
      <c r="A561" s="13" t="s">
        <v>433</v>
      </c>
      <c r="B561">
        <f>B559*B553*B556/B560</f>
        <v>33419.631488715801</v>
      </c>
    </row>
    <row r="562" spans="1:3">
      <c r="A562" s="13" t="s">
        <v>181</v>
      </c>
      <c r="B562">
        <f>1+(2/(B550*B551*0.752))*(6.32+2.01*EXP(-0.1095*B550*0.752*B551))</f>
        <v>1.0110618694559381</v>
      </c>
    </row>
    <row r="563" spans="1:3">
      <c r="A563" s="13" t="s">
        <v>296</v>
      </c>
      <c r="B563">
        <f>B552*B551*B551*0.00000981*B562/(18*B560)</f>
        <v>0.68607591874707829</v>
      </c>
      <c r="C563" t="s">
        <v>31</v>
      </c>
    </row>
    <row r="564" spans="1:3">
      <c r="A564" s="13" t="s">
        <v>302</v>
      </c>
      <c r="B564">
        <f>(B552*B551*B551*0.00000001*B562/(18*B560))*B556*B557/B553</f>
        <v>3.2603437192255611</v>
      </c>
    </row>
    <row r="565" spans="1:3">
      <c r="A565" s="13" t="s">
        <v>451</v>
      </c>
      <c r="B565">
        <f>B554*B563/(B556*B553)</f>
        <v>1.3686606269993377E-2</v>
      </c>
    </row>
    <row r="566" spans="1:3">
      <c r="A566" s="13" t="s">
        <v>452</v>
      </c>
      <c r="B566">
        <f>(SQRT(B565*B564)*B561^-0.25)*SQRT(COS(B555*PI()/180))</f>
        <v>1.3137770397850083E-2</v>
      </c>
    </row>
    <row r="567" spans="1:3">
      <c r="A567" s="13" t="s">
        <v>453</v>
      </c>
      <c r="B567">
        <f>EXP(-4.7*B566^0.75)</f>
        <v>0.83328046876588691</v>
      </c>
    </row>
    <row r="569" spans="1:3">
      <c r="A569" s="16" t="s">
        <v>17</v>
      </c>
      <c r="B569" s="16" t="s">
        <v>17</v>
      </c>
      <c r="C569" s="16" t="s">
        <v>17</v>
      </c>
    </row>
    <row r="571" spans="1:3">
      <c r="A571" t="s">
        <v>77</v>
      </c>
    </row>
    <row r="572" spans="1:3">
      <c r="A572" t="s">
        <v>21</v>
      </c>
      <c r="B572" s="1">
        <v>293.14999999999998</v>
      </c>
      <c r="C572" t="s">
        <v>22</v>
      </c>
    </row>
    <row r="573" spans="1:3">
      <c r="A573" t="s">
        <v>24</v>
      </c>
      <c r="B573" s="1">
        <v>101.3</v>
      </c>
      <c r="C573" t="s">
        <v>25</v>
      </c>
    </row>
    <row r="574" spans="1:3">
      <c r="A574" t="s">
        <v>27</v>
      </c>
      <c r="B574" s="1">
        <v>10</v>
      </c>
      <c r="C574" t="s">
        <v>28</v>
      </c>
    </row>
    <row r="575" spans="1:3">
      <c r="A575" t="s">
        <v>177</v>
      </c>
      <c r="B575" s="1">
        <v>1</v>
      </c>
      <c r="C575" t="s">
        <v>153</v>
      </c>
    </row>
    <row r="576" spans="1:3">
      <c r="A576" t="s">
        <v>428</v>
      </c>
      <c r="B576" s="1">
        <v>1.27</v>
      </c>
      <c r="C576" t="s">
        <v>51</v>
      </c>
    </row>
    <row r="577" spans="1:4">
      <c r="A577" t="s">
        <v>446</v>
      </c>
      <c r="B577" s="1">
        <v>90</v>
      </c>
      <c r="C577" t="str">
        <f>IF(B577&gt;90,"-out of range",IF(B577&lt;0,"-out of range-"," degrees"))</f>
        <v xml:space="preserve"> degrees</v>
      </c>
    </row>
    <row r="578" spans="1:4">
      <c r="A578" t="s">
        <v>454</v>
      </c>
      <c r="B578" s="12" t="s">
        <v>455</v>
      </c>
      <c r="C578" t="s">
        <v>456</v>
      </c>
    </row>
    <row r="579" spans="1:4">
      <c r="A579" t="s">
        <v>448</v>
      </c>
      <c r="B579" s="1">
        <v>3</v>
      </c>
      <c r="C579" t="s">
        <v>31</v>
      </c>
    </row>
    <row r="580" spans="1:4">
      <c r="A580" t="s">
        <v>449</v>
      </c>
      <c r="B580" s="1">
        <v>4</v>
      </c>
      <c r="C580" t="str">
        <f>IF(B580&gt;4,"-out of range-",IF(B580&lt;0.25,"-out of range-",""))</f>
        <v/>
      </c>
      <c r="D580" t="s">
        <v>450</v>
      </c>
    </row>
    <row r="581" spans="1:4">
      <c r="A581" s="16" t="s">
        <v>33</v>
      </c>
      <c r="B581" s="16" t="s">
        <v>33</v>
      </c>
      <c r="C581" s="16" t="s">
        <v>33</v>
      </c>
    </row>
    <row r="582" spans="1:4">
      <c r="A582" s="13" t="s">
        <v>35</v>
      </c>
      <c r="B582">
        <f>0.001293*(273.15/B572)*(B573/101.3)</f>
        <v>1.2047857752004094E-3</v>
      </c>
      <c r="C582" t="s">
        <v>36</v>
      </c>
    </row>
    <row r="583" spans="1:4">
      <c r="A583" s="13" t="s">
        <v>38</v>
      </c>
      <c r="B583">
        <f>0.0001708*((B572/273.15)^1.5)*((393.396)/(B572+120.246))</f>
        <v>1.8071099473721675E-4</v>
      </c>
      <c r="C583" t="s">
        <v>39</v>
      </c>
    </row>
    <row r="584" spans="1:4">
      <c r="A584" s="13" t="s">
        <v>433</v>
      </c>
      <c r="B584">
        <f>B582*B576*B579/B583</f>
        <v>25.400965836021808</v>
      </c>
    </row>
    <row r="585" spans="1:4">
      <c r="A585" s="13" t="s">
        <v>181</v>
      </c>
      <c r="B585">
        <f>1+(2/(B573*B574*0.752))*(6.32+2.01*EXP(-0.1095*B573*0.752*B574))</f>
        <v>1.0165928041839072</v>
      </c>
    </row>
    <row r="586" spans="1:4">
      <c r="A586" s="13" t="s">
        <v>296</v>
      </c>
      <c r="B586">
        <f>B575*B574*B574*0.00000981*B585/(18*B583)</f>
        <v>0.30659068591033894</v>
      </c>
      <c r="C586" t="s">
        <v>31</v>
      </c>
    </row>
    <row r="587" spans="1:4">
      <c r="A587" s="13" t="s">
        <v>302</v>
      </c>
      <c r="B587">
        <f>(B575*B574*B574*0.00000001*B585/(18*B583))*B579*B580/B576</f>
        <v>2.9530273872266505E-3</v>
      </c>
      <c r="C587" t="str">
        <f>IF(B587&gt;4,"-out of range-",IF(B587&lt;0.025,"-out of range-",""))</f>
        <v>-out of range-</v>
      </c>
    </row>
    <row r="588" spans="1:4">
      <c r="A588" s="13" t="s">
        <v>457</v>
      </c>
      <c r="B588">
        <f>IF(B580&lt;1,IF(B580&gt;0.25,0.09*(B587*COS(B577*PI()/180)*(B579-B580*B579)/(B580*B579))^0.3,0),0)</f>
        <v>0</v>
      </c>
    </row>
    <row r="589" spans="1:4">
      <c r="A589" s="13" t="s">
        <v>458</v>
      </c>
      <c r="B589">
        <f>12*(1-(B577/90))-EXP(-B577)</f>
        <v>-8.1940126239905147E-40</v>
      </c>
    </row>
    <row r="590" spans="1:4">
      <c r="A590" s="13" t="s">
        <v>459</v>
      </c>
      <c r="B590">
        <f>IF(B578="down",B587*SQRT(B580)*SIN(B577-B589)*SIN((-B589+B577)/2),B587*SQRT(B580)*SIN((B577+B589)*PI()/180)*SIN(((B589+B577)/2*PI()/180)))</f>
        <v>4.4927648773463525E-3</v>
      </c>
    </row>
    <row r="591" spans="1:4">
      <c r="A591" s="13" t="s">
        <v>460</v>
      </c>
      <c r="B591">
        <f>EXP(-0.75*(B588+B590)^2)</f>
        <v>0.99998486141240728</v>
      </c>
    </row>
    <row r="593" spans="1:5">
      <c r="A593" s="16" t="s">
        <v>17</v>
      </c>
      <c r="B593" s="16" t="s">
        <v>17</v>
      </c>
      <c r="C593" s="16" t="s">
        <v>17</v>
      </c>
    </row>
    <row r="595" spans="1:5">
      <c r="A595" t="s">
        <v>78</v>
      </c>
    </row>
    <row r="596" spans="1:5">
      <c r="A596" t="s">
        <v>21</v>
      </c>
      <c r="B596" s="1">
        <v>293.14999999999998</v>
      </c>
      <c r="C596" t="s">
        <v>22</v>
      </c>
    </row>
    <row r="597" spans="1:5">
      <c r="A597" t="s">
        <v>24</v>
      </c>
      <c r="B597" s="1">
        <v>101.3</v>
      </c>
      <c r="C597" t="s">
        <v>25</v>
      </c>
    </row>
    <row r="598" spans="1:5">
      <c r="A598" t="s">
        <v>27</v>
      </c>
      <c r="B598" s="1">
        <v>15</v>
      </c>
      <c r="C598" t="s">
        <v>28</v>
      </c>
    </row>
    <row r="599" spans="1:5">
      <c r="A599" t="s">
        <v>30</v>
      </c>
      <c r="B599" s="1">
        <f>4*5*1000/(PI()*B600*B600*60)</f>
        <v>9.9990795567319442</v>
      </c>
      <c r="C599" t="s">
        <v>31</v>
      </c>
    </row>
    <row r="600" spans="1:5">
      <c r="A600" t="s">
        <v>461</v>
      </c>
      <c r="B600" s="1">
        <v>3.2574999999999998</v>
      </c>
      <c r="C600" t="s">
        <v>51</v>
      </c>
    </row>
    <row r="601" spans="1:5">
      <c r="A601" t="s">
        <v>177</v>
      </c>
      <c r="B601" s="1">
        <v>1</v>
      </c>
      <c r="C601" t="s">
        <v>153</v>
      </c>
    </row>
    <row r="602" spans="1:5">
      <c r="A602" s="16" t="s">
        <v>33</v>
      </c>
      <c r="B602" s="16" t="s">
        <v>33</v>
      </c>
      <c r="C602" s="16" t="s">
        <v>33</v>
      </c>
    </row>
    <row r="603" spans="1:5">
      <c r="A603" s="13" t="s">
        <v>35</v>
      </c>
      <c r="B603">
        <f>0.001293*(273.15/B596)*(B597/101.3)</f>
        <v>1.2047857752004094E-3</v>
      </c>
      <c r="C603" t="s">
        <v>36</v>
      </c>
    </row>
    <row r="604" spans="1:5">
      <c r="A604" s="13" t="s">
        <v>38</v>
      </c>
      <c r="B604">
        <f>0.0001708*((B596/273.15)^1.5)*((393.396)/(B596+120.246))</f>
        <v>1.8071099473721675E-4</v>
      </c>
      <c r="C604" t="s">
        <v>39</v>
      </c>
    </row>
    <row r="605" spans="1:5">
      <c r="A605" s="13" t="s">
        <v>41</v>
      </c>
      <c r="B605">
        <f>0.0001*B603*B598*B599/B604</f>
        <v>9.9994597721343378E-2</v>
      </c>
    </row>
    <row r="606" spans="1:5">
      <c r="A606" s="13" t="s">
        <v>181</v>
      </c>
      <c r="B606">
        <f>1+(2/(B597*B598*0.752))*(6.32+2.01*EXP(-0.1095*B597*0.752*B598))</f>
        <v>1.0110618694559381</v>
      </c>
    </row>
    <row r="607" spans="1:5">
      <c r="A607" s="13" t="s">
        <v>298</v>
      </c>
      <c r="B607">
        <f>B601*B598*B598*B606*0.00000001/(18*B604)</f>
        <v>6.9936383154646108E-4</v>
      </c>
      <c r="C607" t="s">
        <v>198</v>
      </c>
    </row>
    <row r="608" spans="1:5">
      <c r="A608" s="13" t="s">
        <v>462</v>
      </c>
      <c r="B608">
        <f>(PI()*B600*B600*B599/4)</f>
        <v>83.333333333333343</v>
      </c>
      <c r="C608" t="s">
        <v>463</v>
      </c>
      <c r="D608">
        <f>B608*60/1000</f>
        <v>5.0000000000000009</v>
      </c>
      <c r="E608" t="s">
        <v>464</v>
      </c>
    </row>
    <row r="609" spans="1:3">
      <c r="A609" s="13" t="s">
        <v>465</v>
      </c>
      <c r="B609">
        <f>0.4*SQRT(B608/(PI()*B607*981))</f>
        <v>2.4871864556456433</v>
      </c>
      <c r="C609" t="s">
        <v>466</v>
      </c>
    </row>
    <row r="610" spans="1:3">
      <c r="A610" s="13" t="s">
        <v>467</v>
      </c>
      <c r="B610">
        <f>10*(B608*B607/(4*PI()))^(1/3)</f>
        <v>1.667646588901178</v>
      </c>
      <c r="C610" t="s">
        <v>466</v>
      </c>
    </row>
    <row r="611" spans="1:3">
      <c r="A611" s="13" t="s">
        <v>468</v>
      </c>
      <c r="B611">
        <f>20*B607*B607*981</f>
        <v>9.5963336653343036E-3</v>
      </c>
      <c r="C611" t="s">
        <v>469</v>
      </c>
    </row>
    <row r="613" spans="1:3">
      <c r="A613" s="16" t="s">
        <v>17</v>
      </c>
      <c r="B613" s="16" t="s">
        <v>17</v>
      </c>
      <c r="C613" s="16" t="s">
        <v>17</v>
      </c>
    </row>
    <row r="615" spans="1:3">
      <c r="A615" t="s">
        <v>79</v>
      </c>
    </row>
    <row r="616" spans="1:3">
      <c r="A616" t="s">
        <v>21</v>
      </c>
      <c r="B616" s="1">
        <v>293.14999999999998</v>
      </c>
      <c r="C616" t="s">
        <v>22</v>
      </c>
    </row>
    <row r="617" spans="1:3">
      <c r="A617" t="s">
        <v>24</v>
      </c>
      <c r="B617" s="1">
        <v>101.3</v>
      </c>
      <c r="C617" t="s">
        <v>25</v>
      </c>
    </row>
    <row r="618" spans="1:3">
      <c r="A618" t="s">
        <v>27</v>
      </c>
      <c r="B618" s="1">
        <v>10</v>
      </c>
      <c r="C618" t="s">
        <v>28</v>
      </c>
    </row>
    <row r="619" spans="1:3">
      <c r="A619" t="s">
        <v>177</v>
      </c>
      <c r="B619" s="1">
        <v>1</v>
      </c>
      <c r="C619" t="s">
        <v>153</v>
      </c>
    </row>
    <row r="620" spans="1:3">
      <c r="A620" t="s">
        <v>50</v>
      </c>
      <c r="B620" s="1">
        <v>0.5</v>
      </c>
      <c r="C620" t="s">
        <v>51</v>
      </c>
    </row>
    <row r="621" spans="1:3">
      <c r="A621" t="s">
        <v>470</v>
      </c>
      <c r="B621" s="1">
        <v>100</v>
      </c>
      <c r="C621" t="s">
        <v>51</v>
      </c>
    </row>
    <row r="622" spans="1:3">
      <c r="A622" t="s">
        <v>471</v>
      </c>
      <c r="B622" s="1">
        <v>0</v>
      </c>
      <c r="C622" t="s">
        <v>472</v>
      </c>
    </row>
    <row r="623" spans="1:3">
      <c r="A623" t="s">
        <v>473</v>
      </c>
      <c r="B623" s="2">
        <v>845</v>
      </c>
      <c r="C623" t="s">
        <v>31</v>
      </c>
    </row>
    <row r="624" spans="1:3">
      <c r="A624" s="16" t="s">
        <v>33</v>
      </c>
      <c r="B624" s="16" t="s">
        <v>33</v>
      </c>
      <c r="C624" s="16" t="s">
        <v>33</v>
      </c>
    </row>
    <row r="625" spans="1:4">
      <c r="A625" s="13" t="s">
        <v>35</v>
      </c>
      <c r="B625">
        <f>0.001293*(273.15/B616)*(B617/101.3)</f>
        <v>1.2047857752004094E-3</v>
      </c>
      <c r="C625" t="s">
        <v>36</v>
      </c>
    </row>
    <row r="626" spans="1:4">
      <c r="A626" s="13" t="s">
        <v>38</v>
      </c>
      <c r="B626">
        <f>0.0001708*((B616/273.15)^1.5)*((393.396)/(B616+120.246))</f>
        <v>1.8071099473721675E-4</v>
      </c>
      <c r="C626" t="s">
        <v>39</v>
      </c>
    </row>
    <row r="627" spans="1:4">
      <c r="A627" s="13" t="s">
        <v>433</v>
      </c>
      <c r="B627">
        <f>B625*B623*B620/B626</f>
        <v>2816.7737705299778</v>
      </c>
      <c r="D627" t="str">
        <f>IF(B627&lt;2000,"-laminar-",IF(B627&gt;4000," -turbulent-","-may be laminar or turbulent-"))</f>
        <v>-may be laminar or turbulent-</v>
      </c>
    </row>
    <row r="628" spans="1:4">
      <c r="A628" s="13" t="s">
        <v>181</v>
      </c>
      <c r="B628">
        <f>1+(2/(B617*B618*0.752))*(6.32+2.01*EXP(-0.1095*B617*0.752*B618))</f>
        <v>1.0165928041839072</v>
      </c>
    </row>
    <row r="629" spans="1:4">
      <c r="A629" s="13" t="s">
        <v>296</v>
      </c>
      <c r="B629">
        <f>B619*B618*B618*0.00000981*B628/(18*B626)</f>
        <v>0.30659068591033894</v>
      </c>
      <c r="C629" t="s">
        <v>31</v>
      </c>
    </row>
    <row r="630" spans="1:4">
      <c r="A630" s="13" t="s">
        <v>474</v>
      </c>
      <c r="B630">
        <f>B629*SIN(PI()*B622/180)/B623</f>
        <v>0</v>
      </c>
    </row>
    <row r="631" spans="1:4">
      <c r="A631" t="s">
        <v>475</v>
      </c>
      <c r="B631">
        <f>COS(PI()*B622/180)*3*B629*B621/(4*B620*B623)</f>
        <v>5.4424382114261351E-2</v>
      </c>
    </row>
    <row r="632" spans="1:4">
      <c r="A632" t="s">
        <v>476</v>
      </c>
      <c r="B632">
        <f>IF(B631^(2/3)&gt;1,0,ASIN(B631^(1/3)))</f>
        <v>0.3886764242364939</v>
      </c>
    </row>
    <row r="633" spans="1:4">
      <c r="A633" t="s">
        <v>476</v>
      </c>
      <c r="B633">
        <f>(1-(2/PI())*(2*B631*SQRT(1-B631^(2/3))+B632-(B631^(1/3)*SQRT(1-B631^(2/3)))))</f>
        <v>0.91169524354097731</v>
      </c>
    </row>
    <row r="634" spans="1:4">
      <c r="A634" s="13" t="s">
        <v>453</v>
      </c>
      <c r="B634">
        <f>IF((B631^(2/3))&gt;1,0,(IF(B633&lt;0,0,B633)))</f>
        <v>0.91169524354097731</v>
      </c>
      <c r="D634" t="s">
        <v>477</v>
      </c>
    </row>
    <row r="635" spans="1:4">
      <c r="A635" s="13" t="s">
        <v>453</v>
      </c>
      <c r="B635">
        <f>EXP(-B621*B629*4*COS(B622*PI()/180)/(PI()*B623*B620))</f>
        <v>0.91174612381174158</v>
      </c>
      <c r="D635" t="s">
        <v>478</v>
      </c>
    </row>
    <row r="637" spans="1:4">
      <c r="A637" s="16" t="s">
        <v>17</v>
      </c>
      <c r="B637" s="16" t="s">
        <v>17</v>
      </c>
      <c r="C637" s="16" t="s">
        <v>17</v>
      </c>
    </row>
    <row r="639" spans="1:4">
      <c r="A639" t="s">
        <v>80</v>
      </c>
    </row>
    <row r="640" spans="1:4">
      <c r="A640" t="s">
        <v>21</v>
      </c>
      <c r="B640" s="1">
        <v>293.14999999999998</v>
      </c>
      <c r="C640" t="s">
        <v>22</v>
      </c>
    </row>
    <row r="641" spans="1:3">
      <c r="A641" t="s">
        <v>24</v>
      </c>
      <c r="B641" s="1">
        <v>101.3</v>
      </c>
      <c r="C641" t="s">
        <v>25</v>
      </c>
    </row>
    <row r="642" spans="1:3">
      <c r="A642" t="s">
        <v>27</v>
      </c>
      <c r="B642" s="1">
        <v>5</v>
      </c>
      <c r="C642" t="s">
        <v>28</v>
      </c>
    </row>
    <row r="643" spans="1:3">
      <c r="A643" t="s">
        <v>177</v>
      </c>
      <c r="B643" s="1">
        <v>1</v>
      </c>
      <c r="C643" t="s">
        <v>153</v>
      </c>
    </row>
    <row r="644" spans="1:3">
      <c r="A644" t="s">
        <v>50</v>
      </c>
      <c r="B644" s="1">
        <v>10</v>
      </c>
      <c r="C644" t="s">
        <v>51</v>
      </c>
    </row>
    <row r="645" spans="1:3">
      <c r="A645" t="s">
        <v>470</v>
      </c>
      <c r="B645" s="1">
        <v>100</v>
      </c>
      <c r="C645" t="s">
        <v>51</v>
      </c>
    </row>
    <row r="646" spans="1:3">
      <c r="A646" t="s">
        <v>471</v>
      </c>
      <c r="B646" s="1">
        <v>45</v>
      </c>
      <c r="C646" t="s">
        <v>442</v>
      </c>
    </row>
    <row r="647" spans="1:3">
      <c r="A647" t="s">
        <v>473</v>
      </c>
      <c r="B647" s="1">
        <v>5</v>
      </c>
      <c r="C647" t="s">
        <v>31</v>
      </c>
    </row>
    <row r="648" spans="1:3">
      <c r="A648" t="s">
        <v>479</v>
      </c>
      <c r="B648" s="1">
        <v>100</v>
      </c>
      <c r="C648" t="s">
        <v>480</v>
      </c>
    </row>
    <row r="649" spans="1:3">
      <c r="A649" s="16" t="s">
        <v>33</v>
      </c>
      <c r="B649" s="16" t="s">
        <v>33</v>
      </c>
      <c r="C649" s="16" t="s">
        <v>33</v>
      </c>
    </row>
    <row r="650" spans="1:3">
      <c r="A650" s="13" t="s">
        <v>38</v>
      </c>
      <c r="B650">
        <f>0.0001708*((B640/273.15)^1.5)*((393.396)/(B640+120.246))</f>
        <v>1.8071099473721675E-4</v>
      </c>
      <c r="C650" t="s">
        <v>39</v>
      </c>
    </row>
    <row r="651" spans="1:3">
      <c r="A651" s="13" t="s">
        <v>181</v>
      </c>
      <c r="B651">
        <f>1+(2/(B641*B642*0.752))*(6.32+2.01*EXP(-0.1095*B641*0.752*B642))</f>
        <v>1.0331856083678141</v>
      </c>
    </row>
    <row r="652" spans="1:3">
      <c r="A652" s="13" t="s">
        <v>296</v>
      </c>
      <c r="B652">
        <f>B643*B642*B642*0.00000981*B651/(18*B650)</f>
        <v>7.7898712994646194E-2</v>
      </c>
      <c r="C652" t="s">
        <v>31</v>
      </c>
    </row>
    <row r="653" spans="1:3">
      <c r="A653" s="13" t="s">
        <v>481</v>
      </c>
      <c r="B653">
        <f>B648*EXP(-4*B652*B645*COS(B646*PI()/180)/(PI()*B647*B644))</f>
        <v>86.912617847303963</v>
      </c>
      <c r="C653" t="s">
        <v>480</v>
      </c>
    </row>
    <row r="655" spans="1:3">
      <c r="A655" s="16" t="s">
        <v>17</v>
      </c>
      <c r="B655" s="16" t="s">
        <v>17</v>
      </c>
      <c r="C655" s="16" t="s">
        <v>17</v>
      </c>
    </row>
    <row r="657" spans="1:4">
      <c r="A657" t="s">
        <v>81</v>
      </c>
    </row>
    <row r="658" spans="1:4">
      <c r="A658" t="s">
        <v>21</v>
      </c>
      <c r="B658" s="1">
        <v>293.14999999999998</v>
      </c>
      <c r="C658" t="s">
        <v>22</v>
      </c>
    </row>
    <row r="659" spans="1:4">
      <c r="A659" t="s">
        <v>24</v>
      </c>
      <c r="B659" s="1">
        <v>101.3</v>
      </c>
      <c r="C659" t="s">
        <v>25</v>
      </c>
    </row>
    <row r="660" spans="1:4">
      <c r="A660" t="s">
        <v>27</v>
      </c>
      <c r="B660" s="1">
        <v>5.0000000000000001E-3</v>
      </c>
      <c r="C660" t="s">
        <v>28</v>
      </c>
    </row>
    <row r="661" spans="1:4">
      <c r="A661" t="s">
        <v>50</v>
      </c>
      <c r="B661" s="1">
        <v>0.4</v>
      </c>
      <c r="C661" t="s">
        <v>51</v>
      </c>
    </row>
    <row r="662" spans="1:4">
      <c r="A662" t="s">
        <v>470</v>
      </c>
      <c r="B662" s="1">
        <v>100</v>
      </c>
      <c r="C662" t="s">
        <v>51</v>
      </c>
    </row>
    <row r="663" spans="1:4">
      <c r="A663" t="s">
        <v>482</v>
      </c>
      <c r="B663" s="1">
        <v>16</v>
      </c>
      <c r="C663" t="s">
        <v>483</v>
      </c>
    </row>
    <row r="664" spans="1:4">
      <c r="A664" s="16" t="s">
        <v>33</v>
      </c>
      <c r="B664" s="16" t="s">
        <v>33</v>
      </c>
      <c r="C664" s="16" t="s">
        <v>33</v>
      </c>
    </row>
    <row r="665" spans="1:4">
      <c r="A665" s="13" t="s">
        <v>35</v>
      </c>
      <c r="B665">
        <f>0.001293*(273.15/B658)*(B659/101.3)</f>
        <v>1.2047857752004094E-3</v>
      </c>
      <c r="C665" t="s">
        <v>36</v>
      </c>
    </row>
    <row r="666" spans="1:4">
      <c r="A666" s="13" t="s">
        <v>38</v>
      </c>
      <c r="B666">
        <f>0.0001708*((B658/273.15)^1.5)*((393.396)/(B658+120.246))</f>
        <v>1.8071099473721675E-4</v>
      </c>
      <c r="C666" t="s">
        <v>39</v>
      </c>
    </row>
    <row r="667" spans="1:4">
      <c r="A667" s="13" t="s">
        <v>181</v>
      </c>
      <c r="B667">
        <f>1+(2/(B659*B660*0.752))*(6.32+2.01*EXP(-0.1095*B659*0.752*B660))</f>
        <v>44.308755297544394</v>
      </c>
    </row>
    <row r="668" spans="1:4">
      <c r="A668" s="13" t="s">
        <v>227</v>
      </c>
      <c r="B668" s="6">
        <f>0.000000000000000138*B658*B667/(PI()*B666*B660*0.0003)</f>
        <v>2.1049065853938503E-3</v>
      </c>
      <c r="C668" t="s">
        <v>184</v>
      </c>
    </row>
    <row r="669" spans="1:4">
      <c r="A669" s="13" t="s">
        <v>41</v>
      </c>
      <c r="B669">
        <f>4*B665*B663/(PI()*B661*B666)</f>
        <v>339.54345592535259</v>
      </c>
    </row>
    <row r="670" spans="1:4">
      <c r="A670" s="13" t="s">
        <v>229</v>
      </c>
      <c r="B670">
        <f>B666/(B665*B668)</f>
        <v>71.259360154824861</v>
      </c>
    </row>
    <row r="671" spans="1:4">
      <c r="A671" s="13" t="s">
        <v>484</v>
      </c>
      <c r="B671">
        <f>3.66+(0.0668*B661*B669*B670)/(B662*(1+0.04*(B661*B669*B670/B662)^(2/3)))</f>
        <v>7.1675503081653034</v>
      </c>
      <c r="D671" t="s">
        <v>485</v>
      </c>
    </row>
    <row r="672" spans="1:4">
      <c r="A672" s="13" t="s">
        <v>484</v>
      </c>
      <c r="B672">
        <f>0.01188*B669^(7/8)*B670^(1/3)</f>
        <v>8.0716785406425178</v>
      </c>
      <c r="D672" t="s">
        <v>486</v>
      </c>
    </row>
    <row r="673" spans="1:4">
      <c r="A673" s="13" t="s">
        <v>487</v>
      </c>
      <c r="B673">
        <f>PI()*B668*B662/B663</f>
        <v>4.1329744157288101E-2</v>
      </c>
      <c r="D673" t="s">
        <v>488</v>
      </c>
    </row>
    <row r="674" spans="1:4">
      <c r="A674" s="13" t="s">
        <v>453</v>
      </c>
      <c r="B674">
        <f>IF(B673&gt;0.02,0.81905*EXP(-3.6568*B673)+0.09753*EXP(-22.305*B673)+0.0325*EXP(-56.961*B673)+0.01544*EXP(-107.62*B673),1-2.5638*B673^(2/3)+1.2*B673+0.1767*B673^(4/3))</f>
        <v>0.74622605545679432</v>
      </c>
      <c r="D674" t="s">
        <v>489</v>
      </c>
    </row>
    <row r="675" spans="1:4">
      <c r="A675" s="13" t="s">
        <v>453</v>
      </c>
      <c r="B675">
        <f>EXP(-B673*B671)</f>
        <v>0.74361413051512293</v>
      </c>
      <c r="D675" t="s">
        <v>490</v>
      </c>
    </row>
    <row r="676" spans="1:4">
      <c r="A676" s="13" t="s">
        <v>453</v>
      </c>
      <c r="B676">
        <f>EXP(-B673*B672)</f>
        <v>0.71633996804561861</v>
      </c>
      <c r="D676" t="s">
        <v>491</v>
      </c>
    </row>
    <row r="678" spans="1:4">
      <c r="A678" s="16" t="s">
        <v>17</v>
      </c>
      <c r="B678" s="16" t="s">
        <v>17</v>
      </c>
      <c r="C678" s="16" t="s">
        <v>17</v>
      </c>
    </row>
    <row r="680" spans="1:4">
      <c r="A680" t="s">
        <v>82</v>
      </c>
    </row>
    <row r="681" spans="1:4">
      <c r="A681" t="s">
        <v>21</v>
      </c>
      <c r="B681" s="1">
        <v>293.14999999999998</v>
      </c>
      <c r="C681" t="s">
        <v>22</v>
      </c>
    </row>
    <row r="682" spans="1:4">
      <c r="A682" t="s">
        <v>24</v>
      </c>
      <c r="B682" s="1">
        <v>101.3</v>
      </c>
      <c r="C682" t="s">
        <v>25</v>
      </c>
    </row>
    <row r="683" spans="1:4">
      <c r="A683" t="s">
        <v>27</v>
      </c>
      <c r="B683" s="1">
        <v>15</v>
      </c>
      <c r="C683" t="s">
        <v>28</v>
      </c>
    </row>
    <row r="684" spans="1:4">
      <c r="A684" t="s">
        <v>177</v>
      </c>
      <c r="B684" s="1">
        <v>1</v>
      </c>
      <c r="C684" t="s">
        <v>153</v>
      </c>
    </row>
    <row r="685" spans="1:4">
      <c r="A685" t="s">
        <v>50</v>
      </c>
      <c r="B685" s="1">
        <v>1.27</v>
      </c>
      <c r="C685" t="s">
        <v>51</v>
      </c>
    </row>
    <row r="686" spans="1:4">
      <c r="A686" t="s">
        <v>470</v>
      </c>
      <c r="B686" s="1">
        <v>100</v>
      </c>
      <c r="C686" t="s">
        <v>51</v>
      </c>
    </row>
    <row r="687" spans="1:4">
      <c r="A687" t="s">
        <v>473</v>
      </c>
      <c r="B687" s="2">
        <f>50*4*1000/(PI()*B685*B685*60)</f>
        <v>657.84174712999493</v>
      </c>
      <c r="C687" t="s">
        <v>31</v>
      </c>
    </row>
    <row r="688" spans="1:4">
      <c r="A688" s="16" t="s">
        <v>33</v>
      </c>
      <c r="B688" s="16" t="s">
        <v>33</v>
      </c>
      <c r="C688" s="16" t="s">
        <v>33</v>
      </c>
    </row>
    <row r="689" spans="1:3">
      <c r="A689" s="13" t="s">
        <v>35</v>
      </c>
      <c r="B689">
        <f>0.001293*(273.15/B681)*(B682/101.3)</f>
        <v>1.2047857752004094E-3</v>
      </c>
      <c r="C689" t="s">
        <v>36</v>
      </c>
    </row>
    <row r="690" spans="1:3">
      <c r="A690" s="13" t="s">
        <v>38</v>
      </c>
      <c r="B690">
        <f>0.0001708*((B681/273.15)^1.5)*((393.396)/(B681+120.246))</f>
        <v>1.8071099473721675E-4</v>
      </c>
      <c r="C690" t="s">
        <v>39</v>
      </c>
    </row>
    <row r="691" spans="1:3">
      <c r="A691" s="13" t="s">
        <v>433</v>
      </c>
      <c r="B691">
        <f>B689*B687*B685/B690</f>
        <v>5569.9385814526331</v>
      </c>
      <c r="C691" t="str">
        <f>IF(B691&lt;2000,"-laminar-",IF(B691&gt;4000,"-turbulent-","-laminar or turbulent-"))</f>
        <v>-turbulent-</v>
      </c>
    </row>
    <row r="692" spans="1:3">
      <c r="A692" s="13" t="s">
        <v>181</v>
      </c>
      <c r="B692">
        <f>1+(2/(B682*B683*0.752))*(6.32+2.01*EXP(-0.1095*B682*0.752*B683))</f>
        <v>1.0110618694559381</v>
      </c>
    </row>
    <row r="693" spans="1:3">
      <c r="A693" s="13" t="s">
        <v>302</v>
      </c>
      <c r="B693">
        <f>(B684*B683*B683*0.00000001*B692*B687/(18*B690*B685))</f>
        <v>0.36226041324728459</v>
      </c>
    </row>
    <row r="694" spans="1:3">
      <c r="A694" s="13" t="s">
        <v>492</v>
      </c>
      <c r="B694">
        <f>0.0395*B693*B691^(3/4)</f>
        <v>9.2258370265718899</v>
      </c>
    </row>
    <row r="695" spans="1:3">
      <c r="A695" s="13" t="s">
        <v>493</v>
      </c>
      <c r="B695">
        <f>IF(B694&gt;12.9,0.1,0.0006*B694*B694)</f>
        <v>5.1069641304518909E-2</v>
      </c>
    </row>
    <row r="696" spans="1:3">
      <c r="A696" s="13" t="s">
        <v>494</v>
      </c>
      <c r="B696">
        <f>B695*B687/(5.03*B691^(1/8))</f>
        <v>2.2724008986878745</v>
      </c>
    </row>
    <row r="697" spans="1:3">
      <c r="A697" s="13" t="s">
        <v>495</v>
      </c>
      <c r="B697">
        <f>EXP(-4*B686*B696/(B685*B687))</f>
        <v>0.33689728259036278</v>
      </c>
    </row>
    <row r="698" spans="1:3">
      <c r="A698" s="13"/>
    </row>
    <row r="699" spans="1:3">
      <c r="A699" s="16" t="s">
        <v>17</v>
      </c>
      <c r="B699" s="16" t="s">
        <v>17</v>
      </c>
      <c r="C699" s="16" t="s">
        <v>17</v>
      </c>
    </row>
    <row r="701" spans="1:3">
      <c r="A701" t="s">
        <v>84</v>
      </c>
    </row>
    <row r="702" spans="1:3">
      <c r="A702" t="s">
        <v>21</v>
      </c>
      <c r="B702" s="1">
        <v>293.14999999999998</v>
      </c>
      <c r="C702" t="s">
        <v>22</v>
      </c>
    </row>
    <row r="703" spans="1:3">
      <c r="A703" t="s">
        <v>24</v>
      </c>
      <c r="B703" s="1">
        <v>101.3</v>
      </c>
      <c r="C703" t="s">
        <v>25</v>
      </c>
    </row>
    <row r="704" spans="1:3">
      <c r="A704" t="s">
        <v>27</v>
      </c>
      <c r="B704" s="1">
        <v>0.01</v>
      </c>
      <c r="C704" t="s">
        <v>28</v>
      </c>
    </row>
    <row r="705" spans="1:3">
      <c r="A705" t="s">
        <v>496</v>
      </c>
      <c r="B705" s="1">
        <v>0.4</v>
      </c>
      <c r="C705" t="s">
        <v>51</v>
      </c>
    </row>
    <row r="706" spans="1:3">
      <c r="A706" t="s">
        <v>470</v>
      </c>
      <c r="B706" s="1">
        <v>100</v>
      </c>
      <c r="C706" t="s">
        <v>51</v>
      </c>
    </row>
    <row r="707" spans="1:3">
      <c r="A707" t="s">
        <v>53</v>
      </c>
      <c r="B707" s="1">
        <v>663</v>
      </c>
      <c r="C707" t="s">
        <v>31</v>
      </c>
    </row>
    <row r="708" spans="1:3">
      <c r="A708" s="16" t="s">
        <v>33</v>
      </c>
      <c r="B708" s="16" t="s">
        <v>33</v>
      </c>
      <c r="C708" s="16" t="s">
        <v>33</v>
      </c>
    </row>
    <row r="709" spans="1:3">
      <c r="A709" s="13" t="s">
        <v>35</v>
      </c>
      <c r="B709">
        <f>0.001293*(273.15/B702)/(101/B703)</f>
        <v>1.2083643468099154E-3</v>
      </c>
      <c r="C709" t="s">
        <v>153</v>
      </c>
    </row>
    <row r="710" spans="1:3">
      <c r="A710" s="13" t="s">
        <v>38</v>
      </c>
      <c r="B710">
        <f>0.0001708*((B702/273.15)^1.5)*((393.396)/(B702+120.246))</f>
        <v>1.8071099473721675E-4</v>
      </c>
      <c r="C710" t="s">
        <v>39</v>
      </c>
    </row>
    <row r="711" spans="1:3">
      <c r="A711" s="13" t="s">
        <v>181</v>
      </c>
      <c r="B711">
        <f>1+(2/(B703*B704*0.752))*(6.32+2.01*EXP(-0.1095*B703*0.752*B704))</f>
        <v>22.447615127350385</v>
      </c>
    </row>
    <row r="712" spans="1:3">
      <c r="A712" s="13" t="s">
        <v>183</v>
      </c>
      <c r="B712" s="6">
        <f>0.000000000000000138*B702*B711/(PI()*B710*B704*0.0003)</f>
        <v>5.3319183297578494E-4</v>
      </c>
      <c r="C712" t="s">
        <v>184</v>
      </c>
    </row>
    <row r="713" spans="1:3">
      <c r="A713" s="13" t="s">
        <v>41</v>
      </c>
      <c r="B713">
        <f>B709*B707*4/(PI()*B705*B710)</f>
        <v>14111.623534970875</v>
      </c>
    </row>
    <row r="714" spans="1:3">
      <c r="A714" s="13" t="s">
        <v>497</v>
      </c>
      <c r="B714">
        <f>B712/((28.5*B705*B712^(1/4))/((B713^(7/8))*((B710/B709)^(1/4))))</f>
        <v>0.81815255839898726</v>
      </c>
      <c r="C714" t="s">
        <v>31</v>
      </c>
    </row>
    <row r="715" spans="1:3">
      <c r="A715" s="13" t="s">
        <v>453</v>
      </c>
      <c r="B715">
        <f>EXP(-4*B714*B706/(B705*B707))</f>
        <v>0.29112110640110733</v>
      </c>
    </row>
    <row r="717" spans="1:3">
      <c r="A717" s="16" t="s">
        <v>17</v>
      </c>
      <c r="B717" s="16" t="s">
        <v>17</v>
      </c>
      <c r="C717" s="16" t="s">
        <v>17</v>
      </c>
    </row>
    <row r="719" spans="1:3">
      <c r="A719" t="s">
        <v>85</v>
      </c>
    </row>
    <row r="720" spans="1:3">
      <c r="A720" t="s">
        <v>21</v>
      </c>
      <c r="B720" s="1">
        <v>293.14999999999998</v>
      </c>
      <c r="C720" t="s">
        <v>22</v>
      </c>
    </row>
    <row r="721" spans="1:4">
      <c r="A721" t="s">
        <v>24</v>
      </c>
      <c r="B721" s="1">
        <v>101.3</v>
      </c>
      <c r="C721" t="s">
        <v>25</v>
      </c>
    </row>
    <row r="722" spans="1:4">
      <c r="A722" t="s">
        <v>498</v>
      </c>
      <c r="B722" s="1">
        <v>3</v>
      </c>
      <c r="C722" t="s">
        <v>28</v>
      </c>
    </row>
    <row r="723" spans="1:4">
      <c r="A723" t="s">
        <v>499</v>
      </c>
      <c r="B723" s="1">
        <v>2.6</v>
      </c>
      <c r="C723" t="s">
        <v>153</v>
      </c>
    </row>
    <row r="724" spans="1:4">
      <c r="A724" t="s">
        <v>810</v>
      </c>
      <c r="B724" s="1">
        <v>5</v>
      </c>
      <c r="C724" t="s">
        <v>801</v>
      </c>
    </row>
    <row r="725" spans="1:4">
      <c r="A725" t="s">
        <v>50</v>
      </c>
      <c r="B725" s="1">
        <v>0.4</v>
      </c>
      <c r="C725" t="s">
        <v>51</v>
      </c>
    </row>
    <row r="726" spans="1:4">
      <c r="A726" t="s">
        <v>501</v>
      </c>
      <c r="B726" s="1">
        <v>90</v>
      </c>
      <c r="C726" t="s">
        <v>442</v>
      </c>
    </row>
    <row r="727" spans="1:4">
      <c r="A727" s="16" t="s">
        <v>33</v>
      </c>
      <c r="B727" s="16" t="s">
        <v>33</v>
      </c>
      <c r="C727" s="16" t="s">
        <v>33</v>
      </c>
    </row>
    <row r="728" spans="1:4">
      <c r="A728" s="13" t="s">
        <v>35</v>
      </c>
      <c r="B728">
        <f>0.001293*(273.15/B720)/(101.3/B721)</f>
        <v>1.2047857752004094E-3</v>
      </c>
      <c r="C728" t="s">
        <v>36</v>
      </c>
    </row>
    <row r="729" spans="1:4">
      <c r="A729" s="13" t="s">
        <v>502</v>
      </c>
      <c r="B729">
        <f>0.0001708*((B720/273.15)^1.5)*((393.396)/(B720+120.246))</f>
        <v>1.8071099473721675E-4</v>
      </c>
      <c r="C729" t="s">
        <v>39</v>
      </c>
    </row>
    <row r="730" spans="1:4">
      <c r="A730" s="13" t="s">
        <v>808</v>
      </c>
      <c r="B730">
        <f>B724*1000/60</f>
        <v>83.333333333333329</v>
      </c>
      <c r="C730" t="s">
        <v>809</v>
      </c>
    </row>
    <row r="731" spans="1:4">
      <c r="A731" s="13" t="s">
        <v>507</v>
      </c>
      <c r="B731">
        <f>B730/(PI()*(B725/2)^2)</f>
        <v>663.1455962162305</v>
      </c>
      <c r="C731" t="s">
        <v>214</v>
      </c>
    </row>
    <row r="732" spans="1:4">
      <c r="A732" s="13" t="s">
        <v>181</v>
      </c>
      <c r="B732">
        <f>1+(2/(B721*B722*0.752))*(6.32+2.01*EXP(-0.1095*B721*0.752*B722))</f>
        <v>1.0553093472799286</v>
      </c>
    </row>
    <row r="733" spans="1:4">
      <c r="A733" s="13" t="s">
        <v>302</v>
      </c>
      <c r="B733">
        <f>(B722*B722*0.00000001*B732*B723*B731/(9*B729*B725))</f>
        <v>0.25171984457996521</v>
      </c>
      <c r="D733" t="s">
        <v>57</v>
      </c>
    </row>
    <row r="734" spans="1:4">
      <c r="A734" s="13" t="s">
        <v>503</v>
      </c>
      <c r="B734">
        <f>B728*B731*B725/B729</f>
        <v>1768.4554996112113</v>
      </c>
      <c r="D734" t="s">
        <v>59</v>
      </c>
    </row>
    <row r="735" spans="1:4">
      <c r="A735" s="13" t="s">
        <v>453</v>
      </c>
      <c r="B735">
        <f>1-B733*B726*PI()/180</f>
        <v>0.60459939275240837</v>
      </c>
      <c r="D735" t="s">
        <v>504</v>
      </c>
    </row>
    <row r="736" spans="1:4">
      <c r="A736" s="13" t="s">
        <v>453</v>
      </c>
      <c r="B736">
        <f>EXP(-2.823*B733*B726*PI()/180)</f>
        <v>0.32751680434046171</v>
      </c>
      <c r="D736" t="s">
        <v>505</v>
      </c>
    </row>
    <row r="738" spans="1:3">
      <c r="A738" s="16" t="s">
        <v>17</v>
      </c>
      <c r="B738" s="16" t="s">
        <v>17</v>
      </c>
      <c r="C738" s="16" t="s">
        <v>17</v>
      </c>
    </row>
    <row r="740" spans="1:3">
      <c r="A740" t="s">
        <v>87</v>
      </c>
    </row>
    <row r="741" spans="1:3">
      <c r="A741" t="s">
        <v>21</v>
      </c>
      <c r="B741" s="1">
        <v>293.14999999999998</v>
      </c>
      <c r="C741" t="s">
        <v>22</v>
      </c>
    </row>
    <row r="742" spans="1:3">
      <c r="A742" t="s">
        <v>24</v>
      </c>
      <c r="B742" s="1">
        <v>101.3</v>
      </c>
      <c r="C742" t="s">
        <v>25</v>
      </c>
    </row>
    <row r="743" spans="1:3">
      <c r="A743" t="s">
        <v>27</v>
      </c>
      <c r="B743" s="1">
        <v>1</v>
      </c>
      <c r="C743" t="s">
        <v>28</v>
      </c>
    </row>
    <row r="744" spans="1:3">
      <c r="A744" t="s">
        <v>177</v>
      </c>
      <c r="B744" s="1">
        <v>2.6</v>
      </c>
      <c r="C744" t="s">
        <v>153</v>
      </c>
    </row>
    <row r="745" spans="1:3">
      <c r="A745" t="s">
        <v>810</v>
      </c>
      <c r="B745" s="1">
        <v>2</v>
      </c>
      <c r="C745" t="s">
        <v>801</v>
      </c>
    </row>
    <row r="746" spans="1:3">
      <c r="A746" t="s">
        <v>50</v>
      </c>
      <c r="B746" s="1">
        <v>0.6</v>
      </c>
      <c r="C746" t="s">
        <v>51</v>
      </c>
    </row>
    <row r="747" spans="1:3">
      <c r="A747" s="16" t="s">
        <v>33</v>
      </c>
      <c r="B747" s="16" t="s">
        <v>33</v>
      </c>
      <c r="C747" s="16" t="s">
        <v>33</v>
      </c>
    </row>
    <row r="748" spans="1:3">
      <c r="A748" s="13" t="s">
        <v>38</v>
      </c>
      <c r="B748">
        <f>0.0001708*((B741/273.15)^1.5)*((393.396)/(B741+120.246))</f>
        <v>1.8071099473721675E-4</v>
      </c>
      <c r="C748" t="s">
        <v>39</v>
      </c>
    </row>
    <row r="749" spans="1:3">
      <c r="A749" s="13" t="s">
        <v>35</v>
      </c>
      <c r="B749">
        <f>0.001293*(273.15/B741)/(101.3/B742)</f>
        <v>1.2047857752004094E-3</v>
      </c>
      <c r="C749" t="s">
        <v>153</v>
      </c>
    </row>
    <row r="750" spans="1:3">
      <c r="A750" s="13" t="s">
        <v>181</v>
      </c>
      <c r="B750">
        <f>1+(2/(B742*B743*0.752))*(6.32+2.01*EXP(-0.1095*B742*0.752*B743))</f>
        <v>1.1659406239722296</v>
      </c>
    </row>
    <row r="751" spans="1:3">
      <c r="A751" s="13" t="s">
        <v>506</v>
      </c>
      <c r="B751">
        <f>B748/B749</f>
        <v>0.149994296460843</v>
      </c>
    </row>
    <row r="752" spans="1:3">
      <c r="A752" s="13" t="s">
        <v>808</v>
      </c>
      <c r="B752">
        <f>B745*1000/60</f>
        <v>33.333333333333336</v>
      </c>
      <c r="C752" t="s">
        <v>809</v>
      </c>
    </row>
    <row r="753" spans="1:3">
      <c r="A753" s="13" t="s">
        <v>507</v>
      </c>
      <c r="B753">
        <f>B752/(PI()*(B746/2)^2)</f>
        <v>117.89255043844099</v>
      </c>
      <c r="C753" t="s">
        <v>214</v>
      </c>
    </row>
    <row r="754" spans="1:3">
      <c r="A754" s="13" t="s">
        <v>41</v>
      </c>
      <c r="B754">
        <f>B746*B753/B751</f>
        <v>471.58813322965625</v>
      </c>
      <c r="C754" s="13" t="str">
        <f>IF(B754&gt;2000,"--turbulent flow","--laminar flow")</f>
        <v>--laminar flow</v>
      </c>
    </row>
    <row r="755" spans="1:3">
      <c r="A755" s="13" t="s">
        <v>302</v>
      </c>
      <c r="B755">
        <f>B743*B743*0.00000001*B750*B744*B753/(9*B748*B746)</f>
        <v>3.6623328217703184E-3</v>
      </c>
    </row>
    <row r="756" spans="1:3">
      <c r="A756" s="13" t="s">
        <v>508</v>
      </c>
      <c r="B756">
        <f>10^(-0.963*B755)</f>
        <v>0.99191206662493125</v>
      </c>
      <c r="C756" t="str">
        <f>IF(B754&lt;5000,"penetration underestimated-not turbulent flow","")</f>
        <v>penetration underestimated-not turbulent flow</v>
      </c>
    </row>
    <row r="758" spans="1:3">
      <c r="A758" s="16" t="s">
        <v>17</v>
      </c>
      <c r="B758" s="16" t="s">
        <v>17</v>
      </c>
      <c r="C758" s="16" t="s">
        <v>17</v>
      </c>
    </row>
    <row r="760" spans="1:3">
      <c r="A760" t="s">
        <v>88</v>
      </c>
    </row>
    <row r="761" spans="1:3">
      <c r="A761" t="s">
        <v>21</v>
      </c>
      <c r="B761" s="1">
        <v>293.14999999999998</v>
      </c>
      <c r="C761" t="s">
        <v>22</v>
      </c>
    </row>
    <row r="762" spans="1:3">
      <c r="A762" t="s">
        <v>24</v>
      </c>
      <c r="B762" s="1">
        <v>101.3</v>
      </c>
      <c r="C762" t="s">
        <v>25</v>
      </c>
    </row>
    <row r="763" spans="1:3">
      <c r="A763" t="s">
        <v>27</v>
      </c>
      <c r="B763" s="1">
        <v>3</v>
      </c>
      <c r="C763" t="s">
        <v>28</v>
      </c>
    </row>
    <row r="764" spans="1:3">
      <c r="A764" t="s">
        <v>177</v>
      </c>
      <c r="B764" s="1">
        <v>1</v>
      </c>
      <c r="C764" t="s">
        <v>153</v>
      </c>
    </row>
    <row r="765" spans="1:3">
      <c r="A765" t="s">
        <v>500</v>
      </c>
      <c r="B765" s="1">
        <v>1000</v>
      </c>
      <c r="C765" t="s">
        <v>31</v>
      </c>
    </row>
    <row r="766" spans="1:3">
      <c r="A766" t="s">
        <v>50</v>
      </c>
      <c r="B766" s="1">
        <v>0.25</v>
      </c>
      <c r="C766" t="s">
        <v>51</v>
      </c>
    </row>
    <row r="767" spans="1:3">
      <c r="A767" t="s">
        <v>509</v>
      </c>
      <c r="B767" s="1">
        <v>0.125</v>
      </c>
      <c r="C767" t="s">
        <v>51</v>
      </c>
    </row>
    <row r="768" spans="1:3">
      <c r="A768" s="16" t="s">
        <v>33</v>
      </c>
      <c r="B768" s="16" t="s">
        <v>33</v>
      </c>
      <c r="C768" s="16" t="s">
        <v>33</v>
      </c>
    </row>
    <row r="769" spans="1:3">
      <c r="A769" s="13" t="s">
        <v>35</v>
      </c>
      <c r="B769">
        <f>0.001293*(273.15/B761)/(101.3/B762)</f>
        <v>1.2047857752004094E-3</v>
      </c>
      <c r="C769" t="s">
        <v>36</v>
      </c>
    </row>
    <row r="770" spans="1:3">
      <c r="A770" s="13" t="s">
        <v>38</v>
      </c>
      <c r="B770">
        <f>0.0001708*((B761/273.15)^1.5)*((393.396)/(B761+120.246))</f>
        <v>1.8071099473721675E-4</v>
      </c>
      <c r="C770" t="s">
        <v>39</v>
      </c>
    </row>
    <row r="771" spans="1:3">
      <c r="A771" s="13" t="s">
        <v>301</v>
      </c>
      <c r="B771">
        <f>0.001293*(273.15/B761)*(101/B762)*B765*B766/B770</f>
        <v>1661.79401989245</v>
      </c>
    </row>
    <row r="772" spans="1:3">
      <c r="A772" s="13" t="s">
        <v>181</v>
      </c>
      <c r="B772">
        <f>1+(2/(B762*B763*0.752))*(6.32+2.01*EXP(-0.1095*B762*0.752*B763))</f>
        <v>1.0553093472799286</v>
      </c>
    </row>
    <row r="773" spans="1:3">
      <c r="A773" s="13" t="s">
        <v>302</v>
      </c>
      <c r="B773">
        <f>(B763*B763*0.00000001*B772*B765/(18*B770*B767))</f>
        <v>0.23359051258934643</v>
      </c>
    </row>
    <row r="774" spans="1:3">
      <c r="A774" s="13" t="s">
        <v>510</v>
      </c>
      <c r="B774">
        <f>SQRT(B773)*(B767/B766)^0.31</f>
        <v>0.38985966133126188</v>
      </c>
    </row>
    <row r="775" spans="1:3">
      <c r="A775" s="13" t="s">
        <v>453</v>
      </c>
      <c r="B775">
        <f>IF(B774&gt;0.213,IF(B774&lt;1.95,(1-(1-(B767/B766)^2)*(1-EXP(1.721-8.557*B774+2.227*B774*B774))),(B767/B766)^2),1)</f>
        <v>0.45924944388159261</v>
      </c>
    </row>
    <row r="777" spans="1:3">
      <c r="A777" s="16" t="s">
        <v>17</v>
      </c>
      <c r="B777" s="16" t="s">
        <v>17</v>
      </c>
      <c r="C777" s="16" t="s">
        <v>17</v>
      </c>
    </row>
    <row r="779" spans="1:3">
      <c r="A779" t="s">
        <v>89</v>
      </c>
    </row>
    <row r="780" spans="1:3">
      <c r="A780" t="s">
        <v>21</v>
      </c>
      <c r="B780" s="1">
        <v>293.14999999999998</v>
      </c>
      <c r="C780" t="s">
        <v>22</v>
      </c>
    </row>
    <row r="781" spans="1:3">
      <c r="A781" t="s">
        <v>24</v>
      </c>
      <c r="B781" s="1">
        <v>101.3</v>
      </c>
      <c r="C781" t="s">
        <v>25</v>
      </c>
    </row>
    <row r="782" spans="1:3">
      <c r="A782" t="s">
        <v>27</v>
      </c>
      <c r="B782" s="1">
        <v>5</v>
      </c>
      <c r="C782" t="s">
        <v>28</v>
      </c>
    </row>
    <row r="783" spans="1:3">
      <c r="A783" t="s">
        <v>177</v>
      </c>
      <c r="B783" s="1">
        <v>1</v>
      </c>
      <c r="C783" t="s">
        <v>153</v>
      </c>
    </row>
    <row r="784" spans="1:3">
      <c r="A784" t="s">
        <v>511</v>
      </c>
      <c r="B784" s="1">
        <v>10</v>
      </c>
      <c r="C784" t="s">
        <v>385</v>
      </c>
    </row>
    <row r="785" spans="1:3">
      <c r="A785" t="s">
        <v>512</v>
      </c>
      <c r="B785" s="1">
        <v>100</v>
      </c>
      <c r="C785" t="s">
        <v>480</v>
      </c>
    </row>
    <row r="786" spans="1:3">
      <c r="A786" t="s">
        <v>513</v>
      </c>
      <c r="B786" s="1">
        <v>10</v>
      </c>
      <c r="C786" t="s">
        <v>51</v>
      </c>
    </row>
    <row r="787" spans="1:3">
      <c r="A787" s="16" t="s">
        <v>33</v>
      </c>
      <c r="B787" s="16" t="s">
        <v>33</v>
      </c>
      <c r="C787" s="16" t="s">
        <v>33</v>
      </c>
    </row>
    <row r="788" spans="1:3">
      <c r="A788" s="13" t="s">
        <v>502</v>
      </c>
      <c r="B788">
        <f>0.0001708*((B780/273.15)^1.5)*((393.396)/(B780+120.246))</f>
        <v>1.8071099473721675E-4</v>
      </c>
      <c r="C788" t="s">
        <v>39</v>
      </c>
    </row>
    <row r="789" spans="1:3">
      <c r="A789" s="13" t="s">
        <v>181</v>
      </c>
      <c r="B789">
        <f>1+(2/(B781*B782*0.752))*(6.32+2.01*EXP(-0.1095*B781*0.752*B782))</f>
        <v>1.0331856083678141</v>
      </c>
    </row>
    <row r="790" spans="1:3">
      <c r="A790" s="13" t="s">
        <v>296</v>
      </c>
      <c r="B790">
        <f>B783*B782*B782*0.00000981*B789/(18*B788)</f>
        <v>7.7898712994646194E-2</v>
      </c>
      <c r="C790" t="s">
        <v>31</v>
      </c>
    </row>
    <row r="791" spans="1:3">
      <c r="A791" s="13" t="s">
        <v>514</v>
      </c>
      <c r="B791">
        <f>B785*EXP(-B790*B784/B786)</f>
        <v>92.505811816515447</v>
      </c>
      <c r="C791" t="s">
        <v>480</v>
      </c>
    </row>
    <row r="793" spans="1:3">
      <c r="A793" s="16" t="s">
        <v>17</v>
      </c>
      <c r="B793" s="16" t="s">
        <v>17</v>
      </c>
      <c r="C793" s="16" t="s">
        <v>17</v>
      </c>
    </row>
    <row r="795" spans="1:3">
      <c r="A795" t="s">
        <v>90</v>
      </c>
    </row>
    <row r="796" spans="1:3">
      <c r="A796" t="s">
        <v>515</v>
      </c>
      <c r="B796" s="1"/>
    </row>
    <row r="797" spans="1:3">
      <c r="A797" t="s">
        <v>21</v>
      </c>
      <c r="B797" s="1">
        <v>293.14999999999998</v>
      </c>
      <c r="C797" t="s">
        <v>22</v>
      </c>
    </row>
    <row r="798" spans="1:3">
      <c r="A798" t="s">
        <v>24</v>
      </c>
      <c r="B798" s="1">
        <v>101.3</v>
      </c>
      <c r="C798" t="s">
        <v>25</v>
      </c>
    </row>
    <row r="799" spans="1:3">
      <c r="A799" t="s">
        <v>27</v>
      </c>
      <c r="B799" s="1">
        <v>1</v>
      </c>
      <c r="C799" t="s">
        <v>28</v>
      </c>
    </row>
    <row r="800" spans="1:3">
      <c r="A800" t="s">
        <v>177</v>
      </c>
      <c r="B800" s="1">
        <v>1</v>
      </c>
      <c r="C800" t="s">
        <v>153</v>
      </c>
    </row>
    <row r="801" spans="1:3">
      <c r="A801" t="s">
        <v>511</v>
      </c>
      <c r="B801" s="1">
        <v>10</v>
      </c>
      <c r="C801" t="s">
        <v>385</v>
      </c>
    </row>
    <row r="802" spans="1:3">
      <c r="A802" t="s">
        <v>479</v>
      </c>
      <c r="B802" s="1">
        <v>100</v>
      </c>
      <c r="C802" t="s">
        <v>480</v>
      </c>
    </row>
    <row r="803" spans="1:3">
      <c r="A803" t="s">
        <v>516</v>
      </c>
      <c r="B803" s="1">
        <v>0.1</v>
      </c>
      <c r="C803" t="s">
        <v>51</v>
      </c>
    </row>
    <row r="804" spans="1:3">
      <c r="A804" s="16" t="s">
        <v>33</v>
      </c>
      <c r="B804" s="16" t="s">
        <v>33</v>
      </c>
      <c r="C804" s="16" t="s">
        <v>33</v>
      </c>
    </row>
    <row r="805" spans="1:3">
      <c r="A805" s="13" t="s">
        <v>38</v>
      </c>
      <c r="B805">
        <f>0.0001708*((B797/273.15)^1.5)*((393.396)/(B797+120.246))</f>
        <v>1.8071099473721675E-4</v>
      </c>
      <c r="C805" t="s">
        <v>39</v>
      </c>
    </row>
    <row r="806" spans="1:3">
      <c r="A806" s="13" t="s">
        <v>181</v>
      </c>
      <c r="B806">
        <f>1+(2/(B798*B799*0.752))*(6.32+2.01*EXP(-0.1095*B798*0.752*B799))</f>
        <v>1.1659406239722296</v>
      </c>
    </row>
    <row r="807" spans="1:3">
      <c r="A807" s="13" t="s">
        <v>296</v>
      </c>
      <c r="B807">
        <f>B800*B799*B799*0.00000981*B806/(18*B805)</f>
        <v>3.5163197512630318E-3</v>
      </c>
      <c r="C807" t="s">
        <v>31</v>
      </c>
    </row>
    <row r="808" spans="1:3">
      <c r="A808" s="13" t="s">
        <v>514</v>
      </c>
      <c r="B808">
        <f>B802*EXP(-0.75*B807*B801/B803)</f>
        <v>76.818554393762938</v>
      </c>
      <c r="C808" t="s">
        <v>480</v>
      </c>
    </row>
    <row r="810" spans="1:3">
      <c r="A810" s="16" t="s">
        <v>17</v>
      </c>
      <c r="B810" s="16" t="s">
        <v>17</v>
      </c>
      <c r="C810" s="16" t="s">
        <v>17</v>
      </c>
    </row>
    <row r="812" spans="1:3">
      <c r="A812" t="s">
        <v>91</v>
      </c>
    </row>
    <row r="813" spans="1:3">
      <c r="A813" t="s">
        <v>517</v>
      </c>
      <c r="B813">
        <v>0.3</v>
      </c>
      <c r="C813" t="s">
        <v>28</v>
      </c>
    </row>
    <row r="814" spans="1:3">
      <c r="A814" t="s">
        <v>518</v>
      </c>
      <c r="B814">
        <v>1.7</v>
      </c>
    </row>
    <row r="815" spans="1:3">
      <c r="A815" s="16" t="s">
        <v>33</v>
      </c>
      <c r="B815" s="16" t="s">
        <v>33</v>
      </c>
      <c r="C815" s="16" t="s">
        <v>33</v>
      </c>
    </row>
    <row r="816" spans="1:3">
      <c r="A816" s="13" t="s">
        <v>519</v>
      </c>
      <c r="B816">
        <f>B813*EXP(-1*LN(B814)^2)</f>
        <v>0.22638025595140102</v>
      </c>
      <c r="C816" t="s">
        <v>28</v>
      </c>
    </row>
    <row r="817" spans="1:3">
      <c r="A817" s="13" t="s">
        <v>520</v>
      </c>
      <c r="B817">
        <f>B813*EXP(0.5*LN(B814)^2)</f>
        <v>0.34535250363559639</v>
      </c>
      <c r="C817" t="s">
        <v>28</v>
      </c>
    </row>
    <row r="818" spans="1:3">
      <c r="A818" s="13" t="s">
        <v>521</v>
      </c>
      <c r="B818">
        <f>B813*EXP(2*LN(B814)^2)</f>
        <v>0.526849619752082</v>
      </c>
      <c r="C818" t="s">
        <v>28</v>
      </c>
    </row>
    <row r="819" spans="1:3">
      <c r="A819" s="13" t="s">
        <v>522</v>
      </c>
      <c r="B819">
        <f>B813*EXP(3*LN(B814)^2)</f>
        <v>0.69818317530109852</v>
      </c>
      <c r="C819" t="s">
        <v>28</v>
      </c>
    </row>
    <row r="820" spans="1:3">
      <c r="A820" s="13" t="s">
        <v>523</v>
      </c>
      <c r="B820">
        <f>B813*EXP(3.5*LN(B814)^2)</f>
        <v>0.80373102528828289</v>
      </c>
      <c r="C820" t="s">
        <v>28</v>
      </c>
    </row>
    <row r="822" spans="1:3">
      <c r="A822" s="16" t="s">
        <v>17</v>
      </c>
      <c r="B822" s="16" t="s">
        <v>17</v>
      </c>
      <c r="C822" s="16" t="s">
        <v>17</v>
      </c>
    </row>
    <row r="824" spans="1:3">
      <c r="A824" t="s">
        <v>92</v>
      </c>
    </row>
    <row r="825" spans="1:3">
      <c r="A825" t="s">
        <v>21</v>
      </c>
      <c r="B825" s="1">
        <v>293.14999999999998</v>
      </c>
      <c r="C825" t="s">
        <v>22</v>
      </c>
    </row>
    <row r="826" spans="1:3">
      <c r="A826" t="s">
        <v>24</v>
      </c>
      <c r="B826" s="1">
        <v>101.3</v>
      </c>
      <c r="C826" t="s">
        <v>25</v>
      </c>
    </row>
    <row r="827" spans="1:3">
      <c r="A827" t="s">
        <v>524</v>
      </c>
      <c r="B827" s="1">
        <v>0.7</v>
      </c>
    </row>
    <row r="828" spans="1:3">
      <c r="A828" t="s">
        <v>525</v>
      </c>
      <c r="B828" s="1">
        <v>0.1</v>
      </c>
      <c r="C828" t="s">
        <v>51</v>
      </c>
    </row>
    <row r="829" spans="1:3">
      <c r="A829" t="s">
        <v>526</v>
      </c>
      <c r="B829" s="1">
        <v>1</v>
      </c>
      <c r="C829" t="s">
        <v>28</v>
      </c>
    </row>
    <row r="830" spans="1:3">
      <c r="A830" s="16" t="s">
        <v>33</v>
      </c>
      <c r="B830" s="16" t="s">
        <v>33</v>
      </c>
      <c r="C830" s="16" t="s">
        <v>33</v>
      </c>
    </row>
    <row r="831" spans="1:3">
      <c r="A831" s="13" t="s">
        <v>35</v>
      </c>
      <c r="B831">
        <f>0.001293*(273.15/B825)/(101.3/B826)</f>
        <v>1.2047857752004094E-3</v>
      </c>
      <c r="C831" t="s">
        <v>36</v>
      </c>
    </row>
    <row r="832" spans="1:3">
      <c r="A832" s="13" t="s">
        <v>38</v>
      </c>
      <c r="B832">
        <f>0.0001708*((B825/273.15)^1.5)*((393.396)/(B825+120.246))</f>
        <v>1.8071099473721675E-4</v>
      </c>
      <c r="C832" t="s">
        <v>39</v>
      </c>
    </row>
    <row r="833" spans="1:3">
      <c r="A833" s="13" t="s">
        <v>527</v>
      </c>
      <c r="B833">
        <f>1-EXP(-4*B832*B827*B828/(PI()*B829*0.0001*(1-B827)))</f>
        <v>0.41542658189033643</v>
      </c>
    </row>
    <row r="835" spans="1:3">
      <c r="A835" s="16" t="s">
        <v>17</v>
      </c>
      <c r="B835" s="16" t="s">
        <v>17</v>
      </c>
      <c r="C835" s="16" t="s">
        <v>17</v>
      </c>
    </row>
    <row r="837" spans="1:3">
      <c r="A837" t="s">
        <v>93</v>
      </c>
    </row>
    <row r="838" spans="1:3">
      <c r="A838" t="s">
        <v>21</v>
      </c>
      <c r="B838" s="1">
        <v>293.14999999999998</v>
      </c>
      <c r="C838" t="s">
        <v>22</v>
      </c>
    </row>
    <row r="839" spans="1:3">
      <c r="A839" t="s">
        <v>24</v>
      </c>
      <c r="B839" s="1">
        <v>101.3</v>
      </c>
      <c r="C839" t="s">
        <v>25</v>
      </c>
    </row>
    <row r="840" spans="1:3">
      <c r="A840" t="s">
        <v>27</v>
      </c>
      <c r="B840" s="1">
        <v>0.5</v>
      </c>
      <c r="C840" t="s">
        <v>28</v>
      </c>
    </row>
    <row r="841" spans="1:3">
      <c r="A841" t="s">
        <v>177</v>
      </c>
      <c r="B841">
        <v>1</v>
      </c>
      <c r="C841" t="s">
        <v>36</v>
      </c>
    </row>
    <row r="842" spans="1:3">
      <c r="A842" t="s">
        <v>526</v>
      </c>
      <c r="B842">
        <v>5</v>
      </c>
      <c r="C842" t="s">
        <v>28</v>
      </c>
    </row>
    <row r="843" spans="1:3">
      <c r="A843" t="s">
        <v>524</v>
      </c>
      <c r="B843" s="1">
        <v>0.2</v>
      </c>
    </row>
    <row r="844" spans="1:3">
      <c r="A844" t="s">
        <v>525</v>
      </c>
      <c r="B844" s="1">
        <v>0.1</v>
      </c>
      <c r="C844" t="s">
        <v>51</v>
      </c>
    </row>
    <row r="845" spans="1:3">
      <c r="A845" t="s">
        <v>528</v>
      </c>
      <c r="B845">
        <v>15</v>
      </c>
      <c r="C845" t="s">
        <v>214</v>
      </c>
    </row>
    <row r="846" spans="1:3">
      <c r="A846" s="16" t="s">
        <v>33</v>
      </c>
      <c r="B846" s="16" t="s">
        <v>33</v>
      </c>
      <c r="C846" s="16" t="s">
        <v>33</v>
      </c>
    </row>
    <row r="847" spans="1:3">
      <c r="A847" s="13" t="s">
        <v>38</v>
      </c>
      <c r="B847">
        <f>0.0001708*((B838/273.15)^1.5)*((393.396)/(B838+120.246))</f>
        <v>1.8071099473721675E-4</v>
      </c>
      <c r="C847" t="s">
        <v>39</v>
      </c>
    </row>
    <row r="848" spans="1:3">
      <c r="A848" s="13" t="s">
        <v>181</v>
      </c>
      <c r="B848">
        <f>1+(2/(B839*B840*0.752))*(6.32+2.01*EXP(-0.1095*B839*0.752*B840))</f>
        <v>1.3334857793710961</v>
      </c>
    </row>
    <row r="849" spans="1:3">
      <c r="A849" s="13" t="s">
        <v>183</v>
      </c>
      <c r="B849" s="6">
        <f>0.000000000000000138*B838*B848/(PI()*B847*B840*0.0003)</f>
        <v>6.3347818725181572E-7</v>
      </c>
      <c r="C849" t="s">
        <v>184</v>
      </c>
    </row>
    <row r="850" spans="1:3">
      <c r="A850" s="13" t="s">
        <v>217</v>
      </c>
      <c r="B850">
        <f>B842*0.0001*B845/B849</f>
        <v>11839.39739509713</v>
      </c>
    </row>
    <row r="851" spans="1:3">
      <c r="A851" s="13" t="s">
        <v>529</v>
      </c>
      <c r="B851">
        <f>-0.5*LN(B843)-0.75+B843-B843*B843/4</f>
        <v>0.24471895621705014</v>
      </c>
    </row>
    <row r="852" spans="1:3">
      <c r="A852" s="13" t="s">
        <v>530</v>
      </c>
      <c r="B852">
        <f>2.58*(1-B843)/(B850^(2/3)*B851)</f>
        <v>1.6236372853428008E-2</v>
      </c>
    </row>
    <row r="853" spans="1:3">
      <c r="A853" s="13" t="s">
        <v>531</v>
      </c>
      <c r="B853">
        <f>B840/B842</f>
        <v>0.1</v>
      </c>
    </row>
    <row r="854" spans="1:3">
      <c r="A854" s="13" t="s">
        <v>532</v>
      </c>
      <c r="B854">
        <f>((1+B853)/(2*B851))*(2*LN(1+B853)-1+B843+((1/(1+B853))^2)*(1-(B843/2))-(B843*(1+B853)^2)/2)</f>
        <v>3.0165652018877789E-2</v>
      </c>
    </row>
    <row r="855" spans="1:3">
      <c r="A855" s="13" t="s">
        <v>302</v>
      </c>
      <c r="B855">
        <f>B848*B840*B840*0.00000001*B841*B845/(18*B847*B842*0.0001)</f>
        <v>3.074627946937691E-2</v>
      </c>
    </row>
    <row r="856" spans="1:3">
      <c r="A856" s="13" t="s">
        <v>533</v>
      </c>
      <c r="B856">
        <f>(1/(2*B851))^2*((29.6-28*B843^0.62)*B853*B853-27.5*B853^2.8)*B855</f>
        <v>1.9148299928247455E-2</v>
      </c>
    </row>
    <row r="857" spans="1:3">
      <c r="A857" s="13" t="s">
        <v>435</v>
      </c>
      <c r="B857">
        <f>B841*B840*B840*0.00000001*B848*980.7/(18*B847*B845)</f>
        <v>6.700639172359543E-5</v>
      </c>
    </row>
    <row r="858" spans="1:3">
      <c r="A858" s="13" t="s">
        <v>436</v>
      </c>
      <c r="B858">
        <f>B857/(1+B857)</f>
        <v>6.7001902167892533E-5</v>
      </c>
    </row>
    <row r="859" spans="1:3">
      <c r="A859" s="13" t="s">
        <v>534</v>
      </c>
      <c r="B859">
        <f>B852+B854+B856+B858</f>
        <v>6.5617326702721149E-2</v>
      </c>
    </row>
    <row r="860" spans="1:3">
      <c r="A860" s="13" t="s">
        <v>527</v>
      </c>
      <c r="B860">
        <f>1-EXP(-4*B859*B843*B844/(PI()*B842*0.0001*(1-B843)))</f>
        <v>0.98466057180076716</v>
      </c>
    </row>
    <row r="862" spans="1:3">
      <c r="A862" s="16" t="s">
        <v>17</v>
      </c>
      <c r="B862" s="16" t="s">
        <v>17</v>
      </c>
      <c r="C862" s="16" t="s">
        <v>17</v>
      </c>
    </row>
    <row r="864" spans="1:3">
      <c r="A864" t="s">
        <v>95</v>
      </c>
    </row>
    <row r="865" spans="1:3">
      <c r="A865" t="s">
        <v>21</v>
      </c>
      <c r="B865" s="1">
        <v>293.14999999999998</v>
      </c>
      <c r="C865" t="s">
        <v>22</v>
      </c>
    </row>
    <row r="866" spans="1:3">
      <c r="A866" t="s">
        <v>24</v>
      </c>
      <c r="B866" s="1">
        <v>101.3</v>
      </c>
      <c r="C866" t="s">
        <v>25</v>
      </c>
    </row>
    <row r="867" spans="1:3">
      <c r="A867" t="s">
        <v>526</v>
      </c>
      <c r="B867">
        <v>11</v>
      </c>
      <c r="C867" t="s">
        <v>28</v>
      </c>
    </row>
    <row r="868" spans="1:3">
      <c r="A868" t="s">
        <v>524</v>
      </c>
      <c r="B868" s="1">
        <v>0.1</v>
      </c>
    </row>
    <row r="869" spans="1:3">
      <c r="A869" t="s">
        <v>528</v>
      </c>
      <c r="B869">
        <v>1</v>
      </c>
      <c r="C869" t="s">
        <v>214</v>
      </c>
    </row>
    <row r="870" spans="1:3">
      <c r="A870" s="16" t="s">
        <v>33</v>
      </c>
      <c r="B870" s="16" t="s">
        <v>33</v>
      </c>
      <c r="C870" s="16" t="s">
        <v>33</v>
      </c>
    </row>
    <row r="871" spans="1:3">
      <c r="A871" s="13" t="s">
        <v>38</v>
      </c>
      <c r="B871">
        <f>0.0001708*((B865/273.15)^1.5)*((393.396)/(B865+120.246))</f>
        <v>1.8071099473721675E-4</v>
      </c>
      <c r="C871" t="s">
        <v>39</v>
      </c>
    </row>
    <row r="872" spans="1:3">
      <c r="A872" s="13" t="s">
        <v>101</v>
      </c>
      <c r="B872">
        <f>0.0674*0.0001*(B865/296.15)*(101.3/B866)*(1+(110.4/296.15))/(1+(110.4/B866))</f>
        <v>4.3825701242550465E-6</v>
      </c>
      <c r="C872" t="s">
        <v>51</v>
      </c>
    </row>
    <row r="873" spans="1:3">
      <c r="A873" s="13" t="s">
        <v>529</v>
      </c>
      <c r="B873">
        <f>-0.5*LN(B868)-0.75+B868-B868*B868/4</f>
        <v>0.4987925464970227</v>
      </c>
    </row>
    <row r="874" spans="1:3">
      <c r="A874" s="13" t="s">
        <v>535</v>
      </c>
      <c r="B874">
        <f>0.885*10000*(B873*SQRT(B872)*0.000000000000000138*B865*B867*B867*0.00000001/((1-B868)*B871*B869))^(2/9)</f>
        <v>0.68428142481389043</v>
      </c>
      <c r="C874" t="s">
        <v>28</v>
      </c>
    </row>
    <row r="875" spans="1:3">
      <c r="A875" s="13" t="s">
        <v>536</v>
      </c>
      <c r="B875">
        <f>1.44*(((1-B868)/B873)^5*(SQRT(B872)*0.000000000000000138*B865/B871)^4*(1/(B869^4*(B867*0.0001)^10)))^(1/9)</f>
        <v>1.283756444162968E-2</v>
      </c>
    </row>
    <row r="877" spans="1:3">
      <c r="A877" s="16" t="s">
        <v>17</v>
      </c>
      <c r="B877" s="16" t="s">
        <v>17</v>
      </c>
      <c r="C877" s="16" t="s">
        <v>17</v>
      </c>
    </row>
    <row r="879" spans="1:3">
      <c r="A879" t="s">
        <v>98</v>
      </c>
    </row>
    <row r="880" spans="1:3">
      <c r="A880" t="s">
        <v>21</v>
      </c>
      <c r="B880" s="1">
        <v>293.14999999999998</v>
      </c>
      <c r="C880" t="s">
        <v>22</v>
      </c>
    </row>
    <row r="881" spans="1:3">
      <c r="A881" t="s">
        <v>24</v>
      </c>
      <c r="B881" s="1">
        <v>101.3</v>
      </c>
      <c r="C881" t="s">
        <v>25</v>
      </c>
    </row>
    <row r="882" spans="1:3">
      <c r="A882" t="s">
        <v>526</v>
      </c>
      <c r="B882">
        <v>5</v>
      </c>
      <c r="C882" t="s">
        <v>28</v>
      </c>
    </row>
    <row r="883" spans="1:3">
      <c r="A883" t="s">
        <v>524</v>
      </c>
      <c r="B883" s="1">
        <v>0.2</v>
      </c>
    </row>
    <row r="884" spans="1:3">
      <c r="A884" t="s">
        <v>525</v>
      </c>
      <c r="B884" s="1">
        <v>0.1</v>
      </c>
      <c r="C884" t="s">
        <v>51</v>
      </c>
    </row>
    <row r="885" spans="1:3">
      <c r="A885" t="s">
        <v>528</v>
      </c>
      <c r="B885">
        <v>15</v>
      </c>
      <c r="C885" t="s">
        <v>214</v>
      </c>
    </row>
    <row r="886" spans="1:3">
      <c r="A886" s="16" t="s">
        <v>33</v>
      </c>
      <c r="B886" s="16" t="s">
        <v>33</v>
      </c>
      <c r="C886" s="16" t="s">
        <v>33</v>
      </c>
    </row>
    <row r="887" spans="1:3">
      <c r="A887" s="13" t="s">
        <v>38</v>
      </c>
      <c r="B887">
        <f>0.0001708*((B880/273.15)^1.5)*((393.396)/(B880+120.246))</f>
        <v>1.8071099473721675E-4</v>
      </c>
      <c r="C887" t="s">
        <v>39</v>
      </c>
    </row>
    <row r="888" spans="1:3">
      <c r="A888" s="13" t="s">
        <v>101</v>
      </c>
      <c r="B888">
        <f>0.0674*0.0001*(B880/296.15)*(101.3/B881)*(1+(110.4/296.15))/(1+(110.4/B881))</f>
        <v>4.3825701242550465E-6</v>
      </c>
      <c r="C888" t="s">
        <v>51</v>
      </c>
    </row>
    <row r="889" spans="1:3">
      <c r="A889" s="13" t="s">
        <v>529</v>
      </c>
      <c r="B889">
        <f>-0.5*LN(B883)-0.75+B883-B883*B883/4</f>
        <v>0.24471895621705014</v>
      </c>
    </row>
    <row r="890" spans="1:3">
      <c r="A890" t="s">
        <v>537</v>
      </c>
      <c r="B890">
        <f>B887*B884*B885*64*B883^(3/2)*(1+56*B883*B883)/(B882*B882*0.00000001)</f>
        <v>20109.709854496305</v>
      </c>
      <c r="C890" t="s">
        <v>74</v>
      </c>
    </row>
    <row r="891" spans="1:3">
      <c r="A891" t="s">
        <v>538</v>
      </c>
      <c r="B891">
        <f>16*B887*B883*B885*B884/(B889*B882*B882*0.00000001)</f>
        <v>14178.105172519623</v>
      </c>
      <c r="C891" t="s">
        <v>74</v>
      </c>
    </row>
    <row r="893" spans="1:3">
      <c r="A893" s="16" t="s">
        <v>17</v>
      </c>
      <c r="B893" s="16" t="s">
        <v>17</v>
      </c>
      <c r="C893" s="16" t="s">
        <v>17</v>
      </c>
    </row>
    <row r="895" spans="1:3">
      <c r="A895" t="s">
        <v>100</v>
      </c>
    </row>
    <row r="896" spans="1:3">
      <c r="A896" t="s">
        <v>21</v>
      </c>
      <c r="B896" s="1">
        <v>293.14999999999998</v>
      </c>
      <c r="C896" t="s">
        <v>22</v>
      </c>
    </row>
    <row r="897" spans="1:4">
      <c r="A897" t="s">
        <v>24</v>
      </c>
      <c r="B897" s="1">
        <v>101.3</v>
      </c>
      <c r="C897" t="s">
        <v>25</v>
      </c>
    </row>
    <row r="898" spans="1:4">
      <c r="A898" t="s">
        <v>539</v>
      </c>
      <c r="B898">
        <v>20000</v>
      </c>
      <c r="C898" t="s">
        <v>540</v>
      </c>
    </row>
    <row r="899" spans="1:4">
      <c r="A899" t="s">
        <v>292</v>
      </c>
      <c r="B899">
        <v>0.1</v>
      </c>
      <c r="C899" t="s">
        <v>28</v>
      </c>
    </row>
    <row r="900" spans="1:4">
      <c r="A900" t="s">
        <v>177</v>
      </c>
      <c r="B900">
        <v>1</v>
      </c>
      <c r="C900" t="s">
        <v>36</v>
      </c>
    </row>
    <row r="901" spans="1:4">
      <c r="A901" t="s">
        <v>541</v>
      </c>
      <c r="B901">
        <v>30</v>
      </c>
      <c r="C901" t="s">
        <v>542</v>
      </c>
    </row>
    <row r="902" spans="1:4">
      <c r="A902" s="16" t="s">
        <v>33</v>
      </c>
      <c r="B902" s="16" t="s">
        <v>33</v>
      </c>
      <c r="C902" s="16" t="s">
        <v>33</v>
      </c>
    </row>
    <row r="903" spans="1:4">
      <c r="A903" s="13" t="s">
        <v>35</v>
      </c>
      <c r="B903">
        <f>0.001293*(273.15/B896)/(101.3/B897)</f>
        <v>1.2047857752004094E-3</v>
      </c>
      <c r="C903" t="s">
        <v>36</v>
      </c>
    </row>
    <row r="904" spans="1:4">
      <c r="A904" s="13" t="s">
        <v>38</v>
      </c>
      <c r="B904">
        <f>0.0001708*((B896/273.15)^1.5)*((393.396)/(B896+120.246))</f>
        <v>1.8071099473721675E-4</v>
      </c>
      <c r="C904" t="s">
        <v>39</v>
      </c>
      <c r="D904" s="1"/>
    </row>
    <row r="905" spans="1:4">
      <c r="A905" s="13" t="s">
        <v>506</v>
      </c>
      <c r="B905">
        <f>B904/B903</f>
        <v>0.149994296460843</v>
      </c>
    </row>
    <row r="906" spans="1:4">
      <c r="A906" s="13" t="s">
        <v>181</v>
      </c>
      <c r="B906">
        <f>1+(2/(B897*B899*0.752/SQRT(B900)))*(6.32+2.01*EXP(-0.1095*B897*0.752*B899/SQRT(B900)))</f>
        <v>2.8884380463321664</v>
      </c>
    </row>
    <row r="907" spans="1:4">
      <c r="A907" s="13" t="s">
        <v>543</v>
      </c>
      <c r="B907">
        <f>B899*B899*0.00000001/(18*B904)</f>
        <v>3.0742764509897367E-8</v>
      </c>
      <c r="C907" t="s">
        <v>198</v>
      </c>
    </row>
    <row r="908" spans="1:4">
      <c r="A908" s="13" t="s">
        <v>544</v>
      </c>
      <c r="B908">
        <f>B898*2*PI()</f>
        <v>125663.70614359173</v>
      </c>
      <c r="C908" t="s">
        <v>545</v>
      </c>
    </row>
    <row r="909" spans="1:4">
      <c r="A909" s="13" t="s">
        <v>546</v>
      </c>
      <c r="B909">
        <f>(2/(B899*0.0001))*SQRT(2*B905/B908)</f>
        <v>309.01348654927239</v>
      </c>
      <c r="D909" t="s">
        <v>547</v>
      </c>
    </row>
    <row r="910" spans="1:4">
      <c r="A910" s="13" t="s">
        <v>548</v>
      </c>
      <c r="B910">
        <f>(2/3)*(B900/B903)</f>
        <v>553.34872007081117</v>
      </c>
      <c r="D910" t="s">
        <v>549</v>
      </c>
    </row>
    <row r="911" spans="1:4">
      <c r="A911" s="13" t="s">
        <v>550</v>
      </c>
      <c r="B911">
        <f>(360/(2*PI()))*ATAN(((3/2)*(B910-1)*B909*(B909+1))/(B910+(3/2)*B910*B909+(3/2)*B909+(9/2)*B909*B909+(9/2)*B909*B909*B909+(9/4)*B909*B909*B909*B909))</f>
        <v>0.22022906268482334</v>
      </c>
      <c r="C911" t="s">
        <v>551</v>
      </c>
      <c r="D911" t="s">
        <v>552</v>
      </c>
    </row>
    <row r="912" spans="1:4">
      <c r="A912" s="13" t="s">
        <v>553</v>
      </c>
      <c r="B912">
        <f>SQRT((1+3*B909+(9/2)*B909*B909+(9/2)*B909*B909*B909+(9/4)*B909*B909*B909*B909)/(B910*B910+3*B910*B909+(9/2)*B909*B909+(9/2)*B909*B909*B909+(9/4)*B909*B909*B909*B909))</f>
        <v>0.99998018762597074</v>
      </c>
      <c r="D912" t="s">
        <v>554</v>
      </c>
    </row>
    <row r="913" spans="1:4">
      <c r="A913" s="13" t="s">
        <v>550</v>
      </c>
      <c r="B913">
        <f>(360/(2*PI()))*ATAN(B908*B907)</f>
        <v>0.22134680329754691</v>
      </c>
      <c r="C913" t="s">
        <v>551</v>
      </c>
      <c r="D913" t="s">
        <v>555</v>
      </c>
    </row>
    <row r="914" spans="1:4">
      <c r="A914" s="13" t="s">
        <v>553</v>
      </c>
      <c r="B914">
        <f>1/SQRT(1+B908*B908*B907*B907)</f>
        <v>0.99999253773430852</v>
      </c>
      <c r="D914" t="s">
        <v>556</v>
      </c>
    </row>
    <row r="915" spans="1:4">
      <c r="A915" s="13" t="s">
        <v>553</v>
      </c>
      <c r="B915">
        <f>B907*0.00000000048*B901/(3*PI()*B904*B899*SQRT(1+B908*B908*B907*B907))</f>
        <v>2.5992405022609286E-12</v>
      </c>
      <c r="C915" t="s">
        <v>557</v>
      </c>
      <c r="D915" t="s">
        <v>558</v>
      </c>
    </row>
    <row r="917" spans="1:4">
      <c r="A917" s="16" t="s">
        <v>17</v>
      </c>
      <c r="B917" s="16" t="s">
        <v>17</v>
      </c>
      <c r="C917" s="16" t="s">
        <v>17</v>
      </c>
    </row>
    <row r="919" spans="1:4">
      <c r="A919" t="s">
        <v>106</v>
      </c>
    </row>
    <row r="920" spans="1:4">
      <c r="A920" t="s">
        <v>21</v>
      </c>
      <c r="B920" s="1">
        <v>293.14999999999998</v>
      </c>
      <c r="C920" t="s">
        <v>22</v>
      </c>
      <c r="D920" s="6"/>
    </row>
    <row r="921" spans="1:4">
      <c r="A921" t="s">
        <v>24</v>
      </c>
      <c r="B921" s="1">
        <v>101.3</v>
      </c>
      <c r="C921" t="s">
        <v>25</v>
      </c>
    </row>
    <row r="922" spans="1:4">
      <c r="A922" t="s">
        <v>559</v>
      </c>
      <c r="B922">
        <v>10</v>
      </c>
      <c r="C922" t="s">
        <v>25</v>
      </c>
    </row>
    <row r="923" spans="1:4">
      <c r="A923" t="s">
        <v>560</v>
      </c>
      <c r="B923">
        <v>28.97</v>
      </c>
      <c r="C923" t="s">
        <v>70</v>
      </c>
    </row>
    <row r="924" spans="1:4">
      <c r="A924" s="16" t="s">
        <v>33</v>
      </c>
      <c r="B924" s="16" t="s">
        <v>33</v>
      </c>
      <c r="C924" s="16" t="s">
        <v>33</v>
      </c>
    </row>
    <row r="925" spans="1:4">
      <c r="A925" s="13" t="s">
        <v>561</v>
      </c>
      <c r="B925">
        <f>SQRT(2*83140000*B920*LN(B921/(B921-B922))/B923)</f>
        <v>13224.306999674762</v>
      </c>
      <c r="C925" t="s">
        <v>31</v>
      </c>
    </row>
    <row r="927" spans="1:4">
      <c r="A927" s="16" t="s">
        <v>17</v>
      </c>
      <c r="B927" s="16" t="s">
        <v>17</v>
      </c>
      <c r="C927" s="16" t="s">
        <v>17</v>
      </c>
    </row>
    <row r="929" spans="1:4">
      <c r="A929" t="s">
        <v>109</v>
      </c>
    </row>
    <row r="930" spans="1:4">
      <c r="A930" t="s">
        <v>21</v>
      </c>
      <c r="B930" s="1">
        <v>293.14999999999998</v>
      </c>
      <c r="C930" t="s">
        <v>22</v>
      </c>
    </row>
    <row r="931" spans="1:4">
      <c r="A931" t="s">
        <v>24</v>
      </c>
      <c r="B931" s="1">
        <v>101.3</v>
      </c>
      <c r="C931" t="s">
        <v>25</v>
      </c>
    </row>
    <row r="932" spans="1:4">
      <c r="A932" t="s">
        <v>354</v>
      </c>
      <c r="B932" s="1">
        <v>20</v>
      </c>
      <c r="C932" t="s">
        <v>28</v>
      </c>
    </row>
    <row r="933" spans="1:4">
      <c r="A933" t="s">
        <v>177</v>
      </c>
      <c r="B933" s="1">
        <v>1</v>
      </c>
      <c r="C933" t="s">
        <v>153</v>
      </c>
    </row>
    <row r="934" spans="1:4">
      <c r="A934" t="s">
        <v>562</v>
      </c>
      <c r="B934" s="1">
        <v>20</v>
      </c>
      <c r="C934" t="s">
        <v>348</v>
      </c>
    </row>
    <row r="935" spans="1:4">
      <c r="A935" t="s">
        <v>53</v>
      </c>
      <c r="B935" s="1">
        <v>150</v>
      </c>
      <c r="C935" t="s">
        <v>563</v>
      </c>
      <c r="D935" t="s">
        <v>355</v>
      </c>
    </row>
    <row r="936" spans="1:4">
      <c r="A936" t="s">
        <v>564</v>
      </c>
      <c r="B936" s="1">
        <v>10</v>
      </c>
      <c r="C936" t="s">
        <v>563</v>
      </c>
      <c r="D936" t="s">
        <v>355</v>
      </c>
    </row>
    <row r="937" spans="1:4">
      <c r="A937" s="16" t="s">
        <v>33</v>
      </c>
      <c r="B937" s="16" t="s">
        <v>33</v>
      </c>
      <c r="C937" s="16" t="s">
        <v>33</v>
      </c>
    </row>
    <row r="938" spans="1:4">
      <c r="A938" s="13" t="s">
        <v>35</v>
      </c>
      <c r="B938">
        <f>0.001293*(273.15/B930)/(101.3/B931)</f>
        <v>1.2047857752004094E-3</v>
      </c>
      <c r="C938" t="s">
        <v>153</v>
      </c>
      <c r="D938" t="s">
        <v>565</v>
      </c>
    </row>
    <row r="939" spans="1:4">
      <c r="A939" s="13" t="s">
        <v>566</v>
      </c>
      <c r="B939">
        <f>B932*B938*(B935-B936)^2/B934</f>
        <v>23.613801193928023</v>
      </c>
      <c r="D939" t="s">
        <v>567</v>
      </c>
    </row>
    <row r="940" spans="1:4">
      <c r="A940" s="13" t="s">
        <v>568</v>
      </c>
      <c r="B940">
        <f>IF(B939&gt;12,(B932*0.000001/(2*(B935-B936)))*SQRT(B933/B938),"-no breakup-")</f>
        <v>2.0578657957201639E-6</v>
      </c>
      <c r="C940" t="s">
        <v>198</v>
      </c>
      <c r="D940" t="s">
        <v>569</v>
      </c>
    </row>
    <row r="941" spans="1:4">
      <c r="D941" t="s">
        <v>570</v>
      </c>
    </row>
    <row r="942" spans="1:4">
      <c r="A942" s="16" t="s">
        <v>17</v>
      </c>
      <c r="B942" s="16" t="s">
        <v>17</v>
      </c>
      <c r="C942" s="16" t="s">
        <v>17</v>
      </c>
    </row>
    <row r="944" spans="1:4">
      <c r="A944" t="s">
        <v>111</v>
      </c>
    </row>
    <row r="945" spans="1:4">
      <c r="A945" t="s">
        <v>21</v>
      </c>
      <c r="B945" s="1">
        <v>293.14999999999998</v>
      </c>
      <c r="C945" t="s">
        <v>22</v>
      </c>
    </row>
    <row r="946" spans="1:4">
      <c r="A946" t="s">
        <v>571</v>
      </c>
      <c r="B946">
        <v>1.4</v>
      </c>
      <c r="D946" t="s">
        <v>572</v>
      </c>
    </row>
    <row r="947" spans="1:4">
      <c r="A947" t="s">
        <v>69</v>
      </c>
      <c r="B947">
        <v>28.96</v>
      </c>
      <c r="C947" t="s">
        <v>70</v>
      </c>
    </row>
    <row r="948" spans="1:4">
      <c r="A948" s="16" t="s">
        <v>33</v>
      </c>
      <c r="B948" s="16" t="s">
        <v>33</v>
      </c>
      <c r="C948" s="16" t="s">
        <v>33</v>
      </c>
    </row>
    <row r="949" spans="1:4">
      <c r="A949" s="13" t="s">
        <v>573</v>
      </c>
      <c r="B949">
        <f>SQRT(B945*B946*83100000/B947)</f>
        <v>34317.069971611272</v>
      </c>
      <c r="C949" t="s">
        <v>31</v>
      </c>
    </row>
    <row r="951" spans="1:4">
      <c r="A951" s="16" t="s">
        <v>17</v>
      </c>
      <c r="B951" s="16" t="s">
        <v>17</v>
      </c>
      <c r="C951" s="16" t="s">
        <v>17</v>
      </c>
    </row>
    <row r="953" spans="1:4">
      <c r="A953" t="s">
        <v>113</v>
      </c>
    </row>
    <row r="954" spans="1:4">
      <c r="A954" t="s">
        <v>21</v>
      </c>
      <c r="B954" s="1">
        <v>293.14999999999998</v>
      </c>
      <c r="C954" t="s">
        <v>22</v>
      </c>
    </row>
    <row r="955" spans="1:4">
      <c r="A955" t="s">
        <v>574</v>
      </c>
      <c r="B955" s="1">
        <v>10</v>
      </c>
      <c r="C955" t="s">
        <v>28</v>
      </c>
    </row>
    <row r="956" spans="1:4">
      <c r="A956" t="s">
        <v>575</v>
      </c>
      <c r="B956" s="1">
        <v>100</v>
      </c>
      <c r="D956" t="str">
        <f>IF(B956&gt;10,"","-too small-")</f>
        <v/>
      </c>
    </row>
    <row r="957" spans="1:4">
      <c r="A957" t="s">
        <v>576</v>
      </c>
      <c r="B957" s="1">
        <v>1000</v>
      </c>
      <c r="C957" t="s">
        <v>577</v>
      </c>
    </row>
    <row r="958" spans="1:4">
      <c r="A958" s="16" t="s">
        <v>33</v>
      </c>
      <c r="B958" s="16" t="s">
        <v>33</v>
      </c>
      <c r="C958" s="16" t="s">
        <v>33</v>
      </c>
    </row>
    <row r="959" spans="1:4">
      <c r="A959" s="13" t="s">
        <v>578</v>
      </c>
      <c r="B959">
        <f>ASIN(SQRT(0.0000000138*B954*(LN(2*B956)-1)/(2*(B955*0.0001)^3))/(PI()*B957))*180/PI()</f>
        <v>1.7008079512362497</v>
      </c>
      <c r="C959" t="s">
        <v>442</v>
      </c>
    </row>
    <row r="961" spans="1:5">
      <c r="A961" s="16" t="s">
        <v>17</v>
      </c>
      <c r="B961" s="16" t="s">
        <v>17</v>
      </c>
      <c r="C961" s="16" t="s">
        <v>17</v>
      </c>
    </row>
    <row r="963" spans="1:5">
      <c r="A963" t="s">
        <v>115</v>
      </c>
    </row>
    <row r="964" spans="1:5">
      <c r="A964" t="s">
        <v>574</v>
      </c>
      <c r="B964" s="1">
        <v>4</v>
      </c>
      <c r="C964" t="s">
        <v>28</v>
      </c>
    </row>
    <row r="965" spans="1:5">
      <c r="A965" t="s">
        <v>579</v>
      </c>
      <c r="B965">
        <v>5</v>
      </c>
      <c r="C965" t="s">
        <v>442</v>
      </c>
    </row>
    <row r="966" spans="1:5">
      <c r="A966" t="s">
        <v>580</v>
      </c>
      <c r="B966">
        <v>0.63280000000000003</v>
      </c>
      <c r="C966" t="s">
        <v>28</v>
      </c>
    </row>
    <row r="967" spans="1:5">
      <c r="A967" s="16" t="s">
        <v>33</v>
      </c>
      <c r="B967" s="16" t="s">
        <v>33</v>
      </c>
      <c r="C967" s="16" t="s">
        <v>33</v>
      </c>
    </row>
    <row r="968" spans="1:5">
      <c r="A968" s="13" t="s">
        <v>581</v>
      </c>
      <c r="B968">
        <f>B964*B964*(SIN(PI()*B964*B965/B966)/(PI()*B964*B965/B966))^2</f>
        <v>1.4508640452536431E-3</v>
      </c>
    </row>
    <row r="970" spans="1:5">
      <c r="A970" s="16" t="s">
        <v>17</v>
      </c>
      <c r="B970" s="16" t="s">
        <v>17</v>
      </c>
      <c r="C970" s="16" t="s">
        <v>17</v>
      </c>
    </row>
    <row r="972" spans="1:5">
      <c r="A972" t="s">
        <v>117</v>
      </c>
    </row>
    <row r="973" spans="1:5">
      <c r="A973" t="s">
        <v>21</v>
      </c>
      <c r="B973" s="1">
        <v>293.14999999999998</v>
      </c>
      <c r="C973" t="s">
        <v>22</v>
      </c>
    </row>
    <row r="974" spans="1:5">
      <c r="A974" t="s">
        <v>27</v>
      </c>
      <c r="B974" s="1">
        <v>4</v>
      </c>
      <c r="C974" t="s">
        <v>28</v>
      </c>
    </row>
    <row r="975" spans="1:5">
      <c r="A975" t="s">
        <v>582</v>
      </c>
      <c r="B975" s="1">
        <v>10000000</v>
      </c>
      <c r="C975" t="s">
        <v>583</v>
      </c>
      <c r="D975" t="s">
        <v>584</v>
      </c>
    </row>
    <row r="976" spans="1:5">
      <c r="A976" t="s">
        <v>585</v>
      </c>
      <c r="B976" s="1">
        <v>1</v>
      </c>
      <c r="C976" t="s">
        <v>198</v>
      </c>
      <c r="D976" s="27" t="s">
        <v>586</v>
      </c>
      <c r="E976" s="29"/>
    </row>
    <row r="977" spans="1:5">
      <c r="A977" t="s">
        <v>587</v>
      </c>
      <c r="B977" s="1">
        <f>5000/300</f>
        <v>16.666666666666668</v>
      </c>
      <c r="C977" t="s">
        <v>577</v>
      </c>
      <c r="D977" s="17" t="s">
        <v>315</v>
      </c>
      <c r="E977" s="23">
        <v>4.3</v>
      </c>
    </row>
    <row r="978" spans="1:5">
      <c r="A978" t="s">
        <v>588</v>
      </c>
      <c r="B978" s="1">
        <v>5.0999999999999996</v>
      </c>
      <c r="D978" s="17" t="s">
        <v>339</v>
      </c>
      <c r="E978" s="23">
        <v>80</v>
      </c>
    </row>
    <row r="979" spans="1:5">
      <c r="A979" s="16" t="s">
        <v>33</v>
      </c>
      <c r="B979" s="16" t="s">
        <v>33</v>
      </c>
      <c r="C979" s="16" t="s">
        <v>33</v>
      </c>
      <c r="D979" s="34" t="s">
        <v>589</v>
      </c>
      <c r="E979" s="38" t="s">
        <v>590</v>
      </c>
    </row>
    <row r="980" spans="1:5">
      <c r="A980" s="13" t="s">
        <v>591</v>
      </c>
      <c r="B980">
        <f>(3*B978/(B978+2))*(B977*B974*B974*0.00000001/(0.00000000192))*((PI()*0.00000000048*450*B975*B976)/(1+PI()*0.00000000048*450*B975*B976))</f>
        <v>2608.5473686864593</v>
      </c>
      <c r="C980" t="s">
        <v>542</v>
      </c>
      <c r="D980" t="s">
        <v>592</v>
      </c>
    </row>
    <row r="981" spans="1:5">
      <c r="D981" t="s">
        <v>593</v>
      </c>
    </row>
    <row r="982" spans="1:5">
      <c r="A982" s="16" t="s">
        <v>17</v>
      </c>
      <c r="B982" s="16" t="s">
        <v>17</v>
      </c>
      <c r="C982" s="16" t="s">
        <v>17</v>
      </c>
    </row>
    <row r="984" spans="1:5">
      <c r="A984" t="s">
        <v>119</v>
      </c>
    </row>
    <row r="985" spans="1:5">
      <c r="A985" t="s">
        <v>594</v>
      </c>
      <c r="B985">
        <f>5</f>
        <v>5</v>
      </c>
      <c r="C985" t="s">
        <v>31</v>
      </c>
    </row>
    <row r="986" spans="1:5">
      <c r="A986" t="s">
        <v>595</v>
      </c>
      <c r="B986">
        <v>2.9849999999999999</v>
      </c>
      <c r="C986" t="s">
        <v>51</v>
      </c>
    </row>
    <row r="987" spans="1:5">
      <c r="A987" t="s">
        <v>596</v>
      </c>
      <c r="B987">
        <f>500/300</f>
        <v>1.6666666666666667</v>
      </c>
      <c r="C987" t="s">
        <v>597</v>
      </c>
    </row>
    <row r="988" spans="1:5">
      <c r="A988" t="s">
        <v>598</v>
      </c>
      <c r="B988">
        <v>30.48</v>
      </c>
      <c r="C988" t="s">
        <v>51</v>
      </c>
    </row>
    <row r="989" spans="1:5">
      <c r="A989" s="16" t="s">
        <v>33</v>
      </c>
      <c r="B989" s="16" t="s">
        <v>33</v>
      </c>
      <c r="C989" s="16" t="s">
        <v>33</v>
      </c>
    </row>
    <row r="990" spans="1:5">
      <c r="A990" s="13" t="s">
        <v>599</v>
      </c>
      <c r="B990">
        <f>2*B985*B986*B986/(B987*B988)</f>
        <v>1.753981299212598</v>
      </c>
      <c r="C990" t="s">
        <v>600</v>
      </c>
    </row>
    <row r="992" spans="1:5">
      <c r="A992" s="16" t="s">
        <v>17</v>
      </c>
      <c r="B992" s="16" t="s">
        <v>17</v>
      </c>
      <c r="C992" s="16" t="s">
        <v>17</v>
      </c>
    </row>
    <row r="994" spans="1:3">
      <c r="A994" t="s">
        <v>122</v>
      </c>
    </row>
    <row r="995" spans="1:3">
      <c r="A995" t="s">
        <v>601</v>
      </c>
      <c r="B995">
        <f>50*1000/60</f>
        <v>833.33333333333337</v>
      </c>
      <c r="C995" t="s">
        <v>483</v>
      </c>
    </row>
    <row r="996" spans="1:3">
      <c r="A996" t="s">
        <v>602</v>
      </c>
      <c r="B996">
        <f>5*1000/60</f>
        <v>83.333333333333329</v>
      </c>
      <c r="C996" t="s">
        <v>483</v>
      </c>
    </row>
    <row r="997" spans="1:3">
      <c r="A997" t="s">
        <v>603</v>
      </c>
      <c r="B997">
        <v>2.9849999999999999</v>
      </c>
      <c r="C997" t="s">
        <v>51</v>
      </c>
    </row>
    <row r="998" spans="1:3">
      <c r="A998" t="s">
        <v>604</v>
      </c>
      <c r="B998">
        <v>1.151</v>
      </c>
      <c r="C998" t="s">
        <v>51</v>
      </c>
    </row>
    <row r="999" spans="1:3">
      <c r="A999" t="s">
        <v>605</v>
      </c>
      <c r="B999">
        <f>19/300</f>
        <v>6.3333333333333339E-2</v>
      </c>
      <c r="C999" t="s">
        <v>597</v>
      </c>
    </row>
    <row r="1000" spans="1:3">
      <c r="A1000" t="s">
        <v>606</v>
      </c>
      <c r="B1000">
        <v>30.48</v>
      </c>
      <c r="C1000" t="s">
        <v>51</v>
      </c>
    </row>
    <row r="1001" spans="1:3">
      <c r="A1001" s="16" t="s">
        <v>33</v>
      </c>
      <c r="B1001" s="16" t="s">
        <v>33</v>
      </c>
      <c r="C1001" s="16" t="s">
        <v>33</v>
      </c>
    </row>
    <row r="1002" spans="1:3">
      <c r="A1002" s="13" t="s">
        <v>607</v>
      </c>
      <c r="B1002">
        <f>(B995-0.5*B996)*LN(B997/B998)/(2*PI()*B999*B1000)</f>
        <v>62.200486394225635</v>
      </c>
      <c r="C1002" t="s">
        <v>600</v>
      </c>
    </row>
    <row r="1004" spans="1:3">
      <c r="A1004" s="16" t="s">
        <v>17</v>
      </c>
      <c r="B1004" s="16" t="s">
        <v>17</v>
      </c>
      <c r="C1004" s="16" t="s">
        <v>17</v>
      </c>
    </row>
    <row r="1006" spans="1:3">
      <c r="A1006" t="s">
        <v>126</v>
      </c>
    </row>
    <row r="1007" spans="1:3">
      <c r="A1007" t="s">
        <v>601</v>
      </c>
      <c r="B1007">
        <f>50*1000/60</f>
        <v>833.33333333333337</v>
      </c>
      <c r="C1007" t="s">
        <v>483</v>
      </c>
    </row>
    <row r="1008" spans="1:3">
      <c r="A1008" t="s">
        <v>602</v>
      </c>
      <c r="B1008">
        <f>5*1000/60</f>
        <v>83.333333333333329</v>
      </c>
      <c r="C1008" t="s">
        <v>483</v>
      </c>
    </row>
    <row r="1009" spans="1:6">
      <c r="A1009" t="s">
        <v>608</v>
      </c>
      <c r="B1009">
        <f>1*1000/60</f>
        <v>16.666666666666668</v>
      </c>
      <c r="C1009" t="s">
        <v>483</v>
      </c>
    </row>
    <row r="1010" spans="1:6">
      <c r="A1010" t="s">
        <v>603</v>
      </c>
      <c r="B1010">
        <v>2.9849999999999999</v>
      </c>
      <c r="C1010" t="s">
        <v>51</v>
      </c>
    </row>
    <row r="1011" spans="1:6">
      <c r="A1011" t="s">
        <v>604</v>
      </c>
      <c r="B1011">
        <v>1.151</v>
      </c>
      <c r="C1011" t="s">
        <v>51</v>
      </c>
    </row>
    <row r="1012" spans="1:6">
      <c r="A1012" t="s">
        <v>605</v>
      </c>
      <c r="B1012">
        <f>19/300</f>
        <v>6.3333333333333339E-2</v>
      </c>
      <c r="C1012" t="s">
        <v>597</v>
      </c>
    </row>
    <row r="1013" spans="1:6">
      <c r="A1013" t="s">
        <v>606</v>
      </c>
      <c r="B1013">
        <v>30.48</v>
      </c>
      <c r="C1013" t="s">
        <v>51</v>
      </c>
    </row>
    <row r="1014" spans="1:6">
      <c r="A1014" s="16" t="s">
        <v>33</v>
      </c>
      <c r="B1014" s="16" t="s">
        <v>33</v>
      </c>
      <c r="C1014" s="16" t="s">
        <v>33</v>
      </c>
    </row>
    <row r="1015" spans="1:6">
      <c r="A1015" s="13" t="s">
        <v>607</v>
      </c>
      <c r="B1015">
        <f>(B1007-(B1008+B1009)/2)*LN(B1010/B1011)/(2*PI()*B1012*B1013)</f>
        <v>61.545744432181145</v>
      </c>
      <c r="C1015" t="s">
        <v>600</v>
      </c>
    </row>
    <row r="1016" spans="1:6">
      <c r="A1016" s="13" t="s">
        <v>609</v>
      </c>
      <c r="B1016">
        <f>(B1008+B1009)*LN(B1010/B1011)/(2*PI()*B1012*B1013)</f>
        <v>7.8569035445337638</v>
      </c>
      <c r="C1016" t="s">
        <v>600</v>
      </c>
    </row>
    <row r="1018" spans="1:6">
      <c r="A1018" s="16" t="s">
        <v>17</v>
      </c>
      <c r="B1018" s="16" t="s">
        <v>17</v>
      </c>
      <c r="C1018" s="16" t="s">
        <v>17</v>
      </c>
    </row>
    <row r="1020" spans="1:6">
      <c r="A1020" t="s">
        <v>128</v>
      </c>
    </row>
    <row r="1021" spans="1:6">
      <c r="A1021" t="s">
        <v>610</v>
      </c>
      <c r="B1021" s="1">
        <v>100</v>
      </c>
      <c r="C1021" t="s">
        <v>542</v>
      </c>
    </row>
    <row r="1022" spans="1:6">
      <c r="A1022" t="s">
        <v>611</v>
      </c>
      <c r="B1022" s="1">
        <v>100</v>
      </c>
      <c r="C1022" t="s">
        <v>542</v>
      </c>
    </row>
    <row r="1023" spans="1:6">
      <c r="A1023" t="s">
        <v>612</v>
      </c>
      <c r="B1023" s="1">
        <v>1E-3</v>
      </c>
      <c r="C1023" t="s">
        <v>51</v>
      </c>
      <c r="D1023" s="27" t="s">
        <v>613</v>
      </c>
      <c r="E1023" s="26"/>
      <c r="F1023" s="29"/>
    </row>
    <row r="1024" spans="1:6">
      <c r="A1024" s="16" t="s">
        <v>33</v>
      </c>
      <c r="B1024" s="16" t="s">
        <v>33</v>
      </c>
      <c r="C1024" s="16" t="s">
        <v>33</v>
      </c>
      <c r="D1024" s="17" t="s">
        <v>614</v>
      </c>
      <c r="E1024" t="s">
        <v>615</v>
      </c>
      <c r="F1024" s="22" t="s">
        <v>616</v>
      </c>
    </row>
    <row r="1025" spans="1:6">
      <c r="A1025" s="13" t="s">
        <v>617</v>
      </c>
      <c r="B1025">
        <f>B1021*B1022*2.304E-19/(B1023*B1023)</f>
        <v>2.3039999999999999E-9</v>
      </c>
      <c r="C1025" t="s">
        <v>618</v>
      </c>
      <c r="D1025" s="17" t="s">
        <v>619</v>
      </c>
      <c r="E1025" t="s">
        <v>620</v>
      </c>
      <c r="F1025" s="22" t="s">
        <v>621</v>
      </c>
    </row>
    <row r="1026" spans="1:6">
      <c r="D1026" s="17" t="s">
        <v>622</v>
      </c>
      <c r="E1026" t="s">
        <v>623</v>
      </c>
      <c r="F1026" s="22" t="s">
        <v>624</v>
      </c>
    </row>
    <row r="1027" spans="1:6">
      <c r="A1027" s="16" t="s">
        <v>17</v>
      </c>
      <c r="B1027" s="16" t="s">
        <v>17</v>
      </c>
      <c r="C1027" s="16" t="s">
        <v>17</v>
      </c>
      <c r="D1027" s="17" t="s">
        <v>625</v>
      </c>
      <c r="E1027" t="s">
        <v>626</v>
      </c>
      <c r="F1027" s="22" t="s">
        <v>627</v>
      </c>
    </row>
    <row r="1028" spans="1:6">
      <c r="D1028" s="34" t="s">
        <v>628</v>
      </c>
      <c r="E1028" s="32" t="s">
        <v>629</v>
      </c>
      <c r="F1028" s="37" t="s">
        <v>630</v>
      </c>
    </row>
    <row r="1029" spans="1:6">
      <c r="A1029" t="s">
        <v>129</v>
      </c>
    </row>
    <row r="1030" spans="1:6">
      <c r="A1030" t="s">
        <v>631</v>
      </c>
      <c r="B1030" s="1">
        <v>100</v>
      </c>
      <c r="C1030" t="s">
        <v>632</v>
      </c>
    </row>
    <row r="1031" spans="1:6">
      <c r="A1031" t="s">
        <v>633</v>
      </c>
      <c r="B1031" s="1">
        <v>1</v>
      </c>
      <c r="C1031" t="s">
        <v>51</v>
      </c>
    </row>
    <row r="1032" spans="1:6">
      <c r="A1032" s="16" t="s">
        <v>33</v>
      </c>
      <c r="B1032" s="16" t="s">
        <v>33</v>
      </c>
      <c r="C1032" s="16" t="s">
        <v>33</v>
      </c>
    </row>
    <row r="1033" spans="1:6">
      <c r="A1033" s="13" t="s">
        <v>634</v>
      </c>
      <c r="B1033">
        <f>B1030/(300*B1031)</f>
        <v>0.33333333333333331</v>
      </c>
      <c r="C1033" t="s">
        <v>635</v>
      </c>
    </row>
    <row r="1035" spans="1:6">
      <c r="A1035" s="16" t="s">
        <v>17</v>
      </c>
      <c r="B1035" s="16" t="s">
        <v>17</v>
      </c>
      <c r="C1035" s="16" t="s">
        <v>17</v>
      </c>
    </row>
    <row r="1037" spans="1:6">
      <c r="A1037" t="s">
        <v>131</v>
      </c>
    </row>
    <row r="1038" spans="1:6">
      <c r="A1038" t="s">
        <v>636</v>
      </c>
      <c r="B1038" s="1">
        <v>11000</v>
      </c>
      <c r="C1038" t="s">
        <v>632</v>
      </c>
    </row>
    <row r="1039" spans="1:6">
      <c r="A1039" t="s">
        <v>637</v>
      </c>
      <c r="B1039" s="1">
        <v>6</v>
      </c>
      <c r="C1039" t="s">
        <v>51</v>
      </c>
    </row>
    <row r="1040" spans="1:6">
      <c r="A1040" t="s">
        <v>638</v>
      </c>
      <c r="B1040" s="1">
        <v>2.25</v>
      </c>
      <c r="C1040" t="s">
        <v>51</v>
      </c>
      <c r="D1040" t="str">
        <f>IF(B1040&gt;B1039,"Bad entry","")</f>
        <v/>
      </c>
    </row>
    <row r="1041" spans="1:5">
      <c r="A1041" t="s">
        <v>639</v>
      </c>
      <c r="B1041" s="1">
        <v>2.5</v>
      </c>
      <c r="C1041" t="s">
        <v>51</v>
      </c>
      <c r="D1041" t="str">
        <f>IF((B1041&lt;B1039),IF(B1041&gt;B1040," ","bad entry"),"bad entry")</f>
        <v xml:space="preserve"> </v>
      </c>
    </row>
    <row r="1042" spans="1:5">
      <c r="A1042" s="16" t="s">
        <v>33</v>
      </c>
      <c r="B1042" s="16" t="s">
        <v>33</v>
      </c>
      <c r="C1042" s="16" t="s">
        <v>33</v>
      </c>
    </row>
    <row r="1043" spans="1:5">
      <c r="A1043" s="13" t="s">
        <v>640</v>
      </c>
    </row>
    <row r="1044" spans="1:5">
      <c r="A1044" s="13" t="str">
        <f>"at "&amp;B1041&amp;" cm = "</f>
        <v xml:space="preserve">at 2.5 cm = </v>
      </c>
      <c r="B1044">
        <f>B1038/(300*B1041*LN(B1039/B1040))</f>
        <v>14.953333234741237</v>
      </c>
      <c r="C1044" t="s">
        <v>635</v>
      </c>
    </row>
    <row r="1046" spans="1:5">
      <c r="A1046" s="16" t="s">
        <v>17</v>
      </c>
      <c r="B1046" s="16" t="s">
        <v>17</v>
      </c>
      <c r="C1046" s="16" t="s">
        <v>17</v>
      </c>
    </row>
    <row r="1048" spans="1:5">
      <c r="A1048" t="s">
        <v>132</v>
      </c>
    </row>
    <row r="1049" spans="1:5">
      <c r="A1049" t="s">
        <v>21</v>
      </c>
      <c r="B1049" s="1">
        <v>293.14999999999998</v>
      </c>
      <c r="C1049" t="s">
        <v>22</v>
      </c>
    </row>
    <row r="1050" spans="1:5">
      <c r="A1050" t="s">
        <v>24</v>
      </c>
      <c r="B1050" s="1">
        <v>101.3</v>
      </c>
      <c r="C1050" t="s">
        <v>25</v>
      </c>
    </row>
    <row r="1051" spans="1:5">
      <c r="A1051" t="s">
        <v>27</v>
      </c>
      <c r="B1051" s="1">
        <v>1</v>
      </c>
      <c r="C1051" t="s">
        <v>28</v>
      </c>
    </row>
    <row r="1052" spans="1:5">
      <c r="A1052" t="s">
        <v>641</v>
      </c>
      <c r="B1052" s="1">
        <v>1</v>
      </c>
      <c r="C1052" t="s">
        <v>542</v>
      </c>
    </row>
    <row r="1053" spans="1:5">
      <c r="A1053" s="16" t="s">
        <v>33</v>
      </c>
      <c r="B1053" s="16" t="s">
        <v>33</v>
      </c>
      <c r="C1053" s="16" t="s">
        <v>33</v>
      </c>
    </row>
    <row r="1054" spans="1:5">
      <c r="A1054" s="13" t="s">
        <v>38</v>
      </c>
      <c r="B1054">
        <f>0.0001708*((B1049/273.15)^1.5)*((393.396)/(B1049+120.246))</f>
        <v>1.8071099473721675E-4</v>
      </c>
      <c r="C1054" t="s">
        <v>39</v>
      </c>
    </row>
    <row r="1055" spans="1:5">
      <c r="A1055" s="13" t="s">
        <v>181</v>
      </c>
      <c r="B1055">
        <f>1+(2/(B1050*B1051*0.752))*(6.32+2.01*EXP(-0.1095*B1050*0.752*B1051))</f>
        <v>1.1659406239722296</v>
      </c>
      <c r="E1055" s="6"/>
    </row>
    <row r="1056" spans="1:5">
      <c r="A1056" s="13" t="s">
        <v>642</v>
      </c>
      <c r="B1056">
        <f>B1052*0.00000000048*B1055/(3*PI()*B1054*0.0001*B1051)</f>
        <v>3.2859576948560758E-3</v>
      </c>
      <c r="C1056" t="s">
        <v>643</v>
      </c>
    </row>
    <row r="1058" spans="1:3">
      <c r="A1058" s="16" t="s">
        <v>17</v>
      </c>
      <c r="B1058" s="16" t="s">
        <v>17</v>
      </c>
      <c r="C1058" s="16" t="s">
        <v>17</v>
      </c>
    </row>
    <row r="1060" spans="1:3">
      <c r="A1060" t="s">
        <v>133</v>
      </c>
    </row>
    <row r="1061" spans="1:3">
      <c r="A1061" t="s">
        <v>21</v>
      </c>
      <c r="B1061" s="1">
        <v>293.14999999999998</v>
      </c>
      <c r="C1061" t="s">
        <v>22</v>
      </c>
    </row>
    <row r="1062" spans="1:3">
      <c r="A1062" t="s">
        <v>24</v>
      </c>
      <c r="B1062" s="1">
        <v>101.3</v>
      </c>
      <c r="C1062" t="s">
        <v>25</v>
      </c>
    </row>
    <row r="1063" spans="1:3">
      <c r="A1063" t="s">
        <v>27</v>
      </c>
      <c r="B1063" s="1">
        <v>4</v>
      </c>
      <c r="C1063" t="s">
        <v>28</v>
      </c>
    </row>
    <row r="1064" spans="1:3">
      <c r="A1064" t="s">
        <v>641</v>
      </c>
      <c r="B1064" s="1">
        <v>5600</v>
      </c>
      <c r="C1064" t="s">
        <v>542</v>
      </c>
    </row>
    <row r="1065" spans="1:3">
      <c r="A1065" t="s">
        <v>576</v>
      </c>
      <c r="B1065" s="1">
        <f>50000/5/300</f>
        <v>33.333333333333336</v>
      </c>
      <c r="C1065" t="s">
        <v>644</v>
      </c>
    </row>
    <row r="1066" spans="1:3">
      <c r="A1066" s="16" t="s">
        <v>33</v>
      </c>
      <c r="B1066" s="16" t="s">
        <v>33</v>
      </c>
      <c r="C1066" s="16" t="s">
        <v>33</v>
      </c>
    </row>
    <row r="1067" spans="1:3">
      <c r="A1067" s="13" t="s">
        <v>38</v>
      </c>
      <c r="B1067">
        <f>0.0001708*((B1061/273.15)^1.5)*((393.396)/(B1061+120.246))</f>
        <v>1.8071099473721675E-4</v>
      </c>
      <c r="C1067" t="s">
        <v>39</v>
      </c>
    </row>
    <row r="1068" spans="1:3">
      <c r="A1068" s="13" t="s">
        <v>181</v>
      </c>
      <c r="B1068">
        <f>1+(2/(B1062*B1063*0.752))*(6.32+2.01*EXP(-0.1095*B1062*0.752*B1063))</f>
        <v>1.0414820104597677</v>
      </c>
    </row>
    <row r="1069" spans="1:3">
      <c r="A1069" s="13" t="s">
        <v>642</v>
      </c>
      <c r="B1069">
        <f>B1064*0.00000000048*B1068/(3*PI()*B1067*B1063*0.0001)</f>
        <v>4.1092762858980247</v>
      </c>
      <c r="C1069" t="s">
        <v>645</v>
      </c>
    </row>
    <row r="1070" spans="1:3">
      <c r="A1070" s="13" t="s">
        <v>646</v>
      </c>
      <c r="B1070">
        <f>B1065*B1069</f>
        <v>136.97587619660084</v>
      </c>
      <c r="C1070" t="s">
        <v>31</v>
      </c>
    </row>
    <row r="1072" spans="1:3">
      <c r="A1072" s="16" t="s">
        <v>17</v>
      </c>
      <c r="B1072" s="16" t="s">
        <v>17</v>
      </c>
      <c r="C1072" s="16" t="s">
        <v>17</v>
      </c>
    </row>
    <row r="1074" spans="1:5">
      <c r="A1074" t="s">
        <v>134</v>
      </c>
    </row>
    <row r="1075" spans="1:5">
      <c r="A1075" t="s">
        <v>21</v>
      </c>
      <c r="B1075" s="1">
        <v>293.14999999999998</v>
      </c>
      <c r="C1075" t="s">
        <v>22</v>
      </c>
    </row>
    <row r="1076" spans="1:5">
      <c r="A1076" t="s">
        <v>27</v>
      </c>
      <c r="B1076" s="1">
        <v>1</v>
      </c>
      <c r="C1076" t="s">
        <v>28</v>
      </c>
    </row>
    <row r="1077" spans="1:5">
      <c r="A1077" t="s">
        <v>582</v>
      </c>
      <c r="B1077" s="1">
        <v>50000000</v>
      </c>
      <c r="C1077" t="s">
        <v>583</v>
      </c>
      <c r="D1077" t="s">
        <v>584</v>
      </c>
      <c r="E1077" s="13"/>
    </row>
    <row r="1078" spans="1:5">
      <c r="A1078" t="s">
        <v>585</v>
      </c>
      <c r="B1078" s="1">
        <v>1</v>
      </c>
      <c r="C1078" t="s">
        <v>198</v>
      </c>
      <c r="E1078" s="13"/>
    </row>
    <row r="1079" spans="1:5">
      <c r="A1079" s="16" t="s">
        <v>33</v>
      </c>
      <c r="B1079" s="16" t="s">
        <v>33</v>
      </c>
      <c r="C1079" s="16" t="s">
        <v>33</v>
      </c>
      <c r="D1079" t="s">
        <v>647</v>
      </c>
      <c r="E1079" s="13"/>
    </row>
    <row r="1080" spans="1:5">
      <c r="A1080" s="13" t="s">
        <v>591</v>
      </c>
      <c r="B1080">
        <f>((B1076*1.38E-19*B1075)/(4.608E-19))*LOG10(1+((PI()*B1076*2.4*2.304E-19*B1077*0.0001*B1078)/(2*0.000000000000000138*B1075)))</f>
        <v>3.8879818204192054</v>
      </c>
      <c r="D1080" t="s">
        <v>648</v>
      </c>
    </row>
    <row r="1082" spans="1:5">
      <c r="A1082" s="16" t="s">
        <v>17</v>
      </c>
      <c r="B1082" s="16" t="s">
        <v>17</v>
      </c>
      <c r="C1082" s="16" t="s">
        <v>17</v>
      </c>
    </row>
    <row r="1084" spans="1:5">
      <c r="A1084" t="s">
        <v>135</v>
      </c>
    </row>
    <row r="1085" spans="1:5">
      <c r="A1085" t="s">
        <v>21</v>
      </c>
      <c r="B1085" s="1">
        <v>293.14999999999998</v>
      </c>
      <c r="C1085" t="s">
        <v>22</v>
      </c>
    </row>
    <row r="1086" spans="1:5">
      <c r="A1086" t="s">
        <v>27</v>
      </c>
      <c r="B1086" s="1">
        <v>4</v>
      </c>
      <c r="C1086" t="s">
        <v>28</v>
      </c>
    </row>
    <row r="1087" spans="1:5">
      <c r="A1087" t="s">
        <v>582</v>
      </c>
      <c r="B1087" s="1">
        <v>10000000</v>
      </c>
      <c r="C1087" t="s">
        <v>583</v>
      </c>
    </row>
    <row r="1088" spans="1:5">
      <c r="A1088" t="s">
        <v>585</v>
      </c>
      <c r="B1088" s="1">
        <v>1</v>
      </c>
      <c r="C1088" t="s">
        <v>198</v>
      </c>
    </row>
    <row r="1089" spans="1:3">
      <c r="A1089" t="s">
        <v>587</v>
      </c>
      <c r="B1089" s="1">
        <f>5000/300</f>
        <v>16.666666666666668</v>
      </c>
      <c r="C1089" t="s">
        <v>577</v>
      </c>
    </row>
    <row r="1090" spans="1:3">
      <c r="A1090" t="s">
        <v>588</v>
      </c>
      <c r="B1090" s="1">
        <v>5.0999999999999996</v>
      </c>
    </row>
    <row r="1091" spans="1:3">
      <c r="A1091" s="16" t="s">
        <v>33</v>
      </c>
      <c r="B1091" s="16" t="s">
        <v>33</v>
      </c>
      <c r="C1091" s="16" t="s">
        <v>33</v>
      </c>
    </row>
    <row r="1092" spans="1:3">
      <c r="A1092" s="13" t="s">
        <v>649</v>
      </c>
      <c r="B1092">
        <v>1.3380000000000001</v>
      </c>
      <c r="C1092" t="s">
        <v>650</v>
      </c>
    </row>
    <row r="1093" spans="1:3">
      <c r="A1093" s="13" t="s">
        <v>591</v>
      </c>
      <c r="B1093">
        <f>(1+B1092/2)^2+(2/(+B1092))*((B1090-1)/(B1090+2))*(B1089*B1086*B1086*0.00000001/(0.00000000192))*((PI()*0.00000000048*450*B1087*B1088)/(1+PI()*0.00000000048*450*B1087*B1088))</f>
        <v>1047.6622388641892</v>
      </c>
      <c r="C1093" t="s">
        <v>542</v>
      </c>
    </row>
    <row r="1095" spans="1:3">
      <c r="A1095" s="16" t="s">
        <v>17</v>
      </c>
      <c r="B1095" s="16" t="s">
        <v>17</v>
      </c>
      <c r="C1095" s="16" t="s">
        <v>17</v>
      </c>
    </row>
    <row r="1097" spans="1:3">
      <c r="A1097" t="s">
        <v>136</v>
      </c>
    </row>
    <row r="1098" spans="1:3">
      <c r="A1098" t="s">
        <v>27</v>
      </c>
      <c r="B1098" s="1">
        <v>4</v>
      </c>
      <c r="C1098" t="s">
        <v>28</v>
      </c>
    </row>
    <row r="1099" spans="1:3">
      <c r="A1099" t="s">
        <v>587</v>
      </c>
      <c r="B1099" s="1">
        <f>50000/300/5</f>
        <v>33.333333333333329</v>
      </c>
      <c r="C1099" t="s">
        <v>644</v>
      </c>
    </row>
    <row r="1100" spans="1:3">
      <c r="A1100" t="s">
        <v>588</v>
      </c>
      <c r="B1100" s="1">
        <v>4.3</v>
      </c>
    </row>
    <row r="1101" spans="1:3">
      <c r="A1101" s="16" t="s">
        <v>33</v>
      </c>
      <c r="B1101" s="16" t="s">
        <v>33</v>
      </c>
      <c r="C1101" s="16" t="s">
        <v>33</v>
      </c>
    </row>
    <row r="1102" spans="1:3">
      <c r="A1102" s="13" t="s">
        <v>651</v>
      </c>
      <c r="B1102">
        <f>(3*B1100/(B1100+2))*(B1099*B1098*B1098*0.00000001/(0.00000000192))</f>
        <v>5687.8306878306867</v>
      </c>
      <c r="C1102" t="s">
        <v>652</v>
      </c>
    </row>
    <row r="1104" spans="1:3">
      <c r="A1104" s="16" t="s">
        <v>17</v>
      </c>
      <c r="B1104" s="16" t="s">
        <v>17</v>
      </c>
      <c r="C1104" s="16" t="s">
        <v>17</v>
      </c>
    </row>
    <row r="1106" spans="1:3">
      <c r="A1106" t="s">
        <v>137</v>
      </c>
    </row>
    <row r="1107" spans="1:3">
      <c r="A1107" t="s">
        <v>27</v>
      </c>
      <c r="B1107" s="1">
        <v>1</v>
      </c>
      <c r="C1107" t="s">
        <v>28</v>
      </c>
    </row>
    <row r="1108" spans="1:3">
      <c r="A1108" s="16" t="s">
        <v>33</v>
      </c>
      <c r="B1108" s="16" t="s">
        <v>33</v>
      </c>
      <c r="C1108" s="16" t="s">
        <v>33</v>
      </c>
    </row>
    <row r="1109" spans="1:3">
      <c r="A1109" s="13" t="s">
        <v>653</v>
      </c>
      <c r="B1109" s="6">
        <f>B1107*B1107*0.00667/(4*0.00000000048)</f>
        <v>3473958.333333333</v>
      </c>
      <c r="C1109" t="s">
        <v>654</v>
      </c>
    </row>
    <row r="1110" spans="1:3">
      <c r="A1110" s="13" t="s">
        <v>655</v>
      </c>
      <c r="B1110" s="6">
        <f>B1107*B1107*0.00033/(4*0.00000000048)</f>
        <v>171875</v>
      </c>
      <c r="C1110" t="s">
        <v>542</v>
      </c>
    </row>
    <row r="1112" spans="1:3">
      <c r="A1112" s="16" t="s">
        <v>17</v>
      </c>
      <c r="B1112" s="16" t="s">
        <v>17</v>
      </c>
      <c r="C1112" s="16" t="s">
        <v>17</v>
      </c>
    </row>
    <row r="1114" spans="1:3">
      <c r="A1114" t="s">
        <v>138</v>
      </c>
    </row>
    <row r="1115" spans="1:3">
      <c r="A1115" t="s">
        <v>27</v>
      </c>
      <c r="B1115" s="1">
        <v>0.1</v>
      </c>
      <c r="C1115" t="s">
        <v>28</v>
      </c>
    </row>
    <row r="1116" spans="1:3">
      <c r="A1116" t="s">
        <v>562</v>
      </c>
      <c r="B1116" s="1">
        <v>72</v>
      </c>
      <c r="C1116" t="s">
        <v>656</v>
      </c>
    </row>
    <row r="1117" spans="1:3">
      <c r="A1117" s="16" t="s">
        <v>33</v>
      </c>
      <c r="B1117" s="16" t="s">
        <v>33</v>
      </c>
      <c r="C1117" s="16" t="s">
        <v>33</v>
      </c>
    </row>
    <row r="1118" spans="1:3">
      <c r="A1118" s="13" t="s">
        <v>657</v>
      </c>
      <c r="B1118" s="4">
        <f>(SQRT(2*PI()*B1116*B1115*B1115*B1115*0.000000000001)/0.00000000048)</f>
        <v>1401.2478040994822</v>
      </c>
      <c r="C1118" t="s">
        <v>542</v>
      </c>
    </row>
    <row r="1120" spans="1:3">
      <c r="A1120" s="16" t="s">
        <v>17</v>
      </c>
      <c r="B1120" s="16" t="s">
        <v>17</v>
      </c>
      <c r="C1120" s="16" t="s">
        <v>17</v>
      </c>
    </row>
    <row r="1122" spans="1:4">
      <c r="A1122" t="s">
        <v>139</v>
      </c>
    </row>
    <row r="1123" spans="1:4">
      <c r="A1123" t="s">
        <v>206</v>
      </c>
      <c r="B1123" s="1">
        <v>293.14999999999998</v>
      </c>
      <c r="C1123" t="s">
        <v>22</v>
      </c>
    </row>
    <row r="1124" spans="1:4">
      <c r="A1124" t="s">
        <v>658</v>
      </c>
      <c r="B1124" s="1">
        <v>10</v>
      </c>
      <c r="C1124" t="s">
        <v>28</v>
      </c>
      <c r="D1124" t="str">
        <f>IF(B1124&lt;0.02,"Diameter must be &gt; 0.02µm for anwer to be within 10%","")</f>
        <v/>
      </c>
    </row>
    <row r="1125" spans="1:4">
      <c r="A1125" t="s">
        <v>659</v>
      </c>
      <c r="B1125" s="1">
        <v>2</v>
      </c>
      <c r="C1125" t="s">
        <v>542</v>
      </c>
    </row>
    <row r="1126" spans="1:4">
      <c r="A1126" t="s">
        <v>399</v>
      </c>
      <c r="B1126" t="s">
        <v>399</v>
      </c>
      <c r="C1126" t="s">
        <v>400</v>
      </c>
    </row>
    <row r="1127" spans="1:4">
      <c r="A1127" s="13" t="s">
        <v>660</v>
      </c>
      <c r="B1127">
        <f>(2*0.0000000004803/(SQRT(PI()*B1123*B1124*1.38E-20)))</f>
        <v>8.5208545790729118E-2</v>
      </c>
    </row>
    <row r="1128" spans="1:4">
      <c r="A1128" s="13" t="s">
        <v>661</v>
      </c>
      <c r="B1128">
        <f>IF(B1125=0,B1127*EXP((-B1125*B1125*2.304E-19)/(B1123*B1124*1.38E-20))*100/2,B1127*EXP((-B1125*B1125*2.304E-19)/(B1123*B1124*1.38E-20))*100)</f>
        <v>8.3289350423764912</v>
      </c>
      <c r="C1128" t="str">
        <f>IF(B1125=0,"","half positive/half negative charges")</f>
        <v>half positive/half negative charges</v>
      </c>
    </row>
    <row r="1130" spans="1:4">
      <c r="A1130" s="16" t="s">
        <v>17</v>
      </c>
      <c r="B1130" s="16" t="s">
        <v>17</v>
      </c>
      <c r="C1130" s="16" t="s">
        <v>17</v>
      </c>
    </row>
    <row r="1132" spans="1:4">
      <c r="A1132" t="s">
        <v>140</v>
      </c>
    </row>
    <row r="1133" spans="1:4">
      <c r="A1133" t="s">
        <v>662</v>
      </c>
      <c r="B1133" s="1">
        <v>10</v>
      </c>
      <c r="C1133" t="s">
        <v>198</v>
      </c>
    </row>
    <row r="1134" spans="1:4">
      <c r="A1134" t="s">
        <v>582</v>
      </c>
      <c r="B1134" s="1">
        <v>50000</v>
      </c>
      <c r="C1134" t="s">
        <v>663</v>
      </c>
    </row>
    <row r="1135" spans="1:4">
      <c r="A1135" s="16" t="s">
        <v>33</v>
      </c>
      <c r="B1135" s="16" t="s">
        <v>33</v>
      </c>
      <c r="C1135" s="16" t="s">
        <v>33</v>
      </c>
    </row>
    <row r="1136" spans="1:4">
      <c r="A1136" s="13" t="s">
        <v>664</v>
      </c>
      <c r="B1136">
        <f>IF(EXP(-0.00000271434*B1133*B1134)&lt;0.001,0,EXP(-0.00000271434*B1133*B1134))</f>
        <v>0.25738815570781315</v>
      </c>
    </row>
    <row r="1138" spans="1:3">
      <c r="A1138" s="16" t="s">
        <v>17</v>
      </c>
      <c r="B1138" s="16" t="s">
        <v>17</v>
      </c>
      <c r="C1138" s="16" t="s">
        <v>17</v>
      </c>
    </row>
    <row r="1140" spans="1:3">
      <c r="A1140" t="s">
        <v>141</v>
      </c>
    </row>
    <row r="1141" spans="1:3">
      <c r="A1141" t="s">
        <v>665</v>
      </c>
      <c r="B1141" s="1"/>
    </row>
    <row r="1142" spans="1:3">
      <c r="A1142" t="s">
        <v>21</v>
      </c>
      <c r="B1142" s="1">
        <v>293.14999999999998</v>
      </c>
      <c r="C1142" t="s">
        <v>22</v>
      </c>
    </row>
    <row r="1143" spans="1:3">
      <c r="A1143" t="s">
        <v>24</v>
      </c>
      <c r="B1143" s="1">
        <v>101.3</v>
      </c>
      <c r="C1143" t="s">
        <v>25</v>
      </c>
    </row>
    <row r="1144" spans="1:3">
      <c r="A1144" t="s">
        <v>27</v>
      </c>
      <c r="B1144" s="1">
        <v>4</v>
      </c>
      <c r="C1144" t="s">
        <v>28</v>
      </c>
    </row>
    <row r="1145" spans="1:3">
      <c r="A1145" t="s">
        <v>641</v>
      </c>
      <c r="B1145" s="1">
        <v>5600</v>
      </c>
      <c r="C1145" t="s">
        <v>542</v>
      </c>
    </row>
    <row r="1146" spans="1:3">
      <c r="A1146" t="s">
        <v>666</v>
      </c>
      <c r="B1146" s="1">
        <v>260.5</v>
      </c>
      <c r="C1146" t="s">
        <v>51</v>
      </c>
    </row>
    <row r="1147" spans="1:3">
      <c r="A1147" t="s">
        <v>50</v>
      </c>
      <c r="B1147" s="1">
        <v>5.2</v>
      </c>
      <c r="C1147" t="s">
        <v>51</v>
      </c>
    </row>
    <row r="1148" spans="1:3">
      <c r="A1148" t="s">
        <v>473</v>
      </c>
      <c r="B1148" s="1">
        <f>2050/60/(PI()*B1147^2)</f>
        <v>0.40220369001280254</v>
      </c>
      <c r="C1148" t="s">
        <v>31</v>
      </c>
    </row>
    <row r="1149" spans="1:3">
      <c r="A1149" t="s">
        <v>397</v>
      </c>
      <c r="B1149" s="1">
        <v>10</v>
      </c>
      <c r="C1149" t="s">
        <v>427</v>
      </c>
    </row>
    <row r="1150" spans="1:3">
      <c r="A1150" s="16" t="s">
        <v>33</v>
      </c>
      <c r="B1150" s="16" t="s">
        <v>33</v>
      </c>
      <c r="C1150" s="16" t="s">
        <v>33</v>
      </c>
    </row>
    <row r="1151" spans="1:3">
      <c r="A1151" s="13" t="s">
        <v>38</v>
      </c>
      <c r="B1151">
        <f>0.0001708*((B1142/273.15)^1.5)*((393.396)/(B1142+120.246))</f>
        <v>1.8071099473721675E-4</v>
      </c>
      <c r="C1151" t="s">
        <v>39</v>
      </c>
    </row>
    <row r="1152" spans="1:3">
      <c r="A1152" s="13" t="s">
        <v>181</v>
      </c>
      <c r="B1152">
        <f>1+(2/(B1143*B1144*0.752))*(6.32+2.01*EXP(-0.1095*B1143*0.752*B1144))</f>
        <v>1.0414820104597677</v>
      </c>
    </row>
    <row r="1153" spans="1:3">
      <c r="A1153" s="13" t="s">
        <v>188</v>
      </c>
      <c r="B1153">
        <f>B1152/(3*PI()*B1151*0.0001*B1144)</f>
        <v>1528748.6182656344</v>
      </c>
    </row>
    <row r="1154" spans="1:3">
      <c r="A1154" s="13" t="s">
        <v>642</v>
      </c>
      <c r="B1154">
        <f>B1145*0.00000000048*B1152/(3*PI()*B1151*0.0001*B1144)</f>
        <v>4.1092762858980247</v>
      </c>
      <c r="C1154" t="s">
        <v>643</v>
      </c>
    </row>
    <row r="1155" spans="1:3">
      <c r="A1155" s="15" t="s">
        <v>667</v>
      </c>
      <c r="B1155">
        <f>4*PI()*B1153*(B1145*0.00000000048)^2</f>
        <v>1.3880479540137356E-4</v>
      </c>
    </row>
    <row r="1156" spans="1:3">
      <c r="A1156" s="13" t="s">
        <v>514</v>
      </c>
      <c r="B1156">
        <f>1/((1/B1149)+4*PI()*B1145*B1145*0.00000000048^2*B1153*B1146/B1148)</f>
        <v>5.2658923808374469</v>
      </c>
      <c r="C1156" t="s">
        <v>427</v>
      </c>
    </row>
    <row r="1157" spans="1:3">
      <c r="A1157" s="15" t="s">
        <v>668</v>
      </c>
      <c r="B1157">
        <f>100-(B1156/B1149)*100</f>
        <v>47.341076191625532</v>
      </c>
      <c r="C1157" t="s">
        <v>669</v>
      </c>
    </row>
    <row r="1158" spans="1:3">
      <c r="A1158" s="13"/>
    </row>
    <row r="1159" spans="1:3">
      <c r="A1159" s="16" t="s">
        <v>17</v>
      </c>
      <c r="B1159" s="16" t="s">
        <v>17</v>
      </c>
      <c r="C1159" s="16" t="s">
        <v>17</v>
      </c>
    </row>
    <row r="1160" spans="1:3">
      <c r="A1160" s="15"/>
    </row>
    <row r="1161" spans="1:3">
      <c r="A1161" t="s">
        <v>142</v>
      </c>
    </row>
    <row r="1162" spans="1:3">
      <c r="A1162" t="s">
        <v>670</v>
      </c>
      <c r="B1162" s="1"/>
    </row>
    <row r="1163" spans="1:3">
      <c r="A1163" t="s">
        <v>291</v>
      </c>
      <c r="B1163" s="1"/>
    </row>
    <row r="1164" spans="1:3">
      <c r="A1164" t="s">
        <v>21</v>
      </c>
      <c r="B1164" s="1">
        <v>293.14999999999998</v>
      </c>
      <c r="C1164" t="s">
        <v>22</v>
      </c>
    </row>
    <row r="1165" spans="1:3">
      <c r="A1165" t="s">
        <v>24</v>
      </c>
      <c r="B1165" s="1">
        <v>101.3</v>
      </c>
      <c r="C1165" t="s">
        <v>25</v>
      </c>
    </row>
    <row r="1166" spans="1:3">
      <c r="A1166" t="s">
        <v>27</v>
      </c>
      <c r="B1166" s="1">
        <v>0.01</v>
      </c>
      <c r="C1166" t="s">
        <v>28</v>
      </c>
    </row>
    <row r="1167" spans="1:3">
      <c r="A1167" t="s">
        <v>641</v>
      </c>
      <c r="B1167" s="1">
        <v>1</v>
      </c>
      <c r="C1167" t="s">
        <v>542</v>
      </c>
    </row>
    <row r="1168" spans="1:3">
      <c r="A1168" t="s">
        <v>666</v>
      </c>
      <c r="B1168" s="1">
        <f>1*2000/7.038</f>
        <v>284.17163967036089</v>
      </c>
      <c r="C1168" t="s">
        <v>51</v>
      </c>
    </row>
    <row r="1169" spans="1:5">
      <c r="A1169" t="s">
        <v>50</v>
      </c>
      <c r="B1169" s="1">
        <v>0.01</v>
      </c>
      <c r="C1169" t="s">
        <v>51</v>
      </c>
    </row>
    <row r="1170" spans="1:5">
      <c r="A1170" t="s">
        <v>473</v>
      </c>
      <c r="B1170" s="1">
        <f>1000/60/(PI()*0.432*0.432)</f>
        <v>28.427023157417295</v>
      </c>
      <c r="C1170" t="s">
        <v>31</v>
      </c>
    </row>
    <row r="1171" spans="1:5">
      <c r="A1171" s="16" t="s">
        <v>33</v>
      </c>
      <c r="B1171" s="16" t="s">
        <v>33</v>
      </c>
      <c r="C1171" s="16" t="s">
        <v>33</v>
      </c>
    </row>
    <row r="1172" spans="1:5">
      <c r="A1172" s="13" t="s">
        <v>38</v>
      </c>
      <c r="B1172">
        <f>0.0001708*((B1164/273.15)^1.5)*((393.396)/(B1164+120.246))</f>
        <v>1.8071099473721675E-4</v>
      </c>
      <c r="C1172" t="s">
        <v>39</v>
      </c>
    </row>
    <row r="1173" spans="1:5">
      <c r="A1173" s="13" t="s">
        <v>181</v>
      </c>
      <c r="B1173">
        <f>1+(2/(B1165*B1166*0.752))*(6.32+2.01*EXP(-0.1095*B1165*0.752*B1166))</f>
        <v>22.447615127350385</v>
      </c>
    </row>
    <row r="1174" spans="1:5">
      <c r="A1174" s="13" t="s">
        <v>642</v>
      </c>
      <c r="B1174">
        <f>B1167*0.00000000048*B1173/(3*PI()*B1172*0.0001*B1166)</f>
        <v>6.32638679383055</v>
      </c>
      <c r="C1174" t="s">
        <v>643</v>
      </c>
    </row>
    <row r="1175" spans="1:5">
      <c r="A1175" s="13" t="s">
        <v>671</v>
      </c>
      <c r="B1175">
        <f>2*B1174*0.00000000048*B1167*B1167*B1168/(B1170*B1169^3)</f>
        <v>6.0712249414893588E-2</v>
      </c>
    </row>
    <row r="1176" spans="1:5">
      <c r="A1176" s="13" t="s">
        <v>671</v>
      </c>
      <c r="B1176">
        <f ca="1">2*((1/SQRT(1-SQRT(1-B1178)))+2*LN(SQRT(1-SQRT(1-B1178)))-(1-SQRT(1-B1178))+((SQRT(1-SQRT(1-B1178)))^3/3)-0.333333)</f>
        <v>6.0712249414893615E-2</v>
      </c>
    </row>
    <row r="1177" spans="1:5">
      <c r="A1177" s="13" t="s">
        <v>671</v>
      </c>
      <c r="B1177">
        <f ca="1">IF(B1178&gt;0.99,0.99,IF(B1178&lt;0.01,0.01,B1178))</f>
        <v>0.55801446214060602</v>
      </c>
    </row>
    <row r="1178" spans="1:5">
      <c r="A1178" s="13" t="s">
        <v>672</v>
      </c>
      <c r="B1178">
        <f ca="1">IF(B1175&gt;17,0.01,IF(B1175&lt;0.000008,0.99,B1177+IF(B1177&gt;0.9,(LOG(B1176)-LOG(B1175))*ABS(1-B1177)^1.5,IF(B1177&lt;0.1,(LOG(B1176)-LOG(B1175))*ABS(B1177)^1.5,(LOG(B1176)-LOG(B1175))/25))))</f>
        <v>0.55801446214060602</v>
      </c>
      <c r="C1178" t="s">
        <v>673</v>
      </c>
    </row>
    <row r="1179" spans="1:5">
      <c r="A1179" s="13" t="s">
        <v>668</v>
      </c>
      <c r="B1179" s="14">
        <f ca="1">IF(B1178=0.99,"&lt; 1",IF(B1178=0.01,"&gt;99",(1-B1178)*100))</f>
        <v>44.198553785939396</v>
      </c>
      <c r="C1179" t="s">
        <v>669</v>
      </c>
    </row>
    <row r="1180" spans="1:5">
      <c r="A1180" s="15"/>
    </row>
    <row r="1181" spans="1:5">
      <c r="A1181" s="16" t="s">
        <v>17</v>
      </c>
      <c r="B1181" s="16" t="s">
        <v>17</v>
      </c>
      <c r="C1181" s="16" t="s">
        <v>17</v>
      </c>
    </row>
    <row r="1182" spans="1:5">
      <c r="A1182" s="15"/>
    </row>
    <row r="1183" spans="1:5">
      <c r="A1183" t="s">
        <v>144</v>
      </c>
      <c r="E1183" s="13"/>
    </row>
    <row r="1184" spans="1:5">
      <c r="A1184" s="10" t="s">
        <v>674</v>
      </c>
      <c r="B1184" s="1"/>
      <c r="E1184" s="13"/>
    </row>
    <row r="1185" spans="1:5">
      <c r="A1185" s="10" t="s">
        <v>675</v>
      </c>
      <c r="B1185" s="1">
        <v>5.0000000000000001E-4</v>
      </c>
      <c r="C1185" t="s">
        <v>676</v>
      </c>
      <c r="E1185" s="13"/>
    </row>
    <row r="1186" spans="1:5">
      <c r="A1186" s="10" t="s">
        <v>677</v>
      </c>
      <c r="B1186" s="1">
        <v>100</v>
      </c>
      <c r="C1186" t="s">
        <v>402</v>
      </c>
      <c r="E1186" s="13"/>
    </row>
    <row r="1187" spans="1:5">
      <c r="A1187" s="16" t="s">
        <v>33</v>
      </c>
      <c r="B1187" s="16" t="s">
        <v>33</v>
      </c>
      <c r="C1187" s="16" t="s">
        <v>33</v>
      </c>
      <c r="E1187" s="13"/>
    </row>
    <row r="1188" spans="1:5">
      <c r="A1188" s="13" t="s">
        <v>678</v>
      </c>
      <c r="B1188">
        <f>B1186*(EXP(-B1186*B1185))</f>
        <v>95.122942450071406</v>
      </c>
      <c r="E1188" s="13"/>
    </row>
    <row r="1189" spans="1:5">
      <c r="A1189" s="13" t="s">
        <v>679</v>
      </c>
      <c r="B1189" s="5">
        <f>((B1186-B1188)/B1186)*100</f>
        <v>4.877057549928594</v>
      </c>
      <c r="C1189" t="s">
        <v>390</v>
      </c>
      <c r="E1189" s="13"/>
    </row>
    <row r="1190" spans="1:5">
      <c r="E1190" s="13"/>
    </row>
    <row r="1191" spans="1:5">
      <c r="A1191" s="16" t="s">
        <v>17</v>
      </c>
      <c r="B1191" s="16" t="s">
        <v>17</v>
      </c>
      <c r="C1191" s="16" t="s">
        <v>17</v>
      </c>
    </row>
    <row r="1193" spans="1:5">
      <c r="A1193" t="s">
        <v>145</v>
      </c>
    </row>
    <row r="1194" spans="1:5">
      <c r="A1194" t="s">
        <v>680</v>
      </c>
    </row>
    <row r="1195" spans="1:5">
      <c r="A1195" t="s">
        <v>681</v>
      </c>
      <c r="B1195" s="1"/>
      <c r="D1195" s="27"/>
      <c r="E1195" s="31" t="s">
        <v>682</v>
      </c>
    </row>
    <row r="1196" spans="1:5">
      <c r="A1196" t="s">
        <v>21</v>
      </c>
      <c r="B1196" s="1">
        <v>293.14999999999998</v>
      </c>
      <c r="C1196" t="s">
        <v>22</v>
      </c>
      <c r="D1196" s="17"/>
      <c r="E1196" s="22" t="s">
        <v>683</v>
      </c>
    </row>
    <row r="1197" spans="1:5">
      <c r="A1197" t="s">
        <v>24</v>
      </c>
      <c r="B1197" s="1">
        <v>101.3</v>
      </c>
      <c r="C1197" t="s">
        <v>25</v>
      </c>
      <c r="D1197" s="35" t="s">
        <v>684</v>
      </c>
      <c r="E1197" s="39" t="s">
        <v>685</v>
      </c>
    </row>
    <row r="1198" spans="1:5">
      <c r="A1198" t="s">
        <v>686</v>
      </c>
      <c r="B1198" s="1">
        <v>5</v>
      </c>
      <c r="C1198" t="s">
        <v>387</v>
      </c>
      <c r="D1198" s="20">
        <v>0.05</v>
      </c>
      <c r="E1198" s="24">
        <v>0.2</v>
      </c>
    </row>
    <row r="1199" spans="1:5">
      <c r="A1199" t="s">
        <v>687</v>
      </c>
      <c r="B1199" s="1">
        <v>10</v>
      </c>
      <c r="C1199" t="s">
        <v>385</v>
      </c>
      <c r="D1199" s="20">
        <v>0.1</v>
      </c>
      <c r="E1199" s="24">
        <v>0.4</v>
      </c>
    </row>
    <row r="1200" spans="1:5">
      <c r="A1200" s="16" t="s">
        <v>33</v>
      </c>
      <c r="B1200" s="16" t="s">
        <v>33</v>
      </c>
      <c r="C1200" s="16" t="s">
        <v>33</v>
      </c>
      <c r="D1200" s="20">
        <v>0.15</v>
      </c>
      <c r="E1200" s="24">
        <v>0.53</v>
      </c>
    </row>
    <row r="1201" spans="1:5">
      <c r="A1201" s="13" t="s">
        <v>38</v>
      </c>
      <c r="B1201">
        <f>0.0001708*((B1196/273.15)^1.5)*((393.396)/(B1196+120.246))</f>
        <v>1.8071099473721675E-4</v>
      </c>
      <c r="C1201" t="s">
        <v>39</v>
      </c>
      <c r="D1201" s="20">
        <v>0.2</v>
      </c>
      <c r="E1201" s="24">
        <v>0.66</v>
      </c>
    </row>
    <row r="1202" spans="1:5">
      <c r="A1202" s="13" t="s">
        <v>35</v>
      </c>
      <c r="B1202">
        <f>0.001293*(273.15/B1196)/(101.3/B1197)</f>
        <v>1.2047857752004094E-3</v>
      </c>
      <c r="C1202" t="s">
        <v>153</v>
      </c>
      <c r="D1202" s="20">
        <v>0.3</v>
      </c>
      <c r="E1202" s="24">
        <v>0.8</v>
      </c>
    </row>
    <row r="1203" spans="1:5">
      <c r="A1203" s="13" t="s">
        <v>688</v>
      </c>
      <c r="B1203">
        <f>B1201*B1199/(B1202*B1198*B1198)</f>
        <v>5.9997718584337202E-2</v>
      </c>
      <c r="C1203" t="s">
        <v>689</v>
      </c>
      <c r="D1203" s="20">
        <v>0.4</v>
      </c>
      <c r="E1203" s="24">
        <v>0.88</v>
      </c>
    </row>
    <row r="1204" spans="1:5">
      <c r="D1204" s="35">
        <v>0.5</v>
      </c>
      <c r="E1204" s="39">
        <v>0.92</v>
      </c>
    </row>
    <row r="1205" spans="1:5">
      <c r="D1205" t="s">
        <v>690</v>
      </c>
    </row>
    <row r="1206" spans="1:5">
      <c r="A1206" s="16" t="s">
        <v>17</v>
      </c>
      <c r="B1206" s="16" t="s">
        <v>17</v>
      </c>
      <c r="C1206" s="16" t="s">
        <v>17</v>
      </c>
    </row>
    <row r="1208" spans="1:5">
      <c r="A1208" t="s">
        <v>146</v>
      </c>
    </row>
    <row r="1209" spans="1:5">
      <c r="A1209" t="s">
        <v>21</v>
      </c>
      <c r="B1209" s="1">
        <v>293.14999999999998</v>
      </c>
      <c r="C1209" t="s">
        <v>22</v>
      </c>
    </row>
    <row r="1210" spans="1:5">
      <c r="A1210" t="s">
        <v>347</v>
      </c>
      <c r="B1210" s="1">
        <v>72.75</v>
      </c>
      <c r="C1210" t="s">
        <v>348</v>
      </c>
    </row>
    <row r="1211" spans="1:5">
      <c r="A1211" t="s">
        <v>691</v>
      </c>
      <c r="B1211" s="1">
        <v>18</v>
      </c>
      <c r="C1211" t="s">
        <v>350</v>
      </c>
    </row>
    <row r="1212" spans="1:5">
      <c r="A1212" t="s">
        <v>351</v>
      </c>
      <c r="B1212" s="1">
        <v>1</v>
      </c>
      <c r="C1212" t="s">
        <v>153</v>
      </c>
    </row>
    <row r="1213" spans="1:5">
      <c r="A1213" t="s">
        <v>692</v>
      </c>
      <c r="B1213" s="1">
        <v>58.45</v>
      </c>
      <c r="C1213" t="s">
        <v>350</v>
      </c>
    </row>
    <row r="1214" spans="1:5">
      <c r="A1214" t="s">
        <v>693</v>
      </c>
      <c r="B1214" s="1">
        <v>2</v>
      </c>
    </row>
    <row r="1215" spans="1:5">
      <c r="A1215" t="s">
        <v>694</v>
      </c>
      <c r="B1215" s="1">
        <v>0.1</v>
      </c>
      <c r="C1215" t="s">
        <v>28</v>
      </c>
    </row>
    <row r="1216" spans="1:5">
      <c r="A1216" t="s">
        <v>695</v>
      </c>
      <c r="B1216" s="1">
        <f>4*PI()*(B1215*0.0001)^3/3*2.165</f>
        <v>9.0687307933625393E-15</v>
      </c>
      <c r="C1216" t="s">
        <v>696</v>
      </c>
    </row>
    <row r="1217" spans="1:4">
      <c r="A1217" t="s">
        <v>697</v>
      </c>
      <c r="B1217">
        <f>B1215*8.5</f>
        <v>0.85000000000000009</v>
      </c>
      <c r="C1217" t="s">
        <v>28</v>
      </c>
    </row>
    <row r="1218" spans="1:4">
      <c r="A1218" s="16" t="s">
        <v>33</v>
      </c>
      <c r="B1218" s="16" t="s">
        <v>33</v>
      </c>
      <c r="C1218" s="16" t="s">
        <v>33</v>
      </c>
    </row>
    <row r="1219" spans="1:4">
      <c r="A1219" s="13" t="s">
        <v>698</v>
      </c>
      <c r="B1219">
        <f>(1+(6*B1214*B1216*B1213/(B1211*B1212*PI()*B1217^3)))^(-1)*EXP(4*B1210*B1211/(B1212*83100000*B1209*B1217))</f>
        <v>1.0000002529620584</v>
      </c>
      <c r="C1219" s="13"/>
    </row>
    <row r="1220" spans="1:4">
      <c r="A1220" s="13"/>
    </row>
    <row r="1221" spans="1:4">
      <c r="A1221" s="16" t="s">
        <v>17</v>
      </c>
      <c r="B1221" s="16" t="s">
        <v>17</v>
      </c>
      <c r="C1221" s="16" t="s">
        <v>17</v>
      </c>
    </row>
    <row r="1223" spans="1:4">
      <c r="A1223" t="s">
        <v>147</v>
      </c>
    </row>
    <row r="1224" spans="1:4">
      <c r="A1224" t="s">
        <v>699</v>
      </c>
    </row>
    <row r="1225" spans="1:4">
      <c r="A1225" t="s">
        <v>21</v>
      </c>
      <c r="B1225" s="1">
        <v>293.14999999999998</v>
      </c>
      <c r="C1225" t="s">
        <v>22</v>
      </c>
    </row>
    <row r="1226" spans="1:4">
      <c r="A1226" t="s">
        <v>347</v>
      </c>
      <c r="B1226" s="1">
        <v>72.75</v>
      </c>
      <c r="C1226" t="s">
        <v>348</v>
      </c>
      <c r="D1226" t="s">
        <v>700</v>
      </c>
    </row>
    <row r="1227" spans="1:4">
      <c r="A1227" t="s">
        <v>69</v>
      </c>
      <c r="B1227" s="1">
        <v>18</v>
      </c>
      <c r="C1227" t="s">
        <v>350</v>
      </c>
    </row>
    <row r="1228" spans="1:4">
      <c r="A1228" t="s">
        <v>351</v>
      </c>
      <c r="B1228" s="1">
        <v>1</v>
      </c>
      <c r="C1228" t="s">
        <v>153</v>
      </c>
    </row>
    <row r="1229" spans="1:4">
      <c r="A1229" t="s">
        <v>352</v>
      </c>
      <c r="B1229" s="1">
        <v>1.24</v>
      </c>
    </row>
    <row r="1230" spans="1:4">
      <c r="A1230" t="s">
        <v>701</v>
      </c>
      <c r="B1230" s="1">
        <v>1E-3</v>
      </c>
      <c r="C1230" t="s">
        <v>702</v>
      </c>
    </row>
    <row r="1231" spans="1:4">
      <c r="A1231" t="s">
        <v>703</v>
      </c>
      <c r="B1231" s="1">
        <v>1E-4</v>
      </c>
      <c r="C1231" t="s">
        <v>702</v>
      </c>
    </row>
    <row r="1232" spans="1:4">
      <c r="A1232" t="s">
        <v>697</v>
      </c>
      <c r="B1232">
        <v>0.01</v>
      </c>
      <c r="C1232" t="s">
        <v>28</v>
      </c>
    </row>
    <row r="1233" spans="1:6">
      <c r="A1233" s="16" t="s">
        <v>33</v>
      </c>
      <c r="B1233" s="16" t="s">
        <v>33</v>
      </c>
      <c r="C1233" s="16" t="s">
        <v>33</v>
      </c>
    </row>
    <row r="1234" spans="1:6">
      <c r="A1234" s="13" t="s">
        <v>704</v>
      </c>
      <c r="B1234">
        <f>LN(B1229)*(4*B1226*B1230/(83100000*B1225*B1232*0.0001)-6*B1231*B1230/(PI()*(B1232*0.0001)^3))</f>
        <v>-41083247257.624855</v>
      </c>
      <c r="C1234" t="s">
        <v>28</v>
      </c>
    </row>
    <row r="1236" spans="1:6">
      <c r="A1236" s="16" t="s">
        <v>17</v>
      </c>
      <c r="B1236" s="16" t="s">
        <v>17</v>
      </c>
      <c r="C1236" s="16" t="s">
        <v>17</v>
      </c>
    </row>
    <row r="1238" spans="1:6">
      <c r="A1238" t="s">
        <v>149</v>
      </c>
    </row>
    <row r="1239" spans="1:6">
      <c r="A1239" t="s">
        <v>705</v>
      </c>
      <c r="B1239">
        <v>293.14999999999998</v>
      </c>
      <c r="C1239" t="s">
        <v>706</v>
      </c>
      <c r="E1239" s="27"/>
      <c r="F1239" s="30" t="s">
        <v>707</v>
      </c>
    </row>
    <row r="1240" spans="1:6">
      <c r="A1240" t="s">
        <v>708</v>
      </c>
      <c r="B1240">
        <v>584.9</v>
      </c>
      <c r="C1240" t="s">
        <v>709</v>
      </c>
      <c r="E1240" s="20" t="s">
        <v>710</v>
      </c>
      <c r="F1240" s="25" t="s">
        <v>711</v>
      </c>
    </row>
    <row r="1241" spans="1:6">
      <c r="A1241" t="s">
        <v>712</v>
      </c>
      <c r="B1241">
        <v>5.5999999999999999E-5</v>
      </c>
      <c r="C1241" t="s">
        <v>713</v>
      </c>
      <c r="E1241" s="20">
        <v>0</v>
      </c>
      <c r="F1241" s="24">
        <v>595.9</v>
      </c>
    </row>
    <row r="1242" spans="1:6">
      <c r="A1242" t="s">
        <v>714</v>
      </c>
      <c r="B1242">
        <v>0.24</v>
      </c>
      <c r="C1242" t="s">
        <v>184</v>
      </c>
      <c r="E1242" s="20">
        <v>10</v>
      </c>
      <c r="F1242" s="24">
        <v>590.4</v>
      </c>
    </row>
    <row r="1243" spans="1:6">
      <c r="A1243" t="s">
        <v>715</v>
      </c>
      <c r="B1243">
        <v>18</v>
      </c>
      <c r="C1243" t="s">
        <v>70</v>
      </c>
      <c r="E1243" s="20">
        <v>20</v>
      </c>
      <c r="F1243" s="24">
        <v>584.9</v>
      </c>
    </row>
    <row r="1244" spans="1:6">
      <c r="A1244" t="s">
        <v>716</v>
      </c>
      <c r="B1244">
        <v>23774.948616834383</v>
      </c>
      <c r="C1244" t="s">
        <v>74</v>
      </c>
      <c r="E1244" s="35">
        <v>30</v>
      </c>
      <c r="F1244" s="39">
        <v>579.5</v>
      </c>
    </row>
    <row r="1245" spans="1:6">
      <c r="A1245" t="s">
        <v>717</v>
      </c>
      <c r="B1245">
        <v>40</v>
      </c>
      <c r="C1245" t="s">
        <v>669</v>
      </c>
    </row>
    <row r="1246" spans="1:6">
      <c r="A1246" t="s">
        <v>347</v>
      </c>
      <c r="B1246" s="1">
        <v>72.7</v>
      </c>
      <c r="C1246" t="s">
        <v>348</v>
      </c>
    </row>
    <row r="1247" spans="1:6">
      <c r="A1247" t="s">
        <v>351</v>
      </c>
      <c r="B1247" s="1">
        <v>1.5</v>
      </c>
      <c r="C1247" t="s">
        <v>153</v>
      </c>
    </row>
    <row r="1248" spans="1:6">
      <c r="A1248" t="s">
        <v>354</v>
      </c>
      <c r="B1248" s="1">
        <v>1.0666999999999999E-2</v>
      </c>
      <c r="C1248" t="s">
        <v>28</v>
      </c>
    </row>
    <row r="1249" spans="1:3">
      <c r="A1249" s="16" t="s">
        <v>33</v>
      </c>
      <c r="B1249" s="16" t="s">
        <v>33</v>
      </c>
      <c r="C1249" s="16" t="s">
        <v>33</v>
      </c>
    </row>
    <row r="1250" spans="1:3">
      <c r="A1250" s="13" t="s">
        <v>718</v>
      </c>
      <c r="B1250">
        <f>EXP(4*B1246*B1243/(B1247*83100000*B1239*B1248*0.0001))*B1244</f>
        <v>27191.97961851026</v>
      </c>
    </row>
    <row r="1251" spans="1:3">
      <c r="A1251" s="11" t="s">
        <v>476</v>
      </c>
      <c r="B1251">
        <f ca="1">B1239+(B1240*B1243*B1242/(B1241*83100000))*(B1244*B1245/(100*B1239)-(B1250/B1252))</f>
        <v>252.2282814726241</v>
      </c>
    </row>
    <row r="1252" spans="1:3">
      <c r="A1252" s="13" t="s">
        <v>719</v>
      </c>
      <c r="B1252">
        <f ca="1">B1239+(B1240*B1243*B1242/(B1241*83100000))*(B1244*B1245/(100*B1239)-(B1250/B1251))</f>
        <v>252.2282814726241</v>
      </c>
      <c r="C1252" s="13"/>
    </row>
    <row r="1254" spans="1:3">
      <c r="A1254" s="16" t="s">
        <v>17</v>
      </c>
      <c r="B1254" s="16" t="s">
        <v>17</v>
      </c>
      <c r="C1254" s="16" t="s">
        <v>17</v>
      </c>
    </row>
    <row r="1256" spans="1:3">
      <c r="A1256" t="s">
        <v>150</v>
      </c>
    </row>
    <row r="1257" spans="1:3">
      <c r="A1257" t="s">
        <v>21</v>
      </c>
      <c r="B1257" s="1">
        <v>293.14999999999998</v>
      </c>
      <c r="C1257" t="s">
        <v>22</v>
      </c>
    </row>
    <row r="1258" spans="1:3">
      <c r="A1258" t="s">
        <v>24</v>
      </c>
      <c r="B1258" s="1">
        <v>70</v>
      </c>
      <c r="C1258" t="s">
        <v>25</v>
      </c>
    </row>
    <row r="1259" spans="1:3">
      <c r="A1259" t="s">
        <v>27</v>
      </c>
      <c r="B1259" s="1">
        <v>3.0000000000000001E-3</v>
      </c>
      <c r="C1259" t="s">
        <v>28</v>
      </c>
    </row>
    <row r="1260" spans="1:3">
      <c r="A1260" t="s">
        <v>50</v>
      </c>
      <c r="B1260" s="1">
        <v>0.4</v>
      </c>
      <c r="C1260" t="s">
        <v>51</v>
      </c>
    </row>
    <row r="1261" spans="1:3">
      <c r="A1261" t="s">
        <v>470</v>
      </c>
      <c r="B1261" s="1">
        <v>50</v>
      </c>
      <c r="C1261" t="s">
        <v>51</v>
      </c>
    </row>
    <row r="1262" spans="1:3">
      <c r="A1262" t="s">
        <v>482</v>
      </c>
      <c r="B1262" s="1">
        <v>300</v>
      </c>
      <c r="C1262" t="s">
        <v>483</v>
      </c>
    </row>
    <row r="1263" spans="1:3">
      <c r="A1263" s="16" t="s">
        <v>33</v>
      </c>
      <c r="B1263" s="16" t="s">
        <v>33</v>
      </c>
      <c r="C1263" s="16" t="s">
        <v>33</v>
      </c>
    </row>
    <row r="1264" spans="1:3">
      <c r="A1264" s="13" t="s">
        <v>35</v>
      </c>
      <c r="B1264">
        <f>0.001293*(273.15/B1257)/(101.3/B1258)</f>
        <v>8.3252718918093449E-4</v>
      </c>
      <c r="C1264" t="s">
        <v>36</v>
      </c>
    </row>
    <row r="1265" spans="1:3">
      <c r="A1265" s="13" t="s">
        <v>38</v>
      </c>
      <c r="B1265">
        <f>0.0001708*((B1257/273.15)^1.5)*((393.396)/(B1257+120.246))</f>
        <v>1.8071099473721675E-4</v>
      </c>
      <c r="C1265" t="s">
        <v>39</v>
      </c>
    </row>
    <row r="1266" spans="1:3">
      <c r="A1266" s="13" t="s">
        <v>181</v>
      </c>
      <c r="B1266">
        <f>1+(2/(B1258*B1259*0.752))*(6.32+2.01*EXP(-0.1095*B1258*0.752*B1259))</f>
        <v>106.06004799306598</v>
      </c>
    </row>
    <row r="1267" spans="1:3">
      <c r="A1267" s="13" t="s">
        <v>183</v>
      </c>
      <c r="B1267" s="6">
        <f>0.000000000000000138*B1257*B1266/(PI()*B1265*B1259*0.0003)</f>
        <v>8.3973807572429813E-3</v>
      </c>
      <c r="C1267" t="s">
        <v>184</v>
      </c>
    </row>
    <row r="1268" spans="1:3">
      <c r="A1268" s="13" t="s">
        <v>41</v>
      </c>
      <c r="B1268">
        <f>4*B1264*B1262/(PI()*B1259)</f>
        <v>106.00065393323777</v>
      </c>
    </row>
    <row r="1269" spans="1:3">
      <c r="A1269" s="13" t="s">
        <v>487</v>
      </c>
      <c r="B1269">
        <f>B1267*B1261/B1262</f>
        <v>1.399563459540497E-3</v>
      </c>
      <c r="C1269" t="s">
        <v>720</v>
      </c>
    </row>
    <row r="1270" spans="1:3">
      <c r="A1270" s="13" t="s">
        <v>721</v>
      </c>
      <c r="B1270">
        <f>IF(B1269&gt;0.007,0.819*EXP(-11.5*B1269)+0.0975*EXP(-70.1*B1269)+0.0325*EXP(-179*B1269),1-5.5*B1269^(2/3)+3.77*B1269)</f>
        <v>0.93646009103592065</v>
      </c>
    </row>
    <row r="1271" spans="1:3">
      <c r="A1271" s="13" t="s">
        <v>487</v>
      </c>
      <c r="B1271">
        <f>PI()*B1267*B1261/B1262</f>
        <v>4.3968582827251411E-3</v>
      </c>
    </row>
    <row r="1272" spans="1:3">
      <c r="A1272" s="13" t="s">
        <v>722</v>
      </c>
      <c r="B1272">
        <f>IF(B1271&gt;0.02,0.81905*EXP(-3.6568*B1271)+0.09753*EXP(-22.305*B1271)+0.0325*EXP(-56.691*B1271)+0.01544*EXP(-107.62*B1271),1-2.5638*B1271^(2/3)+1.2*B1269+0.1767*(B1271)^(4/3))</f>
        <v>0.93299767015629631</v>
      </c>
    </row>
    <row r="1274" spans="1:3">
      <c r="A1274" s="16" t="s">
        <v>17</v>
      </c>
      <c r="B1274" s="16" t="s">
        <v>17</v>
      </c>
      <c r="C1274" s="16" t="s">
        <v>17</v>
      </c>
    </row>
    <row r="1276" spans="1:3">
      <c r="A1276" t="s">
        <v>151</v>
      </c>
    </row>
    <row r="1277" spans="1:3">
      <c r="A1277" t="s">
        <v>21</v>
      </c>
      <c r="B1277" s="1">
        <v>293.14999999999998</v>
      </c>
      <c r="C1277" t="s">
        <v>22</v>
      </c>
    </row>
    <row r="1278" spans="1:3">
      <c r="A1278" t="s">
        <v>24</v>
      </c>
      <c r="B1278" s="1">
        <v>101.3</v>
      </c>
      <c r="C1278" t="s">
        <v>25</v>
      </c>
    </row>
    <row r="1279" spans="1:3">
      <c r="A1279" t="s">
        <v>27</v>
      </c>
      <c r="B1279" s="1">
        <v>0.2</v>
      </c>
      <c r="C1279" t="s">
        <v>28</v>
      </c>
    </row>
    <row r="1280" spans="1:3">
      <c r="A1280" t="s">
        <v>723</v>
      </c>
      <c r="B1280" s="1">
        <v>100</v>
      </c>
      <c r="C1280" t="s">
        <v>51</v>
      </c>
    </row>
    <row r="1281" spans="1:9">
      <c r="A1281" t="s">
        <v>724</v>
      </c>
      <c r="B1281" s="1">
        <v>10</v>
      </c>
      <c r="C1281" t="s">
        <v>51</v>
      </c>
    </row>
    <row r="1282" spans="1:9">
      <c r="A1282" t="s">
        <v>725</v>
      </c>
      <c r="B1282" s="1">
        <v>1</v>
      </c>
      <c r="C1282" t="s">
        <v>51</v>
      </c>
    </row>
    <row r="1283" spans="1:9">
      <c r="A1283" t="s">
        <v>482</v>
      </c>
      <c r="B1283" s="1">
        <v>1</v>
      </c>
      <c r="C1283" t="s">
        <v>483</v>
      </c>
      <c r="I1283" s="13"/>
    </row>
    <row r="1284" spans="1:9">
      <c r="A1284" s="16" t="s">
        <v>33</v>
      </c>
      <c r="B1284" s="16" t="s">
        <v>33</v>
      </c>
      <c r="C1284" s="16" t="s">
        <v>33</v>
      </c>
      <c r="I1284" s="13"/>
    </row>
    <row r="1285" spans="1:9">
      <c r="A1285" s="13" t="s">
        <v>38</v>
      </c>
      <c r="B1285">
        <f>0.0001708*((B1277/273.15)^1.5)*((393.396)/(B1277+120.246))</f>
        <v>1.8071099473721675E-4</v>
      </c>
      <c r="C1285" t="s">
        <v>39</v>
      </c>
    </row>
    <row r="1286" spans="1:9">
      <c r="A1286" s="13" t="s">
        <v>181</v>
      </c>
      <c r="B1286">
        <f>1+(2/(B1278*B1279*0.752))*(6.32+2.01*EXP(-0.1095*B1278*0.752*B1279))</f>
        <v>1.8793955692615363</v>
      </c>
      <c r="G1286" s="13"/>
    </row>
    <row r="1287" spans="1:9">
      <c r="A1287" s="13" t="s">
        <v>183</v>
      </c>
      <c r="B1287" s="6">
        <f>0.000000000000000138*B1277*B1286/(PI()*B1285*B1279*0.0003)</f>
        <v>2.2320374854435775E-6</v>
      </c>
      <c r="C1287" t="s">
        <v>184</v>
      </c>
      <c r="G1287" s="13"/>
    </row>
    <row r="1288" spans="1:9">
      <c r="A1288" s="13" t="s">
        <v>726</v>
      </c>
      <c r="B1288">
        <f>B1287*B1280*B1281/(B1282*B1283)</f>
        <v>2.2320374854435778E-3</v>
      </c>
      <c r="C1288" t="s">
        <v>720</v>
      </c>
    </row>
    <row r="1289" spans="1:9">
      <c r="A1289" s="13" t="s">
        <v>727</v>
      </c>
      <c r="B1289">
        <f>IF(B1288&lt;0.003,0.91*EXP(-7.54*B1288)+0.0531*EXP(-87.5*B1288)+0.0153*EXP(-249*B1288),1-2.96*(B1288^(2/3))+0.4*B1288)</f>
        <v>0.94726900160329486</v>
      </c>
    </row>
    <row r="1290" spans="1:9">
      <c r="A1290" s="13" t="s">
        <v>728</v>
      </c>
      <c r="B1290">
        <f>8*B1287*B1280*B1281/(3*B1282*B1283)</f>
        <v>5.9520999611828744E-3</v>
      </c>
      <c r="C1290" s="13"/>
    </row>
    <row r="1291" spans="1:9">
      <c r="A1291" s="13" t="s">
        <v>729</v>
      </c>
      <c r="B1291">
        <f>IF(B1290&gt;0.05,0.9104*EXP(2.8278*B1290)+0.0531*EXP(-32.147*B1290)+0.01528*EXP(-93.475*B1290)+0.00681*EXP(-186.805*B1290),1-1.526*(B1290^(2/3))+0.15*B1290+0.0342*B1290^(4/3))</f>
        <v>0.95081082741777878</v>
      </c>
      <c r="C1291" s="13"/>
    </row>
    <row r="1293" spans="1:9">
      <c r="A1293" s="16" t="s">
        <v>17</v>
      </c>
      <c r="B1293" s="16" t="s">
        <v>17</v>
      </c>
      <c r="C1293" s="16" t="s">
        <v>17</v>
      </c>
    </row>
    <row r="1295" spans="1:9">
      <c r="A1295" t="s">
        <v>152</v>
      </c>
    </row>
    <row r="1296" spans="1:9">
      <c r="A1296" t="s">
        <v>21</v>
      </c>
      <c r="B1296" s="1">
        <v>293</v>
      </c>
      <c r="C1296" t="s">
        <v>22</v>
      </c>
    </row>
    <row r="1297" spans="1:3">
      <c r="A1297" t="s">
        <v>24</v>
      </c>
      <c r="B1297" s="1">
        <v>101</v>
      </c>
      <c r="C1297" t="s">
        <v>25</v>
      </c>
    </row>
    <row r="1298" spans="1:3">
      <c r="A1298" t="s">
        <v>27</v>
      </c>
      <c r="B1298" s="1">
        <v>0.2</v>
      </c>
      <c r="C1298" t="s">
        <v>28</v>
      </c>
    </row>
    <row r="1299" spans="1:3">
      <c r="A1299" t="s">
        <v>730</v>
      </c>
      <c r="B1299" s="1">
        <v>0.98</v>
      </c>
      <c r="C1299" t="s">
        <v>51</v>
      </c>
    </row>
    <row r="1300" spans="1:3">
      <c r="A1300" t="s">
        <v>731</v>
      </c>
      <c r="B1300" s="1">
        <v>3</v>
      </c>
      <c r="C1300" t="s">
        <v>51</v>
      </c>
    </row>
    <row r="1301" spans="1:3">
      <c r="A1301" t="s">
        <v>732</v>
      </c>
      <c r="B1301" s="1">
        <v>0.1</v>
      </c>
      <c r="C1301" t="s">
        <v>51</v>
      </c>
    </row>
    <row r="1302" spans="1:3">
      <c r="A1302" t="s">
        <v>482</v>
      </c>
      <c r="B1302" s="1">
        <v>0.1</v>
      </c>
      <c r="C1302" t="s">
        <v>483</v>
      </c>
    </row>
    <row r="1303" spans="1:3">
      <c r="A1303" s="16" t="s">
        <v>33</v>
      </c>
      <c r="B1303" s="16" t="s">
        <v>33</v>
      </c>
      <c r="C1303" s="16" t="s">
        <v>33</v>
      </c>
    </row>
    <row r="1304" spans="1:3">
      <c r="A1304" s="13" t="s">
        <v>38</v>
      </c>
      <c r="B1304">
        <f>0.0001708*((B1296/273.15)^1.5)*((393.396)/(B1296+120.246))</f>
        <v>1.8063785637008177E-4</v>
      </c>
      <c r="C1304" t="s">
        <v>39</v>
      </c>
    </row>
    <row r="1305" spans="1:3">
      <c r="A1305" s="13" t="s">
        <v>181</v>
      </c>
      <c r="B1305">
        <f>1+(2/(B1297*B1298*0.752))*(6.32+2.01*EXP(-0.1095*B1297*0.752*B1298))</f>
        <v>1.8822547988696059</v>
      </c>
    </row>
    <row r="1306" spans="1:3">
      <c r="A1306" s="13" t="s">
        <v>183</v>
      </c>
      <c r="B1306" s="6">
        <f>0.000000000000000138*B1296*B1305/(PI()*B1304*B1298*0.0003)</f>
        <v>2.2351940150294211E-6</v>
      </c>
      <c r="C1306" t="s">
        <v>184</v>
      </c>
    </row>
    <row r="1307" spans="1:3">
      <c r="A1307" s="13" t="s">
        <v>487</v>
      </c>
      <c r="B1307">
        <f>2*PI()*B1306*(B1300*B1300-B1299*B1299)/(3*B1302*B1301)</f>
        <v>3.7636417807969465E-3</v>
      </c>
    </row>
    <row r="1308" spans="1:3">
      <c r="A1308" s="13" t="s">
        <v>453</v>
      </c>
      <c r="B1308">
        <f>IF(B1307&gt;0.05,0.9104*EXP(-2.8728*B1307)+0.0531*EXP(-32.147*B1307)+0.01528*EXP(-93.475*B1307)+0.00681*EXP(-186.805*B1307),1-1.526*B1307^(2/3)+0.15*B1307+0.0342*B1307^(4/3))</f>
        <v>0.96366187353724553</v>
      </c>
    </row>
    <row r="1310" spans="1:3">
      <c r="A1310" s="16" t="s">
        <v>17</v>
      </c>
      <c r="B1310" s="16" t="s">
        <v>17</v>
      </c>
      <c r="C1310" s="16" t="s">
        <v>17</v>
      </c>
    </row>
    <row r="1312" spans="1:3">
      <c r="A1312" t="s">
        <v>154</v>
      </c>
    </row>
    <row r="1313" spans="1:3">
      <c r="A1313" t="s">
        <v>21</v>
      </c>
      <c r="B1313" s="1">
        <v>293.14999999999998</v>
      </c>
      <c r="C1313" t="s">
        <v>22</v>
      </c>
    </row>
    <row r="1314" spans="1:3">
      <c r="A1314" t="s">
        <v>24</v>
      </c>
      <c r="B1314" s="1">
        <v>101.3</v>
      </c>
      <c r="C1314" t="s">
        <v>25</v>
      </c>
    </row>
    <row r="1315" spans="1:3">
      <c r="A1315" t="s">
        <v>27</v>
      </c>
      <c r="B1315" s="1">
        <v>0.2</v>
      </c>
      <c r="C1315" t="s">
        <v>28</v>
      </c>
    </row>
    <row r="1316" spans="1:3">
      <c r="A1316" t="s">
        <v>638</v>
      </c>
      <c r="B1316" s="1">
        <v>1</v>
      </c>
      <c r="C1316" t="s">
        <v>51</v>
      </c>
    </row>
    <row r="1317" spans="1:3">
      <c r="A1317" t="s">
        <v>637</v>
      </c>
      <c r="B1317" s="1">
        <v>1.1000000000000001</v>
      </c>
      <c r="C1317" t="s">
        <v>51</v>
      </c>
    </row>
    <row r="1318" spans="1:3">
      <c r="A1318" t="s">
        <v>470</v>
      </c>
      <c r="B1318" s="1">
        <v>100</v>
      </c>
      <c r="C1318" t="s">
        <v>51</v>
      </c>
    </row>
    <row r="1319" spans="1:3">
      <c r="A1319" t="s">
        <v>482</v>
      </c>
      <c r="B1319" s="1">
        <v>1</v>
      </c>
      <c r="C1319" t="s">
        <v>483</v>
      </c>
    </row>
    <row r="1320" spans="1:3">
      <c r="A1320" s="16" t="s">
        <v>33</v>
      </c>
      <c r="B1320" s="16" t="s">
        <v>33</v>
      </c>
      <c r="C1320" s="16" t="s">
        <v>33</v>
      </c>
    </row>
    <row r="1321" spans="1:3">
      <c r="A1321" s="13" t="s">
        <v>38</v>
      </c>
      <c r="B1321">
        <f>0.0001708*((B1313/273.15)^1.5)*((393.396)/(B1313+120.246))</f>
        <v>1.8071099473721675E-4</v>
      </c>
      <c r="C1321" t="s">
        <v>39</v>
      </c>
    </row>
    <row r="1322" spans="1:3">
      <c r="A1322" s="13" t="s">
        <v>181</v>
      </c>
      <c r="B1322">
        <f>1+(2/(B1314*B1315*0.752))*(6.32+2.01*EXP(-0.1095*B1314*0.752*B1315))</f>
        <v>1.8793955692615363</v>
      </c>
    </row>
    <row r="1323" spans="1:3">
      <c r="A1323" s="13" t="s">
        <v>183</v>
      </c>
      <c r="B1323" s="6">
        <f>0.000000000000000138*B1313*B1322/(PI()*B1321*B1315*0.0003)</f>
        <v>2.2320374854435775E-6</v>
      </c>
      <c r="C1323" t="s">
        <v>184</v>
      </c>
    </row>
    <row r="1324" spans="1:3">
      <c r="A1324" s="13" t="s">
        <v>487</v>
      </c>
      <c r="B1324">
        <f>PI()*B1323*B1318*(B1316+B1317)/(4*B1319*(B1317-B1316))</f>
        <v>3.6813800975734499E-3</v>
      </c>
    </row>
    <row r="1325" spans="1:3">
      <c r="A1325" s="13" t="s">
        <v>453</v>
      </c>
      <c r="B1325">
        <f>0.82*EXP(-22.53*B1324)</f>
        <v>0.75473209608797087</v>
      </c>
      <c r="C1325" t="s">
        <v>733</v>
      </c>
    </row>
    <row r="1327" spans="1:3">
      <c r="A1327" s="16" t="s">
        <v>17</v>
      </c>
      <c r="B1327" s="16" t="s">
        <v>17</v>
      </c>
      <c r="C1327" s="16" t="s">
        <v>17</v>
      </c>
    </row>
    <row r="1329" spans="1:4">
      <c r="A1329" t="s">
        <v>155</v>
      </c>
    </row>
    <row r="1330" spans="1:4">
      <c r="A1330" t="s">
        <v>21</v>
      </c>
      <c r="B1330" s="1">
        <v>293.14999999999998</v>
      </c>
      <c r="C1330" t="s">
        <v>22</v>
      </c>
    </row>
    <row r="1331" spans="1:4">
      <c r="A1331" t="s">
        <v>24</v>
      </c>
      <c r="B1331" s="1">
        <v>101.3</v>
      </c>
      <c r="C1331" t="s">
        <v>25</v>
      </c>
    </row>
    <row r="1332" spans="1:4">
      <c r="A1332" t="s">
        <v>27</v>
      </c>
      <c r="B1332" s="1">
        <v>0.01</v>
      </c>
      <c r="C1332" t="s">
        <v>28</v>
      </c>
      <c r="D1332" t="s">
        <v>734</v>
      </c>
    </row>
    <row r="1333" spans="1:4">
      <c r="A1333" t="s">
        <v>735</v>
      </c>
      <c r="B1333" s="1">
        <v>10</v>
      </c>
    </row>
    <row r="1334" spans="1:4">
      <c r="A1334" t="s">
        <v>736</v>
      </c>
      <c r="B1334" s="1">
        <v>2E-3</v>
      </c>
      <c r="C1334" t="s">
        <v>51</v>
      </c>
    </row>
    <row r="1335" spans="1:4">
      <c r="A1335" t="s">
        <v>737</v>
      </c>
      <c r="B1335" s="1">
        <v>5.0000000000000001E-3</v>
      </c>
      <c r="C1335" t="s">
        <v>51</v>
      </c>
    </row>
    <row r="1336" spans="1:4">
      <c r="A1336" t="s">
        <v>738</v>
      </c>
      <c r="B1336" s="1">
        <v>0.34499999999999997</v>
      </c>
    </row>
    <row r="1337" spans="1:4">
      <c r="A1337" t="s">
        <v>739</v>
      </c>
      <c r="B1337" s="1">
        <f>6*1000/60/(PI()*1.91*1.91)</f>
        <v>8.7253607681749585</v>
      </c>
      <c r="C1337" t="s">
        <v>31</v>
      </c>
    </row>
    <row r="1338" spans="1:4">
      <c r="A1338" s="16" t="s">
        <v>33</v>
      </c>
      <c r="B1338" s="16" t="s">
        <v>33</v>
      </c>
      <c r="C1338" s="16" t="s">
        <v>33</v>
      </c>
    </row>
    <row r="1339" spans="1:4">
      <c r="A1339" s="13" t="s">
        <v>38</v>
      </c>
      <c r="B1339">
        <f>0.0001708*((B1330/273.15)^1.5)*((393.396)/(B1330+120.246))</f>
        <v>1.8071099473721675E-4</v>
      </c>
      <c r="C1339" t="s">
        <v>39</v>
      </c>
    </row>
    <row r="1340" spans="1:4">
      <c r="A1340" s="13" t="s">
        <v>181</v>
      </c>
      <c r="B1340">
        <f>1+(2/(B1331*B1332*0.752))*(6.32+2.01*EXP(-0.1095*B1331*0.752*B1332))</f>
        <v>22.447615127350385</v>
      </c>
    </row>
    <row r="1341" spans="1:4">
      <c r="A1341" s="13" t="s">
        <v>183</v>
      </c>
      <c r="B1341" s="6">
        <f>0.000000000000000138*B1330*B1340/(PI()*B1339*B1332*0.0003)</f>
        <v>5.3319183297578494E-4</v>
      </c>
      <c r="C1341" t="s">
        <v>184</v>
      </c>
    </row>
    <row r="1342" spans="1:4">
      <c r="A1342" s="13" t="s">
        <v>217</v>
      </c>
      <c r="B1342">
        <f>B1337*B1334/B1341</f>
        <v>32.728786258701845</v>
      </c>
    </row>
    <row r="1343" spans="1:4">
      <c r="A1343" s="13" t="s">
        <v>740</v>
      </c>
      <c r="B1343">
        <f>-0.5*LN(2*B1336/PI())+(2*B1336/PI())-0.75-0.25*(2*B1336/PI())^2</f>
        <v>0.2154708512039023</v>
      </c>
    </row>
    <row r="1344" spans="1:4">
      <c r="A1344" s="13" t="s">
        <v>741</v>
      </c>
      <c r="B1344">
        <f>2.7*B1342^(-2/3)+((B1332*0.0001/B1334)^2)/B1343+1.24*((B1332*0.0001/B1334)^(2/3))/SQRT(B1343*B1342)</f>
        <v>0.26682515126330208</v>
      </c>
    </row>
    <row r="1345" spans="1:3">
      <c r="A1345" s="13" t="s">
        <v>508</v>
      </c>
      <c r="B1345">
        <f>EXP(-(4*B1336*B1335/(PI()*(1-B1336)*B1334))*B1333*(B1344))</f>
        <v>1.140646899687078E-2</v>
      </c>
    </row>
    <row r="1346" spans="1:3">
      <c r="A1346" s="13" t="s">
        <v>742</v>
      </c>
      <c r="B1346">
        <f>16*B1337*B1339*B1336*B1335*B1333/(B1343*(B1334^2))</f>
        <v>504.92692834468374</v>
      </c>
      <c r="C1346" t="s">
        <v>743</v>
      </c>
    </row>
    <row r="1348" spans="1:3">
      <c r="A1348" s="16" t="s">
        <v>17</v>
      </c>
      <c r="B1348" s="16" t="s">
        <v>17</v>
      </c>
      <c r="C1348" s="16" t="s">
        <v>17</v>
      </c>
    </row>
    <row r="1350" spans="1:3">
      <c r="A1350" t="s">
        <v>156</v>
      </c>
    </row>
    <row r="1351" spans="1:3">
      <c r="A1351" t="s">
        <v>21</v>
      </c>
      <c r="B1351" s="1">
        <v>293.14999999999998</v>
      </c>
      <c r="C1351" t="s">
        <v>22</v>
      </c>
    </row>
    <row r="1352" spans="1:3">
      <c r="A1352" t="s">
        <v>24</v>
      </c>
      <c r="B1352" s="1">
        <v>101.3</v>
      </c>
      <c r="C1352" t="s">
        <v>25</v>
      </c>
    </row>
    <row r="1353" spans="1:3">
      <c r="A1353" t="s">
        <v>27</v>
      </c>
      <c r="B1353" s="1">
        <v>2.5</v>
      </c>
      <c r="C1353" t="s">
        <v>28</v>
      </c>
    </row>
    <row r="1354" spans="1:3">
      <c r="A1354" t="s">
        <v>50</v>
      </c>
      <c r="B1354" s="1">
        <v>1</v>
      </c>
      <c r="C1354" t="s">
        <v>51</v>
      </c>
    </row>
    <row r="1355" spans="1:3">
      <c r="A1355" t="s">
        <v>744</v>
      </c>
      <c r="B1355" s="1">
        <v>10</v>
      </c>
      <c r="C1355" t="s">
        <v>51</v>
      </c>
    </row>
    <row r="1356" spans="1:3">
      <c r="A1356" t="s">
        <v>470</v>
      </c>
      <c r="B1356" s="1">
        <f>3*PI()*B1355</f>
        <v>94.247779607693786</v>
      </c>
      <c r="C1356" t="s">
        <v>51</v>
      </c>
    </row>
    <row r="1357" spans="1:3">
      <c r="A1357" t="s">
        <v>482</v>
      </c>
      <c r="B1357" s="1">
        <f>10*1000/60</f>
        <v>166.66666666666666</v>
      </c>
      <c r="C1357" t="s">
        <v>483</v>
      </c>
    </row>
    <row r="1358" spans="1:3">
      <c r="A1358" s="16" t="s">
        <v>33</v>
      </c>
      <c r="B1358" s="16" t="s">
        <v>33</v>
      </c>
      <c r="C1358" s="16" t="s">
        <v>33</v>
      </c>
    </row>
    <row r="1359" spans="1:3">
      <c r="A1359" s="13" t="s">
        <v>35</v>
      </c>
      <c r="B1359">
        <f>0.001293*(273.15/B1351)/(101.3/B1352)</f>
        <v>1.2047857752004094E-3</v>
      </c>
      <c r="C1359" t="s">
        <v>36</v>
      </c>
    </row>
    <row r="1360" spans="1:3">
      <c r="A1360" s="13" t="s">
        <v>38</v>
      </c>
      <c r="B1360">
        <f>0.0001708*((B1351/273.15)^1.5)*((393.396)/(B1351+120.246))</f>
        <v>1.8071099473721675E-4</v>
      </c>
      <c r="C1360" t="s">
        <v>39</v>
      </c>
    </row>
    <row r="1361" spans="1:4">
      <c r="A1361" s="13" t="s">
        <v>181</v>
      </c>
      <c r="B1361">
        <f>1+(2/(B1352*B1353*0.752))*(6.32+2.01*EXP(-0.1095*B1352*0.752*B1353))</f>
        <v>1.066371216754157</v>
      </c>
    </row>
    <row r="1362" spans="1:4">
      <c r="A1362" s="13" t="s">
        <v>183</v>
      </c>
      <c r="B1362" s="6">
        <f>0.000000000000000138*B1351*B1361/(PI()*B1360*B1353*0.0003)</f>
        <v>1.0131685178458062E-7</v>
      </c>
      <c r="C1362" t="s">
        <v>184</v>
      </c>
      <c r="D1362" s="6"/>
    </row>
    <row r="1363" spans="1:4">
      <c r="A1363" s="13" t="s">
        <v>745</v>
      </c>
      <c r="B1363">
        <f>4*B1359*B1357*B1354/(B1360*PI()*B1354*B1354)</f>
        <v>1414.764399688969</v>
      </c>
    </row>
    <row r="1364" spans="1:4">
      <c r="A1364" s="13" t="s">
        <v>229</v>
      </c>
      <c r="B1364">
        <f>B1360/B1362</f>
        <v>1783.6222854757029</v>
      </c>
    </row>
    <row r="1365" spans="1:4">
      <c r="A1365" s="13" t="s">
        <v>746</v>
      </c>
      <c r="B1365" s="1">
        <f>IF((2/11)*SQRT(1+(1+77/(4*B1364*B1364)))&lt;1,(2/11)*SQRT(1+(1+77/(4*B1364*B1364))),(2+SQRT((10/(B1364*B1364))-1))/5)</f>
        <v>0.2571301275840383</v>
      </c>
    </row>
    <row r="1366" spans="1:4">
      <c r="A1366" s="13" t="s">
        <v>747</v>
      </c>
      <c r="B1366">
        <f>B1363/SQRT(B1355/B1354)</f>
        <v>447.38778555379542</v>
      </c>
    </row>
    <row r="1367" spans="1:4">
      <c r="A1367" s="13" t="s">
        <v>484</v>
      </c>
      <c r="B1367">
        <f>0.864*SQRT(B1366)*(1+2.35/SQRT(B1366))/B1365</f>
        <v>78.969094887081354</v>
      </c>
    </row>
    <row r="1368" spans="1:4">
      <c r="A1368" s="13" t="s">
        <v>672</v>
      </c>
      <c r="B1368">
        <f>0.82*EXP(-PI()*B1356*B1362*B1367/B1357)</f>
        <v>0.81998834474275828</v>
      </c>
    </row>
    <row r="1370" spans="1:4">
      <c r="A1370" s="16" t="s">
        <v>17</v>
      </c>
      <c r="B1370" s="16" t="s">
        <v>17</v>
      </c>
      <c r="C1370" s="16" t="s">
        <v>17</v>
      </c>
    </row>
    <row r="1372" spans="1:4">
      <c r="A1372" t="s">
        <v>157</v>
      </c>
    </row>
    <row r="1373" spans="1:4">
      <c r="A1373" t="s">
        <v>748</v>
      </c>
      <c r="B1373">
        <v>1</v>
      </c>
      <c r="C1373" t="s">
        <v>28</v>
      </c>
    </row>
    <row r="1374" spans="1:4">
      <c r="A1374" t="s">
        <v>749</v>
      </c>
      <c r="B1374">
        <v>1</v>
      </c>
      <c r="C1374" t="s">
        <v>36</v>
      </c>
    </row>
    <row r="1375" spans="1:4">
      <c r="A1375" t="s">
        <v>750</v>
      </c>
      <c r="B1375">
        <v>2</v>
      </c>
      <c r="C1375" t="s">
        <v>51</v>
      </c>
    </row>
    <row r="1376" spans="1:4">
      <c r="A1376" t="s">
        <v>751</v>
      </c>
      <c r="B1376">
        <v>100</v>
      </c>
      <c r="C1376" t="s">
        <v>542</v>
      </c>
    </row>
    <row r="1377" spans="1:4">
      <c r="A1377" s="16" t="s">
        <v>33</v>
      </c>
      <c r="B1377" s="16" t="s">
        <v>33</v>
      </c>
      <c r="C1377" s="16" t="s">
        <v>33</v>
      </c>
    </row>
    <row r="1378" spans="1:4">
      <c r="A1378" s="13" t="s">
        <v>752</v>
      </c>
      <c r="B1378">
        <f>PI()*B1374*(B1373*0.0001)^3/6</f>
        <v>5.2359877559829888E-13</v>
      </c>
      <c r="C1378" t="s">
        <v>696</v>
      </c>
    </row>
    <row r="1379" spans="1:4">
      <c r="A1379" s="13" t="s">
        <v>753</v>
      </c>
      <c r="B1379">
        <f>B1375*B1378*981/(0.0000000004803*B1376)</f>
        <v>2.1388731995083541E-2</v>
      </c>
      <c r="C1379" t="s">
        <v>754</v>
      </c>
    </row>
    <row r="1380" spans="1:4">
      <c r="A1380" s="13" t="s">
        <v>755</v>
      </c>
      <c r="B1380">
        <f>B1379*299.8</f>
        <v>6.4123418521260458</v>
      </c>
      <c r="C1380" t="s">
        <v>632</v>
      </c>
    </row>
    <row r="1382" spans="1:4">
      <c r="A1382" s="16" t="s">
        <v>17</v>
      </c>
      <c r="B1382" s="16" t="s">
        <v>17</v>
      </c>
      <c r="C1382" s="16" t="s">
        <v>17</v>
      </c>
    </row>
    <row r="1384" spans="1:4">
      <c r="A1384" t="s">
        <v>159</v>
      </c>
    </row>
    <row r="1385" spans="1:4">
      <c r="A1385" t="s">
        <v>756</v>
      </c>
    </row>
    <row r="1386" spans="1:4">
      <c r="A1386" t="s">
        <v>526</v>
      </c>
      <c r="B1386">
        <v>2.5</v>
      </c>
      <c r="C1386" t="s">
        <v>28</v>
      </c>
    </row>
    <row r="1387" spans="1:4">
      <c r="A1387" t="s">
        <v>757</v>
      </c>
      <c r="B1387">
        <v>1.23</v>
      </c>
      <c r="C1387" t="s">
        <v>758</v>
      </c>
    </row>
    <row r="1388" spans="1:4">
      <c r="A1388" t="s">
        <v>759</v>
      </c>
      <c r="B1388">
        <v>50</v>
      </c>
    </row>
    <row r="1389" spans="1:4">
      <c r="A1389" s="16" t="s">
        <v>33</v>
      </c>
      <c r="B1389" s="16" t="s">
        <v>33</v>
      </c>
      <c r="C1389" s="16" t="s">
        <v>33</v>
      </c>
    </row>
    <row r="1390" spans="1:4">
      <c r="A1390" s="13" t="s">
        <v>760</v>
      </c>
      <c r="B1390">
        <f>B1386*SQRT(9*B1387*(LN(2*B1388)+0.193)/8)</f>
        <v>6.4417912856503969</v>
      </c>
      <c r="C1390" t="s">
        <v>28</v>
      </c>
      <c r="D1390" s="10" t="s">
        <v>761</v>
      </c>
    </row>
    <row r="1391" spans="1:4">
      <c r="A1391" s="13" t="s">
        <v>762</v>
      </c>
      <c r="B1391">
        <f>B1386*SQRT(9*B1387*(LN(2*B1388)-0.807)/4)</f>
        <v>8.1053362012789325</v>
      </c>
      <c r="C1391" t="s">
        <v>28</v>
      </c>
      <c r="D1391" s="10" t="s">
        <v>763</v>
      </c>
    </row>
    <row r="1392" spans="1:4">
      <c r="A1392" s="13" t="s">
        <v>764</v>
      </c>
      <c r="B1392">
        <f>(8/3)*(B1388^2-1)/(((2*B1388^2-3)*LN(B1388+SQRT(B1388^2-1))/SQRT(B1388^2-1))+B1388)</f>
        <v>13.05840180818779</v>
      </c>
      <c r="D1392" s="10" t="s">
        <v>765</v>
      </c>
    </row>
    <row r="1393" spans="1:4">
      <c r="A1393" s="13" t="s">
        <v>766</v>
      </c>
      <c r="B1393">
        <f>(4/3)*(B1388^2-1)/(((2*B1388^2-1)*LN(B1388+SQRT(B1388^2-1))/SQRT(B1388^2-1))-B1388)</f>
        <v>8.1167916416249444</v>
      </c>
      <c r="D1393" s="10" t="s">
        <v>767</v>
      </c>
    </row>
    <row r="1394" spans="1:4">
      <c r="A1394" s="13" t="s">
        <v>760</v>
      </c>
      <c r="B1394">
        <f>SQRT(B1387*B1388/B1392)*B1386</f>
        <v>5.4254098644148074</v>
      </c>
      <c r="C1394" t="s">
        <v>28</v>
      </c>
      <c r="D1394" s="10" t="s">
        <v>768</v>
      </c>
    </row>
    <row r="1395" spans="1:4">
      <c r="A1395" s="13" t="s">
        <v>762</v>
      </c>
      <c r="B1395">
        <f>SQRT(B1387*B1388/B1393)*B1386</f>
        <v>6.8815357068834073</v>
      </c>
      <c r="C1395" t="s">
        <v>28</v>
      </c>
      <c r="D1395" s="10" t="s">
        <v>768</v>
      </c>
    </row>
    <row r="1396" spans="1:4">
      <c r="A1396" s="13" t="s">
        <v>760</v>
      </c>
      <c r="B1396">
        <f>SQRT(B1387*B1388/B1392)*B1386*1.5^(1/3)</f>
        <v>6.2105439434849714</v>
      </c>
      <c r="C1396" t="s">
        <v>28</v>
      </c>
      <c r="D1396" s="10" t="s">
        <v>769</v>
      </c>
    </row>
    <row r="1397" spans="1:4">
      <c r="A1397" s="13" t="s">
        <v>762</v>
      </c>
      <c r="B1397">
        <f>SQRT(B1387*B1388/B1393)*B1386*1.5^(1/3)</f>
        <v>7.8773919343087471</v>
      </c>
      <c r="C1397" t="s">
        <v>28</v>
      </c>
      <c r="D1397" s="10" t="s">
        <v>769</v>
      </c>
    </row>
    <row r="1398" spans="1:4">
      <c r="A1398" s="13" t="s">
        <v>760</v>
      </c>
      <c r="B1398">
        <f>SQRT(B1387*B1388/B1392)*B1386*1.5^(1/2)</f>
        <v>6.6447429066393715</v>
      </c>
      <c r="C1398" t="s">
        <v>28</v>
      </c>
      <c r="D1398" s="10" t="s">
        <v>770</v>
      </c>
    </row>
    <row r="1399" spans="1:4">
      <c r="A1399" s="13" t="s">
        <v>762</v>
      </c>
      <c r="B1399">
        <f>SQRT(B1387*B1388/B1393)*B1386*1.5^(1/2)</f>
        <v>8.4281255643035458</v>
      </c>
      <c r="C1399" t="s">
        <v>28</v>
      </c>
      <c r="D1399" s="10" t="s">
        <v>770</v>
      </c>
    </row>
    <row r="1400" spans="1:4">
      <c r="A1400" s="13"/>
    </row>
    <row r="1401" spans="1:4">
      <c r="A1401" s="16" t="s">
        <v>17</v>
      </c>
      <c r="B1401" s="16" t="s">
        <v>17</v>
      </c>
      <c r="C1401" s="16" t="s">
        <v>17</v>
      </c>
    </row>
    <row r="1402" spans="1:4">
      <c r="A1402" s="13"/>
    </row>
    <row r="1403" spans="1:4">
      <c r="A1403" t="s">
        <v>162</v>
      </c>
    </row>
    <row r="1404" spans="1:4">
      <c r="A1404" t="s">
        <v>771</v>
      </c>
      <c r="B1404">
        <v>5.7</v>
      </c>
      <c r="C1404" t="s">
        <v>28</v>
      </c>
    </row>
    <row r="1405" spans="1:4">
      <c r="A1405" t="s">
        <v>772</v>
      </c>
      <c r="B1405">
        <v>1.8</v>
      </c>
      <c r="C1405" t="str">
        <f>IF(B1405&gt;2.1," -too large for this calculation-","")</f>
        <v/>
      </c>
    </row>
    <row r="1406" spans="1:4">
      <c r="A1406" t="s">
        <v>773</v>
      </c>
      <c r="B1406">
        <v>95</v>
      </c>
      <c r="C1406" t="str">
        <f>IF(B1406&lt;90," -out of range-"," %")</f>
        <v xml:space="preserve"> %</v>
      </c>
    </row>
    <row r="1407" spans="1:4">
      <c r="A1407" t="s">
        <v>27</v>
      </c>
      <c r="B1407">
        <v>1</v>
      </c>
      <c r="C1407" t="s">
        <v>28</v>
      </c>
    </row>
    <row r="1408" spans="1:4">
      <c r="A1408" t="s">
        <v>774</v>
      </c>
      <c r="B1408">
        <v>0.1</v>
      </c>
    </row>
    <row r="1409" spans="1:3">
      <c r="A1409" s="16" t="s">
        <v>33</v>
      </c>
      <c r="B1409" s="16" t="s">
        <v>33</v>
      </c>
      <c r="C1409" s="16" t="s">
        <v>33</v>
      </c>
    </row>
    <row r="1410" spans="1:3">
      <c r="A1410" s="13" t="s">
        <v>775</v>
      </c>
      <c r="B1410">
        <f>B1408*B1404^3*EXP(4.5*(LN(B1405))^2)*(1-0.5*EXP(LN(B1405)^2))/((1-(B1406/100))*B1407^3)</f>
        <v>514.87355361281891</v>
      </c>
    </row>
    <row r="1412" spans="1:3">
      <c r="A1412" s="16" t="s">
        <v>17</v>
      </c>
      <c r="B1412" s="16" t="s">
        <v>17</v>
      </c>
      <c r="C1412" s="16" t="s">
        <v>17</v>
      </c>
    </row>
    <row r="1414" spans="1:3">
      <c r="A1414" t="s">
        <v>163</v>
      </c>
    </row>
    <row r="1415" spans="1:3">
      <c r="A1415" t="s">
        <v>776</v>
      </c>
      <c r="B1415">
        <v>0.18</v>
      </c>
      <c r="C1415" t="s">
        <v>483</v>
      </c>
    </row>
    <row r="1416" spans="1:3">
      <c r="A1416" t="s">
        <v>777</v>
      </c>
      <c r="B1416">
        <v>55000</v>
      </c>
      <c r="C1416" t="s">
        <v>778</v>
      </c>
    </row>
    <row r="1417" spans="1:3">
      <c r="A1417" t="s">
        <v>779</v>
      </c>
      <c r="B1417">
        <v>20</v>
      </c>
      <c r="C1417" t="s">
        <v>780</v>
      </c>
    </row>
    <row r="1418" spans="1:3">
      <c r="A1418" t="s">
        <v>781</v>
      </c>
      <c r="B1418">
        <v>1.35</v>
      </c>
      <c r="C1418" t="s">
        <v>36</v>
      </c>
    </row>
    <row r="1419" spans="1:3">
      <c r="A1419" s="16" t="s">
        <v>33</v>
      </c>
      <c r="B1419" s="16" t="s">
        <v>33</v>
      </c>
      <c r="C1419" s="16" t="s">
        <v>33</v>
      </c>
    </row>
    <row r="1420" spans="1:3">
      <c r="A1420" s="13" t="s">
        <v>782</v>
      </c>
      <c r="B1420">
        <f>B1417*0.001/B1418</f>
        <v>1.4814814814814814E-2</v>
      </c>
    </row>
    <row r="1421" spans="1:3">
      <c r="A1421" s="13" t="s">
        <v>783</v>
      </c>
      <c r="B1421">
        <f>10000*(B1415/(10*PI()*B1416))^(1/3)</f>
        <v>47.052927333228936</v>
      </c>
      <c r="C1421" t="s">
        <v>28</v>
      </c>
    </row>
    <row r="1422" spans="1:3">
      <c r="A1422" s="13" t="s">
        <v>784</v>
      </c>
      <c r="B1422">
        <f>B1420^(1/3)*B1421</f>
        <v>11.556297759923508</v>
      </c>
      <c r="C1422" t="s">
        <v>28</v>
      </c>
    </row>
    <row r="1424" spans="1:3">
      <c r="A1424" s="16" t="s">
        <v>17</v>
      </c>
      <c r="B1424" s="16" t="s">
        <v>17</v>
      </c>
      <c r="C1424" s="16" t="s">
        <v>17</v>
      </c>
    </row>
    <row r="1426" spans="1:4">
      <c r="A1426" t="s">
        <v>164</v>
      </c>
    </row>
    <row r="1427" spans="1:4">
      <c r="A1427" t="s">
        <v>785</v>
      </c>
      <c r="B1427">
        <v>0.98499999999999999</v>
      </c>
      <c r="D1427" t="s">
        <v>786</v>
      </c>
    </row>
    <row r="1428" spans="1:4">
      <c r="A1428" t="s">
        <v>787</v>
      </c>
      <c r="B1428">
        <v>76</v>
      </c>
      <c r="C1428" t="s">
        <v>788</v>
      </c>
    </row>
    <row r="1429" spans="1:4">
      <c r="A1429" t="s">
        <v>789</v>
      </c>
      <c r="B1429">
        <v>74.5</v>
      </c>
      <c r="C1429" t="s">
        <v>788</v>
      </c>
    </row>
    <row r="1430" spans="1:4">
      <c r="A1430" t="s">
        <v>790</v>
      </c>
      <c r="B1430">
        <v>4</v>
      </c>
      <c r="C1430" t="s">
        <v>791</v>
      </c>
    </row>
    <row r="1431" spans="1:4">
      <c r="A1431" t="s">
        <v>792</v>
      </c>
      <c r="B1431">
        <v>1</v>
      </c>
      <c r="C1431" t="s">
        <v>791</v>
      </c>
      <c r="D1431" t="str">
        <f>IF(B1431/B1430&lt;0.25," -out of range-",IF(B1431/B1430&gt;0.5," out of range",""))</f>
        <v/>
      </c>
    </row>
    <row r="1432" spans="1:4">
      <c r="A1432" s="16" t="s">
        <v>33</v>
      </c>
      <c r="B1432" s="16" t="s">
        <v>33</v>
      </c>
      <c r="C1432" s="16" t="s">
        <v>33</v>
      </c>
    </row>
    <row r="1433" spans="1:4">
      <c r="A1433" s="13" t="s">
        <v>742</v>
      </c>
      <c r="B1433">
        <f>(B1428-B1429)*406.8/76</f>
        <v>8.0289473684210524</v>
      </c>
      <c r="C1433" t="s">
        <v>793</v>
      </c>
    </row>
    <row r="1434" spans="1:4">
      <c r="A1434" s="13" t="s">
        <v>794</v>
      </c>
      <c r="B1434">
        <f>0.001293*(B1428/76)</f>
        <v>1.2930000000000001E-3</v>
      </c>
      <c r="C1434" t="s">
        <v>36</v>
      </c>
    </row>
    <row r="1435" spans="1:4">
      <c r="A1435" s="13" t="s">
        <v>462</v>
      </c>
      <c r="B1435">
        <f>(B1427*B1431/0.001293)*SQRT(2*(B1430-B1431)*(1013000/76)*B1434/(1-(B1431/B1430)^2))</f>
        <v>8000.6428080577134</v>
      </c>
      <c r="C1435" t="s">
        <v>483</v>
      </c>
    </row>
    <row r="1436" spans="1:4">
      <c r="A1436" s="13"/>
      <c r="B1436">
        <f>B1435*60/1000</f>
        <v>480.03856848346277</v>
      </c>
      <c r="C1436" t="s">
        <v>464</v>
      </c>
    </row>
    <row r="1437" spans="1:4">
      <c r="B1437">
        <f>60.6*(B1431/B1430)^2*B1430*B1430*SQRT((B1428-B1429)*406.8*2.54/76)</f>
        <v>273.66470415647802</v>
      </c>
      <c r="C1437" t="s">
        <v>464</v>
      </c>
      <c r="D1437" t="s">
        <v>795</v>
      </c>
    </row>
    <row r="1439" spans="1:4">
      <c r="A1439" s="16" t="s">
        <v>17</v>
      </c>
      <c r="B1439" s="16" t="s">
        <v>17</v>
      </c>
      <c r="C1439" s="16" t="s">
        <v>17</v>
      </c>
    </row>
    <row r="1441" spans="1:5">
      <c r="A1441" t="s">
        <v>166</v>
      </c>
    </row>
    <row r="1442" spans="1:5">
      <c r="C1442" t="s">
        <v>355</v>
      </c>
    </row>
    <row r="1443" spans="1:5">
      <c r="A1443" t="s">
        <v>785</v>
      </c>
      <c r="B1443">
        <v>0.98499999999999999</v>
      </c>
      <c r="D1443" t="s">
        <v>786</v>
      </c>
    </row>
    <row r="1444" spans="1:5">
      <c r="A1444" t="s">
        <v>796</v>
      </c>
      <c r="B1444">
        <v>0.05</v>
      </c>
      <c r="C1444" t="s">
        <v>51</v>
      </c>
    </row>
    <row r="1445" spans="1:5">
      <c r="A1445" t="s">
        <v>787</v>
      </c>
      <c r="B1445">
        <v>760</v>
      </c>
      <c r="C1445" t="s">
        <v>344</v>
      </c>
      <c r="D1445" t="s">
        <v>797</v>
      </c>
    </row>
    <row r="1446" spans="1:5">
      <c r="A1446" t="s">
        <v>798</v>
      </c>
      <c r="B1446">
        <v>1.4</v>
      </c>
      <c r="D1446" t="s">
        <v>799</v>
      </c>
    </row>
    <row r="1447" spans="1:5">
      <c r="A1447" s="16" t="s">
        <v>33</v>
      </c>
      <c r="B1447" s="16" t="s">
        <v>33</v>
      </c>
      <c r="C1447" s="16" t="s">
        <v>33</v>
      </c>
    </row>
    <row r="1448" spans="1:5">
      <c r="A1448" s="13" t="s">
        <v>794</v>
      </c>
      <c r="B1448">
        <f>0.001293*(B1445/101.3)</f>
        <v>9.7006910167818372E-3</v>
      </c>
      <c r="C1448" t="s">
        <v>36</v>
      </c>
    </row>
    <row r="1449" spans="1:5">
      <c r="A1449" s="13" t="s">
        <v>462</v>
      </c>
      <c r="B1449">
        <f>(0.58*B1443*PI()*B1444^2/(4*0.001293))*SQRT(B1446*B1448*B1445)</f>
        <v>2.7871974699304753</v>
      </c>
      <c r="C1449" t="s">
        <v>483</v>
      </c>
    </row>
    <row r="1450" spans="1:5">
      <c r="A1450" s="13" t="s">
        <v>800</v>
      </c>
      <c r="B1450">
        <f>B1449*60/1000</f>
        <v>0.16723184819582851</v>
      </c>
      <c r="C1450" t="s">
        <v>801</v>
      </c>
    </row>
    <row r="1452" spans="1:5">
      <c r="A1452" s="16" t="s">
        <v>17</v>
      </c>
      <c r="B1452" s="16" t="s">
        <v>17</v>
      </c>
      <c r="C1452" s="16" t="s">
        <v>17</v>
      </c>
    </row>
    <row r="1454" spans="1:5">
      <c r="A1454" t="s">
        <v>168</v>
      </c>
    </row>
    <row r="1455" spans="1:5">
      <c r="A1455" t="s">
        <v>802</v>
      </c>
      <c r="B1455">
        <v>0.5</v>
      </c>
      <c r="C1455" t="s">
        <v>788</v>
      </c>
      <c r="D1455" s="28" t="s">
        <v>351</v>
      </c>
      <c r="E1455" s="30" t="s">
        <v>803</v>
      </c>
    </row>
    <row r="1456" spans="1:5">
      <c r="A1456" t="s">
        <v>804</v>
      </c>
      <c r="B1456">
        <v>13.6</v>
      </c>
      <c r="C1456" t="s">
        <v>36</v>
      </c>
      <c r="D1456" s="21" t="s">
        <v>805</v>
      </c>
      <c r="E1456" s="22">
        <v>1</v>
      </c>
    </row>
    <row r="1457" spans="1:5">
      <c r="A1457" t="s">
        <v>66</v>
      </c>
      <c r="B1457">
        <v>1.2930000000000001E-3</v>
      </c>
      <c r="C1457" t="s">
        <v>36</v>
      </c>
      <c r="D1457" s="36" t="s">
        <v>806</v>
      </c>
      <c r="E1457" s="37">
        <v>13.6</v>
      </c>
    </row>
    <row r="1458" spans="1:5">
      <c r="A1458" s="16" t="s">
        <v>33</v>
      </c>
      <c r="B1458" s="16" t="s">
        <v>33</v>
      </c>
      <c r="C1458" s="16" t="s">
        <v>33</v>
      </c>
    </row>
    <row r="1459" spans="1:5">
      <c r="A1459" s="13" t="s">
        <v>807</v>
      </c>
      <c r="B1459">
        <f>SQRT(2*B1456*980*B1455/B1457)</f>
        <v>3210.5780307555196</v>
      </c>
      <c r="C1459" t="s">
        <v>31</v>
      </c>
    </row>
    <row r="1460" spans="1:5">
      <c r="B1460">
        <f>12.8*SQRT(B1455*406.8*2.54/76)*100</f>
        <v>3337.3019799327658</v>
      </c>
      <c r="C1460" t="s">
        <v>31</v>
      </c>
      <c r="D1460" t="s">
        <v>795</v>
      </c>
    </row>
    <row r="1462" spans="1:5">
      <c r="A1462" s="16" t="s">
        <v>17</v>
      </c>
      <c r="B1462" s="16" t="s">
        <v>17</v>
      </c>
      <c r="C1462" s="16" t="s">
        <v>17</v>
      </c>
    </row>
    <row r="1463" spans="1:5">
      <c r="A1463" s="16"/>
    </row>
  </sheetData>
  <phoneticPr fontId="0" type="noConversion"/>
  <printOptions headings="1" gridLines="1" gridLinesSet="0"/>
  <pageMargins left="0.75" right="0.75" top="1" bottom="1" header="0.51181102300000003" footer="0.51181102300000003"/>
  <headerFooter alignWithMargins="0">
    <oddHeader>&amp;B</oddHeader>
    <oddFooter>Page &amp;P</oddFooter>
  </headerFooter>
  <cellWatches>
    <cellWatch r="B731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AEROSOLC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Möhler, Ottmar (IMK)</cp:lastModifiedBy>
  <dcterms:created xsi:type="dcterms:W3CDTF">2020-11-06T09:22:06Z</dcterms:created>
  <dcterms:modified xsi:type="dcterms:W3CDTF">2020-11-06T09:22:06Z</dcterms:modified>
</cp:coreProperties>
</file>