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ySheet" sheetId="1" r:id="rId4"/>
  </sheets>
  <definedNames/>
  <calcPr/>
</workbook>
</file>

<file path=xl/sharedStrings.xml><?xml version="1.0" encoding="utf-8"?>
<sst xmlns="http://schemas.openxmlformats.org/spreadsheetml/2006/main" count="2005" uniqueCount="984">
  <si>
    <t>product_id</t>
  </si>
  <si>
    <t>unit</t>
  </si>
  <si>
    <t>en-name</t>
  </si>
  <si>
    <t>cn-name</t>
  </si>
  <si>
    <t>kr-name</t>
  </si>
  <si>
    <t>jp-name</t>
  </si>
  <si>
    <t>Pc</t>
  </si>
  <si>
    <t xml:space="preserve">Manufacturer Wholesale Orange Ladies Dresses Office Wear Ad Dress For Women Formal </t>
  </si>
  <si>
    <t>Manufacturer Wholesale Orange Ladies Dresses Office Wear Ad Dress For Women Formal</t>
  </si>
  <si>
    <t xml:space="preserve">2022 Hot Sell Oem Quick Dry Casual Jogging Sport Custom Sweatpants Trousers For Men Pants </t>
  </si>
  <si>
    <t xml:space="preserve">Streetwear Clothing Puff Print Hoodie Custom Logo Hoodie Fashion Superdry Clothing Moda Casual Para Mulheres Dress Suit Huddies </t>
  </si>
  <si>
    <t xml:space="preserve">Custom Casual Plaid Pattern Red And Black Color 100% Cotton Soft Breathable Popular Style Long Sleeve Shirts </t>
  </si>
  <si>
    <t xml:space="preserve">Wholesale Outdoor Light Warm Duck Custom Logo Nylon Black Hooded Winter Bubble Puff Filled Down Puffer Jackets For Men </t>
  </si>
  <si>
    <t xml:space="preserve">Outdoor Sport Men 2 Piece Set Casual Heavy Duty Hoodie Sets Polyester And Cotton Tracksuit </t>
  </si>
  <si>
    <t>11</t>
  </si>
  <si>
    <t>pc</t>
  </si>
  <si>
    <t>Kitchen Tile Stickers Bathroom Modern Style Sticker Self-adhesive Wall Decoration</t>
  </si>
  <si>
    <t>Hammock Chair Seat Cushion Hanging Swing Seat Pad Thick Hanging Chair Back Pillow Home Office Furniture Accessories</t>
  </si>
  <si>
    <t xml:space="preserve">20 pcs  M2.5 Black Nylon Screws Phillips Plastic Round Head Screw Bolt </t>
  </si>
  <si>
    <t>1/2/3/4 Seaters Elastic Sofa Cover Chair Seat Protector Stretch Couch Slipcover Home Office Furniture Accessories Decorations</t>
  </si>
  <si>
    <t>1/2/3 Seaters Velvet Sofa Cover Pure Color Elastic Chair Seat Protector Couch Case Stretch Slipcover Home Office Furniture Decorations</t>
  </si>
  <si>
    <t>Gray Wallpaper Sticker Wall Cloth Wallpaper Self-Adhesive Waterproof Pvc Retro Brick Pattern Stone Wall Decoration</t>
  </si>
  <si>
    <t>9pcs/27pcs/54pcs Wall Sticker Kitchen Tile Stickers Bathroom Self-adhesive Wall Decor Home DIY</t>
  </si>
  <si>
    <t>Suleve™ M4AN6 10Pcs M4 Cup Head Hex Screw Gasket Washer Nuts Aluminum Alloy Multicolor Optional</t>
  </si>
  <si>
    <t>Rotating Display Stand Rack 70 Hook Spin Jewelery Bag Hanger for Storage</t>
  </si>
  <si>
    <t>Rocking Chair Cushion Seat Back Cushion Non-Skid Chair Pad Rocking Chair Recliner Mat for Office Sofa Home</t>
  </si>
  <si>
    <t>1/2/3/4 Seaters Elastic Sofa Cover Universal Chair Seat Protector Couch Case Stretch Slipcover Home Office Furniture  Multicolor Simple Sofa CoverDecoration</t>
  </si>
  <si>
    <t>Recliner Chair Cover Non-slip Massage Sofa Cover Stretch Chair Seat  Protector Pure Color All-inclusive Elastic Seat Slipcover for Home Office</t>
  </si>
  <si>
    <t>Office Chair Cover Elastic Computer Chair Cover Stretch Arm Chair Seat Cover</t>
  </si>
  <si>
    <t>Self-adhesive Kitchen Wallpaper Oil-Proof Aluminum Foil Wall Sticker  Cabinet</t>
  </si>
  <si>
    <t>Bathroom Storage Rack Floor Cabinet Toilet Bath Organizer Drawer Shelf-White</t>
  </si>
  <si>
    <t>12Pcs/Set PVC 3D Wall Panels Embossed Home Room Decal Background Decor 12x12inch</t>
  </si>
  <si>
    <t>45cm*2m Static Glueless Reusable Removable Flower Window Glass Film Home Decoration</t>
  </si>
  <si>
    <t>Soft Seat Pads Cushion Tie On Non-slip Dining Chair Cushion Indoor Outdoor Seat Pads for Garden Patio Home Office</t>
  </si>
  <si>
    <t>Large Sofa Back Cushion Bed Couch Seat Rest Pad Waist Support Backrest Pillow Home Office Furniture Decorations</t>
  </si>
  <si>
    <t>Magical Running Horse Removable PVC Wall Sticker Background Kids Bedroom Decals</t>
  </si>
  <si>
    <t>2 Seaters Elastic Velvet Sofa Cover Universal Chair Seat Protector Couch Case Stretch Slipcover Home Office Furniture Decoration</t>
  </si>
  <si>
    <t>Suleve™ MXSN1 50Pcs Stainless Steel Metric Coarse Pitch Screw Thread Hexagon Nuts M2 M3 M4 M5 M6</t>
  </si>
  <si>
    <t>3D Self Adhesive Tile Stickers Art Decals DIY Wall Sticker Home Kitchen Decoration</t>
  </si>
  <si>
    <t>Static Cling Glueless Reusable Removable Privacy Frosted Decor Window Glass Film</t>
  </si>
  <si>
    <t>3D DIY Brick Pattern Wallpaper Waterproof Home Living Room Bed Room Kitchen Wallpaper</t>
  </si>
  <si>
    <t>High Back Cushion Soft Rocking Recliner Chair Seat Cushion Bench Backrest Pad Waist Support Pillow Mat Home Office Furniture Decorations</t>
  </si>
  <si>
    <t>2/3-Tier Storage Rack Triangle Corner Shelf Holder Bathroom Kitchen MAX 19KG</t>
  </si>
  <si>
    <t>Triangular Headboard Pillow,Triangle Bedside Cushion Reading Pillow Bolster Backrest Positioning Support Pillow for Sofa Bed Home Office Furniture Decorations</t>
  </si>
  <si>
    <t>Hanging Basket Outdoor Swing Hanging Chair Indoor Leisure Cradle Woven Tassel Balcony</t>
  </si>
  <si>
    <t>Suleve 50Pcs M4ZN1 M4 Zinc Alloy Wood Furniture Hex Socket Drive Head Screw-in Threaded Insert Nut</t>
  </si>
  <si>
    <t>Antique Cast Iron Pipe Door Handle Drawer Gate Pull Handle Industrial Punk Wall Holder</t>
  </si>
  <si>
    <t>PU Leather Display Case Watches Storage Box Plastic Organizer for Jewelry Watch Accessories</t>
  </si>
  <si>
    <t xml:space="preserve">1/2/3 Layers Plastic Desktop Organizer Drawer Makeup Holder Box Make Sundry Storage Box Container </t>
  </si>
  <si>
    <t>Suleve™ M3SH5 50Pcs M3 Stainless Steel Hex Socket Cap Head Screws Bolts 4-20mm Optional Length</t>
  </si>
  <si>
    <t>BVSOIVIA Hot &amp; Cold Bathroom Automatic Touch Free Infrared Sensor Faucets Touchless Water Saving Inductive Electric Water Tap Mixer Power</t>
  </si>
  <si>
    <t>360° Rotate Tap Bubbler Filter Aerator Net Water Saving Device Nozzle Faucet Fitting</t>
  </si>
  <si>
    <t>Nordic Marble Shell Cabinet Handle Knobs Drawer and Wardrobe Door Pulls</t>
  </si>
  <si>
    <t>Grey Nordic Marble Shell Cabinet Handle Knobs Drawer and Wardrobe Door Pulls</t>
  </si>
  <si>
    <t>Antique Bronze Handle Retro Drawer Cabinet Door Pulls Furniture Hardware</t>
  </si>
  <si>
    <t>13M Self Adhesive Tape White Board Grid Gridding Marking Tape</t>
  </si>
  <si>
    <t>Head Fishing Nets Brail Nano Titanium Alloy Landing Net Removable Hand Net</t>
  </si>
  <si>
    <t>Acrylic DIY Frame Bezel Pendant Black Plastic UV Resin Box Christmas Decoration Gift 8 Pattern with Hole</t>
  </si>
  <si>
    <t>Fine Copper Angle Valve Cold Hot Water Universal Bathroom Kitchen Valve Eight-Character Fashion Design</t>
  </si>
  <si>
    <t>40*40cm Polyester Chair Cushion Square Soft Padded Pad Home Office Decor Dining</t>
  </si>
  <si>
    <t>XL Size Swivel Computer Chair Cover Stretch With 2 Armrest Covers Armchair Slipcover Seat</t>
  </si>
  <si>
    <t>Nordic Print Round Cotton Chair Cushion Soft Pad Dining Home Office Patio Garden</t>
  </si>
  <si>
    <t>EDC Portable  Door Opener Elevator Handle Key Aluminum Alloy</t>
  </si>
  <si>
    <t>Black Contactless EDC Door Opener Handheld Keychain Press Elevator Tool Anti-Bacterial Sanitary</t>
  </si>
  <si>
    <t>60 x 40 x 28cm Bed Tray Desk Folding Computer Desk With Card Slot And Cup Holder</t>
  </si>
  <si>
    <t>Modern Cupboard Pull Drawer Knobs Zinc Alloy Furniture Wardrobe Round Handle Pulls</t>
  </si>
  <si>
    <t>Desktop Table Organizer Office Storage Folder Rack File Wood Display Shelf Stand</t>
  </si>
  <si>
    <t>Free Bending Water Barrier Water Stopper Silicone 50/60/90/120/150/200cm</t>
  </si>
  <si>
    <t>2Pcs Elastic Office Chair Cover Computer Rotating Chair Protector Stretch Armchair Seat Slipcover Home Office Furniture Decoration</t>
  </si>
  <si>
    <t>Elastic Office Chair Cover Washable Computer Chair Protector Stretch Armchair Dining Chair Seat Slipcover Home Office Furniture Decoration</t>
  </si>
  <si>
    <t>Suleve™ M3ASH3 10pcs M3 Hex Socket Cap Head Screws Alloy Steel Titanium Plated 12.9 Grade</t>
  </si>
  <si>
    <t>10pcs EAS System Retail Shop Display Security Hook Stop Lock 4-5mm</t>
  </si>
  <si>
    <t>Diagonal Tile Floor Sticker Self-adhesive Wall Ground Cabinets Decals Home Decor</t>
  </si>
  <si>
    <t>Metal Adjustable Shelf Holder Bracket For Glass or Wood Shelves</t>
  </si>
  <si>
    <t>5Pcs 5x30mm 304 Stainless Steel Round O Ring Welded Marine Rigging Strapping Hardware</t>
  </si>
  <si>
    <t>130Pcs Picture Photo Hangers Kit Frame Hanging Hooks</t>
  </si>
  <si>
    <t xml:space="preserve">27m Florist Floristry Floral Stem Flower Tape Colour Corsages Craft 12mm </t>
  </si>
  <si>
    <t>1/2 3/4 1 Inch 12V Electric Solenoid Valve Pneumatic Valve for Water Air Gas Brass Valve Air Valves</t>
  </si>
  <si>
    <t>Suleve™ M4AH1 50Pcs Titanium Plated M4 Hex Socket Cap Head Screws Alloy Steel 12.9 Grade Screw Bolt M4*10</t>
  </si>
  <si>
    <t>Suleve™ M4AH2 50Pcs Titanium Plated M4 Hex Socket Flat Countersunk  Head Screws Alloy Steel 12.9 Grade Screw Bolt M4*10</t>
  </si>
  <si>
    <t>Tatami Seat Cushion Round Chair Cushion Mat Pillow Home Car Decorations Soft Sofa Cushion for Home Office Simple Fashion Round Cushion</t>
  </si>
  <si>
    <t>7Pcs Animal Ceramic Furniture Knobs Drawer Cabinet Cupboard Door Pull Handle Set</t>
  </si>
  <si>
    <t>Multifunction Kitchen Storage Organizer Dish Drainer Drying Rack Iron Sink Holder Tray For Plate Cup Bowl Tableware Shelf Basket</t>
  </si>
  <si>
    <t xml:space="preserve">Paper Tapes for Metal Frame DIY Crystal Dropping Glue Tool Non-trace Adhesive </t>
  </si>
  <si>
    <t xml:space="preserve">Suleve™ M4AN1 10Pcs M4 Self-locking Nylon Nut Aluminum Alloy Multi-color </t>
  </si>
  <si>
    <t>100Pcs 1.0/1.5/2.0/3.0mm Tile Leveling System Spacer Clips Floor Wall Tiling Tool</t>
  </si>
  <si>
    <t>Solid Brass Arc Button Stud Screw Nail 4-15mm Screw Back Leather Belt Button Screws</t>
  </si>
  <si>
    <t>2Pcs/1Set Chair Seat Covers Farley Short Plush Universal Elastic Stretch Washable</t>
  </si>
  <si>
    <t>Patio Protective Furniture Cover Black Rectangular Extra Large Waterproof Dustproof Folding Cover</t>
  </si>
  <si>
    <t>Garden Patio Rectangular Table Chairs Protective Cover Waterproof Dustproof Folding Furnitur Cover</t>
  </si>
  <si>
    <t>Oxford Polyester Tarpaulin Protective Cover For Sun Umbrella Waterproof Dustproof Floding Cover</t>
  </si>
  <si>
    <t>20Pcs/Set 3D Brick Wall Sticker Self-adhesive Panel Decal Waterproof PE Foam Wallpaper for TV Walls Sofa Background Wall Decor</t>
  </si>
  <si>
    <t>1 Pc Elastic Office Chair Seat Cover Computer Rotating Chair Seat Protector Stretch Armchair Slipcover Home Office Furniture Decoration</t>
  </si>
  <si>
    <t>Suleve™ MXNW2 100pcs M2 M3 M4 M5 White Nylon Flat Washer Gasket Thickness 1mm</t>
  </si>
  <si>
    <t>Suleve™ M3NR2 50pcs M3 Black Nylon Round Phillips Screw Bolts 6/15/20/25mm</t>
  </si>
  <si>
    <t>Suleve™ MXSW2 50Pcs Metric Stainless Steel Flat Washer Gasket M3/M4/M5/M6/M8</t>
  </si>
  <si>
    <t xml:space="preserve">Plastic Desktop Organizer Makeup Organizer Cosmetic Storage Box Stationery Holder Home Decorations </t>
  </si>
  <si>
    <t>Foldable Height Angle Adjustable USB Cooling Fan Bed Laptop Desk, Adjustable Height, Easy to Fold</t>
  </si>
  <si>
    <t>50/60cm Square Simple Coffee Table Storage Small Table Easy Installation, Large Loading Capacity</t>
  </si>
  <si>
    <t>50/60cm Triangle Simple Coffee Table Storage Small Table Easy Installation, Large Loading Capacity</t>
  </si>
  <si>
    <t>9Pcs 30-100A ABS+Copper Auto Male Female Fuse 7 Colors PAL Replacement Accessories</t>
  </si>
  <si>
    <t>10Pcs Stainless Steel Stemball Swage Hand-Crimp Metal Post 1/8" Cable Railing Screw</t>
  </si>
  <si>
    <t>Single/Double Top/Bottom/Tiers Desktop Plastic Organizer Makeup Cosmetic Storage Box</t>
  </si>
  <si>
    <t>20pcs M3 to M6 PC Transparent Screws Nylon Screws Plastic Screws Nuts</t>
  </si>
  <si>
    <t>Portable Smart Keyless Luggage Door Lock Anti Theft Fingerprint Security Padlock</t>
  </si>
  <si>
    <t>4 Bill 5 Coin Cash Drawer Tray Storage Box for Cashier Money Security Lock Safe Box</t>
  </si>
  <si>
    <t>Suleve™ M3AH6 10Pcs M3×8mm Hex Socket Screws Round Head Cap Screws 7075 Aluminum Alloy</t>
  </si>
  <si>
    <t>Suleve™ M3AH7 10Pcs M3×10mm Hex Socket Screws Round Head Cap Screw 7075 Aluminum Alloy</t>
  </si>
  <si>
    <t>Kitchen Pull Out Cool Painted Finish Flexible Hot and Cold Mixer Taps Deck Mount Swivel</t>
  </si>
  <si>
    <t>Kitchen Spray Head Swivel Sink Pull Down Pre-Rinse Faucet Tap Sprayer Repalcement Part</t>
  </si>
  <si>
    <t>Suleve™ M2NH2 M2 Nylon Screw White Hex Screw Nut Nylon PCB Standoff Assortment Kit 140Pcs</t>
  </si>
  <si>
    <t>Dining Room Chair Seat Covers Slip Stretch Wedding Banquet Party Removable Stretch Polar Fleece Twill Bar Stool Chair Cover Slipcovers Hotel Counter Decor</t>
  </si>
  <si>
    <t>Suleve™ CJ40 T Slot 3 Way 90 Degree Inside Corner Connector Joint Bracket for 4040 Series Aluminum Profile</t>
  </si>
  <si>
    <t>7 PCS/Set 3D Wall Decals Stickers Self-adhesive Waterproof Panels Wallpaper</t>
  </si>
  <si>
    <t>Hammock Chair Hanging Kit Swing Chair Fixing Accessory Stainless Steel</t>
  </si>
  <si>
    <t xml:space="preserve">Kitchen Basin Sink Faucet 360° Rotation Pull Out Sprayer Hot Cold Mixer Tap Single Handle Brass Finish Deck Mount </t>
  </si>
  <si>
    <t>DC 12V 60kg Visible Installation Door Cabinet Magnetic Lock Access Control System</t>
  </si>
  <si>
    <t>Foldable Clear Plastic Shoe Boxes Storage Organizer Stackable Tidy Display Box Baskets</t>
  </si>
  <si>
    <t>Upgrade Lifting Footstool 6 Gears Adjustable Height Foot Stepping Platform for Home Office</t>
  </si>
  <si>
    <t>2 Piece Wingback Chair Slipcover Sofa Chair Cover Spandex Stretch Elastic Wing back Slip Chair Cover Recliner Arm Chair Protector</t>
  </si>
  <si>
    <t>Adjustable Movable Base Laundry Pedestal Stand Bracket for Washing Machine Dryer Refrigerator</t>
  </si>
  <si>
    <t>Portable Nylon Travel Storage Bag Pouch Bag Case Luggage Cosmetic Organizer</t>
  </si>
  <si>
    <t>Makeup Drawer Storage Box Cosmetic Jewelry Desktop Plastic Home Organizer Case</t>
  </si>
  <si>
    <t xml:space="preserve">25 pcs  M3 Female Thread  Hexagon Isolation Column Brass Standoff Spacer </t>
  </si>
  <si>
    <t xml:space="preserve">Suleve™ M2NC1 20pcs M2 Black Round Nylon Screws Cross Round Head Screws Bolt </t>
  </si>
  <si>
    <t>Metal Bookshelf Letter Magazine Storage Rack Tray Holder Desk Organization</t>
  </si>
  <si>
    <t xml:space="preserve">4pcs Antique Buckets Foot Nail Spikes Brads luggage Bag Suitcase Ail Decoration Nail Foot </t>
  </si>
  <si>
    <t>100pcs Poly Mailers Envelopes Shipping Packing Plastic Self Seal Ring Bags</t>
  </si>
  <si>
    <t xml:space="preserve">Toilet Portable Bidet Seat Spray Water Female Self Cleaning Bathroom With Water Tube Set </t>
  </si>
  <si>
    <t>Tall/Short Type Stainless Steel Bathroom Basin Faucet Single Handle Single Hole Lead Free Hot And Cold Mixer Taps With Hoses</t>
  </si>
  <si>
    <t>Clean-n-Fresh 30Pcs/set Dishwasher-specific Automatic Flush Cleaner Soap Contains Active Oxygen Factor Dish Washing Machine Cleaner</t>
  </si>
  <si>
    <t>50mm PVC Water Outlet Hose Connector Converter Pipe Adapter</t>
  </si>
  <si>
    <t>1/2'' 3/4'' S60x6 IBC Water Tank Adapter Nozzle Quick Connect Coarse Thread Hose Pipe Tap Replacement Valve Fitting Parts</t>
  </si>
  <si>
    <t>4 Floors Foldable Clothes Drying Rack With 4 Wheels For Indoor/Outdoor Use</t>
  </si>
  <si>
    <t>240/258/385/360cm Outdoor Garden Durable PE Swimming Pool Cover Waterproof Rainproof Dustproof Cover Blue Round Swimming Pool &amp; Accessories</t>
  </si>
  <si>
    <t>1/2 Inch Turn Ceramic Disc Cartridge Tap Valves Hot Cold Repair Replacement Kit</t>
  </si>
  <si>
    <t>Portable 3 Layers Shoe Rack Storage Shoe Rack Sandals Slippers Space Saving</t>
  </si>
  <si>
    <t>4 Tiers Metal Kitchen Spice Rack Jars Bottle Organizer Bathroom Storage Shelf</t>
  </si>
  <si>
    <t>10pcs Bronze  Bubble Nails Decorative Sofa Vesicles Box Bubble Nail Tack</t>
  </si>
  <si>
    <t>Suleve™ M2NH4 50Pcs M2 Nylon Hex Hexagonal Female Thread PCB Standoff Spacers 10/15/20/25mm</t>
  </si>
  <si>
    <t>1.0-4.0mm Plastic Easy Storage Screw Setter Anti Static for DIY Model RC 14x9x2cm</t>
  </si>
  <si>
    <t>Wooden Succulent Flower Pot Stand Indoor Balcony Floor Stand Garden Decoration</t>
  </si>
  <si>
    <t>Folding Notebook Computer Desk Stand Portable Plastic Learning Desk Multifunctional Storage Desk For Laptop Notebook Bedroom Desk</t>
  </si>
  <si>
    <t>1/4 Inch Male Thread Pipe Barb Hose Tail Connector Adapter 6mm To 12mm</t>
  </si>
  <si>
    <t>Retro Black Metal Folding Plant Shelf Unit Flower Rack Stand Shoe Stand For Garden Patio Balcony</t>
  </si>
  <si>
    <t>Waterproof Heavy Duty Proof Sun Canopy Shade Sail Cloth Rectangle Outdoor</t>
  </si>
  <si>
    <t>Wooden Plant Stand Garden Planter Flower Pots Stand Shelf Indoor Outdoor</t>
  </si>
  <si>
    <t>Metal Plant Stand Shelf Flower Pot for Indoor Garden Kitchen Rack Space Saving Shoe Organizers Storage Home Decoration For Indoor Outdoor</t>
  </si>
  <si>
    <t>Multi Tier Wood Flower Rack Plant Stand Wood Shelves Bonsai Display Shelf Indoor</t>
  </si>
  <si>
    <t>Waterproof Wall Sticker for Living Room Bedroom DIY Wall Decor Self Adhesive</t>
  </si>
  <si>
    <t>Plant Stand Multi-Layer Flower Stand Floor Stand Flower Pot Rack</t>
  </si>
  <si>
    <t>4 Tier Flower Stand Iron Plant Pot Shelf Balcony Floor Stand Garden Home Decor Planter Holder</t>
  </si>
  <si>
    <t>Plastic Cosmetic Makeup Storage Box Organizer Case Holder Jewelry with Drawer</t>
  </si>
  <si>
    <t>Black Silver Swive Spout Basin Faucet Bathroom Vessel Sink Mixer Tap Single Lever 360 Rotate Hot Cold Water Tap</t>
  </si>
  <si>
    <t>2Pcs Portable Foldable Tripod TV Stand Adjustable Height Monitor Bracket Mount for 26" to 50" Flat Screen</t>
  </si>
  <si>
    <t>160x50x25CM Toilet Bathroom Shelf Steel Pipe Material Perforation-Free Storage Shelf With Paper Towel Rack &amp; Towel Rack</t>
  </si>
  <si>
    <t>32Pcs Galvanized Threaded Nail Expansion Screw Nails Door Frame and Safety Speed Bump Fixing Pull Burst Nail</t>
  </si>
  <si>
    <t>Matte Black Cabinet Pull Door Handles Steel Kitchen Hardware Drawer Knob T Bar</t>
  </si>
  <si>
    <t>2/3/4/5 Tier Foldable Flower Pot Plant Stand Planter Display Rack Shelf Organizer Garden Balcony</t>
  </si>
  <si>
    <t>3/16" Stainless Steel Hand Swage Stud Turn Buckle Deck Toggle Tensioner for 3/16 Inch Cable Railing</t>
  </si>
  <si>
    <t>12.5CM Vintage Iron Coat Towel Hanging Hook Wall Bathroom Rack Door Home Decor</t>
  </si>
  <si>
    <t>Rustic Wood Pipe Frame Floating Shelf Bracket Rack Holder Wall Mounted Storage</t>
  </si>
  <si>
    <t>Roll Copper Steel 25 ft. 3/16" Brake Line Pipe Tubing with 20 Pcs Kit Fittings Brake Female Male Nut</t>
  </si>
  <si>
    <t>iBeauty Sauna Convenient Folding Chair Camping Portable Chair</t>
  </si>
  <si>
    <t>Iron Toggle Latch Catch Hasp Clamp Clip Duck Billed Buckles for Wood Box Case</t>
  </si>
  <si>
    <t>Foldable ECO Grocery Bag Magic Folding Shopping Bag Reusable Recycle Cloth Shopper Bag Large</t>
  </si>
  <si>
    <t>Suleve™ M5AN2 10Pcs M5 Cup Head Hex Screw Gasket Washer Nuts Aluminum Alloy Multicolor</t>
  </si>
  <si>
    <t>Suleve™ AJ40 4Pcs Corner Bracket Cast Aluminum Angle Corner Joint 40x40mm</t>
  </si>
  <si>
    <t xml:space="preserve">Baby Boys Potty Toilet Kids Toddler Urinal Bathroom Hanging Pee Trainer </t>
  </si>
  <si>
    <t>Knobs Pull Ring for Drawer Cabinet Cupboard Door Furniture Handle Furniture Component</t>
  </si>
  <si>
    <t>20pcs PPR Teeth Plug PPR External Wire Plug DN20 Pipe Fittings of Hot Water</t>
  </si>
  <si>
    <t>Kitchen Sink Faucet 360°Swivel Pull Out Water Tap Deck Mounted Cold Hot Mixer With Hose</t>
  </si>
  <si>
    <t>Brushed Gold Kitchen Sink Faucet Pull Out Water Tap Single Handle Mixer Tap 360 Rotate</t>
  </si>
  <si>
    <t>Vacuum Cleaner Stand Fits For Dyson V6 V7 V8 V10</t>
  </si>
  <si>
    <t>Adjustable Laptop Stand Folding Portable Computer for Bed Sofa Desk Holder Table</t>
  </si>
  <si>
    <t>Aluminum Alloy Cabinet Feet Adjustable Furniture Foot Bed Cabinet Legs Coffee Table Fixed Feet</t>
  </si>
  <si>
    <t>Garden Anti Bird Net Insect Netting Poultry Plant Vegetable Outdoor Crop Fruit Protective Mesh Net</t>
  </si>
  <si>
    <t>Modern White Flower Bedroom Bedside Table Rack Cabinet Organizer Night Stand Storage Baskets</t>
  </si>
  <si>
    <t>Black Wood Looking Textured Self Adhesive Decor Contact Paper Vinyl Shelf Liner Wall Paper</t>
  </si>
  <si>
    <t>Waterproof Stacking Chair Covers Outdoor Garden Parkland Patio Office Furniture</t>
  </si>
  <si>
    <t>2Pcs/Set Rainfall Handheld Shower Head Silica Gel Outlet Pressurized Shower set</t>
  </si>
  <si>
    <t xml:space="preserve">FRAP Silver Double Handle Faucet Kitchen Sink Faucet and Kitchen </t>
  </si>
  <si>
    <t>TMOK 1" 1-1/4" Manual Internal Threaded Brass Temperature Gauge Ball Valves for Thermometer</t>
  </si>
  <si>
    <t xml:space="preserve">TMOK TK201 1/2" 3/4" 1" Female Brass Two Piece Full Port Thread Ball Valves with Vinyl Handle </t>
  </si>
  <si>
    <t>TMOK 1/2" 3/4" External Wire Manual PPR Brass Ball Valve Nickel Handle PPR Male Thread Valves</t>
  </si>
  <si>
    <t>Suleve™ MXHN1 50Pcs Transparent Acrylic Nuts Hex Plastic Nut Washer Hexagonal Lock Nuts M6</t>
  </si>
  <si>
    <t>76.2mm to 57.6mm Stainless Exhaust Pipe to Component Adapter Reducer Connector Pipe Tube</t>
  </si>
  <si>
    <t>M22 Male to 1/4" Male Adapter Brass Pressure Washer Hose Quick Connect Coupling Fitting for Karcher</t>
  </si>
  <si>
    <t xml:space="preserve">10Pcs 8x12 Inch Adhesive Glitter Paper Card Assorted Colors Scrapbooking Crafts </t>
  </si>
  <si>
    <t>LED Light Strip 50/100/150/200cm RGB 5050SMD LED Strip Light Battery Operated Waterproof 3 Modes Color Change</t>
  </si>
  <si>
    <t>15/25/37mm Width PVA Wide Wire Mesh Coarse Fishing Baits Bag Stocking Plunger Stick Tube 7m Length</t>
  </si>
  <si>
    <t>TMOK 3/4" 1" 1-1/4" PPR Brass Ball Valve Heat Fusion Double Union Socket Plumbing Fitting</t>
  </si>
  <si>
    <t>Heavy Duty Aluminium Rotating Bearing Turntable Turn Table Round Plate Tableware</t>
  </si>
  <si>
    <t>Mini Decorative Jewelry Box Chest Case Cabinet Drawer Door Pull Knobs Handle</t>
  </si>
  <si>
    <t xml:space="preserve">CHENGSHE Bamboo Tea Tray Mat Kung Fu Tea Making Tools from </t>
  </si>
  <si>
    <t xml:space="preserve">20Pcs Stainless Steel Clips Tent  Windproof Securing Hook Buckle </t>
  </si>
  <si>
    <t>Dual Purpose Bidet Airbrush Set Plastic ABS Electroplating Toilet Companion Flusher Bidet Nozzle</t>
  </si>
  <si>
    <t>Handheld Toilet Bidet Sprayer Bathroom Nozzle Shower Water Spray Head Bidet Booster Kit With Switch</t>
  </si>
  <si>
    <t>Swivel Seat Cover Elastic Computer Office Chair Cover Washable Removable Arm Chair Cover Home Buisness Office Supplies</t>
  </si>
  <si>
    <t>Steel Wire Rope Balustrade Kit Jaw Swage Fork Eye Bolt Terminal Turnbuckle Saddle</t>
  </si>
  <si>
    <t>1/2/3/4 Seaters Elastic Sofa Cover Universal Bohemian Chair Seat Protector Couch Case Stretch Slipcover Home Office Furniture Decorations</t>
  </si>
  <si>
    <t>4Pcs 10/15cm European Solid Wood Carving Furniture Foot Legs Unpainted Couch Cabinet Sofa Seat Feets</t>
  </si>
  <si>
    <t>Stretch Chair Cover Dining Room Chair Slipcovers Stretch Furniture Protector Covers Removable  Kitchen Chair Cover Seat for Hotel Ceremony Banquet Wedding Party</t>
  </si>
  <si>
    <t>4Pcs 10/15cm European Solid Wood Carving Furniture Foot Legs Unpainted Cabinet Feets Wood Decal</t>
  </si>
  <si>
    <t>25FT Air Hose Fittings Recoil Pneumatic Airline Compressor 200PSI Quick Coupler</t>
  </si>
  <si>
    <t>1/2/3 Seaters Elastic Sofa Cover Universal Pure Color Chair Seat Protector Couch Case Stretch Slipcover Home Office Furniture Decorations</t>
  </si>
  <si>
    <t>60/90/120/150/200cm Bathroom/Kitchen Shower Water Barrier silicone Dry And Wet Separation Water Blocking Strips</t>
  </si>
  <si>
    <t>Elastic Chair Cover Home Office Hotel Modern Removable Floral Chair Slipcover Table Chair Home Furnishing Decorations</t>
  </si>
  <si>
    <t>4Pcs 10/15cm European Solid Wood Carving Furniture Foot Legs Unpainted Table Cabinet Feets</t>
  </si>
  <si>
    <t>4Pcs 10/15cm European Solid Wood Carving Furniture Foot Legs Unpainted Cabinet Sofa Seat Feets</t>
  </si>
  <si>
    <t>10Pcs Vinyl Siding Hooks Hanger Stainless Steel No-Hole Needed Vinyl Siding Clips for Hanging Home Outdoor Decorations</t>
  </si>
  <si>
    <t>25×1100×0.75mm Anti Slip Tennis Racket Grip Tapes Badminton Racket Grip Tape Squash Tape</t>
  </si>
  <si>
    <t>Metal Oval Shape Clasp Turn Twist Lock for DIY Handbag Bag Purse</t>
  </si>
  <si>
    <t>9 Size M4 M5 M6 M8 M10 Hex Drive Screw In Threaded Insert For Wood Type E</t>
  </si>
  <si>
    <t>Suleve™ AC30 30×30mm Aluminum Angle Connector Junction Corner Bracket 3030 Series Aluminum Profile</t>
  </si>
  <si>
    <t>Suleve™ AC20 20×20mm Aluminum Angle Corner Connector T Sloted Profile 2020 Series Aluminum Profile</t>
  </si>
  <si>
    <t>Suleve™ AC40 40×40mm Aluminum Angle Connector Junction Corner Bracket  4040 Series Aluminum Profile</t>
  </si>
  <si>
    <t>1/2 Inch 3.5cm Hose Adapter Brass Coupling Quick Fittings Coupler</t>
  </si>
  <si>
    <t>Thick Hanging Basket Seat Cushion Hanging Egg Chair Cushions Chair Cushions BRS</t>
  </si>
  <si>
    <t>220lbs Hammock Hanging Chair Rope Relax Macrame Swing Seat Cotton Home</t>
  </si>
  <si>
    <t>Moveable Computer Laptop Desk Height Adjustable Writing Study Table Book Storage Shelf Workstation with Wheels Home Office Furniture</t>
  </si>
  <si>
    <t>Garden Bench Patio SEAT PADS Chair Cushion Swing 3 Seater OUTDOOR 150x50x10CM</t>
  </si>
  <si>
    <t>Portable Inflatable Chair Outdoor Plush Pneumatic Stool Bean Bag Round Shape Home furniture</t>
  </si>
  <si>
    <t>8-24mm Stainless Steel Spring Link Bar Pins For Watch Band Strap</t>
  </si>
  <si>
    <t>10pcs 1/4inch Male/Female BSP Adapter Compressed Air Quick Coupling Hose</t>
  </si>
  <si>
    <t>18m×48mm PVC Roll Self Adhesive Warning Tape Decorative Tape</t>
  </si>
  <si>
    <t>20x10CM Wood Carved Corner Onlay Unpainted Frame Decoration</t>
  </si>
  <si>
    <t>10Pcs Stainless Steel Wall Display Hooks for Coat Shop Slatwall Panel 10 × 150MM</t>
  </si>
  <si>
    <t>Rubber &amp; Stainless Steel Door Stop Wedge Safety Protector Stopper Block</t>
  </si>
  <si>
    <t xml:space="preserve">FRAP F4254 Home Kitchen Single Rotating Handles Basin Faucet Optional Handles Style Sink Faucet </t>
  </si>
  <si>
    <t>Universal 4 Way Hose Faucet Manifold Water Segregator for 3/4" 1/2" Garden Tap Splitter Water Pipe Divider Hose Quick Connector Nozzle Shut Off Control</t>
  </si>
  <si>
    <t>8.5cm x 6.5cm Metal Purse Bag Frame Kiss Clasp Lock Wallet Clip DIY Craft Decorations</t>
  </si>
  <si>
    <t>Real Marble Coffee Table set of 2 Round Side End Table Metal Base</t>
  </si>
  <si>
    <t>66-96CM Adjustable Telescopic Over Sink Dish Drying Rack Holder</t>
  </si>
  <si>
    <t>Office Foot Rest Mat Foot Massage Mat Cloud-Shaped Foot Pillow Comfortable Foot Cushion Pillow Home Offfice Supplies</t>
  </si>
  <si>
    <t>Toilet Douche Hand Held Bidet Shower Head Spray Sprinkler Wash Jet Hose Set</t>
  </si>
  <si>
    <t>6/10/14mm Solid Brass Y Connector 3 Ways Hose Joiner Barbed Y Splitter</t>
  </si>
  <si>
    <t>Handles Pull with Screw for Cabinet Cupboard Drawer Door Wardrobes</t>
  </si>
  <si>
    <t>Draft Beer Tower Rebuild Kit with Shank Beer Faucet Hose Wrench</t>
  </si>
  <si>
    <t>20Pcs Black 12.9 Grade M12 HEX Socket Set Core Point Grub Screws</t>
  </si>
  <si>
    <t>Glasses Display Case Grids Storage Box Jewelry Collection Case Display Holder</t>
  </si>
  <si>
    <t>Canvas Swing Hanging Hammock Chair Cotton Rope Tassel Tree Chair Seat Patio Outdoor</t>
  </si>
  <si>
    <t>Garden Tree Patio Camping Hammock Chair Hanging Chair Swing Cotton Tassel Rope</t>
  </si>
  <si>
    <t>Silicone Square Round Furniture Feet Caps Table Chair Leg Pads Floor Protector Scratchproof</t>
  </si>
  <si>
    <t>Kids Potty Training Seat with Step Stool Ladder For Child Toddler Toilet Chair</t>
  </si>
  <si>
    <t>Retro Wall Shelf Wood Rope Swing Shelves Baby Kids Room Storage Holder Decor NEW</t>
  </si>
  <si>
    <t>Velvet Stretch Chair Covers Chair Protector Slipcover Dining Room Wedding Banquet Party for Home Office Decoration</t>
  </si>
  <si>
    <t>Wooden Computer Laptop Desk Modern Table Study Desk Office Furniture PC Workstation for Home Office Studying Living room</t>
  </si>
  <si>
    <t>3Pcs Pack Self Setting Silicone Multi Purpose Modeling Repair Cracks Fix Form Repair Plasticine Tool</t>
  </si>
  <si>
    <t>10Pcs 11mmx200mm Colorful Glitter Hot Melt Glue Stick Colorant DIY Crafts Repair Model Adhesive Sticks</t>
  </si>
  <si>
    <t>Antique Brass Triangle Valve Bathroom Accessory G1/2 Brass Angle Stop Valves Filling Valves Square Type</t>
  </si>
  <si>
    <t>Velvet Storage Footstool Sofa Ottoman Footrest Makeup Dressing Table Stool Storage Box Bench Seat Chair Home Office Furniture</t>
  </si>
  <si>
    <t>High Back Chair Cushion Waterproof Sofa Recliner Chair Cushion Seat Back Pad Tatami Mat for Office Home Patio Backyard Garden</t>
  </si>
  <si>
    <t>High Back Chair Seat Cushion Office Chair Recliner Chair Pad Pillow Soft Sofa Car Seat Cushion Mat Home Office Furniture Decorations</t>
  </si>
  <si>
    <t>Baby Toddler Toilet Trainer Potty with Adjustable Ladder Safety Seat Chair Step</t>
  </si>
  <si>
    <t>YOUHUA 2006 5/6 Tier Flower Plant Stand Indoor Metal Pots Stander Display</t>
  </si>
  <si>
    <t>3/4 Layer Storage Rack Home Bathroom Shower Shelf Kitchen Bath Holder Organizer</t>
  </si>
  <si>
    <t>Bedroom Bathroom Door Round Lever Handle Knobs Locks Stainless Steel</t>
  </si>
  <si>
    <t>USB Computer Desk Multifunctional Portable Bed Computer Desk Lazy Foldable Lazy Laptop Table for Home Office Dormitory</t>
  </si>
  <si>
    <t>Adjustable Laptop Desk Movable Bed Desk Writing Small Desk Lifting Desk Mobile Bedside Table for Home Dormitory</t>
  </si>
  <si>
    <t>12 Pcs Anti Slip Grip Strips Non-slip Bathtub Safety Stickers Shower Floor</t>
  </si>
  <si>
    <t>2 IN 1 Foldable Portable Baby Bed &amp; Backpack Baby Crib Nursery Travel Cot Mosquito</t>
  </si>
  <si>
    <t>Kitchen Drain Storage Rack Sink Sponge Dish Towel Organizer Cloth Holder Shelf</t>
  </si>
  <si>
    <t>MUMAREN ZJBGZWJ Wall-mounted Storage Shelf Rustic Floating Mantle Bookshelf Home Decor</t>
  </si>
  <si>
    <t>Wall Mounted Storage Rack Children Room Decorative Shelf  Pink Yellow Purple</t>
  </si>
  <si>
    <t>1/2/3 Seaters Elastic Plush Sofa Cover Universal Thick Pure Color Sofa Chair Seat Protector Stretch Slipcover Couch Case Home Office Furniture Decoration</t>
  </si>
  <si>
    <t>1/3/5m 25/45mm Universal Practical Auto Moulding Trim Car Anti Collision Strip Scratch</t>
  </si>
  <si>
    <t>Bathroom Kitchen Water Stopper Separation Silicone Partition Strips Height 30MM</t>
  </si>
  <si>
    <t>Suleve Universal Faucet Areator 1080 Degree Swivel Extender Splash Filter Bubbler Rotating Mesh Mouth Anti Splash Head Dual Mode Faucet Extender Water Saving Device for Bathroom Kitchen</t>
  </si>
  <si>
    <t>SUOERNUO Z674 4-Layers Storage Rack Wrought Iron Bathroom Kitchen Shelf White/Brown</t>
  </si>
  <si>
    <t>2-Tier Bathroom Storage Shelf Above Washing Machine Toilet Floor-standing Rack</t>
  </si>
  <si>
    <t>2-Tier Kitchen/Bathroom Storage Rack Freestanding Shelf Save Space</t>
  </si>
  <si>
    <t>Cosmetic Organizer 360° Degree Rotating Makeup Box Storage Spinning Rack Case</t>
  </si>
  <si>
    <t>4-Tier Storage Cabinet Laundry Cupboard Assorted Shelf Drawer Office Home</t>
  </si>
  <si>
    <t>5 Drawers Hair Salon Beauty Spa Hairdresser Storage Cart Trolley Rolling Barber</t>
  </si>
  <si>
    <t>Wall Storage Rack Towel Organizer Punch Free Kitchen Bathroom 30/40/50/60CM</t>
  </si>
  <si>
    <t>File Cabinets Chest Of Drawers Nightstands Wardrobe Bedside Table Desk Storage With 2 Layer</t>
  </si>
  <si>
    <t>SHENGRONGDA 635 Three Tiers Kitchen Storage Shelf Cupboard Table Topp Free Standing Spice Rack Bottle Holder</t>
  </si>
  <si>
    <t>2Pcs Wall Mounted Floating Shelves Wood Industrial Rack Brackets Shelf</t>
  </si>
  <si>
    <t>Coat Stand Garment Rack Shelf Metal Jacket Umbrella Hanger Standing 12 Hook</t>
  </si>
  <si>
    <t>Recliner Cushion Lounge Chaise Garden Deck Chair Seat Pad Soft Replacement Mat</t>
  </si>
  <si>
    <t>Dish Drying Rack Storage Shelf Kitchen Holder Iron Plate Drainer Organizer</t>
  </si>
  <si>
    <t>YONGHONG G29496 Multifunctional Kitchen Shelf Bottom Drain Partition Storage for Tableware Cutting Board Utensils</t>
  </si>
  <si>
    <t>ZHIMI ZM-049 Kitchen Dish Drainer Dry Rack 2/3 Tier Spice Jars Bottle Stainless Organizer</t>
  </si>
  <si>
    <t>3 Tiers Storage Rack Over Toilet/Bathroom/Laundry/Washing Machine Shelf Organizer</t>
  </si>
  <si>
    <t>1/2/3 Tiers Wall Mounted Storage Holder Wooden Hanging Rope Shelf Floating Rack</t>
  </si>
  <si>
    <t>3 Tier Storage Shelves Desktop Cosmetic Organiser Bath Shelf Spice Makeup Rack</t>
  </si>
  <si>
    <t>Santa Claus Table Cloth Chair Cover Christmas 3D Print Tablecloth Seat Protector Slipcover for Party Banquet Hotels Kitchen Home Office Furniture Decorations</t>
  </si>
  <si>
    <t>YIDUOLE Plant Pot Stand 80CM Metal Holder Flower Display Shelf Indoor Garden Home Decor</t>
  </si>
  <si>
    <t>Chair Cushion Tufted Soft Deck Chaise Padding Outdoor Patio Pool Recliner 18*61</t>
  </si>
  <si>
    <t>Wooden Plant Stand In/Outdoor Garden Planter Flower Pot Stand Shelf 6 Layers</t>
  </si>
  <si>
    <t>Foldable Flower Basket Seagrass Woven Belly Planter Pot Laundry Storage Skep Box</t>
  </si>
  <si>
    <t>Flower Pot Stand Rack-mounted Balcony Wrought Iron Hanging for Home</t>
  </si>
  <si>
    <t>Three Layers Drying Dish Rack with Board Stainless Steel Drainer Shelf for Kitchen</t>
  </si>
  <si>
    <t>1/2 Tier Drying Dish Rack Cutlery Plate Drainer Shelf With Drip Tray Kitchen</t>
  </si>
  <si>
    <t>4 Layers Iron Flower Stand Pot Plant Display Shelves Rack Garden Home Decoration</t>
  </si>
  <si>
    <t>Winter Recliner Cushion Chair Rocking Chair Seat Mat Tatami Mat Non-Slip Cushion Sofa Office Chair Thicken Cushion</t>
  </si>
  <si>
    <t>HONGPAI Refrigerator Rack Kitchen Bar Organizer Side Shelf Sidewall Holder Household</t>
  </si>
  <si>
    <t>Wood Desktop Organizer Adjustable Storage Rack Double H Style BookShelf for Home Office</t>
  </si>
  <si>
    <t>4 Layers Storage Rack Retro Iron Floor Standing Home Kitchen Organizer Stand</t>
  </si>
  <si>
    <t>Multifunctional Coat Rack Clothes Bag Storage Hanger Shoes Holder Stool Shelf</t>
  </si>
  <si>
    <t>Foldable Laptop Desk Portable Height Adjustable Computer Stand Bamboo Tea Serving Tray Bed Dining Table Laptop Notebook Table</t>
  </si>
  <si>
    <t>Elastic Dining Chair Cover Office Computer Chair Protector Stretch Seat Slipcover Home Office Furniture Decor</t>
  </si>
  <si>
    <t>Elastic Ottoman Cover Footstool Protector Stretch Storage Stool Chair Seat Slipcover Home Office Furniture Decor</t>
  </si>
  <si>
    <t>Elastic Dining Chair Cover Stretch Polyester Chair Seat Slipcover Office Computer Chair Protector Home Office Furniture Decor</t>
  </si>
  <si>
    <t>Elastic Dining Chair Cover Printing Stretch Polyester Chair Seat Slipcover Office Computer Chair Protector Home Office Furniture Decor</t>
  </si>
  <si>
    <t>Cupcake Stand Cake Holder Wedding Party Display LED String Light 3/4/5 Tiers</t>
  </si>
  <si>
    <t>Portable Electric Laundry Rack Hanger Folding Drying Clothes Travel 110V/220V</t>
  </si>
  <si>
    <t>ZHUYUWAN Chopstick Holder Wall-mounted Kitchen Tableware Spoon Storage Box</t>
  </si>
  <si>
    <t>Lumbar Support Cushion/ Massage Pillow Portable Inflatable for Home Travel Office Car</t>
  </si>
  <si>
    <t>Clothes Laundry Basket Large Oxford Cloth Hamper Storage Organizer Bag Foldable</t>
  </si>
  <si>
    <t>Indoor Outdoor Garden Patio Home Kitchen Office Chair Seat Soft Cushion Pads</t>
  </si>
  <si>
    <t>Lounger Recliner Seat Pad Replacement Cotton Cushion Cover Sun Sofa Garden Chair Mat</t>
  </si>
  <si>
    <t>Chair Covers Seat Chair Slipcover For Dinning Room Wedding Office Banquet Decor</t>
  </si>
  <si>
    <t>6 Bottle Foldable Wooden Bottle Holder - Natural Shelves Display</t>
  </si>
  <si>
    <t>Bench Storage Stool Shoe Wooden Shoes Rack Bamboo Stand Chair Organiser</t>
  </si>
  <si>
    <t>4pcs 28 Inch Table Desk Legs Metal Hairpin Leg Furniture Legs Stand Feet Home Office Furniture Accessories with Floor Protection Mat</t>
  </si>
  <si>
    <t>4pcs Table Desk Legs 16"/41cm Metal Hairpin Leg Furniture Legs Stand Feet Home Office Furniture Accessories</t>
  </si>
  <si>
    <t>Chair Cover Thick Stretch Recliner Wing Sofa Protector Lazy Washable Fabric</t>
  </si>
  <si>
    <t>LN Plastic Mini Table Foldable Laptop Desk Bed Lazy Table Student Dormitory Desk Writing Table</t>
  </si>
  <si>
    <t>Bathroom Toilet Cabinet Storage Cupboard Rack Tissue Organizer Shelf</t>
  </si>
  <si>
    <t>2Pcs Coffee Table Legs Industrial Metal Computer Laptop Desk Dining Table Steel Base Feet Home Office Furniture Accessories</t>
  </si>
  <si>
    <t>Industrial Ladder Shelf 4 Tiers Bookshelf Plant Flower Stand Storage Rack Multipurpose Organizer Shelves Metal Frame for Home Office</t>
  </si>
  <si>
    <t>Adjustable Cushion Pillow Wedge Waist Rest Neck Back Pillow Support Car Seat Chair Sofa Cushion for Kids Children</t>
  </si>
  <si>
    <t>10Pcs/1Set Durable Plastic Home Double Layer Shoes Storage Racks Shoe Shelf Holder Organizer Space-Saving</t>
  </si>
  <si>
    <t>90Kg/ 198Lbs Toggle Clamp Holding Capacity Horizontal Plate</t>
  </si>
  <si>
    <t>6Pcs/set Silicone Stretch Suction Pot Lids Kitchen Cover Pan Bowl Stopper Cap</t>
  </si>
  <si>
    <t>35cm/45cm Single Layer Wooden Rope Hanging Wall Shelf Vintage Floating Storage Rack Wall Mount Bookshelf Home Decorations Stand</t>
  </si>
  <si>
    <t>12.08" 100Pcs LP Vinyl Record Anti-static Plastic Cover Inner Sleeves LD</t>
  </si>
  <si>
    <t>Wooden Succulent Flower Pot Shelf Rack Multi-Layer Solid Wood Floor Indoor Living</t>
  </si>
  <si>
    <t>Waterproof Tape Kitchen Bathroom Toilet Sink Wall Corner PVC Sealing Strip</t>
  </si>
  <si>
    <t xml:space="preserve">SUBMARINE Stainless Steel Basin&amp;Toilet Flexible Plumbing Water Corrugated Hose G1/2" Hot&amp;Cold Tube Bathroom Heater Pipes 20-60cm from </t>
  </si>
  <si>
    <t>Nordic Wind Geometric Shelf Household Bookshelf Kitchen Plastic Food Storage Case Dried Fruit Snack Box Home Decorations</t>
  </si>
  <si>
    <t>150x30cm PVC Black/White Super Fix Strong Waterproof Adhesive Tape Pipe Repair Tape Self Fixable Tape Stop Leak Seal Insulating Tape</t>
  </si>
  <si>
    <t>Multifunctional Movable Bedside Laptop Desk Computer Table Study Table Computer Stand with 2 Tiers Storage Shelves Bookshelf</t>
  </si>
  <si>
    <t>3300W Electric Hot Water Heater Faucet LED Ambient Light Temperature Display Instant Heating Tap Faucet</t>
  </si>
  <si>
    <t xml:space="preserve">2.5cmx3m Waterproof Silicone Adhesive Tape Pipe Repair Tape Self Fixable Tape Stop Leak Seal Insulating Tape Boding Rescue Tape </t>
  </si>
  <si>
    <t xml:space="preserve">Expandable Kitchen Storage Shelf Bathroom Shoe Houseplant Organizer Rack Holder </t>
  </si>
  <si>
    <t>Dust Proof Shoe Racks Household Receive Simple Shoes Bracket Organizer Footwear Support</t>
  </si>
  <si>
    <t>Lusimo Industrial End Table Metal Side Table Laptop Desk Round Sofa Table with Storage Rack Easy Assembly Wooden Accent Furniture with Metal Frame ULET57X</t>
  </si>
  <si>
    <t>3/4 Grids Seasoning Storage Container Kitchen Wall Hanging Condiment Spice Holder</t>
  </si>
  <si>
    <t>4Pcs/Set Solid Wooden Cone Angled Furniture Legs Kit Sofa Table Chair Stool Part Leg Support</t>
  </si>
  <si>
    <t>Bathroom Rack Tissue Discharge Makeup Cotton Swabs Mask Skin Care Products Shelf No Drilling</t>
  </si>
  <si>
    <t>Practical And Durable Bathtub Cover And Upgraded Comfortable And Easy-to-remove Cushion</t>
  </si>
  <si>
    <t>Sofa Chair Covers Home Elastic Stretch Slipcover Protector Settee 1/2/3/4 Seater</t>
  </si>
  <si>
    <t>2/3 Tier Kitchen Rack Organizer Stainless Steel Countertop Spice Jars Bottle Kit</t>
  </si>
  <si>
    <t>Sofa Covers 1/2/3/4 Seater Lounge Couch Recliner Chair Stretch Slipcover Protect</t>
  </si>
  <si>
    <t>5 Layers Plant Stand Windmill Flower Pot Shelves Indoor Outdoor Garden Planter Shelf Storage Rack with Wheels</t>
  </si>
  <si>
    <t>2 Layers Plant Stand Flower Pot Shelves Indoor Outdoor Garden Home Office Planter Shelf Storage Rack</t>
  </si>
  <si>
    <t>Matte Black Aluminum Door Lock Mechanical Interior Door Handle Cylinder Lock Lever Latch Home Security Mute Locker With Keys New Home Accessories</t>
  </si>
  <si>
    <t>Christmas Tablecloth Chair Cover 3D Print Gift Box Table Cloth Seat Protector Slipcover for Party Banquet Hotels Kitchen Home Office</t>
  </si>
  <si>
    <t>JIAHUA Coat Rack Wall Hanging Iron Hanger Organizers Shelf Bracket Black</t>
  </si>
  <si>
    <t>2 Layers Plants Flower Stand Rack Metal Floor Shelf Home Balcony Decor</t>
  </si>
  <si>
    <t>BNBS 2/3 Tiers Bathroom Storage Shelf Holder Toilet Rack Space Saver Organizers Home</t>
  </si>
  <si>
    <t>20Pcs/Set M12 x 1.5 Wheel Nuts 19mm Hex Locking Nut Blots</t>
  </si>
  <si>
    <t>Suleve MXNP2 270Pcs White/Black M2-M5 Plastic Nylon Phillips Screw Round Head Hex Nut Assortment Kits</t>
  </si>
  <si>
    <t>61" Deck Chair Cushion Lounge Chaise Padding In/Outdoor Recliner Patio Garden Office</t>
  </si>
  <si>
    <t>170CM Sun Lounger Chair Cushions Lounge Chaise Recliner Chair Cushion with Non-Slip Back Elastic Sleeve for Garden Outdoor/Indoor/Sofa/Tatami/Car Seat</t>
  </si>
  <si>
    <t>Foldable Lazy Sofa Single Bed Computer Chair Floor Dormitory Small Sofa for Balcony Bay Window Back Chair Supplies</t>
  </si>
  <si>
    <t xml:space="preserve">Solid Heavy Duty Zinc Alloy Extended Magnetic Door Stopper Hidden Foot Pedal Floor Mount Door Catch Free Punching Door Holder  </t>
  </si>
  <si>
    <t>Dish Drying Rack Organizer Home Kitchen Draining Over Sink Stainless Steel 63/73/83CM</t>
  </si>
  <si>
    <t>Moveable Laptop Desk Home Bed Lazy Table Bedside Table Student Dormitory Bedroom Study Table Desk For Home Office Stydy Bedroom</t>
  </si>
  <si>
    <t>1/2/3/4 Seaters Elastic Sofa Cover Universal Chair Seat Protector Stretch Slipcover Couch Case Home Office Furniture Decoration</t>
  </si>
  <si>
    <t>8L Home Living Room Bedroom Trash Can Frosted ABS Bag</t>
  </si>
  <si>
    <t>Aluminum Alloy Black Handles For Furniture Cabinet Knobs And Handles Kitchen Handles Drawer Knobs Cabinet Pulls Cupboard Handles Knobs</t>
  </si>
  <si>
    <t>Bookshelf Display Shelves DIY Pipe Shelf Rustic Brackets Floating Shelves Wall Brackets</t>
  </si>
  <si>
    <t>80cm Multifunctional Radiator Drying Rack Clothes Dryer Radiator Balcony Bathtub Clothes Rack</t>
  </si>
  <si>
    <t>Retro Plaid Throw Pillow Case Cushion Cover 18''x18'' Pillow Protector for Bedroom Couch Sofa Bed Patio Chair Home Car Decor</t>
  </si>
  <si>
    <t>Multifunctional Wall Mount Stand Wal Hanging Storage Rack Kitchen/Bathroom</t>
  </si>
  <si>
    <t>Creative Wall Hanging Shelf Japanese-style Iron Wall Mounted Storage Basket Rack Free Punch Rack Bookshelf Home Office Decorations Stand</t>
  </si>
  <si>
    <t xml:space="preserve">Multifunction Wall Mounted Storage Rack Home Bath Organizer Shelf Holder </t>
  </si>
  <si>
    <t>12inch DIY Tile Stickers 3D Brick Wall Self-adhesive Sticker Bathroom Kitchen</t>
  </si>
  <si>
    <t>Sink Mixer Sensor Tap Chrome Brass Automatic Hands Free Infrared Basin Faucet</t>
  </si>
  <si>
    <t>3-IN-1 Kitchen Storage Rack Sponge Rag Holder Drain Tray Stainless Steel Organizer Hold</t>
  </si>
  <si>
    <t>RONGWO Automatic Infrared Sink Faucet Touchless Free Sensor Faucet Handfree Water Saving Inductive Electric Hot Cold Basin Faucet</t>
  </si>
  <si>
    <t>Geepro 12Pcs Acoustic Panels Tiles Studio Sound Proofing Insulation Foam</t>
  </si>
  <si>
    <t>Geepro 6Pcs Foam Panels Sound Absorption Broadband Studio Treatment Acoustic Foam Wall Til</t>
  </si>
  <si>
    <t>Wall Mounted Hook Rack Foldable Hooks Hangers Home Clothes Coats Organizer Rack</t>
  </si>
  <si>
    <t>Thickened Solid Small Handle European Style Cabinet Handle Simple Wardrobe Handle Drawer Single Hole Alloy Handle</t>
  </si>
  <si>
    <t>Touch-free Key Pen Elevator Express Cabinet Door Opener Bank ATM Machine Withdrawal Free Touch Key Pen</t>
  </si>
  <si>
    <t>Multifunctional Wall Decorative Paint Roller Corner Brush Handle Tool DIY Household Painting Brushes Kit</t>
  </si>
  <si>
    <t>PC</t>
  </si>
  <si>
    <t>Mens Ethnic Pattern Drawstring Kangaroo Pocket Long Sleeve Hoodies</t>
  </si>
  <si>
    <t>Mens Cartoon Cat Graphic Kangaroo Pocket Drawstring Hoodies</t>
  </si>
  <si>
    <t>Mens Rose Japanese Ombre Print Kangaroo Pocket Drawstring Hoodies</t>
  </si>
  <si>
    <t>Mens Halloween Pumpkin Print Crew Neck Pullover Sweatshirts</t>
  </si>
  <si>
    <t>Mens Japanese Print Patchwork Crew Neck Pullover Sweatshirts</t>
  </si>
  <si>
    <t>Mens Japanese Wave Red Sun Print Kangaroo Pocket Hoodies</t>
  </si>
  <si>
    <t>Mens Color Block Patchwork Embroidered Crew Neck Pullover Sweatshirts</t>
  </si>
  <si>
    <t>Mens Color Block Patchwork Kangaroo Pocket Drawstring Hoodies</t>
  </si>
  <si>
    <t>Mens Allover Ethnic Geometric Print Long Sleeve Drawstring Hoodies</t>
  </si>
  <si>
    <t>Mens Japanese Cherry Blossoms Print Patchwork Kangaroo Pocket Hoodies</t>
  </si>
  <si>
    <t>Mens Color Block Patchwork Crew Neck Casual Pullover Sweatshirts</t>
  </si>
  <si>
    <t>Mens Ethnic Tribal Geometric Print Patchwork Drawstring Hoodies</t>
  </si>
  <si>
    <t>Mens Japanese Print Color Block Patchwork Drawstring Hoodies</t>
  </si>
  <si>
    <t>Mens Japanese Cat Print Patchwork Faux Two Pieces Hoodies</t>
  </si>
  <si>
    <t>Mens Irregular Color Block Patchwork Kangaroo Pocket Hoodies</t>
  </si>
  <si>
    <t>Mens Smile Print Color Block Patchwork Kangaroo Pocket Hoodies</t>
  </si>
  <si>
    <t>Mens Japanese Wave Cat Print Crew Neck Pullover Sweatshirts</t>
  </si>
  <si>
    <t>Mens Ethnic Pattern Patchwork Raglan Sleeve Pullover Sweatshirts</t>
  </si>
  <si>
    <t>Mens Ethnic Smile Print Color Block Patchwork Kangaroo Pocket Hoodies</t>
  </si>
  <si>
    <t>Mens Christmas Hat Cat Print Crew Neck Pullover Sweatshirts</t>
  </si>
  <si>
    <t>Mens Japanese Wave Print Long Sleeve Loose Drawstring Hoodies</t>
  </si>
  <si>
    <t>Mens Ethnic Geometric Print Chest Pocket Plush Lined Drawstring Hoodies</t>
  </si>
  <si>
    <t>Mens Color Block Patchwork Kangaroo Pocket Corduroy Drawstring Hoodies</t>
  </si>
  <si>
    <t>Mens Smile Face Print Patchwork Casual Loose Drawstring Hoodies</t>
  </si>
  <si>
    <t>Mens Christmas Tree Elk Print Long Sleeve Drawstring Hoodies</t>
  </si>
  <si>
    <t>Mens Stripe Quarter Button Long Sleeve Casual Drawstring Hoodies</t>
  </si>
  <si>
    <t>Mens Smile Face Print Contrast Patchwork Crew Neck Pullover Sweatshirts</t>
  </si>
  <si>
    <t>Mens Japanese Wave Print Crew Neck Long Sleeve Pullover Sweatshirts</t>
  </si>
  <si>
    <t>Mens Color Block Patchwork Crew Neck Loose Pullover Sweatshirts</t>
  </si>
  <si>
    <t>Mens Two Tone Patchwork Stand Collar Corduroy Pullover Sweatshirts</t>
  </si>
  <si>
    <t>Mens Contrast Patchwork Stand Collar Fleece Casual Pullover Sweatshirts</t>
  </si>
  <si>
    <t>Mens Contrast Patchwork Crew Neck Casual Loose Pullover Sweatshirts</t>
  </si>
  <si>
    <t>Mens Solid Half Zip Kangaroo Pocket Casual Drawstring Hoodies</t>
  </si>
  <si>
    <t>Mens Smile Face Print Patchwork Half Zip Drawstring Hoodies</t>
  </si>
  <si>
    <t>Mens Smile Face Print Kangaroo Pocket Casual Drawstring Hoodies</t>
  </si>
  <si>
    <t>Mens Smile Embroidered Contrast Patchwork Crew Neck Pullover Sweatshirts</t>
  </si>
  <si>
    <t>Mens Argyle Pattern Smile Embroidered Patchwork Loose Drawstring Hoodies</t>
  </si>
  <si>
    <t>Mens Vintage Ethnic Geometric Pattern Crew Neck Pullover Sweatshirts</t>
  </si>
  <si>
    <t>Mens Ethnic Paisley Print Patchwork Texture Crew Neck Pullover Sweatshirts</t>
  </si>
  <si>
    <t>Mens Ethnic Tribal Letter Print Patchwork Crew Neck Pullover Sweatshirts</t>
  </si>
  <si>
    <t>Mens Ethnic Geometric Print Patchwork Crew Neck Pullover Sweatshirts</t>
  </si>
  <si>
    <t>Mens Chinese Style Floral Print Crew Neck Pullover Sweatshirts</t>
  </si>
  <si>
    <t>Mens Chinese Figure Landscape Print Patchwork Drawstring Hoodies</t>
  </si>
  <si>
    <t>Mens Letter Print Color Block Patchwork Crew Neck Casual Pullover Sweatshirts</t>
  </si>
  <si>
    <t>Mens Contrast Patchwork Japanese Print Loose Crew Neck Pullover Sweatshirts</t>
  </si>
  <si>
    <t>Mens Two Tone Patchwork Kangaroo Pocket Casual Drawstring Hoodies</t>
  </si>
  <si>
    <t>Mens Vintage Geometric Print Crew Neck Pullover Sweatshirts</t>
  </si>
  <si>
    <t>Mens Color Block Kangaroo Pocket Loose Drawstring Hoodies</t>
  </si>
  <si>
    <t>Mens Contrast Patchwork Half Zip Waffle Knit Pullover Sweatshirts</t>
  </si>
  <si>
    <t>Mens Letter Print Flap Pocket Casual Drawstring Hoodies</t>
  </si>
  <si>
    <t>Mens Contrast Chest Pocket Crew Neck Casual Pullover Sweatshirts</t>
  </si>
  <si>
    <t>Mens Smile Ethnic Geometric Print Patchwork Crew Neck Pullover Sweatshirts</t>
  </si>
  <si>
    <t>Mens Japanese Cherry Blossoms Print Contrast Patchwork Drawstring Hoodies</t>
  </si>
  <si>
    <t>Mens Cartoon Animal Print Patchwork Casual Drawstring Hoodies</t>
  </si>
  <si>
    <t>Mens Texture Contrast Patchwork Half Zip Pullover Sweatshirts</t>
  </si>
  <si>
    <t>Mens Solid Kangaroo Pocket Contrast Drawstring Casual Hoodies</t>
  </si>
  <si>
    <t>Mens Ethnic Geometric Print Patchwork Contrast Kangaroo Pocket Hoodies</t>
  </si>
  <si>
    <t>Mens Newspaper Print Patchwork Crew Neck Pullover Sweatshirts</t>
  </si>
  <si>
    <t>Mens Colorful Ombre Stripe Crew Neck Pullover Sweatshirts</t>
  </si>
  <si>
    <t>Mens Smile Print Two Tone Patchwork Pullover Sweatshirts</t>
  </si>
  <si>
    <t>Mens Smile Face Embroidered Patchwork Kangaroo Pocket Drawstring Hoodies</t>
  </si>
  <si>
    <t>Mens Smile Ethnic Tribal Pattern Patchwork Pullover Sweatshirts</t>
  </si>
  <si>
    <t>Mens Side Stripe Patchwork Half Zip Corduroy Pullover Sweatshirts</t>
  </si>
  <si>
    <t>Mens Chinese Calligraphy Bamboo Print Patchwork Drawstring Hoodies</t>
  </si>
  <si>
    <t>Mens Contrast Kangaroo Pocket Loose Casual Drawstring Hoodies</t>
  </si>
  <si>
    <t>Mens Japanese Character Print Patchwork Crew Neck Pullover Sweatshirts</t>
  </si>
  <si>
    <t>Mens Japanese Print Color Block Patchwork Pullover Sweatshirts</t>
  </si>
  <si>
    <t>Mens Color Block Patchwork Kangaroo Pocket Casual Drawstring Hoodies</t>
  </si>
  <si>
    <t>Mens Chinese Style Landscape Print Crew Neck Pullover Sweatshirts</t>
  </si>
  <si>
    <t>Mens Chinese Ink Landscape Print Crew Neck Pullover Sweatshirts</t>
  </si>
  <si>
    <t>Mens Solid Corduroy Kangaroo Pocket Casual Drawstring Hoodies</t>
  </si>
  <si>
    <t>Mens Japanese Wave Ukiyoe Print Crew Neck Pullover Sweatshirts</t>
  </si>
  <si>
    <t>Mens Solid Crew Neck Casual Loose Pullover Sweatshirts</t>
  </si>
  <si>
    <t>Mens Japanese Cat Print Contrast Patchwork Drawstring Hoodies</t>
  </si>
  <si>
    <t>Mens Cartoon Cat Print Patchwork Loose Drawstring Hoodies</t>
  </si>
  <si>
    <t>Mens Smile Face Print Patchwork Crew Neck Pullover Sweatshirts</t>
  </si>
  <si>
    <t>Mens Color Block Patchwork Fleece Loose Drawstring Hoodies</t>
  </si>
  <si>
    <t>Mens Smile Face Print Color Block Patchwork Pullover Sweatshirts</t>
  </si>
  <si>
    <t>Mens Smile Face Print Patchwork Slant Pocket Drawstring Hoodies</t>
  </si>
  <si>
    <t>Mens Letter Embroidered Texture Kangaroo Pocket Casual Hoodies</t>
  </si>
  <si>
    <t>Mens Letter Print Color Block Patchwork Casual Pullover Sweatshirts</t>
  </si>
  <si>
    <t>Mens Japanese Rose Print Contrast Patchwork Drawstring Hoodies</t>
  </si>
  <si>
    <t>Mens Japanese Rose Print Kangaroo Pocket Drawstring Hoodies</t>
  </si>
  <si>
    <t>Mens Japanese Vintage Pattern Patchwork Crew Neck Pullover Sweatshirts</t>
  </si>
  <si>
    <t>Mens Cartoon Panda Japanese Print Crew Neck Pullover Sweatshirts</t>
  </si>
  <si>
    <t>Mens Solid Quarter Button Cotton Casual Drawstring Hoodies</t>
  </si>
  <si>
    <t>Mens Solid Texture Crew Neck Casual Pullover Sweatshirts</t>
  </si>
  <si>
    <t>Mens Contrast Patchwork Half Zip Flap Pocket Fleece Pullover Sweatshirts</t>
  </si>
  <si>
    <t>Mens Ethnic Pattern Patchwork Kangaroo Pocket Drawstring Hoodies</t>
  </si>
  <si>
    <t>Mens Ethnic Geometric Pattern Patchwork Half Zip Pullover Sweatshirts</t>
  </si>
  <si>
    <t>Mens Smile Ethnic Geometric Print Color Block Patchwork Hoodies</t>
  </si>
  <si>
    <t>Mens Allover Ethnic Geometric Print Crew Neck Pullover Sweatshirts</t>
  </si>
  <si>
    <t>Mens Chinese Floral Ink Print Patchwork Drawstring Hoodies</t>
  </si>
  <si>
    <t>Mens Japanese Wave Dragon Ukiyoe Print Long Sleeve Hoodies</t>
  </si>
  <si>
    <t>Mens Solid Stand Collar Half Zip Fleece Casual Pullover Sweatshirts</t>
  </si>
  <si>
    <t>Mens Japanese Cartoon Cat Print Contrast Patchwork Drawstring Hoodies</t>
  </si>
  <si>
    <t>Mens Japanese Cherry Blossoms Print Patchwork Drawstring Hoodies</t>
  </si>
  <si>
    <t>Mens Japanese Cherry Blossoms Striped Print Patchwork Drawstring Hoodies</t>
  </si>
  <si>
    <t>Mens Rose Hand Letter Print Kangaroo Pocket Contrast Drawstring Hoodies</t>
  </si>
  <si>
    <t>Mens Monochrome Japanese Cat Print Long Sleeve Drawstring Hoodies</t>
  </si>
  <si>
    <t>Mens Cartoon Astronaut Cat Print Patchwork Drawstring Hoodies</t>
  </si>
  <si>
    <t>Mens Contrast Cartoon Animal Print Patchwork Kangaroo Pocket Drawstring Hoodies</t>
  </si>
  <si>
    <t>Mens Ombre Color Block Crew Neck Casual Pullover Sweatshirts</t>
  </si>
  <si>
    <t>Mens Chinese Ink Dragon Floral Print Long Sleeve Drawstring Hoodies</t>
  </si>
  <si>
    <t>Mens Chinese Ink Plum Bossom Print Contrast Drawstring Hoodies</t>
  </si>
  <si>
    <t>Mens Smile Ethnic Floral Print Patchwork Kangaroo Pocket Drawstring Hoodies</t>
  </si>
  <si>
    <t>Mens Smile Color Block Patchwork Kangaroo Pocket Drawstring Hoodies</t>
  </si>
  <si>
    <t>Mens Heart Figure Letter Print Valentine's Day Drawstring Hoodies</t>
  </si>
  <si>
    <t>Mens Chinese Yin Yang Patchwork Kangaroo Pocket Drawstring Hoodies</t>
  </si>
  <si>
    <t>Mens Floral Print Vacation Long Sleeve Drawstring Hoodies</t>
  </si>
  <si>
    <t>Mens Japanese Warrior Cat Floral Back Print Long Sleeve Hoodies</t>
  </si>
  <si>
    <t>Mens Chinese New Year Dragon Print Crew Neck Pullover Sweatshirts</t>
  </si>
  <si>
    <t>Mens Chinese Style Ink Print Kangaroo Pocket Drawstring Hoodies</t>
  </si>
  <si>
    <t>Mens Ethnic Geometric Print Color Block Patchwork Drawstring Hoodies</t>
  </si>
  <si>
    <t>Mens Cartoon Cat Print Long Sleeve Loose Drawstring Hoodies</t>
  </si>
  <si>
    <t>Mens Ethnic Tribal Pattern Patchwork Kangaroo Pocket Drawstring Hoodies</t>
  </si>
  <si>
    <t>Mens Vintage Color Block Patchwork Loose Drawstring Hoodies</t>
  </si>
  <si>
    <t>Mens Japanese Warrior Cat Print Patchwork Drawstring Hoodies</t>
  </si>
  <si>
    <t>Mens Cartoon Dinosaur Japanese Sleeve Print Daily Drawstring Hoodies</t>
  </si>
  <si>
    <t>Mens Ethnic Geometric Print Kangaroo Pocket Drawstring Hoodies</t>
  </si>
  <si>
    <t>Mens Smile Ethnic Geometric Print Patchwork Drawstring Hoodies</t>
  </si>
  <si>
    <t>Mens Rose Letter Ombre Print Crew Neck Pullover Sweatshirts</t>
  </si>
  <si>
    <t>Mens Irregular Color Block Patchwork Crew Neck Pullover Sweatshirts</t>
  </si>
  <si>
    <t>Mens Letter Ethnic Asymmetric Print Short Sleeve O Neck T-Shirts</t>
  </si>
  <si>
    <t>Mens Smile Chest Print O-Neck Casual Loose Short Sleeve T-Shirt</t>
  </si>
  <si>
    <t>Mens Color Block Veins Crew Neck Casual T-Shirts</t>
  </si>
  <si>
    <t>100% Cotton Mens Cartoon Astronaut Planet Print Short Sleeve Funny T-Shirts</t>
  </si>
  <si>
    <t>Cute Cartoon Astronaut Print Short Sleeve 100*Cotton Breathable T-Shirts</t>
  </si>
  <si>
    <t>Mens Plain Texture Knitted Waffle Short Sleeve T-Shirt</t>
  </si>
  <si>
    <t>Mens Ethnic Pattern Crew Neck Casual Short Sleeve T-Shirts</t>
  </si>
  <si>
    <t>Mens Japanese Style Cat Print Crew Neck Cotton Short Sleeve T-Shirts</t>
  </si>
  <si>
    <t>Men Contrast Mesh Patchwork Crew Neck Short Sleeve T-shirt</t>
  </si>
  <si>
    <t>Men Crochet Knit Hollow Out See Through Knitted Round Neck T-Shirt</t>
  </si>
  <si>
    <t>Men Lace See Through Crew Neck Short Sleeve T-Shirt</t>
  </si>
  <si>
    <t>Mens Sheer Mesh See Through High Neck Long Sleeve T-Shirt</t>
  </si>
  <si>
    <t>Mens Geometric Print Patchwork Chest Pocket Short Sleeve Hooded T-Shirts</t>
  </si>
  <si>
    <t>Mens Solid Color Applique Crew Neck Knitted Short Sleeve T-Shirts</t>
  </si>
  <si>
    <t>Mens Carp Warrior Cat Print Japanese Style Short Sleeve T-Shirts</t>
  </si>
  <si>
    <t>Men Sheer Mesh See Through Heat Map Body Print Stretch T-Shirt</t>
  </si>
  <si>
    <t>Mens Solid Short Sleeve Half-Collar T-Shirt</t>
  </si>
  <si>
    <t>Mens Vintage Argyle Pattern Stitching Crew Neck Long Sleeve T-Shirts</t>
  </si>
  <si>
    <t>Mens Ethnic Paisley Print Stitching Texture Streetwear Short Sleeve T-Shirts</t>
  </si>
  <si>
    <t>Mens Geometric Funny Face Print Patchwork Knit Short Sleeve T-Shirts</t>
  </si>
  <si>
    <t>Mens Letter Floral Print Crew Neck Short Sleeve T-Shirts</t>
  </si>
  <si>
    <t>Mens Geometric Letter Print Patchwork Short Sleeve T-Shirts</t>
  </si>
  <si>
    <t>Mens Embroidered Contrast Patchwork Hem Side Zip Short Sleeve T-Shirts</t>
  </si>
  <si>
    <t>Mens Button Ribbon Design Pocket Casual Short Sleeve T-Shirts</t>
  </si>
  <si>
    <t>Mens Japanese Cartoon Print Short Sleeve Hooded T-Shirts</t>
  </si>
  <si>
    <t>Mens Geometric &amp; Smile Face Print Patchwork Short Sleeve T-Shirts</t>
  </si>
  <si>
    <t>Mens Ethnic Geometric Print Stitching Crew Neck Short Sleeve T-Shirts</t>
  </si>
  <si>
    <t>Mens Letter Character Back Print Curved Hem Short Sleeve T-Shirts</t>
  </si>
  <si>
    <t>Mens Japanese Floral Graphic Crew Neck Knitted Short Sleeve T-Shirts</t>
  </si>
  <si>
    <t>Mens Letter Geometric Pattern Patchwork Texture Short Sleeve T-Shirts</t>
  </si>
  <si>
    <t>Mens Japanese Cherry Blossoms Print Patchwork Knit Short Sleeve Hooded T-Shirts</t>
  </si>
  <si>
    <t>Mens Geometric Pattern Color Block Patchwork Knit Short Sleeve T-Shirts</t>
  </si>
  <si>
    <t>Mens Tribal Pattern Patchwork Crew Neck Short Sleeve T-Shirts</t>
  </si>
  <si>
    <t>Mens Letter Embroidery Crew Neck Ribbed Short Sleeve T-Shirts</t>
  </si>
  <si>
    <t>Mens Ethnic Matching Chest Pocket Curved Hem Short Sleeve T-Shirts</t>
  </si>
  <si>
    <t>Mens Solid Quarter Button Rib-Knit Short Sleeve T-Shirt</t>
  </si>
  <si>
    <t>Mens Two Tone Ethnic Smiley Face Short Sleeve T-Shirts</t>
  </si>
  <si>
    <t>Mens Vintage Geometric Letter Pattern Patchwork Knitted Short Sleeve T-Shirts</t>
  </si>
  <si>
    <t>Mens Japan Striped Short Sleeve Knit T-shirt</t>
  </si>
  <si>
    <t>Mens Japanese Geometric Print Patchwork Crew Neck Short Sleeve T-Shirts</t>
  </si>
  <si>
    <t>Mens Japanese Cat Geometric Print Crew Neck Short Sleeve T-Shirts</t>
  </si>
  <si>
    <t>Mens Colorful Geometric Funny Face Print Ethnic Short Sleeve T-Shirts</t>
  </si>
  <si>
    <t>Mens Geometric Pattern Ribbon Patchwork Short Sleeve Hooded T-Shirts</t>
  </si>
  <si>
    <t>Mens Contrast Flap Pocket Crew Neck Loose Short Sleeve T-Shirts</t>
  </si>
  <si>
    <t>Mens Letter Embroidery Contrast Trim Stitching Short Sleeve T-Shirts</t>
  </si>
  <si>
    <t>Mens Letter Graphic Crew Neck Casual Short Sleeve T-Shirts</t>
  </si>
  <si>
    <t>Mens Ethnic Patchwork Short Sleeve Hooded Drawstring T-shirts</t>
  </si>
  <si>
    <t>Mens Ethnic Geometric Pattern Stitching Texture Short Sleeve Streetwear T-Shirts</t>
  </si>
  <si>
    <t>Mens Tribal Geometric Pattern Patchwork Textured Short Sleeve T-Shirts</t>
  </si>
  <si>
    <t>Mens Colorful Geometric Print Chest Pocket Ethnic Short Sleeve T-Shirts</t>
  </si>
  <si>
    <t>Mens Vintage Geometric Print Patchwork Crew Neck Short Sleeve T-Shirts</t>
  </si>
  <si>
    <t>Mens Ethnic Pattern Chest Pocket Crew Neck Short Sleeve T-Shirts</t>
  </si>
  <si>
    <t>Mens Solid Color Button Neck Flap Pocket Cotton Long Sleeve T-Shirts</t>
  </si>
  <si>
    <t>Mens Solid Half Zip Roll Up Sleeve Cotton Hooded T-Shirts</t>
  </si>
  <si>
    <t>Mens Solid Color Bandage V-Neck Cotton Long Sleeve T-Shirts</t>
  </si>
  <si>
    <t>Mens Vintage Geometric Pattern Short Sleeve Knit Hooded T-Shirts</t>
  </si>
  <si>
    <t>Mens Tropical Plants Print Flap Pocket Holiday Short Sleeve T-Shirts</t>
  </si>
  <si>
    <t>Mens Stripe Patchwork Flap Pocket Casual Short Sleeve T-Shirts</t>
  </si>
  <si>
    <t>Mens Ethnic Geometric Pocket Knit Curved Hem Short Sleeve T-Shirts</t>
  </si>
  <si>
    <t>Mens Smile Face Paisley Print Stitching Texture Short Sleeve T-Shirts</t>
  </si>
  <si>
    <t>Mens Chinese Bamboo Panda Print Pocket Short Sleeve T-Shirts</t>
  </si>
  <si>
    <t>Mens Chinese Landscape Ink Painting Crew Neck Short Sleeve T-Shirts</t>
  </si>
  <si>
    <t>Mens Chinese Plum Bossom Print Lace Up Neck Short Sleeve T-Shirts</t>
  </si>
  <si>
    <t>Mens Ethnic Floral Print Crew Neck Knit Short Sleeve T-Shirts</t>
  </si>
  <si>
    <t>Mens Japanese Paisley Print Patchwork Crew Neck Short Sleeve T-Shirts</t>
  </si>
  <si>
    <t>Mens Japanese Vintage Print Patchwork Crew Neck Short Sleeve T-Shirts</t>
  </si>
  <si>
    <t>Mens Ethnic Totem Rose Japanese Print Patchwork Short Sleeve T-Shirts</t>
  </si>
  <si>
    <t>Mens Vintage Ethnic Pattern Patchwork Crew Neck Short Sleeve T-Shirts</t>
  </si>
  <si>
    <t>Mens Geometric Striped Print Patchwork Ethnic Short Sleeve T-Shirts</t>
  </si>
  <si>
    <t>Mens Smile Face Geometric Print Patchwork Knit Short Sleeve T-Shirts</t>
  </si>
  <si>
    <t>Mens Vintage Geometric Print Patchwork Knit Short Sleeve T-Shirts</t>
  </si>
  <si>
    <t>Mens Chinese Plum Bossom Bird Print Short Sleeve Hooded T-Shirts</t>
  </si>
  <si>
    <t>Mens Japanese Letter Print Curved Hem Short Sleeve T-Shirts</t>
  </si>
  <si>
    <t>Mens Ethnic Geometric Pattern Patchwork Crew Neck Short Sleeve T-Shirts</t>
  </si>
  <si>
    <t>Mens Knitted Contrasting Color Stitching Short Sleeve T-Shirt</t>
  </si>
  <si>
    <t>Mens Block Stripe Stitching Knitted Preppy Short Sleeve T-Shirts</t>
  </si>
  <si>
    <t>Mens Ethnic Geometric Print Chest Pocket Quilted Curved Hem T-Shirts</t>
  </si>
  <si>
    <t>Mens Skeleton Pumpkin Print Halloween Short Sleeve T-Shirts</t>
  </si>
  <si>
    <t>Mens Letter Slogan Back Print Curved Hem Long Sleeve T-Shirts</t>
  </si>
  <si>
    <t>Mens Japanese Print Patchwork Curved Hem Long Sleeve T-Shirts</t>
  </si>
  <si>
    <t>Mens Solid Lace-Up Kangaroo Pocket Long Sleeve Hooded T-Shirts</t>
  </si>
  <si>
    <t>Mens Contrast Patchwork Waffle Knit Casual Long Sleeve T-Shirts</t>
  </si>
  <si>
    <t>Mens Chinese Ink Landscape Print Crew Neck Short Sleeve T-Shirts</t>
  </si>
  <si>
    <t>Mens Funny Letter Print Crew Neck Short Sleeve T-Shirts</t>
  </si>
  <si>
    <t>Mens Chinese Bamboo Print Lace Up Texture High Low Hem T-Shirts</t>
  </si>
  <si>
    <t>Mens Cute Japanese Cat Print Crew Neck Short Sleeve T-Shirts</t>
  </si>
  <si>
    <t>Mens Texture Color Block Patchwork Casual Short Sleeve T-Shirts</t>
  </si>
  <si>
    <t>Mens Japanese Cherry Blossoms Print Tie Neck T-Shirts</t>
  </si>
  <si>
    <t>Mens Japanese Landscape Print Lace Up Neck Side Split Texture T-Shirts</t>
  </si>
  <si>
    <t>Mens Rose Print Color Block Patchwork Cotton Short Sleeve T-Shirts</t>
  </si>
  <si>
    <t>Mens Japanese Embroidered Patchwork Knit Short Sleeve T-Shirts</t>
  </si>
  <si>
    <t>Mens Chinese Yin Yang Ink Print Lace Up Neck Texture T-Shirts</t>
  </si>
  <si>
    <t>Mens Ethnic Geometric Pattern Patchwork Japanese Embroidered Short Sleeve T-Shirts</t>
  </si>
  <si>
    <t>Mens Smile Slogan Print Patchwork Ethnic Short Sleeve T-Shirts</t>
  </si>
  <si>
    <t>Mens Ethnic Architecture Print Crew Neck Short Sleeve T-Shirts</t>
  </si>
  <si>
    <t>Mens Ethnic Geometric Japanese Print Patchwork Short Sleeve T-Shirts</t>
  </si>
  <si>
    <t>Mens Ethnic Totem Print Crew Neck Short Sleeve T-Shirts</t>
  </si>
  <si>
    <t>Mens Panda Bamboo Japanese Print Notched Neck Short Sleeve T-Shirts</t>
  </si>
  <si>
    <t>Mens Ethnic Totem Print Patchwork Short Sleeve Hooded T-Shirts</t>
  </si>
  <si>
    <t>Mens Rib Knit Half-Collar Solid T-Shirt</t>
  </si>
  <si>
    <t>Mens Cherry Blossoms Print Japanese Style Cotton Short Sleeve T-Shirts</t>
  </si>
  <si>
    <t>Mens Japanese Print Patchwork Short Sleeve Hooded T-Shirts</t>
  </si>
  <si>
    <t>Mens Cartoon Astronaut Print Crew Neck Short Sleeve T-Shirts</t>
  </si>
  <si>
    <t>Mens Letter Print Crew Neck Casual Short Sleeve T-Shirts</t>
  </si>
  <si>
    <t>Mens Fashion Floral Printing Crew Neck Breathable Short Sleeve Casual T-Shirts</t>
  </si>
  <si>
    <t>Mens Ethnic Geometric Color Block Patchwork Embroidery Short Sleeve T-Shirts</t>
  </si>
  <si>
    <t>Mens Geometric Pattern Patchwork Flap Pocket Short Sleeve T-Shirts</t>
  </si>
  <si>
    <t>Mens 100% Cotton Coconut Tree Chest Print Holiday Short Sleeve T-Shirts</t>
  </si>
  <si>
    <t>Mens Vintage Geometric Print Crew Neck Long Sleeve T-Shirts</t>
  </si>
  <si>
    <t>Mens Rose Embroidered Contrast Patchwork Curved Hem Short Sleeve T-Shirts</t>
  </si>
  <si>
    <t>Mens Color Block Patchwork Crew Neck Casual Short Sleeve T-Shirts</t>
  </si>
  <si>
    <t>Mens Coconut Tree Japanese Print Hawaiian Vacation Short Sleeve T-Shirts</t>
  </si>
  <si>
    <t>Mens Asymmetric Tribal Printed Short Sleeve O Neck T-Shirts</t>
  </si>
  <si>
    <t>Mens Tribal Patchwork Printed Short Sleeve Hooded T-Shirts</t>
  </si>
  <si>
    <t>Mens Letter Geometric Print Patchwork Mock Neck Short Sleeve T-Shirts</t>
  </si>
  <si>
    <t>Mens Vintage Geometric Pattern Patchwork Mock Neck Short Sleeve T-Shirts</t>
  </si>
  <si>
    <t>Mens Geometric Chest Pocket Mock Neck Short Sleeve T-Shirts</t>
  </si>
  <si>
    <t>Mens Solid Texture High Neck Casual Long Sleeve T-Shirts</t>
  </si>
  <si>
    <t>Mens Irregular Geometric Print Curved Hem Texture Long Sleeve T-Shirts</t>
  </si>
  <si>
    <t>Mens Funny Smile Letter Print Crew Neck Short Sleeve T-Shirts</t>
  </si>
  <si>
    <t>Mens Smile Ethnic Geometric Print Crew Neck Short Sleeve T-Shirts</t>
  </si>
  <si>
    <t>Mens Cartoon Cat &amp; Fish Print Crew Neck Short Sleeve T-Shirts</t>
  </si>
  <si>
    <t>Mens Smile Slogan Print Crew Neck Casual Short Sleeve T-Shirts</t>
  </si>
  <si>
    <t>Mens Funny Smile Print Crew Neck Short Sleeve T-Shirts</t>
  </si>
  <si>
    <t>Mens Japanese Crane Floral Back Print Short Sleeve T-Shirts</t>
  </si>
  <si>
    <t>Mens Cartoon Line Cat Print Crew Neck Short Sleeve T-Shirts</t>
  </si>
  <si>
    <t>Mens Cartoon Cat Claw Print Crew Neck Short Sleeve T-Shirts</t>
  </si>
  <si>
    <t>Mens Color Block Patchwork Short Sleeve Drawstring Hooded T-Shirts</t>
  </si>
  <si>
    <t>Mens Chinese Koi Lotus Print Crew Neck Short Sleeve T-Shirts</t>
  </si>
  <si>
    <t>Mens Chinese Yin Yang Carp Print Crew Neck Short Sleeve T-Shirts</t>
  </si>
  <si>
    <t>Mens Ethnic Geometric Print Patchwork Short Sleeve T-Shirts</t>
  </si>
  <si>
    <t>Mens Ethnic Geometric Print Color Block Patchwork Short Sleeve T-Shirts</t>
  </si>
  <si>
    <t>Mens Script Ethnic Geometric Print Patchwork Short Sleeve T-Shirts</t>
  </si>
  <si>
    <t>Mens Ethnic Colorful Geometric Print Patchwork Short Sleeve T-Shirts</t>
  </si>
  <si>
    <t>Mens Japanese Cartoon Cat Print Crew Neck Short Sleeve T-Shirts</t>
  </si>
  <si>
    <t>Mens Japanese Cat Guitar Print Crew Neck Short Sleeve T-Shirts</t>
  </si>
  <si>
    <t>Mens Japanese Cute Cat Print Crew Neck Short Sleeve T-Shirts</t>
  </si>
  <si>
    <t>Mens Cartoon Cat Japanese Print Crew Neck Short Sleeve T-Shirts</t>
  </si>
  <si>
    <t>Mens Smile Striped Print Crew Neck Short Sleeve T-Shirts</t>
  </si>
  <si>
    <t>Mens Letter Chest Print Crew Neck Casual Short Sleeve T-Shirts</t>
  </si>
  <si>
    <t>Mens Letter Slogan Print Crew Neck Casual Short Sleeve T-Shirts</t>
  </si>
  <si>
    <t>Mens Cutout Mesh See Through Solid Long Sleeve T-Shirt</t>
  </si>
  <si>
    <t>100% Cotton Design Sunset Print Round Neck Short Sleeve Loose T-Shirts</t>
  </si>
  <si>
    <t>Mens Solid Half-Collar Short Sleeve T-Shirt</t>
  </si>
  <si>
    <t>Mens Ethnic Floral Patchwork Japanese Print Knit Short Sleeve T-Shirts</t>
  </si>
  <si>
    <t>Mens Solid Crew Neck Short Sleeve T-Shirt</t>
  </si>
  <si>
    <t>Mens Ethnic Geometric Pattern Pocket Knit Short Sleeve T-Shirts</t>
  </si>
  <si>
    <t>Mens Smile Vintage Geometric Print Patchwork Curved Hem T-Shirts</t>
  </si>
  <si>
    <t>Mens Cartoon Chinese Dragon Print Crew Neck Short Sleeve T-Shirts</t>
  </si>
  <si>
    <t>Mens Chinese Lantern Floral Back Print Short Sleeve T-Shirts</t>
  </si>
  <si>
    <t>Mens Colorful Ethnic Geometric Print Curved Hem Short Sleeve T-Shirts</t>
  </si>
  <si>
    <t>Mens Line Slogan Back Print Curved Hem Short Sleeve T-Shirts</t>
  </si>
  <si>
    <t>Mens Hollow Round Neck Short Sleeve T-Shirt</t>
  </si>
  <si>
    <t>Mens Striped Slim Casual Basic Design Short Sleeve Summer T-Shirt</t>
  </si>
  <si>
    <t>Mens Cartoon Shark Cat Japanese Print Short Sleeve T-Shirts</t>
  </si>
  <si>
    <t>Men Casual Long Sleeve Tops Crew Neck Loose Basic T-Shirts</t>
  </si>
  <si>
    <t>Mens Rose Print Crew Neck 100% Cotton Casual Short Sleeve T-Shirts</t>
  </si>
  <si>
    <t>Mens Solid Lace-Up Neck 100%Cotton Long Sleeve T-Shirt</t>
  </si>
  <si>
    <t>Men Solid Notched Neck Knit Casual Long Sleeve T-Shirt</t>
  </si>
  <si>
    <t>Men Shiny Shimmer Sheer Mesh See Through Short Sleeve T-Shirt</t>
  </si>
  <si>
    <t>Mens High Neck Slim Fit Muscle Workout Summer Casual T-shirt</t>
  </si>
  <si>
    <t>Men Solid High Neck Velvet Long Sleeve T-Shirt</t>
  </si>
  <si>
    <t>Mens Solid Drawstring V-Neck Cotton Short Sleeve T-Shirt</t>
  </si>
  <si>
    <t>Mens Letter Japanese Print High Low Curved Hem Short Sleeve T-Shirts</t>
  </si>
  <si>
    <t>Mens Rose Japanese Print Curved Hem Short Sleeve T-Shirts</t>
  </si>
  <si>
    <t>Mens Monochrome Geometric Print Splice Texture Short Sleeve Hooded T-Shirts</t>
  </si>
  <si>
    <t>Mens Rose Japanese Print Patchwork Crew Neck Short Sleeve T-Shirts</t>
  </si>
  <si>
    <t>Mens Japanese Letter Print Curved Hem Casual Short Sleeve T-Shirts</t>
  </si>
  <si>
    <t>Mens Cat Graphic Crew Neck Curved Hem Long Sleeve T-Shirts</t>
  </si>
  <si>
    <t>Mens Rib Knitted Crew Neck T-Shirt</t>
  </si>
  <si>
    <t>Mens Solid Short Sleeve Knit T-shirt</t>
  </si>
  <si>
    <t>Mens Argyle Rose Print Crew Neck Ethnic Short Sleeve T-Shirts</t>
  </si>
  <si>
    <t>Mens Heart Gesture Print Valentine's Day Casual Short Sleeve T-Shirts</t>
  </si>
  <si>
    <t>Mens Tokyo Character Embroidered Mock Neck Short Sleeve T-Shirts</t>
  </si>
  <si>
    <t>Mens Japanese Wave Cat Print Crew Neck Short Sleeve T-Shirts</t>
  </si>
  <si>
    <t>Mens Solid Long Sleeve V-neck T-shirt</t>
  </si>
  <si>
    <t>Mens Japan Half-collar Solid Short Sleeve T-shirt</t>
  </si>
  <si>
    <t>Mens Chinese Ink Plum Bossom Print Crew Neck Short Sleeve T-Shirts</t>
  </si>
  <si>
    <t>Mens Solid Button Lapel Pocket Two Pieces Suit</t>
  </si>
  <si>
    <t>Mens Solid Snap Button Raglan Sleeve Casual Jacket</t>
  </si>
  <si>
    <t>Mens Smile Face Embroidered Snap Button Plush Lined Hooded Jacket</t>
  </si>
  <si>
    <t>Mens Plant Print Patchwork Flap Pocket Lapel Loose Jacket</t>
  </si>
  <si>
    <t>Mens Smile Face Embroidery Corduroy Drawstring Hooded Shirt Jacket</t>
  </si>
  <si>
    <t>Mens Ethnic Tribal Pattern Patchwork Corduroy Hooded Shirt Jacket</t>
  </si>
  <si>
    <t>Mens Color Block Patchwork Flap Pocket Corduroy Shirt Jacket</t>
  </si>
  <si>
    <t>Mens Color Block Patchwork Zip Front Hooded Windbreaker Jacket</t>
  </si>
  <si>
    <t>Mens Two Tone Patchwork Stand Collar Zip Front Fleece Jacket</t>
  </si>
  <si>
    <t>Mens Ethnic Geometric Print Plush Collar Loose Jacket</t>
  </si>
  <si>
    <t>Mens Ethnic Tribal Pattern Patchwork Flap Pocket Tweed Jacket</t>
  </si>
  <si>
    <t>Mens Color Block Patchwork Lapel Zip Front Fleece Jacket</t>
  </si>
  <si>
    <t>Mens Plaid Patchwork Multi Pocket Casual Hooded Jacket</t>
  </si>
  <si>
    <t>Mens Paisley Scarf Japanese Print Open Front Kimono Two Pieces Suit</t>
  </si>
  <si>
    <t>Mens Color Block Patchwork Zip Front Drawstring Hooded Jacket</t>
  </si>
  <si>
    <t>Mens Color Block Patchwork Embroidered Zip Front Corduroy Jacket</t>
  </si>
  <si>
    <t>Mens Color Block Patchwork Flap Pocket Button Front Jacket</t>
  </si>
  <si>
    <t>Mens Ethnic Geometric Print Patchwork Button Front Hooded Jacket</t>
  </si>
  <si>
    <t>Mens Solid Stand Collar Zip Front Fleece Casual Jacket</t>
  </si>
  <si>
    <t>Mens Check Plaid Button Front Fleece Drawstring Hooded Jacket</t>
  </si>
  <si>
    <t>Mens Ethnic Geometric Print Patchwork Zip Front Hooded Jacket</t>
  </si>
  <si>
    <t>Mens Solid Texture Baseball Collar Zip Front Casual Jacket</t>
  </si>
  <si>
    <t>Mens Fringe Hem Half Sleeve Cardigan</t>
  </si>
  <si>
    <t>Mens Solid Lapel 3/4 Sleeve Casual Blazer</t>
  </si>
  <si>
    <t>Mens Solid Collarless Casual Long Sleeve Blazer</t>
  </si>
  <si>
    <t>Men Irregular Patchwork Belted Casual Long Sleeve Blazer</t>
  </si>
  <si>
    <t>Women 100% Cotton Classical Striped Print Lapel Button Front Lace-Up Casual Shirt Dress</t>
  </si>
  <si>
    <t>Women Vintage Plaid Print Button Front O-Neck Short Sleeve Loose Casual Shirt Dress With Pocket</t>
  </si>
  <si>
    <t>Casual Solid Color Decorative Pockets Half Sleeve Loose Midi Dress</t>
  </si>
  <si>
    <t>Women Vintage Cotton Floral Plant Print O-neck Half Sleeve Split Casual Dress</t>
  </si>
  <si>
    <t>Women 100% Cotton Solid Baggy Pockets Summer Maxi Dress</t>
  </si>
  <si>
    <t>Women Retro Solid Color Turn-Down Collar Loose Casual Shirt Dress With Pocket</t>
  </si>
  <si>
    <t>Women Off Shoulder Puff Sleeve Pleated Patchwork Elegant Solid Color Maxi Dress</t>
  </si>
  <si>
    <t>Ethnic Women V-neck Long Sleeve Floral Print Holiday Bohemian Pleated Maxi Dress</t>
  </si>
  <si>
    <t>Bohemian Floral Print V-neck Flare Half Sleeve Beach Maxi Dress</t>
  </si>
  <si>
    <t>Retro Floral Print Two Pockets Loose Casual Dress For Women</t>
  </si>
  <si>
    <t>Women Basic Button Down Front Lapel Solid Color Long Sleeve Shirt Dress</t>
  </si>
  <si>
    <t>Women Solid Color Turn-down Collar Long Sleeve Button Casual Shirt Dresses With Pocket</t>
  </si>
  <si>
    <t>Vintage Floral Print Short Sleeve Loose Casual Maxi Dress</t>
  </si>
  <si>
    <t>Women Ditsy Floral Print Ruffle Hem Swing Kaftan Maxi Dresses With Belt</t>
  </si>
  <si>
    <t>Tree Print Side Pockets O-neck 3/4 Sleeve Cotton Dress</t>
  </si>
  <si>
    <t xml:space="preserve"> Women Retro 3/4 Sleeve V-Neck Lace Up Printed Boho Mini Dresses</t>
  </si>
  <si>
    <t>Contrast Color Irregular Button Lapel 3/4 Sleeve Shirt Dress</t>
  </si>
  <si>
    <t>Solid Button Pocket Short Sleeve Casual Cotton Midi Dress</t>
  </si>
  <si>
    <t>Multicolor Patchwork V Neck Button Maxi Dress</t>
  </si>
  <si>
    <t>Leisure Solid Lettuce-Edge Knotted Zip V Neck Maxi Dress</t>
  </si>
  <si>
    <t>Solid Pocket Ruched Round Neck Short Sleeve Midi Dress</t>
  </si>
  <si>
    <t>Solid H-Shaped Cotton Sleeveless Round Neck Casual Midi Dress</t>
  </si>
  <si>
    <t>Abstract Painted Pocket Round Neck Short Sleeve Loose Midi Dress</t>
  </si>
  <si>
    <t>Plant Print Cotton Pocket Button Round Neck Sleeveless Midi Dress</t>
  </si>
  <si>
    <t>Flower Print Button Pocket Short Sleeve Round Neck Dress</t>
  </si>
  <si>
    <t>Geo Print Ruffle V-Neck Tulip Short Sleeve Casual Midi Dress</t>
  </si>
  <si>
    <t>National Style Pattern Pocket Short Sleeve Midi Dress</t>
  </si>
  <si>
    <t>Character Print Pocket Doll Collar Short Sleeve Casual Midi Dress</t>
  </si>
  <si>
    <t>Calico Button Pocket Lapel Short Sleeve Casual Midi Print Dress</t>
  </si>
  <si>
    <t>Peking Opera Pattern Pocket Short Sleeve Midi Dress</t>
  </si>
  <si>
    <t>Solid Pleated Pocket Ruffle Knotted Casual Maxi Dress</t>
  </si>
  <si>
    <t>Solid V Neck Sleeveless Casual Cotton Maxi Dress</t>
  </si>
  <si>
    <t>Cotton Plant Print Pocket Short Sleeve Casual Dress</t>
  </si>
  <si>
    <t>Plaid Pocket Short Sleeve Casual Dress</t>
  </si>
  <si>
    <t>Cotton Plant Print Pocket Sleeveless Casual Print Dress</t>
  </si>
  <si>
    <t>Plant Print Pocket Short Sleeve Casual Cotton Dress</t>
  </si>
  <si>
    <t>Leaves Print Short Sleeve Round Neck Print Dress</t>
  </si>
  <si>
    <t>Contrast Color Pocket Short Sleeve Midi Casual Dress</t>
  </si>
  <si>
    <t>Solid Short Sleeve Round Neck Midi Casual Dress</t>
  </si>
  <si>
    <t>Women Stripe Lapel Ruffle Hem Kaftan Casual Long Sleeve Maxi Dresses</t>
  </si>
  <si>
    <t>Women Contrast Color Floral Print O-Neck Casual 3/4 Sleeve Maxi Dress</t>
  </si>
  <si>
    <t>V-Neck Back Zipper Floral Printed Casual Loose Dress For Women</t>
  </si>
  <si>
    <t>Solid Drawstring Waist Pocket Short Sleeve Casual Dress</t>
  </si>
  <si>
    <t>Solid Short Sleeve Crew Neck Casual Dress For Women</t>
  </si>
  <si>
    <t>Solid Button Front Lapel Short Sleeve Women Dress</t>
  </si>
  <si>
    <t xml:space="preserve">Cold Shoulder Lace Croceht Long Maxi Hollow Out Dress For Women </t>
  </si>
  <si>
    <t>Women 100% Cotton O-Neck Floral Print Leisure Dress With Side Pockets</t>
  </si>
  <si>
    <t>Casual Solid Color Flare Sleeve Lace-Up Chiffon Loose Muslim Maxi Dress</t>
  </si>
  <si>
    <t>Check Pattern Long Sleeve Lapel Pocket Button Dress</t>
  </si>
  <si>
    <t>Solid Mermaid Hem Maxi Cami Dress For Women</t>
  </si>
  <si>
    <t>Allover Flower Print Pocket Crew Neck Vintage Dress</t>
  </si>
  <si>
    <t>Solid Puff Sleeve Pocket Tie Crew Neck Maxi Vintage Dress</t>
  </si>
  <si>
    <t>Women Sleeveless Straps High Low Hem Solid Causal Maxi Dress</t>
  </si>
  <si>
    <t>Women V-Neck Floral Printed Bohemian Leisure Casual Loose Dress</t>
  </si>
  <si>
    <t>Women Solid O-Neck Sleeveless Bohemian Leisure Dress With Side Pockets</t>
  </si>
  <si>
    <t>100% Cotton Solid Ruffles Bohemian Casual Maxi Dress For Women</t>
  </si>
  <si>
    <t>Bohemian Polka Dot Stripe Contrast Color Print Patchwork Holiday Maxi Dress</t>
  </si>
  <si>
    <t>Casual Color Block Round Neck Stitching Maxi Dress With Pocket</t>
  </si>
  <si>
    <t>Women Plain Button Front Lace-Up Elastic Cuff Vintage Long Sleeve Maxi Dress With Pocket</t>
  </si>
  <si>
    <t>S-5XL Women Casual Short Sleeve Splice Loose O-neck Mid Long Dress</t>
  </si>
  <si>
    <t>Women Vintage O-neck Button Long Puff Sleeve Kaftan Solid Color Maxi Dress</t>
  </si>
  <si>
    <t>Women Button Front Kaftan Robe Long Sleeve Shirt Maxi Dresses With Pocket</t>
  </si>
  <si>
    <t>Solid Color Spaghetti Sleeveless Loose Swing Casual Maxi Dress</t>
  </si>
  <si>
    <t>Women Solid Color Ruffles Trim Sleeveless Simple Midi Dresses</t>
  </si>
  <si>
    <t>Sleeveless O-neck Loose Causal Floral Print Maxi Dress</t>
  </si>
  <si>
    <t>Polka Dot Print Patchwork Short Sleeve Holiday Bohemia Maxi Dress For Women</t>
  </si>
  <si>
    <t>Women Square Neck Pleated Button Casual Maxi Vintage Dress With Side Pockets</t>
  </si>
  <si>
    <t>Women Solid Color Irregular Hem Casual Hooded Sweatshirt Maxi Dresses With Side Pocket</t>
  </si>
  <si>
    <t>Women Ethnic Style Figure Print Round Neck Short Sleeve Loose Baggy Maxi Dresses</t>
  </si>
  <si>
    <t>Women Grid Printed Button Down Front Elastic Cuff Bohemian O-Neck Maxi Shirt Dress</t>
  </si>
  <si>
    <t>Women Floral Print Holiday A-Line Button Up Long Sleeve Muslim Dress Abaya Kaftan With Pocket</t>
  </si>
  <si>
    <t>Women Solid Color Ruffles Hem Pleats Puff Sleeve Maxi Dress</t>
  </si>
  <si>
    <t>Women Loose Casual Long Sleeve V-neck Button Pocket Shirt Dress</t>
  </si>
  <si>
    <t>Women Striped V Neck Long Sleeve Casual Loose Maxi Dress</t>
  </si>
  <si>
    <t>Womens Casual  Sleeveless Solid Summer Long Maxi Dress</t>
  </si>
  <si>
    <t>Women Holiday Floral Print Hanging Neck Loose Stylish Halter Maxi Dress</t>
  </si>
  <si>
    <t>Women Plant Floral Print Sleeveless Loose Maxi Dress With Side Pocket</t>
  </si>
  <si>
    <t>Stripe Button Lapel Casual Cotton Shirt Dress</t>
  </si>
  <si>
    <t>Plant Print Lapel Button Pocket Casual Midi Print Dress</t>
  </si>
  <si>
    <t>Leisure Geometry Pattern Patchwork V Neck Sleeveless Maxi Dress</t>
  </si>
  <si>
    <t>Bohemian Women V Neck Floral Print Beach Holiday Split Maxi Dress</t>
  </si>
  <si>
    <t>Women Polka Dot Print O-neck Short Sleeve Maxi Dress</t>
  </si>
  <si>
    <t>Women Vintage Floral Printed 3/4 Sleeve Mini Dresses</t>
  </si>
  <si>
    <t>Women Retro Graffiti Print Round Neck Pleated Casual Maxi Dresses</t>
  </si>
  <si>
    <t>Casual Suspender Solid Sleeve Summer Dress For Women</t>
  </si>
  <si>
    <t>Women Short Sleeve V-neck Lace Hollow Solid Casual Dress</t>
  </si>
  <si>
    <t>Women Short Sleeve Hollow Out Robe Kaftan Solid Maxi Dress</t>
  </si>
  <si>
    <t>Women Casual Loose Plaid Print O-Neck Half Sleeve Dress</t>
  </si>
  <si>
    <t>Women Casual Loose Cotton Floral Print Short Sleeve Dress</t>
  </si>
  <si>
    <t>Women Solid Color V-neck Long Sleeve Causal Maxi Dress</t>
  </si>
  <si>
    <t>Stripe Print Slit Hem Pocket V-neck Dress</t>
  </si>
  <si>
    <t>Lace Stitch 3/4 Sleeve Stand Collar Casual Dress</t>
  </si>
  <si>
    <t>Polka Dots V-neck Short Sleeve Print Split Party Wrap Maxi Dress</t>
  </si>
  <si>
    <t>Leopard Print V-Neck Puff Sleeve Lace-Up Maxi Dress For Women</t>
  </si>
  <si>
    <t>Women 100% Cotton Solid Color Curved Hem Split Lapel Loose Fit Shirt Dress</t>
  </si>
  <si>
    <t>Women Casual Plaid Print Irregular Split Hem Maxi Shirts Dress with Side Pockets</t>
  </si>
  <si>
    <t>Women Solid Cotton Ruffles Hem Layered O-Neck Tiered Dress Casual Long Sleeve Maxi Dress</t>
  </si>
  <si>
    <t>Women Casual Plaid Half Button Front Long Sleeve Maxi Dresses</t>
  </si>
  <si>
    <t>Women Casual Plaid Lapel Long Sleeve Button Vintage Shirt Maxi Dresses With Pocket</t>
  </si>
  <si>
    <t>Women Floral Print O-Neck Retro Casual Long Sleeve Layered Dress With Side Pockets</t>
  </si>
  <si>
    <t>Women Leopard Print Lapel Long Sleeve Side Pockets Shirt Maxi Dress</t>
  </si>
  <si>
    <t>Solid Color V-neck Sleeveless Ruffles Hem Pleated Maxi Dress With Pocket</t>
  </si>
  <si>
    <t>Short Sleeve Lapel With Side Pocket Casual Holiday Dresses For Women</t>
  </si>
  <si>
    <t>Puff Sleeve Ruffles Loose Fit V-Neck Leisure Maxi Dress For Women</t>
  </si>
  <si>
    <t>Women 100% Cotton Abaya Kaftan Lace Patchwork Casual Wedding Midi Dress</t>
  </si>
  <si>
    <t>Solid Color Stand Collar Button Down Front Leisure Loose Maxi Dress with Side Pockets</t>
  </si>
  <si>
    <t>Women Floral Print O-Neck Long Sleeve Bohemian Holiday Maxi Dress With Pocket</t>
  </si>
  <si>
    <t>Lace Stitching A-Line O-Neck Solid Color Long Sleeve Muslim Dress Abaya Kaftan For Women</t>
  </si>
  <si>
    <t>Women Kaftan Tunic Two-Piece Detachable Outside Bat Long Sleeve Maxi Dress</t>
  </si>
  <si>
    <t>Women Vintage Striped Artsy O-Neck Short Sleeve Green Mid-Calf Length Dress</t>
  </si>
  <si>
    <t>Pocket Floral Print Round Neck Sleeveless Maxi Dress</t>
  </si>
  <si>
    <t>Plaid Color Block Pocket Button Ruched Short Sleeve Midi Dress</t>
  </si>
  <si>
    <t>Floral Print Pocket Half Sleeve Ruffle Casual Maxi Dress</t>
  </si>
  <si>
    <t>Abstract Painted Button Pocket Sleeveless Casual Midi Dress</t>
  </si>
  <si>
    <t>Solid Pocket Short Sleeve Round Neck Cotton Casual Dress</t>
  </si>
  <si>
    <t>Print Button Pocket Lapel Short Sleeve Casual Midi Dress</t>
  </si>
  <si>
    <t>Invisible Zip Solid Short Sleeve Crew Neck Casual Dress</t>
  </si>
  <si>
    <t>Solid Pocket Spaghetti Strap Backless Dress For Women</t>
  </si>
  <si>
    <t>Solid Ruffle Hem Pocket Short Sleeve Crew Neck Casual Dress</t>
  </si>
  <si>
    <t>Solid Button Front Short Sleeve Lapel Shirt Dress</t>
  </si>
  <si>
    <t>Women Pure Color Lapel Stylish Big Swing Casual Sleeveless Maxi Dresses</t>
  </si>
  <si>
    <t>Polka Dot Button Pocket Short Sleeve Midi Dress</t>
  </si>
  <si>
    <t>Women Solid Denim Button Down Elastic Cuffs Kaftan Loose Maxi Dresses</t>
  </si>
  <si>
    <t>Women Allover Floral Print Puff Sleeve Ruffled Hem Casual Holiday Layered Dress</t>
  </si>
  <si>
    <t>Women Vertical Stripe Lapel Kaftan Long Sleeve Shirt Maxi Dresses With Belt</t>
  </si>
  <si>
    <t>O-Neck Floral Loose Bohemian Casual Summer Dress For Women</t>
  </si>
  <si>
    <t>Women Floral Print Tiered Dress O-Neck Casual Maxi Dress With Side Pocket</t>
  </si>
  <si>
    <t>Solid Pocket Short Sleeve Casual Midi Dress</t>
  </si>
  <si>
    <t>Women Retro O-neck Floral Print Sleeveless Maxi Dress</t>
  </si>
  <si>
    <t>Blitzwolf® BW-VP1-Pro LCD Projector 2800 Lumens Phone Same Screen Version Support 1080P Input Dolby Audio Wireless Portable Smart Home Theater Projector Beamer</t>
  </si>
  <si>
    <t>TWO TREES® Filament Break Detection Module With 1M Cable Run-out Sensor Material Runout Detector For Ender 3 CR10 3D Printer</t>
  </si>
  <si>
    <t>GAMAKAY MK61 Wired Mechanical Keyboard Gateron Optical Switch Pudding Keycaps RGB 61 Keys Hot Swappable Gaming Keyboard New Version</t>
  </si>
  <si>
    <t>Creativity® 4pcs 3D Printer Parts Spring Heated Bed Leveling 8X20mm 10X25 Hot Plate 3D Printer Parts Reprap Imported For Ender3 CR10 MK2A</t>
  </si>
  <si>
    <t>70Pcs/pack Gateron Optical Switch Linear Clicky Switch Keyboard Switch for Optical Mechanical Gaming Keyboards</t>
  </si>
  <si>
    <t>TWO TREES® CNC Shield + UNO R3 Board +4x A4988 Stepper Motor Driver +4x 4401 Stepper Motor Kit for 3D Printer</t>
  </si>
  <si>
    <t>BlitzWolf® BW-KC1 Kids Camera 2.4 Inch 1080P Video HD Selfie Portable Digital Game Children Camera for Girl and Boys Birthday Christmas Gifts Good Luck with 16GB TF Card</t>
  </si>
  <si>
    <t>140 Keys Honey Milk PBT Keycap Set XDA Profile Sublimation English/Japanese Keycaps for Mechanical Keyboards</t>
  </si>
  <si>
    <t>SIMAX3D® 13/24Pcs Polycarbonate Pulley Wheel Plastic Pulley Linear Bearing for Creality CR10 Ender 3 3D Printer Part</t>
  </si>
  <si>
    <t>70Pcs/pack Gateron Switch Linear Mechanical Yellow / Red Pro Switch Prelubricate Keyboard Switch for DIY Mechanical Gaming Keyboards</t>
  </si>
  <si>
    <t>Wooden Pencil Pen Storage Box Tilting Desktop Stationary Holder Organizer Home Office Supplies Storage Rack</t>
  </si>
  <si>
    <t>GamaKay K61 Mechanical Keyboard 61 Keys 60 Keyboard Hot Swappable Type-C 3.1 Wired USB Translucent Glass Base Gateron Switch ABS Two-color Keycap NKRO RGB Gaming Keyboard</t>
  </si>
  <si>
    <t>70PCS Pack 3Pin Gateron Linear Yellow Switch Keyboard Switch for Mechanical Gaming Keyboard</t>
  </si>
  <si>
    <t>128 Keys Coral Sea Keycap Set XDA Profile PBT Sublimation Keycaps for DIY Mechanical Keyboards</t>
  </si>
  <si>
    <t>Creality 3D® Ender-3 S1 pro 3D Printer Kit</t>
  </si>
  <si>
    <t>MARCO 12 Colors Professional Colored Pencil Set Wooden Color Crayon Drawing Painting Pens School Art Stationery Supplies</t>
  </si>
  <si>
    <t>TENWIN Desktop Vacuum Cleaner Electric Desktop Rubber Dust Cleaner Small Household Car Keyboard Dust Cleaner</t>
  </si>
  <si>
    <t>Single Button Organ Bag A4 Multi-Layer Folder Multi-Function Portable File Folder</t>
  </si>
  <si>
    <t>Wenku WK-1020B Integrated Rotary Capacitor Stylus Pen for IOS Android Tablet Smartphone</t>
  </si>
  <si>
    <t>NASUM Cover for Garden Chairs Protective Cover Oxford Polyester 210D Oxford Material with Drawstring Attachment Clips Waterproof Winterproof</t>
  </si>
  <si>
    <t>Fothwin 19.5V 45w 2.31A Interface 4.5*3.0 Blue Pin for HP Laptop Desktop Laptop Power Adapter Add the AC line</t>
  </si>
  <si>
    <t>3PCS 16T GT2 Aluminum Timing Drive Pulley For DIY 3D Printer</t>
  </si>
  <si>
    <t xml:space="preserve">Multi-function Home Decorative Felt Desk Stationery Storage Box Kids Toys Storage Bag Office </t>
  </si>
  <si>
    <t>USB 4 Port AC Wall Charging Station Home Adapter Stand For Tablet Cell Phone</t>
  </si>
  <si>
    <t>2022 New Wall Calendar Dark Forest Lunar Calendar Desktop Decoration Office Home</t>
  </si>
  <si>
    <t>Folio PU Leather Stand Card Case Cover For Microsoft Surface Pro3</t>
  </si>
  <si>
    <t xml:space="preserve">Folio PU Leather Case Folding Stand Cover For Onda V975W V989  </t>
  </si>
  <si>
    <t>4 Fan Adjustable Laptop Cooling Pad Cooler Portable Stand For 14-17inch Laptop</t>
  </si>
  <si>
    <t>Artillery® ABL automatic leveling assembly for Sidewinder X2 &amp; GPro 3D Printer Auto Heatbed Level spare parts</t>
  </si>
  <si>
    <t>1 Pc M6 Threaded Copper Nozzle 0.3/0.4/0.5MM For 1.75mm Supplies 3D Printer</t>
  </si>
  <si>
    <t>Folio PU Leather Case Folding Stand Cover For Onda V703I V701S</t>
  </si>
  <si>
    <t>11Pcs/Set Modern Wall Hanging Photo Frame Set Art Home Decor Family Picture Display Living Room Hallway Bedroom Wall Decoration</t>
  </si>
  <si>
    <t>Delicate Painting Tool Pen Holder 49 Hole Rack Pen  Office Supplies  Art Pen</t>
  </si>
  <si>
    <t>Portable Mini Cute USB Rechargeable Cooling Fan Mute Handhold USB Fan School Office Cooling Supplies</t>
  </si>
  <si>
    <t>Universal Car Desk Mount Cradle Holder Stand For Tablet Cell Phone</t>
  </si>
  <si>
    <t>2MM 10 Pcs/Colors Flash Light Sponge Paper Foam Paper Kindergarten Handmade Sponge Paper Art</t>
  </si>
  <si>
    <t>Colorful DIY Square Glitter Paper Origami Color Handmade Paper Kindergarten Home Paper Art Supplies</t>
  </si>
  <si>
    <t>Alligator Pattern Case Cover For Huawei Mediapad 10 FHD/10 Link Tablet</t>
  </si>
  <si>
    <t>Folio PU Leather Case Folding Stand Cover For PIPO P1</t>
  </si>
  <si>
    <t>Artillery® All-in-one Single Extruder with ABL Kit Replacement Extrusion Kit fits Sidewinder X2&amp;G Pro 3D Printer</t>
  </si>
  <si>
    <t>15 Colors DIY Handmade Paper Making Materials Color Crumpled Paper Rose Flower Handmade Paper</t>
  </si>
  <si>
    <t>6 Colors 25M Balloon Paper Roll Pleated Paper Roll Colored Paper Wrinkled Ribbon Balloon Streamer Colored Paper Art Decorative Handmade</t>
  </si>
  <si>
    <t>ELEGIANT Wired Display Dongle 1080P HD Adapter Miracast AirPlay Mirroring Cable For iPhone</t>
  </si>
  <si>
    <t>Owl Pattern Folio PU Leather Case Folding Stand Cover For Samsung T800</t>
  </si>
  <si>
    <t>Owl Pattern Folio PU Leather Case Folding Stand Cover For Samsung T530</t>
  </si>
  <si>
    <t>Lichee Pattern Folding Stand PU Leather Case For Samsung Tab 8.4 T700</t>
  </si>
  <si>
    <t>Rotating Stand PU Leather Case Cover For Samsung Tab 8.4 T700</t>
  </si>
  <si>
    <t xml:space="preserve">Folding Stand PU Leather Case Cover For Samsung Tab 10.5 T800 </t>
  </si>
  <si>
    <t>Lichee Pattern PU Leather Case Folding Stand Cover For Asus ME176</t>
  </si>
  <si>
    <t>Ultra Thin Tri-fold PU Leather Case Cover For Asus ME181c Tablet</t>
  </si>
  <si>
    <t>Folio PU Leather Folding Stand Card Case Cover For Asus ME181c Tablet</t>
  </si>
  <si>
    <t>Triangle bluetooth Anti Lost Device Key Kids Tracer Finder For Tablet Cell Phone</t>
  </si>
  <si>
    <t>MK7/MK8 20*20*10mm Aluminum Heating Block For 3D Printer</t>
  </si>
  <si>
    <t>Household Universal Storage Car Holder For Tablet Cell Phone</t>
  </si>
  <si>
    <t xml:space="preserve">Tri-fold Folio PU Leather Case Stand Cover For Onda v820w    </t>
  </si>
  <si>
    <t>World Map PU Leather Wallet Case For Google Nexus 7 2nd Gen</t>
  </si>
  <si>
    <t>32'' Jersey Display Case Shadow Box Frame Sports Football Baseball</t>
  </si>
  <si>
    <t>Specialized Folio PU Leather Case Folding Stand For PIPO P1</t>
  </si>
  <si>
    <t>7.9 Inch Heat Styling Case Cover for Acer A1-830 Tablet</t>
  </si>
  <si>
    <t>100 PCS Wooden Magnetic Puzzle Figure Animal Vehicle Circus Drawing Board 5 Styles Box Puzzle Toy Gift</t>
  </si>
  <si>
    <t>4pcs Sponge Stamps Children's Educational Toys Children's Little Boy Boys And Girls Handicrafts Painting Learning Coloring Drawing Set</t>
  </si>
  <si>
    <t>Folio Scrub PU Leather Case Cover For Samsung T230 Tablet</t>
  </si>
  <si>
    <t>Folio Scrub PU Leather Case Cover For Samsung T310 Tablet</t>
  </si>
  <si>
    <t>Folio Scrub PU Leather Case Cover For Samsung P3200 Tablet</t>
  </si>
  <si>
    <t>6 PCS Hook Line Pen Set Painting Brush Watercolor Paintings Drawing Pens Brushes Oil Acrylic</t>
  </si>
  <si>
    <t>Leather bluetooth Keyboard Case for iPad Mini Tablet</t>
  </si>
  <si>
    <t xml:space="preserve">Universal US 5V 2A Micro Port USB Cable Charger For Tablet </t>
  </si>
  <si>
    <t>Specialized Folio PU Leather Case Cover for Colorfly E708 Q1 Tablet</t>
  </si>
  <si>
    <t>Folio PU Leather Folding Stand Case Cover For Samsung T310 Tablet</t>
  </si>
  <si>
    <t>Transparent Glossy Screen Protector film For Colorfly E708 Q1 Q2</t>
  </si>
  <si>
    <t>bluetooth Protective Keyboard Case Cover For Voyo WinPad A1</t>
  </si>
  <si>
    <t>40*50 Canvas Waterproof Dirty Clothes Basket Children's Toy Storage Basket Cartoon Fabric Bathroom Dirty Clothes Bucket Sundries Storage Bucket</t>
  </si>
  <si>
    <t>Transparent Screen Protector Film For PIPO W4</t>
  </si>
  <si>
    <t>Transparent Screen Protector Film For Ramos I9S</t>
  </si>
  <si>
    <t>19V 3.16A 60W AC Power Adapter for Laptop SAMUNG CPA09-004A</t>
  </si>
  <si>
    <t>Folio PU Leather Case Folding Stand Cover For HUAWEI S8-701u</t>
  </si>
  <si>
    <t>MECO 300Mbps 2.4GHz Wireless Wifi Repeater LAN Port WIFI Signal Amplifier WLAN Booster WiFi Range Extender</t>
  </si>
  <si>
    <t>Ultra Thin Tri-fold PU Leather Case For Acer Iconia One7 B1-740</t>
  </si>
  <si>
    <t>Avanc HD 720P USB Webcam with Microphone for PC Laptop</t>
  </si>
  <si>
    <t>INSMA 8K HDMI 2.1 Cable 0.5/1/1.5/2/3m HDMI Male to HDMI Male Cable 1080P 8K 60HZ 48Gbps Gold Plated Connector</t>
  </si>
  <si>
    <t>360 Degree Rotating Case Cover For Samsung GALAXY Tab 3 Lite T110</t>
  </si>
  <si>
    <t>Folio Scrub PU Leather Case Cover For Samsung T110 Tablet</t>
  </si>
  <si>
    <t>Transparent Screen Protector Film For 9.7 Inch Ainol Spark II Tablet</t>
  </si>
  <si>
    <t>Deli 5302 A4 Commercial File Folder Double Strong Clip Double Clamp</t>
  </si>
  <si>
    <t>INSMA 8K HDMI 2.1 Cable 0.5/1/1.5/2/3m HDMI Male to HDMI Male Cable 1080P 8K 60HZ 48Gbps Connector</t>
  </si>
  <si>
    <t>Metal Mesh Cosmetic Makeup Brush Pen Office Desktop Storage Box</t>
  </si>
  <si>
    <t>Denim Design Folio PU Leather Case Cover For Samsung Galaxy T110</t>
  </si>
  <si>
    <t>Tri-fold Folio PU Leather Case Stand Cover For ALLDOCUBE Cube U80 Super Version Tablet</t>
  </si>
  <si>
    <t>Russian Keyboard Leather Case Pouch With Stand For 9.7 inch Tablet PC</t>
  </si>
  <si>
    <t>Universal Tri-fold PU Folding Stand Case Cover For CUBE Talk 7X</t>
  </si>
  <si>
    <t>Crazy Horse Design Folding Stand Case For Samsung Galaxy Tab4 T330</t>
  </si>
  <si>
    <t>Vintage Design Folding Stand Case Cover For Samsung Galaxy Tab4 T530</t>
  </si>
  <si>
    <t>Folding Stand PU Leather Case Cover For Samsung Galaxy Tab4 T530</t>
  </si>
  <si>
    <t>Beta Pen Free Ink Pen Creative Metal Signature Gel Pen Infinite Loop Using Pencil</t>
  </si>
  <si>
    <t xml:space="preserve">2.4G Router Antenna 14DBI High Gain Antenna RP-SMA Connector </t>
  </si>
  <si>
    <t xml:space="preserve">Magic Girl Folio PU Leather Folding Stand Case For Ramos W41 W42 </t>
  </si>
  <si>
    <t>Folio PU Leather Folding Stand Case Cover For PIPO M7 Tablet</t>
  </si>
  <si>
    <t>Folio PU Leather Folding Stand Case Cover For Chuwi V99 Tablet</t>
  </si>
  <si>
    <t>Tri-fold Ultra Thin Folio PU Leather Folding Stand Case For PIPO M9</t>
  </si>
  <si>
    <t>Simple Folding Stand Case Cover For AMPE A88 SANEI N82 Tablet</t>
  </si>
  <si>
    <t>Contrast Color PU Leather Case With Card Holder For Google Nexus 7 2nd</t>
  </si>
  <si>
    <t>Tri-fold Ultra Thin Folio PU Leather Case For Chuwi V88 V88S</t>
  </si>
  <si>
    <t>Soccer-Football Referee Notebook With Pencil Yellow and Red Cards</t>
  </si>
  <si>
    <t>0.2mm 0.35mm 0.4mm 0.5mm 3D Printer Extruder Brass Nozzle Sprinkler Head</t>
  </si>
  <si>
    <t>Shockproof Balls Silicone Case For Google Nexus 7 II</t>
  </si>
  <si>
    <t>2.5Inch Hotel Caster Directional Universal Brake Mute Wheel</t>
  </si>
  <si>
    <t>Folio PU Leather Case Folding Stand Cover For PIPO W6</t>
  </si>
  <si>
    <t>Outer LCD Display Screen Replacement Repair Parts For PIPO M9 Tablet</t>
  </si>
  <si>
    <t>9.7 Inch Leather Case With Folding Stand For PIPO M6 Tablet</t>
  </si>
  <si>
    <t>9 Inch PU Leather Case With Folding Stand For Lenovo A2109 Tablet PC</t>
  </si>
  <si>
    <t>Kawaii Cute Animal Cartoon Rollover Coil Carry Mini Portable Notebook Pocket Notepad School Office Stationery Supplies for students</t>
  </si>
  <si>
    <t>Folio PU Leather Case Folding Stand For PIPO U8 Tablet</t>
  </si>
  <si>
    <t>Car Charger Adapter For ASUS Eee Pad TF101 TF201 TF300 TF700</t>
  </si>
  <si>
    <t>Crazy Horse Grain PU Folding Stand Holder Case For SAMSUNG T110</t>
  </si>
  <si>
    <t>INSMA 4K HDMI 1.4 Cable 0.5/1/1.5/2/3m HDMI Male to HDMI Male Cable 1080P 120HZ 18Gbps Gold Plated Connector</t>
  </si>
  <si>
    <t>Folio Leather Case With Stand For Ampe A78 Sanei N79 Tablet</t>
  </si>
  <si>
    <t>Folio Leather Case Pouch With Folding Stand For Ainol Hero Tablet</t>
  </si>
  <si>
    <t>Outer LCD Display Screen Replacement Repair Parts For Q8 Tablet</t>
  </si>
  <si>
    <t xml:space="preserve">Universal 14CM HD Male To VGA Female Transition Cable For Tablet PC </t>
  </si>
  <si>
    <t>15 *15CM 6Pcs Canvas Artboard Linseed Oil Painting Frame Drawing Board for Beginners Oil Painting Supplies</t>
  </si>
  <si>
    <t>Cidy 1Pcs Label Sticker Printer Ribbon Convenience Label Strip Thermal Mini Cute Printing Sticker for Tepra Lite LR5C Label Printers</t>
  </si>
  <si>
    <t>Children's Anti-blue Light Glasses Playing Computer  Phone Anti-radiation Men And Women's Flat Lens Silicone Goggles Soft Frame</t>
  </si>
  <si>
    <t>Canvas Oil Painting Board Whiteboard Oil Painting Canvas Frame Acrylic Cotton Canvas Artboard for Artistic Creation Painting Suppiles Drawing Board</t>
  </si>
  <si>
    <t>10 Pcs Wooden Blackboard Universal Message Board Set Mini Chalkboard Portable Wedding Party Decorations Decorative Parts</t>
  </si>
  <si>
    <t>10 Pcs Painting Brush Mixed Head Nylon Brush Combination Set Oil Painting Profession Art Supplies</t>
  </si>
  <si>
    <t>12Pcs Painting Brush Pearl Blue Drawing Brush Watercolor Acrylic Brush Set Professional Oil Painting Tools Art Supplies</t>
  </si>
  <si>
    <t>10 Pcs Mixed Head Painting Brush Nylon Brush Combination Set Oil Watercolor Painting Profession Art Supplies</t>
  </si>
  <si>
    <t>Cute Double Hole Pencil Sharpener Makeup Pen Pencil Sharpener Give Girl Gifts School Supplies Essential Stationery</t>
  </si>
  <si>
    <t>25Pcs Dotting Painting Tools with Mandala Set Pen Dotting Stencil Kit Ball Stylus Clay Sculpting Carving Tools for Clay Pottery Craft Painting Rocks Coloring Art Drawing</t>
  </si>
  <si>
    <t>6Pcs Nylon Painting Brush Art Drawing Watercolor Brush Soft Different Head Size Painting Brush Supplies</t>
  </si>
  <si>
    <t>35 PCS Mandala Dotting Tools Stencil Ball Stylus Brushes Paint Tray for Painting Rocks Coloring Drawing and Drafting</t>
  </si>
  <si>
    <t>64*35cm Multifunctional Foldable Multi-angle Adjustment Computer Laptop Desk Table TV Bed Computer Mackbook Desktop Holder</t>
  </si>
  <si>
    <t>Touch Screen Digitizer Replacement for Samsung Galaxy Tab P580</t>
  </si>
  <si>
    <t>8Pcs Colorful Acrylic Rod Twisted Bar Point Brush Solid Round Stick Point Pottery Auxiliary Tool Mandala Dotting Tools</t>
  </si>
  <si>
    <t>5Pcs Color Handle Dotting Tools Spiral Rod Double-end Point Nail Pen Indentation Pen Point Flower Drill Tool</t>
  </si>
  <si>
    <t>Deli 3572 A4 500 Sheets Printer Paper Double-sided 2574g Scratch Paper Writing Drawing Paper Home Office Paper Supplies</t>
  </si>
  <si>
    <t>Deli A4 Printer Paper Thicken 500 Sheets 2000g Writing Drawing Paper Double-sided Scratch Paper Printer Paper Office Home Paper Supplies</t>
  </si>
  <si>
    <t>Woven Wall Hanging Tapestry Wedding Hanging Backdrop Bohemian Wall Mural Yarn Tapestry with Tassel Living Room Home Office Decorations</t>
  </si>
  <si>
    <t>Creative Storage Home Living Room Desktop Storage Trash Can Kitchen Organizer Mini Office Trash Can Coffee Table Paper Basket</t>
  </si>
  <si>
    <t>Double-Layer Waste Bin Pressing Type Desktop Garbage Basket Table Plastic Office Trash Can Dustbin Sundries Barrel Box</t>
  </si>
  <si>
    <t>4 Layers Plant Stand Flower Pot Storage Rack Outdoor Indoor Garden Shelf Decorations Display Stand Bookshelf with Drawer</t>
  </si>
  <si>
    <t>AIMOS USB HDMI KVM Switch Box Video Switch Display 4K Splitter KVM Switch for 2 PCs Share Switcher Keyboard Mouse Printer Plug and Play</t>
  </si>
  <si>
    <t>6 Hooks Under Cabinet Mug Holder 304 Stainless Steel Punch-free Coffee Cup Storage Rack</t>
  </si>
  <si>
    <t>Wall Hanging Tapestry Indoor Green Plant Tapestry Wall Decorations for Home Office Hotel</t>
  </si>
  <si>
    <t>Multifunctional Desktop Organizer Personalized Storage Rack Wooden Desktop Computer Keyboard Multi-layer Board Items Finishing Storage Rack</t>
  </si>
  <si>
    <t>57x50mm Payment Receipts Printing Paper for Thermal Printer White</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</si>
</sst>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theme="1"/>
      <name val="Calibri"/>
      <scheme val="minor"/>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6" width="15.0"/>
    <col customWidth="1" min="7" max="26" width="8.71"/>
  </cols>
  <sheetData>
    <row r="1">
      <c r="A1" s="1" t="s">
        <v>0</v>
      </c>
      <c r="B1" s="1" t="s">
        <v>1</v>
      </c>
      <c r="C1" s="1" t="s">
        <v>2</v>
      </c>
      <c r="D1" s="1" t="s">
        <v>3</v>
      </c>
      <c r="E1" s="1" t="s">
        <v>4</v>
      </c>
      <c r="F1" s="2" t="s">
        <v>5</v>
      </c>
    </row>
    <row r="2">
      <c r="A2" s="1">
        <v>1094.0</v>
      </c>
      <c r="B2" s="1" t="s">
        <v>6</v>
      </c>
      <c r="C2" s="1" t="s">
        <v>7</v>
      </c>
      <c r="D2" s="1" t="str">
        <f>IFERROR(__xludf.DUMMYFUNCTION("CONCATENATE(GOOGLETRANSLATE(C2, ""en"", ""zh-cn""))
"),"制造商批发橙色女士连衣裙办公服广告连衣裙女式正式 ")</f>
        <v>制造商批发橙色女士连衣裙办公服广告连衣裙女式正式 </v>
      </c>
      <c r="E2" s="1" t="str">
        <f>IFERROR(__xludf.DUMMYFUNCTION("CONCATENATE(GOOGLETRANSLATE(C2, ""en"", ""ko""))
"),"제조 업체 도매 오렌지 숙녀 드레스 정장 여성을위한 사무복 광고 드레스 ")</f>
        <v>제조 업체 도매 오렌지 숙녀 드레스 정장 여성을위한 사무복 광고 드레스 </v>
      </c>
      <c r="F2" s="1" t="str">
        <f>IFERROR(__xludf.DUMMYFUNCTION("CONCATENATE(GOOGLETRANSLATE(C2, ""en"", ""ja""))"),"メーカー卸売オレンジレディースドレスオフィスウェア広告ドレス女性フォーマル ")</f>
        <v>メーカー卸売オレンジレディースドレスオフィスウェア広告ドレス女性フォーマル </v>
      </c>
    </row>
    <row r="3">
      <c r="A3" s="1">
        <v>1191.0</v>
      </c>
      <c r="B3" s="1" t="s">
        <v>6</v>
      </c>
      <c r="C3" s="1" t="s">
        <v>8</v>
      </c>
      <c r="D3" s="1" t="str">
        <f>IFERROR(__xludf.DUMMYFUNCTION("CONCATENATE(GOOGLETRANSLATE(C3, ""en"", ""zh-cn""))
"),"制造商批发橙色女士连衣裙办公服广告连衣裙女式正式")</f>
        <v>制造商批发橙色女士连衣裙办公服广告连衣裙女式正式</v>
      </c>
      <c r="E3" s="1" t="str">
        <f>IFERROR(__xludf.DUMMYFUNCTION("CONCATENATE(GOOGLETRANSLATE(C3, ""en"", ""ko""))
"),"제조 업체 도매 오렌지 숙녀 드레스 정장 여성을위한 사무복 광고 드레스")</f>
        <v>제조 업체 도매 오렌지 숙녀 드레스 정장 여성을위한 사무복 광고 드레스</v>
      </c>
      <c r="F3" s="1" t="str">
        <f>IFERROR(__xludf.DUMMYFUNCTION("CONCATENATE(GOOGLETRANSLATE(C3, ""en"", ""ja""))"),"メーカー卸売オレンジレディースドレスオフィスウェア広告ドレス女性フォーマル")</f>
        <v>メーカー卸売オレンジレディースドレスオフィスウェア広告ドレス女性フォーマル</v>
      </c>
    </row>
    <row r="4">
      <c r="A4" s="1">
        <v>1193.0</v>
      </c>
      <c r="B4" s="1" t="s">
        <v>6</v>
      </c>
      <c r="C4" s="1" t="s">
        <v>9</v>
      </c>
      <c r="D4" s="1" t="str">
        <f>IFERROR(__xludf.DUMMYFUNCTION("CONCATENATE(GOOGLETRANSLATE(C4, ""en"", ""zh-cn""))
"),"2022 热销 OEM 速干休闲慢跑运动定制运动裤男裤 ")</f>
        <v>2022 热销 OEM 速干休闲慢跑运动定制运动裤男裤 </v>
      </c>
      <c r="E4" s="1" t="str">
        <f>IFERROR(__xludf.DUMMYFUNCTION("CONCATENATE(GOOGLETRANSLATE(C4, ""en"", ""ko""))
"),"2022 뜨거운 판매 Oem 빠른 건조 캐주얼 조깅 스포츠 사용자 정의 트레이닝 복 바지 남성 바지 ")</f>
        <v>2022 뜨거운 판매 Oem 빠른 건조 캐주얼 조깅 스포츠 사용자 정의 트레이닝 복 바지 남성 바지 </v>
      </c>
      <c r="F4" s="1" t="str">
        <f>IFERROR(__xludf.DUMMYFUNCTION("CONCATENATE(GOOGLETRANSLATE(C4, ""en"", ""ja""))"),"2022 ホット販売 Oem クイックドライカジュアルジョギングスポーツカスタムスウェットパンツのズボンパンツ ")</f>
        <v>2022 ホット販売 Oem クイックドライカジュアルジョギングスポーツカスタムスウェットパンツのズボンパンツ </v>
      </c>
    </row>
    <row r="5">
      <c r="A5" s="1">
        <v>1194.0</v>
      </c>
      <c r="B5" s="1" t="s">
        <v>6</v>
      </c>
      <c r="C5" s="1" t="s">
        <v>10</v>
      </c>
      <c r="D5" s="1" t="str">
        <f>IFERROR(__xludf.DUMMYFUNCTION("CONCATENATE(GOOGLETRANSLATE(C5, ""en"", ""zh-cn""))
"),"街头服饰 泡泡印花连帽衫 定制徽标连帽衫 时尚 Superdry 服装 Moda 休闲 Para Mulheres 连衣裙 套装 Huddies ")</f>
        <v>街头服饰 泡泡印花连帽衫 定制徽标连帽衫 时尚 Superdry 服装 Moda 休闲 Para Mulheres 连衣裙 套装 Huddies </v>
      </c>
      <c r="E5" s="1" t="str">
        <f>IFERROR(__xludf.DUMMYFUNCTION("CONCATENATE(GOOGLETRANSLATE(C5, ""en"", ""ko""))
"),"streetwear 의류 ​​퍼프 인쇄 까마귀 사용자 정의 로고 까마귀 패션 Superdry 의류 Moda 캐주얼 파라 Mulheres 복장 Huddies ")</f>
        <v>streetwear 의류 ​​퍼프 인쇄 까마귀 사용자 정의 로고 까마귀 패션 Superdry 의류 Moda 캐주얼 파라 Mulheres 복장 Huddies </v>
      </c>
      <c r="F5" s="1" t="str">
        <f>IFERROR(__xludf.DUMMYFUNCTION("CONCATENATE(GOOGLETRANSLATE(C5, ""en"", ""ja""))"),"ストリート服パフプリントパーカーカスタムロゴパーカーファッション Superdry 衣類モーダカジュアルパラ Mulheres ドレススーツ Huddies ")</f>
        <v>ストリート服パフプリントパーカーカスタムロゴパーカーファッション Superdry 衣類モーダカジュアルパラ Mulheres ドレススーツ Huddies </v>
      </c>
    </row>
    <row r="6">
      <c r="A6" s="1">
        <v>1195.0</v>
      </c>
      <c r="B6" s="1" t="s">
        <v>6</v>
      </c>
      <c r="C6" s="1" t="s">
        <v>11</v>
      </c>
      <c r="D6" s="1" t="str">
        <f>IFERROR(__xludf.DUMMYFUNCTION("CONCATENATE(GOOGLETRANSLATE(C6, ""en"", ""zh-cn""))
"),"定制休闲格子图案红黑颜色 100% 棉柔软透气流行款式长袖衬衫 ")</f>
        <v>定制休闲格子图案红黑颜色 100% 棉柔软透气流行款式长袖衬衫 </v>
      </c>
      <c r="E6" s="1" t="str">
        <f>IFERROR(__xludf.DUMMYFUNCTION("CONCATENATE(GOOGLETRANSLATE(C6, ""en"", ""ko""))
"),"사용자 정의 캐주얼 격자 무늬 패턴 빨간색과 검은색 색상 100% 면 부드러운 통기성 인기 스타일 긴 소매 셔츠 ")</f>
        <v>사용자 정의 캐주얼 격자 무늬 패턴 빨간색과 검은색 색상 100% 면 부드러운 통기성 인기 스타일 긴 소매 셔츠 </v>
      </c>
      <c r="F6" s="1" t="str">
        <f>IFERROR(__xludf.DUMMYFUNCTION("CONCATENATE(GOOGLETRANSLATE(C6, ""en"", ""ja""))"),"カスタムカジュアルチェック柄赤と黒の色綿 100% ソフト通気性人気スタイル長袖シャツ ")</f>
        <v>カスタムカジュアルチェック柄赤と黒の色綿 100% ソフト通気性人気スタイル長袖シャツ </v>
      </c>
    </row>
    <row r="7">
      <c r="A7" s="1">
        <v>1196.0</v>
      </c>
      <c r="B7" s="1" t="s">
        <v>6</v>
      </c>
      <c r="C7" s="1" t="s">
        <v>12</v>
      </c>
      <c r="D7" s="1" t="str">
        <f>IFERROR(__xludf.DUMMYFUNCTION("CONCATENATE(GOOGLETRANSLATE(C7, ""en"", ""zh-cn""))
"),"批发户外轻便保暖鸭子定制徽标尼龙黑色连帽冬季泡泡填充羽绒服男式 ")</f>
        <v>批发户外轻便保暖鸭子定制徽标尼龙黑色连帽冬季泡泡填充羽绒服男式 </v>
      </c>
      <c r="E7" s="1" t="str">
        <f>IFERROR(__xludf.DUMMYFUNCTION("CONCATENATE(GOOGLETRANSLATE(C7, ""en"", ""ko""))
"),"도매 야외 조명 따뜻한 오리 사용자 정의 로고 나일론 블랙 후드 겨울 버블 퍼프는 남성용 퍼퍼 재킷을 채웠습니다 ")</f>
        <v>도매 야외 조명 따뜻한 오리 사용자 정의 로고 나일론 블랙 후드 겨울 버블 퍼프는 남성용 퍼퍼 재킷을 채웠습니다 </v>
      </c>
      <c r="F7" s="1" t="str">
        <f>IFERROR(__xludf.DUMMYFUNCTION("CONCATENATE(GOOGLETRANSLATE(C7, ""en"", ""ja""))"),"卸売屋外光暖かいアヒルカスタムロゴナイロン黒フード付き冬バブルパフ充填ダウンパフジャケット男性用 ")</f>
        <v>卸売屋外光暖かいアヒルカスタムロゴナイロン黒フード付き冬バブルパフ充填ダウンパフジャケット男性用 </v>
      </c>
    </row>
    <row r="8">
      <c r="A8" s="1">
        <v>1197.0</v>
      </c>
      <c r="B8" s="1" t="s">
        <v>6</v>
      </c>
      <c r="C8" s="1" t="s">
        <v>13</v>
      </c>
      <c r="D8" s="1" t="str">
        <f>IFERROR(__xludf.DUMMYFUNCTION("CONCATENATE(GOOGLETRANSLATE(C8, ""en"", ""zh-cn""))
"),"户外运动男式 2 件套休闲重型连帽衫套装涤棉运动服 ")</f>
        <v>户外运动男式 2 件套休闲重型连帽衫套装涤棉运动服 </v>
      </c>
      <c r="E8" s="1" t="str">
        <f>IFERROR(__xludf.DUMMYFUNCTION("CONCATENATE(GOOGLETRANSLATE(C8, ""en"", ""ko""))
"),"야외 스포츠 남성 2피스 세트 캐주얼 헤비듀티 후드티 세트 폴리에스테르 및 면 운동복 ")</f>
        <v>야외 스포츠 남성 2피스 세트 캐주얼 헤비듀티 후드티 세트 폴리에스테르 및 면 운동복 </v>
      </c>
      <c r="F8" s="1" t="str">
        <f>IFERROR(__xludf.DUMMYFUNCTION("CONCATENATE(GOOGLETRANSLATE(C8, ""en"", ""ja""))"),"アウトドア スポーツ メンズ 2 点セット カジュアル ヘビーデューティ パーカー セット ポリエステルとコットン トラックスーツ ")</f>
        <v>アウトドア スポーツ メンズ 2 点セット カジュアル ヘビーデューティ パーカー セット ポリエステルとコットン トラックスーツ </v>
      </c>
    </row>
    <row r="9">
      <c r="A9" s="1">
        <v>1198.0</v>
      </c>
      <c r="C9" s="1" t="s">
        <v>14</v>
      </c>
      <c r="D9" s="1" t="str">
        <f>IFERROR(__xludf.DUMMYFUNCTION("CONCATENATE(GOOGLETRANSLATE(C9, ""en"", ""zh-cn""))
"),"11")</f>
        <v>11</v>
      </c>
      <c r="E9" s="1" t="str">
        <f>IFERROR(__xludf.DUMMYFUNCTION("CONCATENATE(GOOGLETRANSLATE(C9, ""en"", ""ko""))
"),"11")</f>
        <v>11</v>
      </c>
      <c r="F9" s="1" t="str">
        <f>IFERROR(__xludf.DUMMYFUNCTION("CONCATENATE(GOOGLETRANSLATE(C9, ""en"", ""ja""))"),"11")</f>
        <v>11</v>
      </c>
    </row>
    <row r="10">
      <c r="A10" s="1">
        <v>1199.0</v>
      </c>
      <c r="B10" s="1" t="s">
        <v>6</v>
      </c>
      <c r="C10" s="1" t="s">
        <v>13</v>
      </c>
      <c r="D10" s="1" t="str">
        <f>IFERROR(__xludf.DUMMYFUNCTION("CONCATENATE(GOOGLETRANSLATE(C10, ""en"", ""zh-cn""))
"),"户外运动男式 2 件套休闲重型连帽衫套装涤棉运动服 ")</f>
        <v>户外运动男式 2 件套休闲重型连帽衫套装涤棉运动服 </v>
      </c>
      <c r="E10" s="1" t="str">
        <f>IFERROR(__xludf.DUMMYFUNCTION("CONCATENATE(GOOGLETRANSLATE(C10, ""en"", ""ko""))
"),"야외 스포츠 남성 2피스 세트 캐주얼 헤비듀티 후드티 세트 폴리에스테르 및 면 운동복 ")</f>
        <v>야외 스포츠 남성 2피스 세트 캐주얼 헤비듀티 후드티 세트 폴리에스테르 및 면 운동복 </v>
      </c>
      <c r="F10" s="1" t="str">
        <f>IFERROR(__xludf.DUMMYFUNCTION("CONCATENATE(GOOGLETRANSLATE(C10, ""en"", ""ja""))"),"アウトドア スポーツ メンズ 2 点セット カジュアル ヘビーデューティ パーカー セット ポリエステルとコットン トラックスーツ ")</f>
        <v>アウトドア スポーツ メンズ 2 点セット カジュアル ヘビーデューティ パーカー セット ポリエステルとコットン トラックスーツ </v>
      </c>
    </row>
    <row r="11">
      <c r="A11" s="1">
        <v>1200.0</v>
      </c>
      <c r="B11" s="1" t="s">
        <v>6</v>
      </c>
      <c r="C11" s="1" t="s">
        <v>12</v>
      </c>
      <c r="D11" s="1" t="str">
        <f>IFERROR(__xludf.DUMMYFUNCTION("CONCATENATE(GOOGLETRANSLATE(C11, ""en"", ""zh-cn""))
"),"批发户外轻便保暖鸭子定制徽标尼龙黑色连帽冬季泡泡填充羽绒服男式 ")</f>
        <v>批发户外轻便保暖鸭子定制徽标尼龙黑色连帽冬季泡泡填充羽绒服男式 </v>
      </c>
      <c r="E11" s="1" t="str">
        <f>IFERROR(__xludf.DUMMYFUNCTION("CONCATENATE(GOOGLETRANSLATE(C11, ""en"", ""ko""))
"),"도매 야외 조명 따뜻한 오리 사용자 정의 로고 나일론 블랙 후드 겨울 버블 퍼프는 남성용 퍼퍼 재킷을 채웠습니다 ")</f>
        <v>도매 야외 조명 따뜻한 오리 사용자 정의 로고 나일론 블랙 후드 겨울 버블 퍼프는 남성용 퍼퍼 재킷을 채웠습니다 </v>
      </c>
      <c r="F11" s="1" t="str">
        <f>IFERROR(__xludf.DUMMYFUNCTION("CONCATENATE(GOOGLETRANSLATE(C11, ""en"", ""ja""))"),"卸売屋外光暖かいアヒルカスタムロゴナイロン黒フード付き冬バブルパフ充填ダウンパフジャケット男性用 ")</f>
        <v>卸売屋外光暖かいアヒルカスタムロゴナイロン黒フード付き冬バブルパフ充填ダウンパフジャケット男性用 </v>
      </c>
    </row>
    <row r="12">
      <c r="A12" s="1">
        <v>1201.0</v>
      </c>
      <c r="B12" s="1" t="s">
        <v>6</v>
      </c>
      <c r="C12" s="1" t="s">
        <v>11</v>
      </c>
      <c r="D12" s="1" t="str">
        <f>IFERROR(__xludf.DUMMYFUNCTION("CONCATENATE(GOOGLETRANSLATE(C12, ""en"", ""zh-cn""))
"),"定制休闲格子图案红黑颜色 100% 棉柔软透气流行款式长袖衬衫 ")</f>
        <v>定制休闲格子图案红黑颜色 100% 棉柔软透气流行款式长袖衬衫 </v>
      </c>
      <c r="E12" s="1" t="str">
        <f>IFERROR(__xludf.DUMMYFUNCTION("CONCATENATE(GOOGLETRANSLATE(C12, ""en"", ""ko""))
"),"사용자 정의 캐주얼 격자 무늬 패턴 빨간색과 검은색 색상 100% 면 부드러운 통기성 인기 스타일 긴 소매 셔츠 ")</f>
        <v>사용자 정의 캐주얼 격자 무늬 패턴 빨간색과 검은색 색상 100% 면 부드러운 통기성 인기 스타일 긴 소매 셔츠 </v>
      </c>
      <c r="F12" s="1" t="str">
        <f>IFERROR(__xludf.DUMMYFUNCTION("CONCATENATE(GOOGLETRANSLATE(C12, ""en"", ""ja""))"),"カスタムカジュアルチェック柄赤と黒の色綿 100% ソフト通気性人気スタイル長袖シャツ ")</f>
        <v>カスタムカジュアルチェック柄赤と黒の色綿 100% ソフト通気性人気スタイル長袖シャツ </v>
      </c>
    </row>
    <row r="13">
      <c r="A13" s="1">
        <v>1202.0</v>
      </c>
      <c r="B13" s="1" t="s">
        <v>6</v>
      </c>
      <c r="C13" s="1" t="s">
        <v>10</v>
      </c>
      <c r="D13" s="1" t="str">
        <f>IFERROR(__xludf.DUMMYFUNCTION("CONCATENATE(GOOGLETRANSLATE(C13, ""en"", ""zh-cn""))
"),"街头服饰 泡泡印花连帽衫 定制徽标连帽衫 时尚 Superdry 服装 Moda 休闲 Para Mulheres 连衣裙 套装 Huddies ")</f>
        <v>街头服饰 泡泡印花连帽衫 定制徽标连帽衫 时尚 Superdry 服装 Moda 休闲 Para Mulheres 连衣裙 套装 Huddies </v>
      </c>
      <c r="E13" s="1" t="str">
        <f>IFERROR(__xludf.DUMMYFUNCTION("CONCATENATE(GOOGLETRANSLATE(C13, ""en"", ""ko""))
"),"streetwear 의류 ​​퍼프 인쇄 까마귀 사용자 정의 로고 까마귀 패션 Superdry 의류 Moda 캐주얼 파라 Mulheres 복장 Huddies ")</f>
        <v>streetwear 의류 ​​퍼프 인쇄 까마귀 사용자 정의 로고 까마귀 패션 Superdry 의류 Moda 캐주얼 파라 Mulheres 복장 Huddies </v>
      </c>
      <c r="F13" s="1" t="str">
        <f>IFERROR(__xludf.DUMMYFUNCTION("CONCATENATE(GOOGLETRANSLATE(C13, ""en"", ""ja""))"),"ストリート服パフプリントパーカーカスタムロゴパーカーファッション Superdry 衣類モーダカジュアルパラ Mulheres ドレススーツ Huddies ")</f>
        <v>ストリート服パフプリントパーカーカスタムロゴパーカーファッション Superdry 衣類モーダカジュアルパラ Mulheres ドレススーツ Huddies </v>
      </c>
    </row>
    <row r="14">
      <c r="A14" s="1">
        <v>1203.0</v>
      </c>
      <c r="B14" s="1" t="s">
        <v>6</v>
      </c>
      <c r="C14" s="1" t="s">
        <v>9</v>
      </c>
      <c r="D14" s="1" t="str">
        <f>IFERROR(__xludf.DUMMYFUNCTION("CONCATENATE(GOOGLETRANSLATE(C14, ""en"", ""zh-cn""))
"),"2022 热销 OEM 速干休闲慢跑运动定制运动裤男裤 ")</f>
        <v>2022 热销 OEM 速干休闲慢跑运动定制运动裤男裤 </v>
      </c>
      <c r="E14" s="1" t="str">
        <f>IFERROR(__xludf.DUMMYFUNCTION("CONCATENATE(GOOGLETRANSLATE(C14, ""en"", ""ko""))
"),"2022 뜨거운 판매 Oem 빠른 건조 캐주얼 조깅 스포츠 사용자 정의 트레이닝 복 바지 남성 바지 ")</f>
        <v>2022 뜨거운 판매 Oem 빠른 건조 캐주얼 조깅 스포츠 사용자 정의 트레이닝 복 바지 남성 바지 </v>
      </c>
      <c r="F14" s="1" t="str">
        <f>IFERROR(__xludf.DUMMYFUNCTION("CONCATENATE(GOOGLETRANSLATE(C14, ""en"", ""ja""))"),"2022 ホット販売 Oem クイックドライカジュアルジョギングスポーツカスタムスウェットパンツのズボンパンツ ")</f>
        <v>2022 ホット販売 Oem クイックドライカジュアルジョギングスポーツカスタムスウェットパンツのズボンパンツ </v>
      </c>
    </row>
    <row r="15">
      <c r="A15" s="1">
        <v>1208.0</v>
      </c>
      <c r="B15" s="1" t="s">
        <v>6</v>
      </c>
      <c r="C15" s="1" t="s">
        <v>12</v>
      </c>
      <c r="D15" s="1" t="str">
        <f>IFERROR(__xludf.DUMMYFUNCTION("CONCATENATE(GOOGLETRANSLATE(C15, ""en"", ""zh-cn""))
"),"批发户外轻便保暖鸭子定制徽标尼龙黑色连帽冬季泡泡填充羽绒服男式 ")</f>
        <v>批发户外轻便保暖鸭子定制徽标尼龙黑色连帽冬季泡泡填充羽绒服男式 </v>
      </c>
      <c r="E15" s="1" t="str">
        <f>IFERROR(__xludf.DUMMYFUNCTION("CONCATENATE(GOOGLETRANSLATE(C15, ""en"", ""ko""))
"),"도매 야외 조명 따뜻한 오리 사용자 정의 로고 나일론 블랙 후드 겨울 버블 퍼프는 남성용 퍼퍼 재킷을 채웠습니다 ")</f>
        <v>도매 야외 조명 따뜻한 오리 사용자 정의 로고 나일론 블랙 후드 겨울 버블 퍼프는 남성용 퍼퍼 재킷을 채웠습니다 </v>
      </c>
      <c r="F15" s="1" t="str">
        <f>IFERROR(__xludf.DUMMYFUNCTION("CONCATENATE(GOOGLETRANSLATE(C15, ""en"", ""ja""))"),"卸売屋外光暖かいアヒルカスタムロゴナイロン黒フード付き冬バブルパフ充填ダウンパフジャケット男性用 ")</f>
        <v>卸売屋外光暖かいアヒルカスタムロゴナイロン黒フード付き冬バブルパフ充填ダウンパフジャケット男性用 </v>
      </c>
    </row>
    <row r="16">
      <c r="A16" s="1">
        <v>1209.0</v>
      </c>
      <c r="B16" s="1" t="s">
        <v>6</v>
      </c>
      <c r="C16" s="1" t="s">
        <v>11</v>
      </c>
      <c r="D16" s="1" t="str">
        <f>IFERROR(__xludf.DUMMYFUNCTION("CONCATENATE(GOOGLETRANSLATE(C16, ""en"", ""zh-cn""))
"),"定制休闲格子图案红黑颜色 100% 棉柔软透气流行款式长袖衬衫 ")</f>
        <v>定制休闲格子图案红黑颜色 100% 棉柔软透气流行款式长袖衬衫 </v>
      </c>
      <c r="E16" s="1" t="str">
        <f>IFERROR(__xludf.DUMMYFUNCTION("CONCATENATE(GOOGLETRANSLATE(C16, ""en"", ""ko""))
"),"사용자 정의 캐주얼 격자 무늬 패턴 빨간색과 검은색 색상 100% 면 부드러운 통기성 인기 스타일 긴 소매 셔츠 ")</f>
        <v>사용자 정의 캐주얼 격자 무늬 패턴 빨간색과 검은색 색상 100% 면 부드러운 통기성 인기 스타일 긴 소매 셔츠 </v>
      </c>
      <c r="F16" s="1" t="str">
        <f>IFERROR(__xludf.DUMMYFUNCTION("CONCATENATE(GOOGLETRANSLATE(C16, ""en"", ""ja""))"),"カスタムカジュアルチェック柄赤と黒の色綿 100% ソフト通気性人気スタイル長袖シャツ ")</f>
        <v>カスタムカジュアルチェック柄赤と黒の色綿 100% ソフト通気性人気スタイル長袖シャツ </v>
      </c>
    </row>
    <row r="17">
      <c r="A17" s="1">
        <v>1210.0</v>
      </c>
      <c r="B17" s="1" t="s">
        <v>6</v>
      </c>
      <c r="C17" s="1" t="s">
        <v>10</v>
      </c>
      <c r="D17" s="1" t="str">
        <f>IFERROR(__xludf.DUMMYFUNCTION("CONCATENATE(GOOGLETRANSLATE(C17, ""en"", ""zh-cn""))
"),"街头服饰 泡泡印花连帽衫 定制徽标连帽衫 时尚 Superdry 服装 Moda 休闲 Para Mulheres 连衣裙 套装 Huddies ")</f>
        <v>街头服饰 泡泡印花连帽衫 定制徽标连帽衫 时尚 Superdry 服装 Moda 休闲 Para Mulheres 连衣裙 套装 Huddies </v>
      </c>
      <c r="E17" s="1" t="str">
        <f>IFERROR(__xludf.DUMMYFUNCTION("CONCATENATE(GOOGLETRANSLATE(C17, ""en"", ""ko""))
"),"streetwear 의류 ​​퍼프 인쇄 까마귀 사용자 정의 로고 까마귀 패션 Superdry 의류 Moda 캐주얼 파라 Mulheres 복장 Huddies ")</f>
        <v>streetwear 의류 ​​퍼프 인쇄 까마귀 사용자 정의 로고 까마귀 패션 Superdry 의류 Moda 캐주얼 파라 Mulheres 복장 Huddies </v>
      </c>
      <c r="F17" s="1" t="str">
        <f>IFERROR(__xludf.DUMMYFUNCTION("CONCATENATE(GOOGLETRANSLATE(C17, ""en"", ""ja""))"),"ストリート服パフプリントパーカーカスタムロゴパーカーファッション Superdry 衣類モーダカジュアルパラ Mulheres ドレススーツ Huddies ")</f>
        <v>ストリート服パフプリントパーカーカスタムロゴパーカーファッション Superdry 衣類モーダカジュアルパラ Mulheres ドレススーツ Huddies </v>
      </c>
    </row>
    <row r="18">
      <c r="A18" s="1">
        <v>1212.0</v>
      </c>
      <c r="B18" s="1" t="s">
        <v>6</v>
      </c>
      <c r="C18" s="1" t="s">
        <v>7</v>
      </c>
      <c r="D18" s="1" t="str">
        <f>IFERROR(__xludf.DUMMYFUNCTION("CONCATENATE(GOOGLETRANSLATE(C18, ""en"", ""zh-cn""))
"),"制造商批发橙色女士连衣裙办公服广告连衣裙女式正式 ")</f>
        <v>制造商批发橙色女士连衣裙办公服广告连衣裙女式正式 </v>
      </c>
      <c r="E18" s="1" t="str">
        <f>IFERROR(__xludf.DUMMYFUNCTION("CONCATENATE(GOOGLETRANSLATE(C18, ""en"", ""ko""))
"),"제조 업체 도매 오렌지 숙녀 드레스 정장 여성을위한 사무복 광고 드레스 ")</f>
        <v>제조 업체 도매 오렌지 숙녀 드레스 정장 여성을위한 사무복 광고 드레스 </v>
      </c>
      <c r="F18" s="1" t="str">
        <f>IFERROR(__xludf.DUMMYFUNCTION("CONCATENATE(GOOGLETRANSLATE(C18, ""en"", ""ja""))"),"メーカー卸売オレンジレディースドレスオフィスウェア広告ドレス女性フォーマル ")</f>
        <v>メーカー卸売オレンジレディースドレスオフィスウェア広告ドレス女性フォーマル </v>
      </c>
    </row>
    <row r="19">
      <c r="A19" s="1">
        <v>1213.0</v>
      </c>
      <c r="B19" s="1" t="s">
        <v>6</v>
      </c>
      <c r="C19" s="1" t="s">
        <v>11</v>
      </c>
      <c r="D19" s="1" t="str">
        <f>IFERROR(__xludf.DUMMYFUNCTION("CONCATENATE(GOOGLETRANSLATE(C19, ""en"", ""zh-cn""))
"),"定制休闲格子图案红黑颜色 100% 棉柔软透气流行款式长袖衬衫 ")</f>
        <v>定制休闲格子图案红黑颜色 100% 棉柔软透气流行款式长袖衬衫 </v>
      </c>
      <c r="E19" s="1" t="str">
        <f>IFERROR(__xludf.DUMMYFUNCTION("CONCATENATE(GOOGLETRANSLATE(C19, ""en"", ""ko""))
"),"사용자 정의 캐주얼 격자 무늬 패턴 빨간색과 검은색 색상 100% 면 부드러운 통기성 인기 스타일 긴 소매 셔츠 ")</f>
        <v>사용자 정의 캐주얼 격자 무늬 패턴 빨간색과 검은색 색상 100% 면 부드러운 통기성 인기 스타일 긴 소매 셔츠 </v>
      </c>
      <c r="F19" s="1" t="str">
        <f>IFERROR(__xludf.DUMMYFUNCTION("CONCATENATE(GOOGLETRANSLATE(C19, ""en"", ""ja""))"),"カスタムカジュアルチェック柄赤と黒の色綿 100% ソフト通気性人気スタイル長袖シャツ ")</f>
        <v>カスタムカジュアルチェック柄赤と黒の色綿 100% ソフト通気性人気スタイル長袖シャツ </v>
      </c>
    </row>
    <row r="20">
      <c r="A20" s="1">
        <v>1214.0</v>
      </c>
      <c r="B20" s="1" t="s">
        <v>6</v>
      </c>
      <c r="C20" s="1" t="s">
        <v>12</v>
      </c>
      <c r="D20" s="1" t="str">
        <f>IFERROR(__xludf.DUMMYFUNCTION("CONCATENATE(GOOGLETRANSLATE(C20, ""en"", ""zh-cn""))
"),"批发户外轻便保暖鸭子定制徽标尼龙黑色连帽冬季泡泡填充羽绒服男式 ")</f>
        <v>批发户外轻便保暖鸭子定制徽标尼龙黑色连帽冬季泡泡填充羽绒服男式 </v>
      </c>
      <c r="E20" s="1" t="str">
        <f>IFERROR(__xludf.DUMMYFUNCTION("CONCATENATE(GOOGLETRANSLATE(C20, ""en"", ""ko""))
"),"도매 야외 조명 따뜻한 오리 사용자 정의 로고 나일론 블랙 후드 겨울 버블 퍼프는 남성용 퍼퍼 재킷을 채웠습니다 ")</f>
        <v>도매 야외 조명 따뜻한 오리 사용자 정의 로고 나일론 블랙 후드 겨울 버블 퍼프는 남성용 퍼퍼 재킷을 채웠습니다 </v>
      </c>
      <c r="F20" s="1" t="str">
        <f>IFERROR(__xludf.DUMMYFUNCTION("CONCATENATE(GOOGLETRANSLATE(C20, ""en"", ""ja""))"),"卸売屋外光暖かいアヒルカスタムロゴナイロン黒フード付き冬バブルパフ充填ダウンパフジャケット男性用 ")</f>
        <v>卸売屋外光暖かいアヒルカスタムロゴナイロン黒フード付き冬バブルパフ充填ダウンパフジャケット男性用 </v>
      </c>
    </row>
    <row r="21" ht="15.75" customHeight="1">
      <c r="A21" s="1">
        <v>1216.0</v>
      </c>
      <c r="B21" s="1" t="s">
        <v>6</v>
      </c>
      <c r="C21" s="1" t="s">
        <v>7</v>
      </c>
      <c r="D21" s="1" t="str">
        <f>IFERROR(__xludf.DUMMYFUNCTION("CONCATENATE(GOOGLETRANSLATE(C21, ""en"", ""zh-cn""))
"),"制造商批发橙色女士连衣裙办公服广告连衣裙女式正式 ")</f>
        <v>制造商批发橙色女士连衣裙办公服广告连衣裙女式正式 </v>
      </c>
      <c r="E21" s="1" t="str">
        <f>IFERROR(__xludf.DUMMYFUNCTION("CONCATENATE(GOOGLETRANSLATE(C21, ""en"", ""ko""))
"),"제조 업체 도매 오렌지 숙녀 드레스 정장 여성을위한 사무복 광고 드레스 ")</f>
        <v>제조 업체 도매 오렌지 숙녀 드레스 정장 여성을위한 사무복 광고 드레스 </v>
      </c>
      <c r="F21" s="1" t="str">
        <f>IFERROR(__xludf.DUMMYFUNCTION("CONCATENATE(GOOGLETRANSLATE(C21, ""en"", ""ja""))"),"メーカー卸売オレンジレディースドレスオフィスウェア広告ドレス女性フォーマル ")</f>
        <v>メーカー卸売オレンジレディースドレスオフィスウェア広告ドレス女性フォーマル </v>
      </c>
    </row>
    <row r="22" ht="15.75" customHeight="1">
      <c r="A22" s="1">
        <v>1217.0</v>
      </c>
      <c r="B22" s="1" t="s">
        <v>6</v>
      </c>
      <c r="C22" s="1" t="s">
        <v>10</v>
      </c>
      <c r="D22" s="1" t="str">
        <f>IFERROR(__xludf.DUMMYFUNCTION("CONCATENATE(GOOGLETRANSLATE(C22, ""en"", ""zh-cn""))
"),"街头服饰 泡泡印花连帽衫 定制徽标连帽衫 时尚 Superdry 服装 Moda 休闲 Para Mulheres 连衣裙 套装 Huddies ")</f>
        <v>街头服饰 泡泡印花连帽衫 定制徽标连帽衫 时尚 Superdry 服装 Moda 休闲 Para Mulheres 连衣裙 套装 Huddies </v>
      </c>
      <c r="E22" s="1" t="str">
        <f>IFERROR(__xludf.DUMMYFUNCTION("CONCATENATE(GOOGLETRANSLATE(C22, ""en"", ""ko""))
"),"streetwear 의류 ​​퍼프 인쇄 까마귀 사용자 정의 로고 까마귀 패션 Superdry 의류 Moda 캐주얼 파라 Mulheres 복장 Huddies ")</f>
        <v>streetwear 의류 ​​퍼프 인쇄 까마귀 사용자 정의 로고 까마귀 패션 Superdry 의류 Moda 캐주얼 파라 Mulheres 복장 Huddies </v>
      </c>
      <c r="F22" s="1" t="str">
        <f>IFERROR(__xludf.DUMMYFUNCTION("CONCATENATE(GOOGLETRANSLATE(C22, ""en"", ""ja""))"),"ストリート服パフプリントパーカーカスタムロゴパーカーファッション Superdry 衣類モーダカジュアルパラ Mulheres ドレススーツ Huddies ")</f>
        <v>ストリート服パフプリントパーカーカスタムロゴパーカーファッション Superdry 衣類モーダカジュアルパラ Mulheres ドレススーツ Huddies </v>
      </c>
    </row>
    <row r="23" ht="15.75" customHeight="1">
      <c r="A23" s="1">
        <v>1218.0</v>
      </c>
      <c r="B23" s="1" t="s">
        <v>6</v>
      </c>
      <c r="C23" s="1" t="s">
        <v>11</v>
      </c>
      <c r="D23" s="1" t="str">
        <f>IFERROR(__xludf.DUMMYFUNCTION("CONCATENATE(GOOGLETRANSLATE(C23, ""en"", ""zh-cn""))
"),"定制休闲格子图案红黑颜色 100% 棉柔软透气流行款式长袖衬衫 ")</f>
        <v>定制休闲格子图案红黑颜色 100% 棉柔软透气流行款式长袖衬衫 </v>
      </c>
      <c r="E23" s="1" t="str">
        <f>IFERROR(__xludf.DUMMYFUNCTION("CONCATENATE(GOOGLETRANSLATE(C23, ""en"", ""ko""))
"),"사용자 정의 캐주얼 격자 무늬 패턴 빨간색과 검은색 색상 100% 면 부드러운 통기성 인기 스타일 긴 소매 셔츠 ")</f>
        <v>사용자 정의 캐주얼 격자 무늬 패턴 빨간색과 검은색 색상 100% 면 부드러운 통기성 인기 스타일 긴 소매 셔츠 </v>
      </c>
      <c r="F23" s="1" t="str">
        <f>IFERROR(__xludf.DUMMYFUNCTION("CONCATENATE(GOOGLETRANSLATE(C23, ""en"", ""ja""))"),"カスタムカジュアルチェック柄赤と黒の色綿 100% ソフト通気性人気スタイル長袖シャツ ")</f>
        <v>カスタムカジュアルチェック柄赤と黒の色綿 100% ソフト通気性人気スタイル長袖シャツ </v>
      </c>
    </row>
    <row r="24" ht="15.75" customHeight="1">
      <c r="A24" s="1">
        <v>1219.0</v>
      </c>
      <c r="B24" s="1" t="s">
        <v>6</v>
      </c>
      <c r="C24" s="1" t="s">
        <v>7</v>
      </c>
      <c r="D24" s="1" t="str">
        <f>IFERROR(__xludf.DUMMYFUNCTION("CONCATENATE(GOOGLETRANSLATE(C24, ""en"", ""zh-cn""))
"),"制造商批发橙色女士连衣裙办公服广告连衣裙女式正式 ")</f>
        <v>制造商批发橙色女士连衣裙办公服广告连衣裙女式正式 </v>
      </c>
      <c r="E24" s="1" t="str">
        <f>IFERROR(__xludf.DUMMYFUNCTION("CONCATENATE(GOOGLETRANSLATE(C24, ""en"", ""ko""))
"),"제조 업체 도매 오렌지 숙녀 드레스 정장 여성을위한 사무복 광고 드레스 ")</f>
        <v>제조 업체 도매 오렌지 숙녀 드레스 정장 여성을위한 사무복 광고 드레스 </v>
      </c>
      <c r="F24" s="1" t="str">
        <f>IFERROR(__xludf.DUMMYFUNCTION("CONCATENATE(GOOGLETRANSLATE(C24, ""en"", ""ja""))"),"メーカー卸売オレンジレディースドレスオフィスウェア広告ドレス女性フォーマル ")</f>
        <v>メーカー卸売オレンジレディースドレスオフィスウェア広告ドレス女性フォーマル </v>
      </c>
    </row>
    <row r="25" ht="15.75" customHeight="1">
      <c r="A25" s="1">
        <v>1220.0</v>
      </c>
      <c r="B25" s="1" t="s">
        <v>6</v>
      </c>
      <c r="C25" s="1" t="s">
        <v>9</v>
      </c>
      <c r="D25" s="1" t="str">
        <f>IFERROR(__xludf.DUMMYFUNCTION("CONCATENATE(GOOGLETRANSLATE(C25, ""en"", ""zh-cn""))
"),"2022 热销 OEM 速干休闲慢跑运动定制运动裤男裤 ")</f>
        <v>2022 热销 OEM 速干休闲慢跑运动定制运动裤男裤 </v>
      </c>
      <c r="E25" s="1" t="str">
        <f>IFERROR(__xludf.DUMMYFUNCTION("CONCATENATE(GOOGLETRANSLATE(C25, ""en"", ""ko""))
"),"2022 뜨거운 판매 Oem 빠른 건조 캐주얼 조깅 스포츠 사용자 정의 트레이닝 복 바지 남성 바지 ")</f>
        <v>2022 뜨거운 판매 Oem 빠른 건조 캐주얼 조깅 스포츠 사용자 정의 트레이닝 복 바지 남성 바지 </v>
      </c>
      <c r="F25" s="1" t="str">
        <f>IFERROR(__xludf.DUMMYFUNCTION("CONCATENATE(GOOGLETRANSLATE(C25, ""en"", ""ja""))"),"2022 ホット販売 Oem クイックドライカジュアルジョギングスポーツカスタムスウェットパンツのズボンパンツ ")</f>
        <v>2022 ホット販売 Oem クイックドライカジュアルジョギングスポーツカスタムスウェットパンツのズボンパンツ </v>
      </c>
    </row>
    <row r="26" ht="15.75" customHeight="1">
      <c r="A26" s="1">
        <v>1491.0</v>
      </c>
      <c r="B26" s="1" t="s">
        <v>15</v>
      </c>
      <c r="C26" s="1" t="s">
        <v>16</v>
      </c>
      <c r="D26" s="1" t="str">
        <f>IFERROR(__xludf.DUMMYFUNCTION("CONCATENATE(GOOGLETRANSLATE(C26, ""en"", ""zh-cn""))
"),"厨房瓷砖贴纸浴室现代风格贴纸自粘墙面装饰")</f>
        <v>厨房瓷砖贴纸浴室现代风格贴纸自粘墙面装饰</v>
      </c>
      <c r="E26" s="1" t="str">
        <f>IFERROR(__xludf.DUMMYFUNCTION("CONCATENATE(GOOGLETRANSLATE(C26, ""en"", ""ko""))
"),"주방 타일 스티커 욕실 현대 스타일 스티커 자체 접착 벽 장식")</f>
        <v>주방 타일 스티커 욕실 현대 스타일 스티커 자체 접착 벽 장식</v>
      </c>
      <c r="F26" s="1" t="str">
        <f>IFERROR(__xludf.DUMMYFUNCTION("CONCATENATE(GOOGLETRANSLATE(C26, ""en"", ""ja""))"),"キッチンタイルステッカーバスルームモダンスタイルステッカー自己粘着壁装飾")</f>
        <v>キッチンタイルステッカーバスルームモダンスタイルステッカー自己粘着壁装飾</v>
      </c>
    </row>
    <row r="27" ht="15.75" customHeight="1">
      <c r="A27" s="1">
        <v>1492.0</v>
      </c>
      <c r="B27" s="1" t="s">
        <v>15</v>
      </c>
      <c r="C27" s="1" t="s">
        <v>17</v>
      </c>
      <c r="D27" s="1" t="str">
        <f>IFERROR(__xludf.DUMMYFUNCTION("CONCATENATE(GOOGLETRANSLATE(C27, ""en"", ""zh-cn""))
"),"吊床椅座垫悬挂秋千座垫加厚吊椅靠背枕家用办公家具配件")</f>
        <v>吊床椅座垫悬挂秋千座垫加厚吊椅靠背枕家用办公家具配件</v>
      </c>
      <c r="E27" s="1" t="str">
        <f>IFERROR(__xludf.DUMMYFUNCTION("CONCATENATE(GOOGLETRANSLATE(C27, ""en"", ""ko""))
"),"해먹 의자 좌석 쿠션 교수형 스윙 좌석 패드 두꺼운 교수형 의자 뒤로 베개 홈 오피스 가구 액세서리")</f>
        <v>해먹 의자 좌석 쿠션 교수형 스윙 좌석 패드 두꺼운 교수형 의자 뒤로 베개 홈 오피스 가구 액세서리</v>
      </c>
      <c r="F27" s="1" t="str">
        <f>IFERROR(__xludf.DUMMYFUNCTION("CONCATENATE(GOOGLETRANSLATE(C27, ""en"", ""ja""))"),"ハンモックチェアシートクッションぶら下げスイングシートパッド厚いぶら下げ椅子背もたれ枕ホームオフィス家具アクセサリー")</f>
        <v>ハンモックチェアシートクッションぶら下げスイングシートパッド厚いぶら下げ椅子背もたれ枕ホームオフィス家具アクセサリー</v>
      </c>
    </row>
    <row r="28" ht="15.75" customHeight="1">
      <c r="A28" s="1">
        <v>1493.0</v>
      </c>
      <c r="B28" s="1" t="s">
        <v>15</v>
      </c>
      <c r="C28" s="1" t="s">
        <v>18</v>
      </c>
      <c r="D28" s="1" t="str">
        <f>IFERROR(__xludf.DUMMYFUNCTION("CONCATENATE(GOOGLETRANSLATE(C28, ""en"", ""zh-cn""))
"),"20 件装 M2.5 黑色尼龙螺丝十字塑料圆头螺丝螺栓 ")</f>
        <v>20 件装 M2.5 黑色尼龙螺丝十字塑料圆头螺丝螺栓 </v>
      </c>
      <c r="E28" s="1" t="str">
        <f>IFERROR(__xludf.DUMMYFUNCTION("CONCATENATE(GOOGLETRANSLATE(C28, ""en"", ""ko""))
"),"20개 M2.5 검정색 나일론 나사 필립스 플라스틱 둥근 머리 나사 볼트 ")</f>
        <v>20개 M2.5 검정색 나일론 나사 필립스 플라스틱 둥근 머리 나사 볼트 </v>
      </c>
      <c r="F28" s="1" t="str">
        <f>IFERROR(__xludf.DUMMYFUNCTION("CONCATENATE(GOOGLETRANSLATE(C28, ""en"", ""ja""))"),"20 個 M2.5 黒ナイロンネジプラスプラスチック丸頭ネジボルト ")</f>
        <v>20 個 M2.5 黒ナイロンネジプラスプラスチック丸頭ネジボルト </v>
      </c>
    </row>
    <row r="29" ht="15.75" customHeight="1">
      <c r="A29" s="1">
        <v>1494.0</v>
      </c>
      <c r="B29" s="1" t="s">
        <v>15</v>
      </c>
      <c r="C29" s="1" t="s">
        <v>19</v>
      </c>
      <c r="D29" s="1" t="str">
        <f>IFERROR(__xludf.DUMMYFUNCTION("CONCATENATE(GOOGLETRANSLATE(C29, ""en"", ""zh-cn""))
"),"1/2/3/4 座弹性沙发套椅子座椅保护器弹力沙发套家用办公家具配件装饰品")</f>
        <v>1/2/3/4 座弹性沙发套椅子座椅保护器弹力沙发套家用办公家具配件装饰品</v>
      </c>
      <c r="E29" s="1" t="str">
        <f>IFERROR(__xludf.DUMMYFUNCTION("CONCATENATE(GOOGLETRANSLATE(C29, ""en"", ""ko""))
"),"1/2/3/4 Seaters 탄성 소파 커버 의자 좌석 보호대 스트레치 소파 슬리퍼 홈 오피스 가구 액세서리 장식")</f>
        <v>1/2/3/4 Seaters 탄성 소파 커버 의자 좌석 보호대 스트레치 소파 슬리퍼 홈 오피스 가구 액세서리 장식</v>
      </c>
      <c r="F29" s="1" t="str">
        <f>IFERROR(__xludf.DUMMYFUNCTION("CONCATENATE(GOOGLETRANSLATE(C29, ""en"", ""ja""))"),"1/2/3/4 人乗り弾性ソファカバー椅子シートプロテクターストレッチソファ本カバーホームオフィス家具アクセサリー装飾")</f>
        <v>1/2/3/4 人乗り弾性ソファカバー椅子シートプロテクターストレッチソファ本カバーホームオフィス家具アクセサリー装飾</v>
      </c>
    </row>
    <row r="30" ht="15.75" customHeight="1">
      <c r="A30" s="1">
        <v>1495.0</v>
      </c>
      <c r="B30" s="1" t="s">
        <v>15</v>
      </c>
      <c r="C30" s="1" t="s">
        <v>20</v>
      </c>
      <c r="D30" s="1" t="str">
        <f>IFERROR(__xludf.DUMMYFUNCTION("CONCATENATE(GOOGLETRANSLATE(C30, ""en"", ""zh-cn""))
"),"1/2/3 座天鹅绒沙发套纯色弹性椅子座椅保护沙发套弹力沙发套家庭办公家具装饰品")</f>
        <v>1/2/3 座天鹅绒沙发套纯色弹性椅子座椅保护沙发套弹力沙发套家庭办公家具装饰品</v>
      </c>
      <c r="E30" s="1" t="str">
        <f>IFERROR(__xludf.DUMMYFUNCTION("CONCATENATE(GOOGLETRANSLATE(C30, ""en"", ""ko""))
"),"1/2/3 Seaters 벨벳 소파 커버 순수 컬러 탄성 의자 좌석 보호대 소파 케이스 스트레치 슬립 커버 홈 오피스 가구 장식")</f>
        <v>1/2/3 Seaters 벨벳 소파 커버 순수 컬러 탄성 의자 좌석 보호대 소파 케이스 스트레치 슬립 커버 홈 오피스 가구 장식</v>
      </c>
      <c r="F30" s="1" t="str">
        <f>IFERROR(__xludf.DUMMYFUNCTION("CONCATENATE(GOOGLETRANSLATE(C30, ""en"", ""ja""))"),"1/2/3 人乗りベルベットソファカバーピュアカラー弾性椅子シートプロテクターソファケースストレッチスリップカバーホームオフィス家具装飾")</f>
        <v>1/2/3 人乗りベルベットソファカバーピュアカラー弾性椅子シートプロテクターソファケースストレッチスリップカバーホームオフィス家具装飾</v>
      </c>
    </row>
    <row r="31" ht="15.75" customHeight="1">
      <c r="A31" s="1">
        <v>1496.0</v>
      </c>
      <c r="B31" s="1" t="s">
        <v>15</v>
      </c>
      <c r="C31" s="1" t="s">
        <v>21</v>
      </c>
      <c r="D31" s="1" t="str">
        <f>IFERROR(__xludf.DUMMYFUNCTION("CONCATENATE(GOOGLETRANSLATE(C31, ""en"", ""zh-cn""))
"),"灰色壁纸贴纸墙布壁纸自粘防水PVC复古砖纹石墙装饰")</f>
        <v>灰色壁纸贴纸墙布壁纸自粘防水PVC复古砖纹石墙装饰</v>
      </c>
      <c r="E31" s="1" t="str">
        <f>IFERROR(__xludf.DUMMYFUNCTION("CONCATENATE(GOOGLETRANSLATE(C31, ""en"", ""ko""))
"),"회색 벽지 스티커 벽 천으로 벽지 자기 접착 방수 Pvc 레트로 벽돌 패턴 돌 벽 장식")</f>
        <v>회색 벽지 스티커 벽 천으로 벽지 자기 접착 방수 Pvc 레트로 벽돌 패턴 돌 벽 장식</v>
      </c>
      <c r="F31" s="1" t="str">
        <f>IFERROR(__xludf.DUMMYFUNCTION("CONCATENATE(GOOGLETRANSLATE(C31, ""en"", ""ja""))"),"グレー壁紙ステッカー壁布壁紙自己粘着防水 Pvc レトロレンガパターン石の壁の装飾")</f>
        <v>グレー壁紙ステッカー壁布壁紙自己粘着防水 Pvc レトロレンガパターン石の壁の装飾</v>
      </c>
    </row>
    <row r="32" ht="15.75" customHeight="1">
      <c r="A32" s="1">
        <v>1497.0</v>
      </c>
      <c r="B32" s="1" t="s">
        <v>15</v>
      </c>
      <c r="C32" s="1" t="s">
        <v>22</v>
      </c>
      <c r="D32" s="1" t="str">
        <f>IFERROR(__xludf.DUMMYFUNCTION("CONCATENATE(GOOGLETRANSLATE(C32, ""en"", ""zh-cn""))
"),"9 件/27 件/54 件墙贴厨房瓷砖贴纸浴室自粘墙面装饰家居 DIY")</f>
        <v>9 件/27 件/54 件墙贴厨房瓷砖贴纸浴室自粘墙面装饰家居 DIY</v>
      </c>
      <c r="E32" s="1" t="str">
        <f>IFERROR(__xludf.DUMMYFUNCTION("CONCATENATE(GOOGLETRANSLATE(C32, ""en"", ""ko""))
"),"9pcs/27pcs/54pcs 벽 스티커 주방 타일 스티커 욕실 자체 접착 벽 장식 홈 DIY")</f>
        <v>9pcs/27pcs/54pcs 벽 스티커 주방 타일 스티커 욕실 자체 접착 벽 장식 홈 DIY</v>
      </c>
      <c r="F32" s="1" t="str">
        <f>IFERROR(__xludf.DUMMYFUNCTION("CONCATENATE(GOOGLETRANSLATE(C32, ""en"", ""ja""))"),"9 ピース/27 ピース/54 ピースウォールステッカーキッチンタイルステッカー浴室自己粘着壁の装飾ホーム DIY")</f>
        <v>9 ピース/27 ピース/54 ピースウォールステッカーキッチンタイルステッカー浴室自己粘着壁の装飾ホーム DIY</v>
      </c>
    </row>
    <row r="33" ht="15.75" customHeight="1">
      <c r="A33" s="1">
        <v>1498.0</v>
      </c>
      <c r="B33" s="1" t="s">
        <v>15</v>
      </c>
      <c r="C33" s="1" t="s">
        <v>23</v>
      </c>
      <c r="D33" s="1" t="str">
        <f>IFERROR(__xludf.DUMMYFUNCTION("CONCATENATE(GOOGLETRANSLATE(C33, ""en"", ""zh-cn""))
"),"Suleve™ M4AN6 10 件 M4 杯头六角螺丝垫片垫圈螺母铝合金多色可选")</f>
        <v>Suleve™ M4AN6 10 件 M4 杯头六角螺丝垫片垫圈螺母铝合金多色可选</v>
      </c>
      <c r="E33" s="1" t="str">
        <f>IFERROR(__xludf.DUMMYFUNCTION("CONCATENATE(GOOGLETRANSLATE(C33, ""en"", ""ko""))
"),"Suleve™ M4AN6 10Pcs M4 컵 헤드 육각 나사 가스켓 와셔 너트 알루미늄 합금 다색 옵션")</f>
        <v>Suleve™ M4AN6 10Pcs M4 컵 헤드 육각 나사 가스켓 와셔 너트 알루미늄 합금 다색 옵션</v>
      </c>
      <c r="F33" s="1" t="str">
        <f>IFERROR(__xludf.DUMMYFUNCTION("CONCATENATE(GOOGLETRANSLATE(C33, ""en"", ""ja""))"),"Suleve™ M4AN6 10 個 M4 カップヘッド六角ネジガスケットワッシャーナットアルミニウム合金マルチカラーオプション")</f>
        <v>Suleve™ M4AN6 10 個 M4 カップヘッド六角ネジガスケットワッシャーナットアルミニウム合金マルチカラーオプション</v>
      </c>
    </row>
    <row r="34" ht="15.75" customHeight="1">
      <c r="A34" s="1">
        <v>1499.0</v>
      </c>
      <c r="B34" s="1" t="s">
        <v>15</v>
      </c>
      <c r="C34" s="1" t="s">
        <v>24</v>
      </c>
      <c r="D34" s="1" t="str">
        <f>IFERROR(__xludf.DUMMYFUNCTION("CONCATENATE(GOOGLETRANSLATE(C34, ""en"", ""zh-cn""))
"),"旋转展示架架 70 个挂钩旋转珠宝袋挂架用于存放")</f>
        <v>旋转展示架架 70 个挂钩旋转珠宝袋挂架用于存放</v>
      </c>
      <c r="E34" s="1" t="str">
        <f>IFERROR(__xludf.DUMMYFUNCTION("CONCATENATE(GOOGLETRANSLATE(C34, ""en"", ""ko""))
"),"회전 디스플레이 스탠드 랙 70 보관용 후크 스핀 주얼리 가방 걸이")</f>
        <v>회전 디스플레이 스탠드 랙 70 보관용 후크 스핀 주얼리 가방 걸이</v>
      </c>
      <c r="F34" s="1" t="str">
        <f>IFERROR(__xludf.DUMMYFUNCTION("CONCATENATE(GOOGLETRANSLATE(C34, ""en"", ""ja""))"),"回転ディスプレイスタンドラック 70 フックスピンジュエリーバッグハンガー収納用")</f>
        <v>回転ディスプレイスタンドラック 70 フックスピンジュエリーバッグハンガー収納用</v>
      </c>
    </row>
    <row r="35" ht="15.75" customHeight="1">
      <c r="A35" s="1">
        <v>1500.0</v>
      </c>
      <c r="B35" s="1" t="s">
        <v>15</v>
      </c>
      <c r="C35" s="1" t="s">
        <v>25</v>
      </c>
      <c r="D35" s="1" t="str">
        <f>IFERROR(__xludf.DUMMYFUNCTION("CONCATENATE(GOOGLETRANSLATE(C35, ""en"", ""zh-cn""))
"),"摇椅垫座垫靠背垫防滑椅垫摇椅躺椅垫办公沙发家用")</f>
        <v>摇椅垫座垫靠背垫防滑椅垫摇椅躺椅垫办公沙发家用</v>
      </c>
      <c r="E35" s="1" t="str">
        <f>IFERROR(__xludf.DUMMYFUNCTION("CONCATENATE(GOOGLETRANSLATE(C35, ""en"", ""ko""))
"),"흔들 의자 쿠션 좌석 뒤 쿠션 미끄럼 방지 의자 패드 흔들 의자 안락 의자 매트 사무실 소파 홈")</f>
        <v>흔들 의자 쿠션 좌석 뒤 쿠션 미끄럼 방지 의자 패드 흔들 의자 안락 의자 매트 사무실 소파 홈</v>
      </c>
      <c r="F35" s="1" t="str">
        <f>IFERROR(__xludf.DUMMYFUNCTION("CONCATENATE(GOOGLETRANSLATE(C35, ""en"", ""ja""))"),"ロッキングチェアクッションシートバッククッション滑り止めチェアパッドロッキングチェアリクライニングマットオフィスソファホーム用")</f>
        <v>ロッキングチェアクッションシートバッククッション滑り止めチェアパッドロッキングチェアリクライニングマットオフィスソファホーム用</v>
      </c>
    </row>
    <row r="36" ht="15.75" customHeight="1">
      <c r="A36" s="1">
        <v>1501.0</v>
      </c>
      <c r="B36" s="1" t="s">
        <v>15</v>
      </c>
      <c r="C36" s="1" t="s">
        <v>26</v>
      </c>
      <c r="D36" s="1" t="str">
        <f>IFERROR(__xludf.DUMMYFUNCTION("CONCATENATE(GOOGLETRANSLATE(C36, ""en"", ""zh-cn""))
"),"1/2/3/4座弹性沙发套通用椅子座椅保护沙发套弹力沙发套家用办公家具多色简约沙发套装饰")</f>
        <v>1/2/3/4座弹性沙发套通用椅子座椅保护沙发套弹力沙发套家用办公家具多色简约沙发套装饰</v>
      </c>
      <c r="E36" s="1" t="str">
        <f>IFERROR(__xludf.DUMMYFUNCTION("CONCATENATE(GOOGLETRANSLATE(C36, ""en"", ""ko""))
"),"1/2/3/4 인승 탄성 소파 커버 범용 의자 좌석 보호대 소파 케이스 스트레치 슬립 커버 홈 오피스 가구 여러 가지 빛깔의 간단한 소파 커버 장식")</f>
        <v>1/2/3/4 인승 탄성 소파 커버 범용 의자 좌석 보호대 소파 케이스 스트레치 슬립 커버 홈 오피스 가구 여러 가지 빛깔의 간단한 소파 커버 장식</v>
      </c>
      <c r="F36" s="1" t="str">
        <f>IFERROR(__xludf.DUMMYFUNCTION("CONCATENATE(GOOGLETRANSLATE(C36, ""en"", ""ja""))"),"1/2/3/4 人乗り弾性ソファカバーユニバーサル椅子シートプロテクターソファケースストレッチスリップカバーホームオフィス家具マルチカラーシンプルなソファカバー装飾")</f>
        <v>1/2/3/4 人乗り弾性ソファカバーユニバーサル椅子シートプロテクターソファケースストレッチスリップカバーホームオフィス家具マルチカラーシンプルなソファカバー装飾</v>
      </c>
    </row>
    <row r="37" ht="15.75" customHeight="1">
      <c r="A37" s="1">
        <v>1502.0</v>
      </c>
      <c r="B37" s="1" t="s">
        <v>15</v>
      </c>
      <c r="C37" s="1" t="s">
        <v>27</v>
      </c>
      <c r="D37" s="1" t="str">
        <f>IFERROR(__xludf.DUMMYFUNCTION("CONCATENATE(GOOGLETRANSLATE(C37, ""en"", ""zh-cn""))
"),"躺椅椅套防滑按摩沙发套弹力椅子座椅保护套纯色全包弹性座椅套适合家庭办公室")</f>
        <v>躺椅椅套防滑按摩沙发套弹力椅子座椅保护套纯色全包弹性座椅套适合家庭办公室</v>
      </c>
      <c r="E37" s="1" t="str">
        <f>IFERROR(__xludf.DUMMYFUNCTION("CONCATENATE(GOOGLETRANSLATE(C37, ""en"", ""ko""))
"),"안락 의자 의자 커버 미끄럼 방지 마사지 소파 커버 스트레치 의자 시트 보호대 홈 오피스 용 순수 컬러 모든 항목을 포함하는 탄성 시트 슬립 커버")</f>
        <v>안락 의자 의자 커버 미끄럼 방지 마사지 소파 커버 스트레치 의자 시트 보호대 홈 오피스 용 순수 컬러 모든 항목을 포함하는 탄성 시트 슬립 커버</v>
      </c>
      <c r="F37" s="1" t="str">
        <f>IFERROR(__xludf.DUMMYFUNCTION("CONCATENATE(GOOGLETRANSLATE(C37, ""en"", ""ja""))"),"リクライニングチェアカバー ノンスリップマッサージソファカバー ストレッチチェアシートプロテクター ピュアカラー オールインクルーシブ弾性シートスリップカバー ホームオフィス用")</f>
        <v>リクライニングチェアカバー ノンスリップマッサージソファカバー ストレッチチェアシートプロテクター ピュアカラー オールインクルーシブ弾性シートスリップカバー ホームオフィス用</v>
      </c>
    </row>
    <row r="38" ht="15.75" customHeight="1">
      <c r="A38" s="1">
        <v>1503.0</v>
      </c>
      <c r="B38" s="1" t="s">
        <v>15</v>
      </c>
      <c r="C38" s="1" t="s">
        <v>28</v>
      </c>
      <c r="D38" s="1" t="str">
        <f>IFERROR(__xludf.DUMMYFUNCTION("CONCATENATE(GOOGLETRANSLATE(C38, ""en"", ""zh-cn""))
"),"办公椅套弹性电脑椅套弹力扶手椅座套")</f>
        <v>办公椅套弹性电脑椅套弹力扶手椅座套</v>
      </c>
      <c r="E38" s="1" t="str">
        <f>IFERROR(__xludf.DUMMYFUNCTION("CONCATENATE(GOOGLETRANSLATE(C38, ""en"", ""ko""))
"),"사무실 의자 커버 탄성 컴퓨터 의자 커버 스트레치 팔 의자 시트 커버")</f>
        <v>사무실 의자 커버 탄성 컴퓨터 의자 커버 스트레치 팔 의자 시트 커버</v>
      </c>
      <c r="F38" s="1" t="str">
        <f>IFERROR(__xludf.DUMMYFUNCTION("CONCATENATE(GOOGLETRANSLATE(C38, ""en"", ""ja""))"),"オフィスチェアカバー 弾性コンピュータチェアカバー ストレッチアームチェアシートカバー")</f>
        <v>オフィスチェアカバー 弾性コンピュータチェアカバー ストレッチアームチェアシートカバー</v>
      </c>
    </row>
    <row r="39" ht="15.75" customHeight="1">
      <c r="A39" s="1">
        <v>1504.0</v>
      </c>
      <c r="B39" s="1" t="s">
        <v>15</v>
      </c>
      <c r="C39" s="1" t="s">
        <v>29</v>
      </c>
      <c r="D39" s="1" t="str">
        <f>IFERROR(__xludf.DUMMYFUNCTION("CONCATENATE(GOOGLETRANSLATE(C39, ""en"", ""zh-cn""))
"),"自粘厨房壁纸防油铝箔墙贴橱柜")</f>
        <v>自粘厨房壁纸防油铝箔墙贴橱柜</v>
      </c>
      <c r="E39" s="1" t="str">
        <f>IFERROR(__xludf.DUMMYFUNCTION("CONCATENATE(GOOGLETRANSLATE(C39, ""en"", ""ko""))
"),"자체 접착 주방 벽지 내유성 알루미늄 호일 벽 스티커 캐비닛")</f>
        <v>자체 접착 주방 벽지 내유성 알루미늄 호일 벽 스티커 캐비닛</v>
      </c>
      <c r="F39" s="1" t="str">
        <f>IFERROR(__xludf.DUMMYFUNCTION("CONCATENATE(GOOGLETRANSLATE(C39, ""en"", ""ja""))"),"自己粘着キッチン壁紙耐油アルミ箔ウォールステッカーキャビネット")</f>
        <v>自己粘着キッチン壁紙耐油アルミ箔ウォールステッカーキャビネット</v>
      </c>
    </row>
    <row r="40" ht="15.75" customHeight="1">
      <c r="A40" s="1">
        <v>1505.0</v>
      </c>
      <c r="B40" s="1" t="s">
        <v>15</v>
      </c>
      <c r="C40" s="1" t="s">
        <v>30</v>
      </c>
      <c r="D40" s="1" t="str">
        <f>IFERROR(__xludf.DUMMYFUNCTION("CONCATENATE(GOOGLETRANSLATE(C40, ""en"", ""zh-cn""))
"),"浴室储物架地柜卫生间浴室收纳抽屉架-白色")</f>
        <v>浴室储物架地柜卫生间浴室收纳抽屉架-白色</v>
      </c>
      <c r="E40" s="1" t="str">
        <f>IFERROR(__xludf.DUMMYFUNCTION("CONCATENATE(GOOGLETRANSLATE(C40, ""en"", ""ko""))
"),"욕실 보관함 바닥 캐비닛 화장실 욕조 정리함 서랍 선반-흰색")</f>
        <v>욕실 보관함 바닥 캐비닛 화장실 욕조 정리함 서랍 선반-흰색</v>
      </c>
      <c r="F40" s="1" t="str">
        <f>IFERROR(__xludf.DUMMYFUNCTION("CONCATENATE(GOOGLETRANSLATE(C40, ""en"", ""ja""))"),"バスルーム収納ラックフロアキャビネットトイレバスオーガナイザー引き出し棚-ホワイト")</f>
        <v>バスルーム収納ラックフロアキャビネットトイレバスオーガナイザー引き出し棚-ホワイト</v>
      </c>
    </row>
    <row r="41" ht="15.75" customHeight="1">
      <c r="A41" s="1">
        <v>1506.0</v>
      </c>
      <c r="B41" s="1" t="s">
        <v>15</v>
      </c>
      <c r="C41" s="1" t="s">
        <v>31</v>
      </c>
      <c r="D41" s="1" t="str">
        <f>IFERROR(__xludf.DUMMYFUNCTION("CONCATENATE(GOOGLETRANSLATE(C41, ""en"", ""zh-cn""))
"),"12 件/套 PVC 3D 墙板浮雕家居房间贴花背景装饰 12x12 英寸")</f>
        <v>12 件/套 PVC 3D 墙板浮雕家居房间贴花背景装饰 12x12 英寸</v>
      </c>
      <c r="E41" s="1" t="str">
        <f>IFERROR(__xludf.DUMMYFUNCTION("CONCATENATE(GOOGLETRANSLATE(C41, ""en"", ""ko""))
"),"12개/세트 PVC 3D 벽 패널 양각 홈 룸 데칼 배경 장식 12x12인치")</f>
        <v>12개/세트 PVC 3D 벽 패널 양각 홈 룸 데칼 배경 장식 12x12인치</v>
      </c>
      <c r="F41" s="1" t="str">
        <f>IFERROR(__xludf.DUMMYFUNCTION("CONCATENATE(GOOGLETRANSLATE(C41, ""en"", ""ja""))"),"12 ピース/セット PVC 3D 壁パネル エンボス加工 ホームルーム デカール 背景装飾 12x12インチ")</f>
        <v>12 ピース/セット PVC 3D 壁パネル エンボス加工 ホームルーム デカール 背景装飾 12x12インチ</v>
      </c>
    </row>
    <row r="42" ht="15.75" customHeight="1">
      <c r="A42" s="1">
        <v>1507.0</v>
      </c>
      <c r="B42" s="1" t="s">
        <v>15</v>
      </c>
      <c r="C42" s="1" t="s">
        <v>32</v>
      </c>
      <c r="D42" s="1" t="str">
        <f>IFERROR(__xludf.DUMMYFUNCTION("CONCATENATE(GOOGLETRANSLATE(C42, ""en"", ""zh-cn""))
"),"45cm*2m 静态无胶可重复使用可拆卸花窗玻璃膜家居装饰")</f>
        <v>45cm*2m 静态无胶可重复使用可拆卸花窗玻璃膜家居装饰</v>
      </c>
      <c r="E42" s="1" t="str">
        <f>IFERROR(__xludf.DUMMYFUNCTION("CONCATENATE(GOOGLETRANSLATE(C42, ""en"", ""ko""))
"),"45cm*2m 정적 글루리스 재사용 가능한 이동식 꽃창 유리 필름 홈 인테리어")</f>
        <v>45cm*2m 정적 글루리스 재사용 가능한 이동식 꽃창 유리 필름 홈 인테리어</v>
      </c>
      <c r="F42" s="1" t="str">
        <f>IFERROR(__xludf.DUMMYFUNCTION("CONCATENATE(GOOGLETRANSLATE(C42, ""en"", ""ja""))"),"45 センチメートル * 2 メートル静的接着剤不要再利用可能な取り外し可能な花窓ガラスフィルム家の装飾")</f>
        <v>45 センチメートル * 2 メートル静的接着剤不要再利用可能な取り外し可能な花窓ガラスフィルム家の装飾</v>
      </c>
    </row>
    <row r="43" ht="15.75" customHeight="1">
      <c r="A43" s="1">
        <v>1508.0</v>
      </c>
      <c r="B43" s="1" t="s">
        <v>15</v>
      </c>
      <c r="C43" s="1" t="s">
        <v>33</v>
      </c>
      <c r="D43" s="1" t="str">
        <f>IFERROR(__xludf.DUMMYFUNCTION("CONCATENATE(GOOGLETRANSLATE(C43, ""en"", ""zh-cn""))
"),"软座垫坐垫系带防滑餐椅坐垫室内户外座垫适用于花园露台家庭办公室")</f>
        <v>软座垫坐垫系带防滑餐椅坐垫室内户外座垫适用于花园露台家庭办公室</v>
      </c>
      <c r="E43" s="1" t="str">
        <f>IFERROR(__xludf.DUMMYFUNCTION("CONCATENATE(GOOGLETRANSLATE(C43, ""en"", ""ko""))
"),"부드러운 좌석 패드 쿠션 타이 미끄럼 방지 다이닝 의자 쿠션 정원 파티오 홈 오피스 용 실내 옥외 좌석 패드")</f>
        <v>부드러운 좌석 패드 쿠션 타이 미끄럼 방지 다이닝 의자 쿠션 정원 파티오 홈 오피스 용 실내 옥외 좌석 패드</v>
      </c>
      <c r="F43" s="1" t="str">
        <f>IFERROR(__xludf.DUMMYFUNCTION("CONCATENATE(GOOGLETRANSLATE(C43, ""en"", ""ja""))"),"ソフトシートパッドクッションタイオンノンスリップダイニングチェアクッション屋内屋外シートパッドガーデンパティオホームオフィス用")</f>
        <v>ソフトシートパッドクッションタイオンノンスリップダイニングチェアクッション屋内屋外シートパッドガーデンパティオホームオフィス用</v>
      </c>
    </row>
    <row r="44" ht="15.75" customHeight="1">
      <c r="A44" s="1">
        <v>1509.0</v>
      </c>
      <c r="B44" s="1" t="s">
        <v>15</v>
      </c>
      <c r="C44" s="1" t="s">
        <v>34</v>
      </c>
      <c r="D44" s="1" t="str">
        <f>IFERROR(__xludf.DUMMYFUNCTION("CONCATENATE(GOOGLETRANSLATE(C44, ""en"", ""zh-cn""))
"),"大号沙发靠背垫床沙发座靠垫护腰靠背枕家用办公家具装饰品")</f>
        <v>大号沙发靠背垫床沙发座靠垫护腰靠背枕家用办公家具装饰品</v>
      </c>
      <c r="E44" s="1" t="str">
        <f>IFERROR(__xludf.DUMMYFUNCTION("CONCATENATE(GOOGLETRANSLATE(C44, ""en"", ""ko""))
"),"대형 소파 뒤 쿠션 침대 소파 좌석 휴식 패드 허리 지원 등받이 베개 홈 오피스 가구 장식")</f>
        <v>대형 소파 뒤 쿠션 침대 소파 좌석 휴식 패드 허리 지원 등받이 베개 홈 오피스 가구 장식</v>
      </c>
      <c r="F44" s="1" t="str">
        <f>IFERROR(__xludf.DUMMYFUNCTION("CONCATENATE(GOOGLETRANSLATE(C44, ""en"", ""ja""))"),"大型ソファバッククッションベッドソファシートレストパッドウエストサポート背もたれ枕ホームオフィス家具装飾")</f>
        <v>大型ソファバッククッションベッドソファシートレストパッドウエストサポート背もたれ枕ホームオフィス家具装飾</v>
      </c>
    </row>
    <row r="45" ht="15.75" customHeight="1">
      <c r="A45" s="1">
        <v>1510.0</v>
      </c>
      <c r="B45" s="1" t="s">
        <v>15</v>
      </c>
      <c r="C45" s="1" t="s">
        <v>35</v>
      </c>
      <c r="D45" s="1" t="str">
        <f>IFERROR(__xludf.DUMMYFUNCTION("CONCATENATE(GOOGLETRANSLATE(C45, ""en"", ""zh-cn""))
"),"神奇跑马可拆卸 PVC 墙贴背景儿童卧室贴花")</f>
        <v>神奇跑马可拆卸 PVC 墙贴背景儿童卧室贴花</v>
      </c>
      <c r="E45" s="1" t="str">
        <f>IFERROR(__xludf.DUMMYFUNCTION("CONCATENATE(GOOGLETRANSLATE(C45, ""en"", ""ko""))
"),"마법의 달리기 말 이동식 PVC 벽 스티커 배경 어린이 침실 데칼")</f>
        <v>마법의 달리기 말 이동식 PVC 벽 스티커 배경 어린이 침실 데칼</v>
      </c>
      <c r="F45" s="1" t="str">
        <f>IFERROR(__xludf.DUMMYFUNCTION("CONCATENATE(GOOGLETRANSLATE(C45, ""en"", ""ja""))"),"魔法のランニング馬取り外し可能な PVC ウォールステッカー背景子供の寝室のデカール")</f>
        <v>魔法のランニング馬取り外し可能な PVC ウォールステッカー背景子供の寝室のデカール</v>
      </c>
    </row>
    <row r="46" ht="15.75" customHeight="1">
      <c r="A46" s="1">
        <v>1511.0</v>
      </c>
      <c r="B46" s="1" t="s">
        <v>15</v>
      </c>
      <c r="C46" s="1" t="s">
        <v>36</v>
      </c>
      <c r="D46" s="1" t="str">
        <f>IFERROR(__xludf.DUMMYFUNCTION("CONCATENATE(GOOGLETRANSLATE(C46, ""en"", ""zh-cn""))
"),"2 座弹性天鹅绒沙发套通用椅子座椅保护沙发套弹力沙发套家庭办公家具装饰")</f>
        <v>2 座弹性天鹅绒沙发套通用椅子座椅保护沙发套弹力沙发套家庭办公家具装饰</v>
      </c>
      <c r="E46" s="1" t="str">
        <f>IFERROR(__xludf.DUMMYFUNCTION("CONCATENATE(GOOGLETRANSLATE(C46, ""en"", ""ko""))
"),"2 인승 탄성 벨벳 소파 커버 유니버설 의자 좌석 보호대 소파 케이스 스트레치 슬립 커버 홈 오피스 가구 장식")</f>
        <v>2 인승 탄성 벨벳 소파 커버 유니버설 의자 좌석 보호대 소파 케이스 스트레치 슬립 커버 홈 오피스 가구 장식</v>
      </c>
      <c r="F46" s="1" t="str">
        <f>IFERROR(__xludf.DUMMYFUNCTION("CONCATENATE(GOOGLETRANSLATE(C46, ""en"", ""ja""))"),"2 人乗り弾性ベルベットソファカバーユニバーサル椅子シートプロテクターソファケースストレッチスリップカバーホームオフィス家具装飾")</f>
        <v>2 人乗り弾性ベルベットソファカバーユニバーサル椅子シートプロテクターソファケースストレッチスリップカバーホームオフィス家具装飾</v>
      </c>
    </row>
    <row r="47" ht="15.75" customHeight="1">
      <c r="A47" s="1">
        <v>1512.0</v>
      </c>
      <c r="B47" s="1" t="s">
        <v>15</v>
      </c>
      <c r="C47" s="1" t="s">
        <v>37</v>
      </c>
      <c r="D47" s="1" t="str">
        <f>IFERROR(__xludf.DUMMYFUNCTION("CONCATENATE(GOOGLETRANSLATE(C47, ""en"", ""zh-cn""))
"),"Suleve™ MXSN1 50 件不锈钢公制粗牙螺纹六角螺母 M2 M3 M4 M5 M6")</f>
        <v>Suleve™ MXSN1 50 件不锈钢公制粗牙螺纹六角螺母 M2 M3 M4 M5 M6</v>
      </c>
      <c r="E47" s="1" t="str">
        <f>IFERROR(__xludf.DUMMYFUNCTION("CONCATENATE(GOOGLETRANSLATE(C47, ""en"", ""ko""))
"),"Suleve™ MXSN1 50개 스테인레스 스틸 미터법 거친 피치 나사산 육각 너트 M2 M3 M4 M5 M6")</f>
        <v>Suleve™ MXSN1 50개 스테인레스 스틸 미터법 거친 피치 나사산 육각 너트 M2 M3 M4 M5 M6</v>
      </c>
      <c r="F47" s="1" t="str">
        <f>IFERROR(__xludf.DUMMYFUNCTION("CONCATENATE(GOOGLETRANSLATE(C47, ""en"", ""ja""))"),"Suleve™ MXSN1 50 個ステンレス鋼メートル並目ねじ山六角ナット M2 M3 M4 M5 M6")</f>
        <v>Suleve™ MXSN1 50 個ステンレス鋼メートル並目ねじ山六角ナット M2 M3 M4 M5 M6</v>
      </c>
    </row>
    <row r="48" ht="15.75" customHeight="1">
      <c r="A48" s="1">
        <v>1513.0</v>
      </c>
      <c r="B48" s="1" t="s">
        <v>15</v>
      </c>
      <c r="C48" s="1" t="s">
        <v>38</v>
      </c>
      <c r="D48" s="1" t="str">
        <f>IFERROR(__xludf.DUMMYFUNCTION("CONCATENATE(GOOGLETRANSLATE(C48, ""en"", ""zh-cn""))
"),"3D 自粘瓷砖贴纸艺术贴花 DIY 墙贴家居厨房装饰")</f>
        <v>3D 自粘瓷砖贴纸艺术贴花 DIY 墙贴家居厨房装饰</v>
      </c>
      <c r="E48" s="1" t="str">
        <f>IFERROR(__xludf.DUMMYFUNCTION("CONCATENATE(GOOGLETRANSLATE(C48, ""en"", ""ko""))
"),"3D 자체 접착 타일 스티커 아트 데칼 DIY 벽 스티커 홈 주방 장식")</f>
        <v>3D 자체 접착 타일 스티커 아트 데칼 DIY 벽 스티커 홈 주방 장식</v>
      </c>
      <c r="F48" s="1" t="str">
        <f>IFERROR(__xludf.DUMMYFUNCTION("CONCATENATE(GOOGLETRANSLATE(C48, ""en"", ""ja""))"),"3D 自己粘着タイルステッカーアートデカール DIY ウォールステッカーホームキッチン装飾")</f>
        <v>3D 自己粘着タイルステッカーアートデカール DIY ウォールステッカーホームキッチン装飾</v>
      </c>
    </row>
    <row r="49" ht="15.75" customHeight="1">
      <c r="A49" s="1">
        <v>1514.0</v>
      </c>
      <c r="B49" s="1" t="s">
        <v>15</v>
      </c>
      <c r="C49" s="1" t="s">
        <v>39</v>
      </c>
      <c r="D49" s="1" t="str">
        <f>IFERROR(__xludf.DUMMYFUNCTION("CONCATENATE(GOOGLETRANSLATE(C49, ""en"", ""zh-cn""))
"),"静电吸附无胶可重复使用可拆卸隐私磨砂装饰窗户玻璃膜")</f>
        <v>静电吸附无胶可重复使用可拆卸隐私磨砂装饰窗户玻璃膜</v>
      </c>
      <c r="E49" s="1" t="str">
        <f>IFERROR(__xludf.DUMMYFUNCTION("CONCATENATE(GOOGLETRANSLATE(C49, ""en"", ""ko""))
"),"정적 집착 글루리스 재사용 가능한 이동식 개인 정보 보호 젖빛 장식 창 유리 필름")</f>
        <v>정적 집착 글루리스 재사용 가능한 이동식 개인 정보 보호 젖빛 장식 창 유리 필름</v>
      </c>
      <c r="F49" s="1" t="str">
        <f>IFERROR(__xludf.DUMMYFUNCTION("CONCATENATE(GOOGLETRANSLATE(C49, ""en"", ""ja""))"),"静電気でくっつく接着剤不要の再利用可能、取り外し可能、プライバシーつや消し装飾窓ガラスフィルム")</f>
        <v>静電気でくっつく接着剤不要の再利用可能、取り外し可能、プライバシーつや消し装飾窓ガラスフィルム</v>
      </c>
    </row>
    <row r="50" ht="15.75" customHeight="1">
      <c r="A50" s="1">
        <v>1515.0</v>
      </c>
      <c r="B50" s="1" t="s">
        <v>15</v>
      </c>
      <c r="C50" s="1" t="s">
        <v>40</v>
      </c>
      <c r="D50" s="1" t="str">
        <f>IFERROR(__xludf.DUMMYFUNCTION("CONCATENATE(GOOGLETRANSLATE(C50, ""en"", ""zh-cn""))
"),"3D DIY 砖纹壁纸防水家居客厅卧室厨房壁纸")</f>
        <v>3D DIY 砖纹壁纸防水家居客厅卧室厨房壁纸</v>
      </c>
      <c r="E50" s="1" t="str">
        <f>IFERROR(__xludf.DUMMYFUNCTION("CONCATENATE(GOOGLETRANSLATE(C50, ""en"", ""ko""))
"),"3D DIY 벽돌 패턴 벽지 방수 홈 거실 침실 주방 벽지")</f>
        <v>3D DIY 벽돌 패턴 벽지 방수 홈 거실 침실 주방 벽지</v>
      </c>
      <c r="F50" s="1" t="str">
        <f>IFERROR(__xludf.DUMMYFUNCTION("CONCATENATE(GOOGLETRANSLATE(C50, ""en"", ""ja""))"),"3D DIY レンガパターン壁紙防水ホームリビングルームベッドルームキッチン壁紙")</f>
        <v>3D DIY レンガパターン壁紙防水ホームリビングルームベッドルームキッチン壁紙</v>
      </c>
    </row>
    <row r="51" ht="15.75" customHeight="1">
      <c r="A51" s="1">
        <v>1516.0</v>
      </c>
      <c r="B51" s="1" t="s">
        <v>15</v>
      </c>
      <c r="C51" s="1" t="s">
        <v>41</v>
      </c>
      <c r="D51" s="1" t="str">
        <f>IFERROR(__xludf.DUMMYFUNCTION("CONCATENATE(GOOGLETRANSLATE(C51, ""en"", ""zh-cn""))
"),"高背垫软摇躺椅座垫长凳靠背垫护腰枕垫家用办公家具装饰品")</f>
        <v>高背垫软摇躺椅座垫长凳靠背垫护腰枕垫家用办公家具装饰品</v>
      </c>
      <c r="E51" s="1" t="str">
        <f>IFERROR(__xludf.DUMMYFUNCTION("CONCATENATE(GOOGLETRANSLATE(C51, ""en"", ""ko""))
"),"하이 백 쿠션 소프트 락킹 안락 의자 의자 좌석 쿠션 벤치 등받이 패드 허리 지원 베개 매트 홈 오피스 가구 장식")</f>
        <v>하이 백 쿠션 소프트 락킹 안락 의자 의자 좌석 쿠션 벤치 등받이 패드 허리 지원 베개 매트 홈 오피스 가구 장식</v>
      </c>
      <c r="F51" s="1" t="str">
        <f>IFERROR(__xludf.DUMMYFUNCTION("CONCATENATE(GOOGLETRANSLATE(C51, ""en"", ""ja""))"),"ハイバッククッションソフトロッキングリクライニングチェアシートクッションベンチ背もたれパッドウエストサポート枕マットホームオフィス家具装飾")</f>
        <v>ハイバッククッションソフトロッキングリクライニングチェアシートクッションベンチ背もたれパッドウエストサポート枕マットホームオフィス家具装飾</v>
      </c>
    </row>
    <row r="52" ht="15.75" customHeight="1">
      <c r="A52" s="1">
        <v>1517.0</v>
      </c>
      <c r="B52" s="1" t="s">
        <v>15</v>
      </c>
      <c r="C52" s="1" t="s">
        <v>42</v>
      </c>
      <c r="D52" s="1" t="str">
        <f>IFERROR(__xludf.DUMMYFUNCTION("CONCATENATE(GOOGLETRANSLATE(C52, ""en"", ""zh-cn""))
"),"2/3 层储物架三角角架架浴室厨房最大 19 公斤")</f>
        <v>2/3 层储物架三角角架架浴室厨房最大 19 公斤</v>
      </c>
      <c r="E52" s="1" t="str">
        <f>IFERROR(__xludf.DUMMYFUNCTION("CONCATENATE(GOOGLETRANSLATE(C52, ""en"", ""ko""))
"),"2/3단 스토리지 랙 삼각형 코너 선반 홀더 욕실 주방 최대 19KG")</f>
        <v>2/3단 스토리지 랙 삼각형 코너 선반 홀더 욕실 주방 최대 19KG</v>
      </c>
      <c r="F52" s="1" t="str">
        <f>IFERROR(__xludf.DUMMYFUNCTION("CONCATENATE(GOOGLETRANSLATE(C52, ""en"", ""ja""))"),"2/3段収納ラック 三角コーナー棚ホルダー バスルーム キッチン MAX 19KG")</f>
        <v>2/3段収納ラック 三角コーナー棚ホルダー バスルーム キッチン MAX 19KG</v>
      </c>
    </row>
    <row r="53" ht="15.75" customHeight="1">
      <c r="A53" s="1">
        <v>1518.0</v>
      </c>
      <c r="B53" s="1" t="s">
        <v>15</v>
      </c>
      <c r="C53" s="1" t="s">
        <v>43</v>
      </c>
      <c r="D53" s="1" t="str">
        <f>IFERROR(__xludf.DUMMYFUNCTION("CONCATENATE(GOOGLETRANSLATE(C53, ""en"", ""zh-cn""))
"),"三角床头板枕，三角床头靠垫阅读枕垫靠背定位支撑枕沙发床家用办公家具装饰品")</f>
        <v>三角床头板枕，三角床头靠垫阅读枕垫靠背定位支撑枕沙发床家用办公家具装饰品</v>
      </c>
      <c r="E53" s="1" t="str">
        <f>IFERROR(__xludf.DUMMYFUNCTION("CONCATENATE(GOOGLETRANSLATE(C53, ""en"", ""ko""))
"),"삼각형 머리판 베개, 삼각형 침대 옆 쿠션 독서 베개 볼스터 등받이 위치 지원 베개 소파 침대 홈 오피스 가구 장식")</f>
        <v>삼각형 머리판 베개, 삼각형 침대 옆 쿠션 독서 베개 볼스터 등받이 위치 지원 베개 소파 침대 홈 오피스 가구 장식</v>
      </c>
      <c r="F53" s="1" t="str">
        <f>IFERROR(__xludf.DUMMYFUNCTION("CONCATENATE(GOOGLETRANSLATE(C53, ""en"", ""ja""))"),"三角ヘッドボード枕、三角ベッドサイドクッション読書枕ボルスター背もたれポジショニングサポート枕ソファベッドホームオフィス家具装飾用")</f>
        <v>三角ヘッドボード枕、三角ベッドサイドクッション読書枕ボルスター背もたれポジショニングサポート枕ソファベッドホームオフィス家具装飾用</v>
      </c>
    </row>
    <row r="54" ht="15.75" customHeight="1">
      <c r="A54" s="1">
        <v>1519.0</v>
      </c>
      <c r="B54" s="1" t="s">
        <v>15</v>
      </c>
      <c r="C54" s="1" t="s">
        <v>44</v>
      </c>
      <c r="D54" s="1" t="str">
        <f>IFERROR(__xludf.DUMMYFUNCTION("CONCATENATE(GOOGLETRANSLATE(C54, ""en"", ""zh-cn""))
"),"吊篮户外秋千吊椅室内休闲摇篮编织流苏阳台")</f>
        <v>吊篮户外秋千吊椅室内休闲摇篮编织流苏阳台</v>
      </c>
      <c r="E54" s="1" t="str">
        <f>IFERROR(__xludf.DUMMYFUNCTION("CONCATENATE(GOOGLETRANSLATE(C54, ""en"", ""ko""))
"),"교수형 바구니 야외 스윙 교수형 의자 실내 레저 요람 짠 술 발코니")</f>
        <v>교수형 바구니 야외 스윙 교수형 의자 실내 레저 요람 짠 술 발코니</v>
      </c>
      <c r="F54" s="1" t="str">
        <f>IFERROR(__xludf.DUMMYFUNCTION("CONCATENATE(GOOGLETRANSLATE(C54, ""en"", ""ja""))"),"ハンギングバスケット 屋外ブランコ ハンギングチェア 屋内レジャークレードル 織タッセル バルコニー")</f>
        <v>ハンギングバスケット 屋外ブランコ ハンギングチェア 屋内レジャークレードル 織タッセル バルコニー</v>
      </c>
    </row>
    <row r="55" ht="15.75" customHeight="1">
      <c r="A55" s="1">
        <v>1520.0</v>
      </c>
      <c r="B55" s="1" t="s">
        <v>15</v>
      </c>
      <c r="C55" s="1" t="s">
        <v>45</v>
      </c>
      <c r="D55" s="1" t="str">
        <f>IFERROR(__xludf.DUMMYFUNCTION("CONCATENATE(GOOGLETRANSLATE(C55, ""en"", ""zh-cn""))
"),"Suleve 50 件 M4ZN1 M4 锌合金木质家具内六角驱动头旋入式螺纹插入螺母")</f>
        <v>Suleve 50 件 M4ZN1 M4 锌合金木质家具内六角驱动头旋入式螺纹插入螺母</v>
      </c>
      <c r="E55" s="1" t="str">
        <f>IFERROR(__xludf.DUMMYFUNCTION("CONCATENATE(GOOGLETRANSLATE(C55, ""en"", ""ko""))
"),"Suleve 50Pcs M4ZN1 M4 아연 합금 목재 가구 육각 소켓 드라이브 헤드 나사 식 나사 삽입 너트")</f>
        <v>Suleve 50Pcs M4ZN1 M4 아연 합금 목재 가구 육각 소켓 드라이브 헤드 나사 식 나사 삽입 너트</v>
      </c>
      <c r="F55" s="1" t="str">
        <f>IFERROR(__xludf.DUMMYFUNCTION("CONCATENATE(GOOGLETRANSLATE(C55, ""en"", ""ja""))"),"Suleve 50 個 M4ZN1 M4 亜鉛合金木製家具六角ソケットドライブヘッドねじ込みねじインサートナット")</f>
        <v>Suleve 50 個 M4ZN1 M4 亜鉛合金木製家具六角ソケットドライブヘッドねじ込みねじインサートナット</v>
      </c>
    </row>
    <row r="56" ht="15.75" customHeight="1">
      <c r="A56" s="1">
        <v>1521.0</v>
      </c>
      <c r="B56" s="1" t="s">
        <v>15</v>
      </c>
      <c r="C56" s="1" t="s">
        <v>46</v>
      </c>
      <c r="D56" s="1" t="str">
        <f>IFERROR(__xludf.DUMMYFUNCTION("CONCATENATE(GOOGLETRANSLATE(C56, ""en"", ""zh-cn""))
"),"仿古铸铁管门把手抽屉门拉手工业朋克墙壁支架")</f>
        <v>仿古铸铁管门把手抽屉门拉手工业朋克墙壁支架</v>
      </c>
      <c r="E56" s="1" t="str">
        <f>IFERROR(__xludf.DUMMYFUNCTION("CONCATENATE(GOOGLETRANSLATE(C56, ""en"", ""ko""))
"),"골동품 주철 파이프 도어 핸들 서랍 게이트 풀 핸들 산업용 펑크 벽 홀더")</f>
        <v>골동품 주철 파이프 도어 핸들 서랍 게이트 풀 핸들 산업용 펑크 벽 홀더</v>
      </c>
      <c r="F56" s="1" t="str">
        <f>IFERROR(__xludf.DUMMYFUNCTION("CONCATENATE(GOOGLETRANSLATE(C56, ""en"", ""ja""))"),"アンティーク鋳鉄パイプドアハンドル引き出しゲートプルハンドル工業用パンク壁ホルダー")</f>
        <v>アンティーク鋳鉄パイプドアハンドル引き出しゲートプルハンドル工業用パンク壁ホルダー</v>
      </c>
    </row>
    <row r="57" ht="15.75" customHeight="1">
      <c r="A57" s="1">
        <v>1522.0</v>
      </c>
      <c r="B57" s="1" t="s">
        <v>15</v>
      </c>
      <c r="C57" s="1" t="s">
        <v>47</v>
      </c>
      <c r="D57" s="1" t="str">
        <f>IFERROR(__xludf.DUMMYFUNCTION("CONCATENATE(GOOGLETRANSLATE(C57, ""en"", ""zh-cn""))
"),"PU 皮革展示盒手表收纳盒塑料收纳盒适用于珠宝手表配件")</f>
        <v>PU 皮革展示盒手表收纳盒塑料收纳盒适用于珠宝手表配件</v>
      </c>
      <c r="E57" s="1" t="str">
        <f>IFERROR(__xludf.DUMMYFUNCTION("CONCATENATE(GOOGLETRANSLATE(C57, ""en"", ""ko""))
"),"PU 가죽 진열장은 보석 시계 부속품을 위한 저장 상자 플라스틱 조직자를 봅니다")</f>
        <v>PU 가죽 진열장은 보석 시계 부속품을 위한 저장 상자 플라스틱 조직자를 봅니다</v>
      </c>
      <c r="F57" s="1" t="str">
        <f>IFERROR(__xludf.DUMMYFUNCTION("CONCATENATE(GOOGLETRANSLATE(C57, ""en"", ""ja""))"),"PU レザーディスプレイケース時計収納ボックスジュエリー時計アクセサリー用プラスチックオーガナイザー")</f>
        <v>PU レザーディスプレイケース時計収納ボックスジュエリー時計アクセサリー用プラスチックオーガナイザー</v>
      </c>
    </row>
    <row r="58" ht="15.75" customHeight="1">
      <c r="A58" s="1">
        <v>1523.0</v>
      </c>
      <c r="B58" s="1" t="s">
        <v>15</v>
      </c>
      <c r="C58" s="1" t="s">
        <v>48</v>
      </c>
      <c r="D58" s="1" t="str">
        <f>IFERROR(__xludf.DUMMYFUNCTION("CONCATENATE(GOOGLETRANSLATE(C58, ""en"", ""zh-cn""))
"),"1/2/3 层塑料桌面收纳盒抽屉化妆盒制作杂物收纳盒容器 ")</f>
        <v>1/2/3 层塑料桌面收纳盒抽屉化妆盒制作杂物收纳盒容器 </v>
      </c>
      <c r="E58" s="1" t="str">
        <f>IFERROR(__xludf.DUMMYFUNCTION("CONCATENATE(GOOGLETRANSLATE(C58, ""en"", ""ko""))
"),"1/2/3 레이어 플라스틱 데스크탑 주최자 서랍 메이크업 홀더 상자 잡다한 보관 상자 컨테이너 만들기 ")</f>
        <v>1/2/3 레이어 플라스틱 데스크탑 주최자 서랍 메이크업 홀더 상자 잡다한 보관 상자 컨테이너 만들기 </v>
      </c>
      <c r="F58" s="1" t="str">
        <f>IFERROR(__xludf.DUMMYFUNCTION("CONCATENATE(GOOGLETRANSLATE(C58, ""en"", ""ja""))"),"1/2/3 層プラスチックデスクトップオーガナイザー引き出し化粧ホルダーボックスメイク雑貨収納ボックスコンテナ ")</f>
        <v>1/2/3 層プラスチックデスクトップオーガナイザー引き出し化粧ホルダーボックスメイク雑貨収納ボックスコンテナ </v>
      </c>
    </row>
    <row r="59" ht="15.75" customHeight="1">
      <c r="A59" s="1">
        <v>1524.0</v>
      </c>
      <c r="B59" s="1" t="s">
        <v>15</v>
      </c>
      <c r="C59" s="1" t="s">
        <v>49</v>
      </c>
      <c r="D59" s="1" t="str">
        <f>IFERROR(__xludf.DUMMYFUNCTION("CONCATENATE(GOOGLETRANSLATE(C59, ""en"", ""zh-cn""))
"),"Suleve™ M3SH5 50 件 M3 不锈钢内六角螺钉螺栓 4-20mm 可选长度")</f>
        <v>Suleve™ M3SH5 50 件 M3 不锈钢内六角螺钉螺栓 4-20mm 可选长度</v>
      </c>
      <c r="E59" s="1" t="str">
        <f>IFERROR(__xludf.DUMMYFUNCTION("CONCATENATE(GOOGLETRANSLATE(C59, ""en"", ""ko""))
"),"Suleve™ M3SH5 50개 M3 스테인레스 스틸 육각 소켓 캡 머리 나사 볼트 4-20mm 옵션 길이")</f>
        <v>Suleve™ M3SH5 50개 M3 스테인레스 스틸 육각 소켓 캡 머리 나사 볼트 4-20mm 옵션 길이</v>
      </c>
      <c r="F59" s="1" t="str">
        <f>IFERROR(__xludf.DUMMYFUNCTION("CONCATENATE(GOOGLETRANSLATE(C59, ""en"", ""ja""))"),"Suleve™ M3SH5 50 個 M3 ステンレス鋼六角穴付きキャップヘッドネジボルト 4-20 ミリメートルオプションの長さ")</f>
        <v>Suleve™ M3SH5 50 個 M3 ステンレス鋼六角穴付きキャップヘッドネジボルト 4-20 ミリメートルオプションの長さ</v>
      </c>
    </row>
    <row r="60" ht="15.75" customHeight="1">
      <c r="A60" s="1">
        <v>1525.0</v>
      </c>
      <c r="B60" s="1" t="s">
        <v>15</v>
      </c>
      <c r="C60" s="1" t="s">
        <v>50</v>
      </c>
      <c r="D60" s="1" t="str">
        <f>IFERROR(__xludf.DUMMYFUNCTION("CONCATENATE(GOOGLETRANSLATE(C60, ""en"", ""zh-cn""))
"),"BVSOIVIA 冷热浴室自动非接触式红外感应水龙头非接触式节水感应电动水龙头混合器电源")</f>
        <v>BVSOIVIA 冷热浴室自动非接触式红外感应水龙头非接触式节水感应电动水龙头混合器电源</v>
      </c>
      <c r="E60" s="1" t="str">
        <f>IFERROR(__xludf.DUMMYFUNCTION("CONCATENATE(GOOGLETRANSLATE(C60, ""en"", ""ko""))
"),"BVSOIVIA 냉온수 욕실 자동 터치 프리 적외선 센서 수도꼭지 터치리스 물 절약 유도 전기 수도꼭지 믹서 전원")</f>
        <v>BVSOIVIA 냉온수 욕실 자동 터치 프리 적외선 센서 수도꼭지 터치리스 물 절약 유도 전기 수도꼭지 믹서 전원</v>
      </c>
      <c r="F60" s="1" t="str">
        <f>IFERROR(__xludf.DUMMYFUNCTION("CONCATENATE(GOOGLETRANSLATE(C60, ""en"", ""ja""))"),"BVSOIVIA ホット &amp; コールド浴室自動タッチフリー赤外線センサー蛇口タッチレス節水誘導電動水栓ミキサー電源")</f>
        <v>BVSOIVIA ホット &amp; コールド浴室自動タッチフリー赤外線センサー蛇口タッチレス節水誘導電動水栓ミキサー電源</v>
      </c>
    </row>
    <row r="61" ht="15.75" customHeight="1">
      <c r="A61" s="1">
        <v>1526.0</v>
      </c>
      <c r="B61" s="1" t="s">
        <v>15</v>
      </c>
      <c r="C61" s="1" t="s">
        <v>51</v>
      </c>
      <c r="D61" s="1" t="str">
        <f>IFERROR(__xludf.DUMMYFUNCTION("CONCATENATE(GOOGLETRANSLATE(C61, ""en"", ""zh-cn""))
"),"360°旋转水龙头起泡器过滤增氧器网节水装置喷嘴水龙头配件")</f>
        <v>360°旋转水龙头起泡器过滤增氧器网节水装置喷嘴水龙头配件</v>
      </c>
      <c r="E61" s="1" t="str">
        <f>IFERROR(__xludf.DUMMYFUNCTION("CONCATENATE(GOOGLETRANSLATE(C61, ""en"", ""ko""))
"),"360° 회전 탭 버블러 필터 통풍기 순 절수 장치 노즐 수도꼭지 피팅")</f>
        <v>360° 회전 탭 버블러 필터 통풍기 순 절수 장치 노즐 수도꼭지 피팅</v>
      </c>
      <c r="F61" s="1" t="str">
        <f>IFERROR(__xludf.DUMMYFUNCTION("CONCATENATE(GOOGLETRANSLATE(C61, ""en"", ""ja""))"),"360°回転タップバブラーフィルターエアレーターネット節水装置ノズル蛇口継手")</f>
        <v>360°回転タップバブラーフィルターエアレーターネット節水装置ノズル蛇口継手</v>
      </c>
    </row>
    <row r="62" ht="15.75" customHeight="1">
      <c r="A62" s="1">
        <v>1527.0</v>
      </c>
      <c r="B62" s="1" t="s">
        <v>15</v>
      </c>
      <c r="C62" s="1" t="s">
        <v>52</v>
      </c>
      <c r="D62" s="1" t="str">
        <f>IFERROR(__xludf.DUMMYFUNCTION("CONCATENATE(GOOGLETRANSLATE(C62, ""en"", ""zh-cn""))
"),"北欧大理石外壳橱柜把手旋钮抽屉和衣柜门拉手")</f>
        <v>北欧大理石外壳橱柜把手旋钮抽屉和衣柜门拉手</v>
      </c>
      <c r="E62" s="1" t="str">
        <f>IFERROR(__xludf.DUMMYFUNCTION("CONCATENATE(GOOGLETRANSLATE(C62, ""en"", ""ko""))
"),"북유럽 대리석 쉘 캐비닛 손잡이 서랍 및 옷장 문 손잡이")</f>
        <v>북유럽 대리석 쉘 캐비닛 손잡이 서랍 및 옷장 문 손잡이</v>
      </c>
      <c r="F62" s="1" t="str">
        <f>IFERROR(__xludf.DUMMYFUNCTION("CONCATENATE(GOOGLETRANSLATE(C62, ""en"", ""ja""))"),"北欧の大理石シェルキャビネットハンドルノブ引き出しとワードローブドアプル")</f>
        <v>北欧の大理石シェルキャビネットハンドルノブ引き出しとワードローブドアプル</v>
      </c>
    </row>
    <row r="63" ht="15.75" customHeight="1">
      <c r="A63" s="1">
        <v>1528.0</v>
      </c>
      <c r="B63" s="1" t="s">
        <v>15</v>
      </c>
      <c r="C63" s="1" t="s">
        <v>53</v>
      </c>
      <c r="D63" s="1" t="str">
        <f>IFERROR(__xludf.DUMMYFUNCTION("CONCATENATE(GOOGLETRANSLATE(C63, ""en"", ""zh-cn""))
"),"灰色北欧大理石外壳橱柜把手旋钮抽屉和衣柜门拉手")</f>
        <v>灰色北欧大理石外壳橱柜把手旋钮抽屉和衣柜门拉手</v>
      </c>
      <c r="E63" s="1" t="str">
        <f>IFERROR(__xludf.DUMMYFUNCTION("CONCATENATE(GOOGLETRANSLATE(C63, ""en"", ""ko""))
"),"회색 북유럽 대리석 쉘 캐비닛 손잡이 서랍과 옷장 문 잡아당기기")</f>
        <v>회색 북유럽 대리석 쉘 캐비닛 손잡이 서랍과 옷장 문 잡아당기기</v>
      </c>
      <c r="F63" s="1" t="str">
        <f>IFERROR(__xludf.DUMMYFUNCTION("CONCATENATE(GOOGLETRANSLATE(C63, ""en"", ""ja""))"),"グレーの北欧大理石シェルキャビネットハンドルノブ引き出しとワードローブドアプル")</f>
        <v>グレーの北欧大理石シェルキャビネットハンドルノブ引き出しとワードローブドアプル</v>
      </c>
    </row>
    <row r="64" ht="15.75" customHeight="1">
      <c r="A64" s="1">
        <v>1529.0</v>
      </c>
      <c r="B64" s="1" t="s">
        <v>15</v>
      </c>
      <c r="C64" s="1" t="s">
        <v>54</v>
      </c>
      <c r="D64" s="1" t="str">
        <f>IFERROR(__xludf.DUMMYFUNCTION("CONCATENATE(GOOGLETRANSLATE(C64, ""en"", ""zh-cn""))
"),"古董青铜把手复古抽屉柜门拉手家具五金")</f>
        <v>古董青铜把手复古抽屉柜门拉手家具五金</v>
      </c>
      <c r="E64" s="1" t="str">
        <f>IFERROR(__xludf.DUMMYFUNCTION("CONCATENATE(GOOGLETRANSLATE(C64, ""en"", ""ko""))
"),"골동품 청동 손잡이 복고풍 서랍 캐비닛 도어는 가구 하드웨어를 당깁니다")</f>
        <v>골동품 청동 손잡이 복고풍 서랍 캐비닛 도어는 가구 하드웨어를 당깁니다</v>
      </c>
      <c r="F64" s="1" t="str">
        <f>IFERROR(__xludf.DUMMYFUNCTION("CONCATENATE(GOOGLETRANSLATE(C64, ""en"", ""ja""))"),"アンティークブロンズハンドルレトロ引き出しキャビネットドア取手家具ハードウェア")</f>
        <v>アンティークブロンズハンドルレトロ引き出しキャビネットドア取手家具ハードウェア</v>
      </c>
    </row>
    <row r="65" ht="15.75" customHeight="1">
      <c r="A65" s="1">
        <v>1530.0</v>
      </c>
      <c r="B65" s="1" t="s">
        <v>15</v>
      </c>
      <c r="C65" s="1" t="s">
        <v>55</v>
      </c>
      <c r="D65" s="1" t="str">
        <f>IFERROR(__xludf.DUMMYFUNCTION("CONCATENATE(GOOGLETRANSLATE(C65, ""en"", ""zh-cn""))
"),"13M 自粘胶带 白板网格网格标记胶带")</f>
        <v>13M 自粘胶带 白板网格网格标记胶带</v>
      </c>
      <c r="E65" s="1" t="str">
        <f>IFERROR(__xludf.DUMMYFUNCTION("CONCATENATE(GOOGLETRANSLATE(C65, ""en"", ""ko""))
"),"13M 자체 접착 테이프 화이트 보드 그리드 그리드 마킹 테이프")</f>
        <v>13M 자체 접착 테이프 화이트 보드 그리드 그리드 마킹 테이프</v>
      </c>
      <c r="F65" s="1" t="str">
        <f>IFERROR(__xludf.DUMMYFUNCTION("CONCATENATE(GOOGLETRANSLATE(C65, ""en"", ""ja""))"),"13 メートル自己粘着テープホワイトボードグリッドグリッドマーキングテープ")</f>
        <v>13 メートル自己粘着テープホワイトボードグリッドグリッドマーキングテープ</v>
      </c>
    </row>
    <row r="66" ht="15.75" customHeight="1">
      <c r="A66" s="1">
        <v>1531.0</v>
      </c>
      <c r="B66" s="1" t="s">
        <v>15</v>
      </c>
      <c r="C66" s="1" t="s">
        <v>56</v>
      </c>
      <c r="D66" s="1" t="str">
        <f>IFERROR(__xludf.DUMMYFUNCTION("CONCATENATE(GOOGLETRANSLATE(C66, ""en"", ""zh-cn""))
"),"头部渔网 Brail 纳米钛合金登陆网 可拆卸手网")</f>
        <v>头部渔网 Brail 纳米钛合金登陆网 可拆卸手网</v>
      </c>
      <c r="E66" s="1" t="str">
        <f>IFERROR(__xludf.DUMMYFUNCTION("CONCATENATE(GOOGLETRANSLATE(C66, ""en"", ""ko""))
"),"머리 낚시 그물 Brail 나노 티타늄 합금 착륙 그물 이동식 손 그물")</f>
        <v>머리 낚시 그물 Brail 나노 티타늄 합금 착륙 그물 이동식 손 그물</v>
      </c>
      <c r="F66" s="1" t="str">
        <f>IFERROR(__xludf.DUMMYFUNCTION("CONCATENATE(GOOGLETRANSLATE(C66, ""en"", ""ja""))"),"ヘッド漁網ブレイルナノチタン合金ランディングネット取り外し可能なハンドネット")</f>
        <v>ヘッド漁網ブレイルナノチタン合金ランディングネット取り外し可能なハンドネット</v>
      </c>
    </row>
    <row r="67" ht="15.75" customHeight="1">
      <c r="A67" s="1">
        <v>1532.0</v>
      </c>
      <c r="B67" s="1" t="s">
        <v>15</v>
      </c>
      <c r="C67" s="1" t="s">
        <v>57</v>
      </c>
      <c r="D67" s="1" t="str">
        <f>IFERROR(__xludf.DUMMYFUNCTION("CONCATENATE(GOOGLETRANSLATE(C67, ""en"", ""zh-cn""))
"),"亚克力 DIY 框架边框吊坠黑色塑料 UV 树脂盒圣诞装饰礼物 8 图案带孔")</f>
        <v>亚克力 DIY 框架边框吊坠黑色塑料 UV 树脂盒圣诞装饰礼物 8 图案带孔</v>
      </c>
      <c r="E67" s="1" t="str">
        <f>IFERROR(__xludf.DUMMYFUNCTION("CONCATENATE(GOOGLETRANSLATE(C67, ""en"", ""ko""))
"),"아크릴 DIY 프레임 베젤 펜던트 블랙 플라스틱 UV 수지 상자 크리스마스 장식 선물 8 패턴 구멍")</f>
        <v>아크릴 DIY 프레임 베젤 펜던트 블랙 플라스틱 UV 수지 상자 크리스마스 장식 선물 8 패턴 구멍</v>
      </c>
      <c r="F67" s="1" t="str">
        <f>IFERROR(__xludf.DUMMYFUNCTION("CONCATENATE(GOOGLETRANSLATE(C67, ""en"", ""ja""))"),"アクリル DIY フレームベゼルペンダントブラックプラスチック UV 樹脂ボックスクリスマス装飾ギフト 8 パターン穴付き")</f>
        <v>アクリル DIY フレームベゼルペンダントブラックプラスチック UV 樹脂ボックスクリスマス装飾ギフト 8 パターン穴付き</v>
      </c>
    </row>
    <row r="68" ht="15.75" customHeight="1">
      <c r="A68" s="1">
        <v>1533.0</v>
      </c>
      <c r="B68" s="1" t="s">
        <v>15</v>
      </c>
      <c r="C68" s="1" t="s">
        <v>58</v>
      </c>
      <c r="D68" s="1" t="str">
        <f>IFERROR(__xludf.DUMMYFUNCTION("CONCATENATE(GOOGLETRANSLATE(C68, ""en"", ""zh-cn""))
"),"精铜角阀冷热水通用浴室厨房阀门八字时尚设计")</f>
        <v>精铜角阀冷热水通用浴室厨房阀门八字时尚设计</v>
      </c>
      <c r="E68" s="1" t="str">
        <f>IFERROR(__xludf.DUMMYFUNCTION("CONCATENATE(GOOGLETRANSLATE(C68, ""en"", ""ko""))
"),"고급 구리 앵글 밸브 냉온수 범용 욕실 주방 밸브 8자 패션 디자인")</f>
        <v>고급 구리 앵글 밸브 냉온수 범용 욕실 주방 밸브 8자 패션 디자인</v>
      </c>
      <c r="F68" s="1" t="str">
        <f>IFERROR(__xludf.DUMMYFUNCTION("CONCATENATE(GOOGLETRANSLATE(C68, ""en"", ""ja""))"),"ファイン銅アングルバルブ冷温水ユニバーサルバスルームキッチンバルブ 8 文字ファッションデザイン")</f>
        <v>ファイン銅アングルバルブ冷温水ユニバーサルバスルームキッチンバルブ 8 文字ファッションデザイン</v>
      </c>
    </row>
    <row r="69" ht="15.75" customHeight="1">
      <c r="A69" s="1">
        <v>1534.0</v>
      </c>
      <c r="B69" s="1" t="s">
        <v>15</v>
      </c>
      <c r="C69" s="1" t="s">
        <v>59</v>
      </c>
      <c r="D69" s="1" t="str">
        <f>IFERROR(__xludf.DUMMYFUNCTION("CONCATENATE(GOOGLETRANSLATE(C69, ""en"", ""zh-cn""))
"),"40*40 厘米涤纶椅垫方形软垫家用办公室装饰餐饮")</f>
        <v>40*40 厘米涤纶椅垫方形软垫家用办公室装饰餐饮</v>
      </c>
      <c r="E69" s="1" t="str">
        <f>IFERROR(__xludf.DUMMYFUNCTION("CONCATENATE(GOOGLETRANSLATE(C69, ""en"", ""ko""))
"),"40*40cm 폴리에스테르 의자 쿠션 사각 소프트 패딩 패드 홈 오피스 장식 식사")</f>
        <v>40*40cm 폴리에스테르 의자 쿠션 사각 소프트 패딩 패드 홈 오피스 장식 식사</v>
      </c>
      <c r="F69" s="1" t="str">
        <f>IFERROR(__xludf.DUMMYFUNCTION("CONCATENATE(GOOGLETRANSLATE(C69, ""en"", ""ja""))"),"40*40 センチメートルポリエステル椅子クッション正方形ソフトパッド入りパッドホームオフィス装飾ダイニング")</f>
        <v>40*40 センチメートルポリエステル椅子クッション正方形ソフトパッド入りパッドホームオフィス装飾ダイニング</v>
      </c>
    </row>
    <row r="70" ht="15.75" customHeight="1">
      <c r="A70" s="1">
        <v>1535.0</v>
      </c>
      <c r="B70" s="1" t="s">
        <v>15</v>
      </c>
      <c r="C70" s="1" t="s">
        <v>60</v>
      </c>
      <c r="D70" s="1" t="str">
        <f>IFERROR(__xludf.DUMMYFUNCTION("CONCATENATE(GOOGLETRANSLATE(C70, ""en"", ""zh-cn""))
"),"XL 尺寸旋转电脑椅套弹力带 2 个扶手套扶手椅套座椅")</f>
        <v>XL 尺寸旋转电脑椅套弹力带 2 个扶手套扶手椅套座椅</v>
      </c>
      <c r="E70" s="1" t="str">
        <f>IFERROR(__xludf.DUMMYFUNCTION("CONCATENATE(GOOGLETRANSLATE(C70, ""en"", ""ko""))
"),"XL 사이즈 회전 컴퓨터 의자 커버 스트레치 팔걸이 커버 2개 포함 안락 의자 커버 시트")</f>
        <v>XL 사이즈 회전 컴퓨터 의자 커버 스트레치 팔걸이 커버 2개 포함 안락 의자 커버 시트</v>
      </c>
      <c r="F70" s="1" t="str">
        <f>IFERROR(__xludf.DUMMYFUNCTION("CONCATENATE(GOOGLETRANSLATE(C70, ""en"", ""ja""))"),"XL サイズ スイベル コンピューターチェア カバー ストレッチ アームレスト カバー 2 枚付き アームチェア スリップカバー シート")</f>
        <v>XL サイズ スイベル コンピューターチェア カバー ストレッチ アームレスト カバー 2 枚付き アームチェア スリップカバー シート</v>
      </c>
    </row>
    <row r="71" ht="15.75" customHeight="1">
      <c r="A71" s="1">
        <v>1536.0</v>
      </c>
      <c r="B71" s="1" t="s">
        <v>15</v>
      </c>
      <c r="C71" s="1" t="s">
        <v>61</v>
      </c>
      <c r="D71" s="1" t="str">
        <f>IFERROR(__xludf.DUMMYFUNCTION("CONCATENATE(GOOGLETRANSLATE(C71, ""en"", ""zh-cn""))
"),"北欧印花圆形棉质椅垫软垫餐厅家庭办公室露台花园")</f>
        <v>北欧印花圆形棉质椅垫软垫餐厅家庭办公室露台花园</v>
      </c>
      <c r="E71" s="1" t="str">
        <f>IFERROR(__xludf.DUMMYFUNCTION("CONCATENATE(GOOGLETRANSLATE(C71, ""en"", ""ko""))
"),"노르딕 프린트 라운드 코튼 의자 쿠션 소프트 패드 다이닝 홈 오피스 파티오 가든")</f>
        <v>노르딕 프린트 라운드 코튼 의자 쿠션 소프트 패드 다이닝 홈 오피스 파티오 가든</v>
      </c>
      <c r="F71" s="1" t="str">
        <f>IFERROR(__xludf.DUMMYFUNCTION("CONCATENATE(GOOGLETRANSLATE(C71, ""en"", ""ja""))"),"北欧プリント ラウンド コットン チェア クッション ソフト パッド ダイニング ホーム オフィス パティオ ガーデン")</f>
        <v>北欧プリント ラウンド コットン チェア クッション ソフト パッド ダイニング ホーム オフィス パティオ ガーデン</v>
      </c>
    </row>
    <row r="72" ht="15.75" customHeight="1">
      <c r="A72" s="1">
        <v>1537.0</v>
      </c>
      <c r="B72" s="1" t="s">
        <v>15</v>
      </c>
      <c r="C72" s="1" t="s">
        <v>62</v>
      </c>
      <c r="D72" s="1" t="str">
        <f>IFERROR(__xludf.DUMMYFUNCTION("CONCATENATE(GOOGLETRANSLATE(C72, ""en"", ""zh-cn""))
"),"EDC 便携式开门器电梯手柄钥匙铝合金")</f>
        <v>EDC 便携式开门器电梯手柄钥匙铝合金</v>
      </c>
      <c r="E72" s="1" t="str">
        <f>IFERROR(__xludf.DUMMYFUNCTION("CONCATENATE(GOOGLETRANSLATE(C72, ""en"", ""ko""))
"),"EDC 휴대용 도어 오프너 엘리베이터 핸들 키 알루미늄 합금")</f>
        <v>EDC 휴대용 도어 오프너 엘리베이터 핸들 키 알루미늄 합금</v>
      </c>
      <c r="F72" s="1" t="str">
        <f>IFERROR(__xludf.DUMMYFUNCTION("CONCATENATE(GOOGLETRANSLATE(C72, ""en"", ""ja""))"),"EDC ポータブル ドア オープナー エレベーター ハンドル キー アルミニウム合金")</f>
        <v>EDC ポータブル ドア オープナー エレベーター ハンドル キー アルミニウム合金</v>
      </c>
    </row>
    <row r="73" ht="15.75" customHeight="1">
      <c r="A73" s="1">
        <v>1538.0</v>
      </c>
      <c r="B73" s="1" t="s">
        <v>15</v>
      </c>
      <c r="C73" s="1" t="s">
        <v>63</v>
      </c>
      <c r="D73" s="1" t="str">
        <f>IFERROR(__xludf.DUMMYFUNCTION("CONCATENATE(GOOGLETRANSLATE(C73, ""en"", ""zh-cn""))
"),"黑色非接触式 EDC 开门器手持钥匙扣按电梯工具抗菌卫生")</f>
        <v>黑色非接触式 EDC 开门器手持钥匙扣按电梯工具抗菌卫生</v>
      </c>
      <c r="E73" s="1" t="str">
        <f>IFERROR(__xludf.DUMMYFUNCTION("CONCATENATE(GOOGLETRANSLATE(C73, ""en"", ""ko""))
"),"검정색 비접촉식 EDC 도어 오프너 휴대용 키체인 프레스 엘리베이터 도구 항균 위생")</f>
        <v>검정색 비접촉식 EDC 도어 오프너 휴대용 키체인 프레스 엘리베이터 도구 항균 위생</v>
      </c>
      <c r="F73" s="1" t="str">
        <f>IFERROR(__xludf.DUMMYFUNCTION("CONCATENATE(GOOGLETRANSLATE(C73, ""en"", ""ja""))"),"ブラック非接触 EDC ドアオープナーハンドヘルドキーホルダープレスエレベーターツール抗菌衛生")</f>
        <v>ブラック非接触 EDC ドアオープナーハンドヘルドキーホルダープレスエレベーターツール抗菌衛生</v>
      </c>
    </row>
    <row r="74" ht="15.75" customHeight="1">
      <c r="A74" s="1">
        <v>1539.0</v>
      </c>
      <c r="B74" s="1" t="s">
        <v>15</v>
      </c>
      <c r="C74" s="1" t="s">
        <v>64</v>
      </c>
      <c r="D74" s="1" t="str">
        <f>IFERROR(__xludf.DUMMYFUNCTION("CONCATENATE(GOOGLETRANSLATE(C74, ""en"", ""zh-cn""))
"),"60 x 40 x 28 厘米床托盘书桌折叠电脑桌带卡槽和杯架")</f>
        <v>60 x 40 x 28 厘米床托盘书桌折叠电脑桌带卡槽和杯架</v>
      </c>
      <c r="E74" s="1" t="str">
        <f>IFERROR(__xludf.DUMMYFUNCTION("CONCATENATE(GOOGLETRANSLATE(C74, ""en"", ""ko""))
"),"60 x 40 x 28cm 침대 트레이 책상 카드 슬롯과 컵 홀더가 있는 접이식 컴퓨터 책상")</f>
        <v>60 x 40 x 28cm 침대 트레이 책상 카드 슬롯과 컵 홀더가 있는 접이식 컴퓨터 책상</v>
      </c>
      <c r="F74" s="1" t="str">
        <f>IFERROR(__xludf.DUMMYFUNCTION("CONCATENATE(GOOGLETRANSLATE(C74, ""en"", ""ja""))"),"60 × 40 × 28 センチメートルベッドトレイデスク折りたたみコンピュータデスクカードスロットとカップホルダー")</f>
        <v>60 × 40 × 28 センチメートルベッドトレイデスク折りたたみコンピュータデスクカードスロットとカップホルダー</v>
      </c>
    </row>
    <row r="75" ht="15.75" customHeight="1">
      <c r="A75" s="1">
        <v>1540.0</v>
      </c>
      <c r="B75" s="1" t="s">
        <v>15</v>
      </c>
      <c r="C75" s="1" t="s">
        <v>65</v>
      </c>
      <c r="D75" s="1" t="str">
        <f>IFERROR(__xludf.DUMMYFUNCTION("CONCATENATE(GOOGLETRANSLATE(C75, ""en"", ""zh-cn""))
"),"现代橱柜拉抽屉旋钮锌合金家具衣柜圆形拉手拉手")</f>
        <v>现代橱柜拉抽屉旋钮锌合金家具衣柜圆形拉手拉手</v>
      </c>
      <c r="E75" s="1" t="str">
        <f>IFERROR(__xludf.DUMMYFUNCTION("CONCATENATE(GOOGLETRANSLATE(C75, ""en"", ""ko""))
"),"현대 찬장 잡아당기기 서랍 손잡이 아연 합금 가구 옷장 둥근 손잡이 잡아당기기")</f>
        <v>현대 찬장 잡아당기기 서랍 손잡이 아연 합금 가구 옷장 둥근 손잡이 잡아당기기</v>
      </c>
      <c r="F75" s="1" t="str">
        <f>IFERROR(__xludf.DUMMYFUNCTION("CONCATENATE(GOOGLETRANSLATE(C75, ""en"", ""ja""))"),"現代食器棚取手引き出しノブ亜鉛合金家具ワードローブラウンドハンドル取手")</f>
        <v>現代食器棚取手引き出しノブ亜鉛合金家具ワードローブラウンドハンドル取手</v>
      </c>
    </row>
    <row r="76" ht="15.75" customHeight="1">
      <c r="A76" s="1">
        <v>1541.0</v>
      </c>
      <c r="B76" s="1" t="s">
        <v>15</v>
      </c>
      <c r="C76" s="1" t="s">
        <v>66</v>
      </c>
      <c r="D76" s="1" t="str">
        <f>IFERROR(__xludf.DUMMYFUNCTION("CONCATENATE(GOOGLETRANSLATE(C76, ""en"", ""zh-cn""))
"),"桌面桌面收纳架办公室储物文件夹架文件木质展示架")</f>
        <v>桌面桌面收纳架办公室储物文件夹架文件木质展示架</v>
      </c>
      <c r="E76" s="1" t="str">
        <f>IFERROR(__xludf.DUMMYFUNCTION("CONCATENATE(GOOGLETRANSLATE(C76, ""en"", ""ko""))
"),"데스크탑 테이블 정리함 사무실 보관 폴더 랙 파일 목재 디스플레이 선반 스탠드")</f>
        <v>데스크탑 테이블 정리함 사무실 보관 폴더 랙 파일 목재 디스플레이 선반 스탠드</v>
      </c>
      <c r="F76" s="1" t="str">
        <f>IFERROR(__xludf.DUMMYFUNCTION("CONCATENATE(GOOGLETRANSLATE(C76, ""en"", ""ja""))"),"デスクトップテーブルオーガナイザーオフィス収納フォルダーラックファイル木製陳列棚スタンド")</f>
        <v>デスクトップテーブルオーガナイザーオフィス収納フォルダーラックファイル木製陳列棚スタンド</v>
      </c>
    </row>
    <row r="77" ht="15.75" customHeight="1">
      <c r="A77" s="1">
        <v>1542.0</v>
      </c>
      <c r="B77" s="1" t="s">
        <v>15</v>
      </c>
      <c r="C77" s="1" t="s">
        <v>67</v>
      </c>
      <c r="D77" s="1" t="str">
        <f>IFERROR(__xludf.DUMMYFUNCTION("CONCATENATE(GOOGLETRANSLATE(C77, ""en"", ""zh-cn""))
"),"自由弯曲防水阻水塞硅胶50/60/90/120/150/200cm")</f>
        <v>自由弯曲防水阻水塞硅胶50/60/90/120/150/200cm</v>
      </c>
      <c r="E77" s="1" t="str">
        <f>IFERROR(__xludf.DUMMYFUNCTION("CONCATENATE(GOOGLETRANSLATE(C77, ""en"", ""ko""))
"),"프리 벤딩 워터 배리어 워터 스토퍼 실리콘 50/60/90/120/150/200cm")</f>
        <v>프리 벤딩 워터 배리어 워터 스토퍼 실리콘 50/60/90/120/150/200cm</v>
      </c>
      <c r="F77" s="1" t="str">
        <f>IFERROR(__xludf.DUMMYFUNCTION("CONCATENATE(GOOGLETRANSLATE(C77, ""en"", ""ja""))"),"自由に曲がるウォーターバリアウォーターストッパーシリコン50/60/90/120/150/200センチメートル")</f>
        <v>自由に曲がるウォーターバリアウォーターストッパーシリコン50/60/90/120/150/200センチメートル</v>
      </c>
    </row>
    <row r="78" ht="15.75" customHeight="1">
      <c r="A78" s="1">
        <v>1543.0</v>
      </c>
      <c r="B78" s="1" t="s">
        <v>15</v>
      </c>
      <c r="C78" s="1" t="s">
        <v>68</v>
      </c>
      <c r="D78" s="1" t="str">
        <f>IFERROR(__xludf.DUMMYFUNCTION("CONCATENATE(GOOGLETRANSLATE(C78, ""en"", ""zh-cn""))
"),"2 件套弹性办公椅套电脑旋转椅保护套弹力扶手椅座椅套家用办公家具装饰")</f>
        <v>2 件套弹性办公椅套电脑旋转椅保护套弹力扶手椅座椅套家用办公家具装饰</v>
      </c>
      <c r="E78" s="1" t="str">
        <f>IFERROR(__xludf.DUMMYFUNCTION("CONCATENATE(GOOGLETRANSLATE(C78, ""en"", ""ko""))
"),"2Pcs 탄성 사무실 의자 커버 컴퓨터 회전 의자 보호대 스트레치 안락 의자 좌석 슬리퍼 홈 오피스 가구 장식")</f>
        <v>2Pcs 탄성 사무실 의자 커버 컴퓨터 회전 의자 보호대 스트레치 안락 의자 좌석 슬리퍼 홈 오피스 가구 장식</v>
      </c>
      <c r="F78" s="1" t="str">
        <f>IFERROR(__xludf.DUMMYFUNCTION("CONCATENATE(GOOGLETRANSLATE(C78, ""en"", ""ja""))"),"2 個弾性オフィスチェアカバーコンピュータ回転椅子プロテクターストレッチアームチェアシート本カバーホームオフィス家具装飾")</f>
        <v>2 個弾性オフィスチェアカバーコンピュータ回転椅子プロテクターストレッチアームチェアシート本カバーホームオフィス家具装飾</v>
      </c>
    </row>
    <row r="79" ht="15.75" customHeight="1">
      <c r="A79" s="1">
        <v>1544.0</v>
      </c>
      <c r="B79" s="1" t="s">
        <v>15</v>
      </c>
      <c r="C79" s="1" t="s">
        <v>69</v>
      </c>
      <c r="D79" s="1" t="str">
        <f>IFERROR(__xludf.DUMMYFUNCTION("CONCATENATE(GOOGLETRANSLATE(C79, ""en"", ""zh-cn""))
"),"弹性办公椅套可水洗电脑椅保护套弹力扶手椅餐椅座椅套家用办公家具装饰")</f>
        <v>弹性办公椅套可水洗电脑椅保护套弹力扶手椅餐椅座椅套家用办公家具装饰</v>
      </c>
      <c r="E79" s="1" t="str">
        <f>IFERROR(__xludf.DUMMYFUNCTION("CONCATENATE(GOOGLETRANSLATE(C79, ""en"", ""ko""))
"),"탄성 사무실 의자 커버 빨 수있는 컴퓨터 의자 보호대 스트레치 안락 의자 다이닝 의자 좌석 커버 홈 오피스 가구 장식")</f>
        <v>탄성 사무실 의자 커버 빨 수있는 컴퓨터 의자 보호대 스트레치 안락 의자 다이닝 의자 좌석 커버 홈 오피스 가구 장식</v>
      </c>
      <c r="F79" s="1" t="str">
        <f>IFERROR(__xludf.DUMMYFUNCTION("CONCATENATE(GOOGLETRANSLATE(C79, ""en"", ""ja""))"),"弾性オフィスチェアカバー洗えるコンピュータチェアプロテクターストレッチアームチェアダイニングチェアシートスリップカバーホームオフィス家具装飾")</f>
        <v>弾性オフィスチェアカバー洗えるコンピュータチェアプロテクターストレッチアームチェアダイニングチェアシートスリップカバーホームオフィス家具装飾</v>
      </c>
    </row>
    <row r="80" ht="15.75" customHeight="1">
      <c r="A80" s="1">
        <v>1545.0</v>
      </c>
      <c r="B80" s="1" t="s">
        <v>15</v>
      </c>
      <c r="C80" s="1" t="s">
        <v>70</v>
      </c>
      <c r="D80" s="1" t="str">
        <f>IFERROR(__xludf.DUMMYFUNCTION("CONCATENATE(GOOGLETRANSLATE(C80, ""en"", ""zh-cn""))
"),"Suleve™ M3ASH3 10 颗 M3 内六角圆柱头螺钉 合金钢 镀钛 12.9 级")</f>
        <v>Suleve™ M3ASH3 10 颗 M3 内六角圆柱头螺钉 合金钢 镀钛 12.9 级</v>
      </c>
      <c r="E80" s="1" t="str">
        <f>IFERROR(__xludf.DUMMYFUNCTION("CONCATENATE(GOOGLETRANSLATE(C80, ""en"", ""ko""))
"),"Suleve™ M3ASH3 10개 M3 육각 소켓 캡 머리 나사 합금강 티타늄 도금 12.9 등급")</f>
        <v>Suleve™ M3ASH3 10개 M3 육각 소켓 캡 머리 나사 합금강 티타늄 도금 12.9 등급</v>
      </c>
      <c r="F80" s="1" t="str">
        <f>IFERROR(__xludf.DUMMYFUNCTION("CONCATENATE(GOOGLETRANSLATE(C80, ""en"", ""ja""))"),"Suleve™ M3ASH3 10 個 M3 六角穴付きボルト 合金鋼 チタン メッキ 12.9 グレード")</f>
        <v>Suleve™ M3ASH3 10 個 M3 六角穴付きボルト 合金鋼 チタン メッキ 12.9 グレード</v>
      </c>
    </row>
    <row r="81" ht="15.75" customHeight="1">
      <c r="A81" s="1">
        <v>1546.0</v>
      </c>
      <c r="B81" s="1" t="s">
        <v>15</v>
      </c>
      <c r="C81" s="1" t="s">
        <v>71</v>
      </c>
      <c r="D81" s="1" t="str">
        <f>IFERROR(__xludf.DUMMYFUNCTION("CONCATENATE(GOOGLETRANSLATE(C81, ""en"", ""zh-cn""))
"),"10 件 EAS 系统零售店展示安全挂钩止动锁 4-5 毫米")</f>
        <v>10 件 EAS 系统零售店展示安全挂钩止动锁 4-5 毫米</v>
      </c>
      <c r="E81" s="1" t="str">
        <f>IFERROR(__xludf.DUMMYFUNCTION("CONCATENATE(GOOGLETRANSLATE(C81, ""en"", ""ko""))
"),"10개 EAS 시스템 소매점 디스플레이 보안 후크 정지 잠금 장치 4-5mm")</f>
        <v>10개 EAS 시스템 소매점 디스플레이 보안 후크 정지 잠금 장치 4-5mm</v>
      </c>
      <c r="F81" s="1" t="str">
        <f>IFERROR(__xludf.DUMMYFUNCTION("CONCATENATE(GOOGLETRANSLATE(C81, ""en"", ""ja""))"),"EAS システム小売店ディスプレイ セキュリティ フック ストップ ロック 4-5mm 10 個")</f>
        <v>EAS システム小売店ディスプレイ セキュリティ フック ストップ ロック 4-5mm 10 個</v>
      </c>
    </row>
    <row r="82" ht="15.75" customHeight="1">
      <c r="A82" s="1">
        <v>1547.0</v>
      </c>
      <c r="B82" s="1" t="s">
        <v>15</v>
      </c>
      <c r="C82" s="1" t="s">
        <v>72</v>
      </c>
      <c r="D82" s="1" t="str">
        <f>IFERROR(__xludf.DUMMYFUNCTION("CONCATENATE(GOOGLETRANSLATE(C82, ""en"", ""zh-cn""))
"),"对角瓷砖地板贴纸自粘墙壁地面橱柜贴花家居装饰")</f>
        <v>对角瓷砖地板贴纸自粘墙壁地面橱柜贴花家居装饰</v>
      </c>
      <c r="E82" s="1" t="str">
        <f>IFERROR(__xludf.DUMMYFUNCTION("CONCATENATE(GOOGLETRANSLATE(C82, ""en"", ""ko""))
"),"대각선 타일 바닥 스티커 자체 접착 벽 지상 캐비닛 데칼 홈 장식")</f>
        <v>대각선 타일 바닥 스티커 자체 접착 벽 지상 캐비닛 데칼 홈 장식</v>
      </c>
      <c r="F82" s="1" t="str">
        <f>IFERROR(__xludf.DUMMYFUNCTION("CONCATENATE(GOOGLETRANSLATE(C82, ""en"", ""ja""))"),"斜めタイル床ステッカー自己粘着壁地面キャビネットデカール家の装飾")</f>
        <v>斜めタイル床ステッカー自己粘着壁地面キャビネットデカール家の装飾</v>
      </c>
    </row>
    <row r="83" ht="15.75" customHeight="1">
      <c r="A83" s="1">
        <v>1548.0</v>
      </c>
      <c r="B83" s="1" t="s">
        <v>15</v>
      </c>
      <c r="C83" s="1" t="s">
        <v>73</v>
      </c>
      <c r="D83" s="1" t="str">
        <f>IFERROR(__xludf.DUMMYFUNCTION("CONCATENATE(GOOGLETRANSLATE(C83, ""en"", ""zh-cn""))
"),"适用于玻璃或木质货架的金属可调节货架支架")</f>
        <v>适用于玻璃或木质货架的金属可调节货架支架</v>
      </c>
      <c r="E83" s="1" t="str">
        <f>IFERROR(__xludf.DUMMYFUNCTION("CONCATENATE(GOOGLETRANSLATE(C83, ""en"", ""ko""))
"),"유리 또는 목재 선반용 금속 조절식 선반 홀더 브래킷")</f>
        <v>유리 또는 목재 선반용 금속 조절식 선반 홀더 브래킷</v>
      </c>
      <c r="F83" s="1" t="str">
        <f>IFERROR(__xludf.DUMMYFUNCTION("CONCATENATE(GOOGLETRANSLATE(C83, ""en"", ""ja""))"),"ガラスまたは木製の棚用の金属製の調節可能な棚ホルダーブラケット")</f>
        <v>ガラスまたは木製の棚用の金属製の調節可能な棚ホルダーブラケット</v>
      </c>
    </row>
    <row r="84" ht="15.75" customHeight="1">
      <c r="A84" s="1">
        <v>1549.0</v>
      </c>
      <c r="B84" s="1" t="s">
        <v>15</v>
      </c>
      <c r="C84" s="1" t="s">
        <v>74</v>
      </c>
      <c r="D84" s="1" t="str">
        <f>IFERROR(__xludf.DUMMYFUNCTION("CONCATENATE(GOOGLETRANSLATE(C84, ""en"", ""zh-cn""))
"),"5 件装 5x30 毫米 304 不锈钢圆形 O 形圈焊接船用索具捆扎硬件")</f>
        <v>5 件装 5x30 毫米 304 不锈钢圆形 O 形圈焊接船用索具捆扎硬件</v>
      </c>
      <c r="E84" s="1" t="str">
        <f>IFERROR(__xludf.DUMMYFUNCTION("CONCATENATE(GOOGLETRANSLATE(C84, ""en"", ""ko""))
"),"5Pcs 5x30mm 304 스테인레스 스틸 라운드 O 링 용접 해양 장비 달아서 하드웨어")</f>
        <v>5Pcs 5x30mm 304 스테인레스 스틸 라운드 O 링 용접 해양 장비 달아서 하드웨어</v>
      </c>
      <c r="F84" s="1" t="str">
        <f>IFERROR(__xludf.DUMMYFUNCTION("CONCATENATE(GOOGLETRANSLATE(C84, ""en"", ""ja""))"),"5 個 5x30mm 304 ステンレス鋼ラウンド O リング溶接マリンリギングストラップハードウェア")</f>
        <v>5 個 5x30mm 304 ステンレス鋼ラウンド O リング溶接マリンリギングストラップハードウェア</v>
      </c>
    </row>
    <row r="85" ht="15.75" customHeight="1">
      <c r="A85" s="1">
        <v>1550.0</v>
      </c>
      <c r="B85" s="1" t="s">
        <v>15</v>
      </c>
      <c r="C85" s="1" t="s">
        <v>75</v>
      </c>
      <c r="D85" s="1" t="str">
        <f>IFERROR(__xludf.DUMMYFUNCTION("CONCATENATE(GOOGLETRANSLATE(C85, ""en"", ""zh-cn""))
"),"130 件图片照片衣架套件相框挂钩")</f>
        <v>130 件图片照片衣架套件相框挂钩</v>
      </c>
      <c r="E85" s="1" t="str">
        <f>IFERROR(__xludf.DUMMYFUNCTION("CONCATENATE(GOOGLETRANSLATE(C85, ""en"", ""ko""))
"),"130Pcs 그림 사진 걸이 키트 프레임 걸이 후크")</f>
        <v>130Pcs 그림 사진 걸이 키트 프레임 걸이 후크</v>
      </c>
      <c r="F85" s="1" t="str">
        <f>IFERROR(__xludf.DUMMYFUNCTION("CONCATENATE(GOOGLETRANSLATE(C85, ""en"", ""ja""))"),"130 個の写真フォトハンガーキットフレーム吊り下げフック")</f>
        <v>130 個の写真フォトハンガーキットフレーム吊り下げフック</v>
      </c>
    </row>
    <row r="86" ht="15.75" customHeight="1">
      <c r="A86" s="1">
        <v>1551.0</v>
      </c>
      <c r="B86" s="1" t="s">
        <v>15</v>
      </c>
      <c r="C86" s="1" t="s">
        <v>76</v>
      </c>
      <c r="D86" s="1" t="str">
        <f>IFERROR(__xludf.DUMMYFUNCTION("CONCATENATE(GOOGLETRANSLATE(C86, ""en"", ""zh-cn""))
"),"27m 花店花卉花茎花胶带彩色胸花工艺 12 毫米 ")</f>
        <v>27m 花店花卉花茎花胶带彩色胸花工艺 12 毫米 </v>
      </c>
      <c r="E86" s="1" t="str">
        <f>IFERROR(__xludf.DUMMYFUNCTION("CONCATENATE(GOOGLETRANSLATE(C86, ""en"", ""ko""))
"),"27m 꽃집 플로리스트리 꽃 줄기 꽃 테이프 컬러 코사지 공예 12mm ")</f>
        <v>27m 꽃집 플로리스트리 꽃 줄기 꽃 테이프 컬러 코사지 공예 12mm </v>
      </c>
      <c r="F86" s="1" t="str">
        <f>IFERROR(__xludf.DUMMYFUNCTION("CONCATENATE(GOOGLETRANSLATE(C86, ""en"", ""ja""))"),"27m 花屋 フローリストリー 花柄 フラワーテープ カラーコサージュ クラフト 12mm ")</f>
        <v>27m 花屋 フローリストリー 花柄 フラワーテープ カラーコサージュ クラフト 12mm </v>
      </c>
    </row>
    <row r="87" ht="15.75" customHeight="1">
      <c r="A87" s="1">
        <v>1552.0</v>
      </c>
      <c r="B87" s="1" t="s">
        <v>15</v>
      </c>
      <c r="C87" s="1" t="s">
        <v>77</v>
      </c>
      <c r="D87" s="1" t="str">
        <f>IFERROR(__xludf.DUMMYFUNCTION("CONCATENATE(GOOGLETRANSLATE(C87, ""en"", ""zh-cn""))
"),"1/2 3/4 1 英寸 12V 电动电磁阀 气动阀 水 空气 燃气黄铜阀 空气阀")</f>
        <v>1/2 3/4 1 英寸 12V 电动电磁阀 气动阀 水 空气 燃气黄铜阀 空气阀</v>
      </c>
      <c r="E87" s="1" t="str">
        <f>IFERROR(__xludf.DUMMYFUNCTION("CONCATENATE(GOOGLETRANSLATE(C87, ""en"", ""ko""))
"),"1/2 3/4 1 인치 12V 전기 솔레노이드 밸브 물 공기 가스 황동 밸브 공기 밸브 용 공압 밸브")</f>
        <v>1/2 3/4 1 인치 12V 전기 솔레노이드 밸브 물 공기 가스 황동 밸브 공기 밸브 용 공압 밸브</v>
      </c>
      <c r="F87" s="1" t="str">
        <f>IFERROR(__xludf.DUMMYFUNCTION("CONCATENATE(GOOGLETRANSLATE(C87, ""en"", ""ja""))"),"1/2 3/4 1 インチ 12V 電気ソレノイドバルブ空気圧バルブ水空気ガス真鍮バルブエアバルブ")</f>
        <v>1/2 3/4 1 インチ 12V 電気ソレノイドバルブ空気圧バルブ水空気ガス真鍮バルブエアバルブ</v>
      </c>
    </row>
    <row r="88" ht="15.75" customHeight="1">
      <c r="A88" s="1">
        <v>1553.0</v>
      </c>
      <c r="B88" s="1" t="s">
        <v>15</v>
      </c>
      <c r="C88" s="1" t="s">
        <v>78</v>
      </c>
      <c r="D88" s="1" t="str">
        <f>IFERROR(__xludf.DUMMYFUNCTION("CONCATENATE(GOOGLETRANSLATE(C88, ""en"", ""zh-cn""))
"),"Suleve™ M4AH1 50 件镀钛 M4 内六角圆柱头螺钉 合金钢 12.9 级螺钉螺栓 M4*10")</f>
        <v>Suleve™ M4AH1 50 件镀钛 M4 内六角圆柱头螺钉 合金钢 12.9 级螺钉螺栓 M4*10</v>
      </c>
      <c r="E88" s="1" t="str">
        <f>IFERROR(__xludf.DUMMYFUNCTION("CONCATENATE(GOOGLETRANSLATE(C88, ""en"", ""ko""))
"),"Suleve™ M4AH1 50Pcs 티타늄 도금 M4 육각 소켓 캡 머리 나사 합금강 12.9 등급 나사 볼트 M4*10")</f>
        <v>Suleve™ M4AH1 50Pcs 티타늄 도금 M4 육각 소켓 캡 머리 나사 합금강 12.9 등급 나사 볼트 M4*10</v>
      </c>
      <c r="F88" s="1" t="str">
        <f>IFERROR(__xludf.DUMMYFUNCTION("CONCATENATE(GOOGLETRANSLATE(C88, ""en"", ""ja""))"),"Suleve™ M4AH1 50 個チタンメッキ M4 六角穴付きキャップヘッドネジ合金鋼 12.9 グレードネジボルト M4 * 10")</f>
        <v>Suleve™ M4AH1 50 個チタンメッキ M4 六角穴付きキャップヘッドネジ合金鋼 12.9 グレードネジボルト M4 * 10</v>
      </c>
    </row>
    <row r="89" ht="15.75" customHeight="1">
      <c r="A89" s="1">
        <v>1554.0</v>
      </c>
      <c r="B89" s="1" t="s">
        <v>15</v>
      </c>
      <c r="C89" s="1" t="s">
        <v>79</v>
      </c>
      <c r="D89" s="1" t="str">
        <f>IFERROR(__xludf.DUMMYFUNCTION("CONCATENATE(GOOGLETRANSLATE(C89, ""en"", ""zh-cn""))
"),"Suleve™ M4AH2 50颗镀钛M4内六角沉头螺丝合金钢12.9级螺丝螺栓M4*10")</f>
        <v>Suleve™ M4AH2 50颗镀钛M4内六角沉头螺丝合金钢12.9级螺丝螺栓M4*10</v>
      </c>
      <c r="E89" s="1" t="str">
        <f>IFERROR(__xludf.DUMMYFUNCTION("CONCATENATE(GOOGLETRANSLATE(C89, ""en"", ""ko""))
"),"Suleve™ M4AH2 50Pcs 티타늄 도금 M4 육각 소켓 플랫 카운터 싱크 헤드 나사 합금강 12.9 등급 나사 볼트 M4*10")</f>
        <v>Suleve™ M4AH2 50Pcs 티타늄 도금 M4 육각 소켓 플랫 카운터 싱크 헤드 나사 합금강 12.9 등급 나사 볼트 M4*10</v>
      </c>
      <c r="F89" s="1" t="str">
        <f>IFERROR(__xludf.DUMMYFUNCTION("CONCATENATE(GOOGLETRANSLATE(C89, ""en"", ""ja""))"),"Suleve™ M4AH2 50 個チタンメッキ M4 六角穴付き平皿ネジ合金鋼 12.9 グレードネジボルト M4 * 10")</f>
        <v>Suleve™ M4AH2 50 個チタンメッキ M4 六角穴付き平皿ネジ合金鋼 12.9 グレードネジボルト M4 * 10</v>
      </c>
    </row>
    <row r="90" ht="15.75" customHeight="1">
      <c r="A90" s="1">
        <v>1555.0</v>
      </c>
      <c r="B90" s="1" t="s">
        <v>15</v>
      </c>
      <c r="C90" s="1" t="s">
        <v>80</v>
      </c>
      <c r="D90" s="1" t="str">
        <f>IFERROR(__xludf.DUMMYFUNCTION("CONCATENATE(GOOGLETRANSLATE(C90, ""en"", ""zh-cn""))
"),"榻榻米座垫圆椅垫抱枕家用汽车装饰品软沙发坐垫家庭办公室简约时尚圆垫")</f>
        <v>榻榻米座垫圆椅垫抱枕家用汽车装饰品软沙发坐垫家庭办公室简约时尚圆垫</v>
      </c>
      <c r="E90" s="1" t="str">
        <f>IFERROR(__xludf.DUMMYFUNCTION("CONCATENATE(GOOGLETRANSLATE(C90, ""en"", ""ko""))
"),"다다미 좌석 쿠션 라운드 의자 쿠션 매트 베개 홈 자동차 장식 홈 오피스를위한 부드러운 소파 쿠션 간단한 패션 라운드 쿠션")</f>
        <v>다다미 좌석 쿠션 라운드 의자 쿠션 매트 베개 홈 자동차 장식 홈 오피스를위한 부드러운 소파 쿠션 간단한 패션 라운드 쿠션</v>
      </c>
      <c r="F90" s="1" t="str">
        <f>IFERROR(__xludf.DUMMYFUNCTION("CONCATENATE(GOOGLETRANSLATE(C90, ""en"", ""ja""))"),"畳シートクッションラウンドチェアクッションマット枕ホームカーデコレーションソフトソファクッションホームオフィス用シンプルファッションラウンドクッション")</f>
        <v>畳シートクッションラウンドチェアクッションマット枕ホームカーデコレーションソフトソファクッションホームオフィス用シンプルファッションラウンドクッション</v>
      </c>
    </row>
    <row r="91" ht="15.75" customHeight="1">
      <c r="A91" s="1">
        <v>1556.0</v>
      </c>
      <c r="B91" s="1" t="s">
        <v>15</v>
      </c>
      <c r="C91" s="1" t="s">
        <v>81</v>
      </c>
      <c r="D91" s="1" t="str">
        <f>IFERROR(__xludf.DUMMYFUNCTION("CONCATENATE(GOOGLETRANSLATE(C91, ""en"", ""zh-cn""))
"),"7 件套动物陶瓷家具旋钮抽屉柜橱柜门拉手套装")</f>
        <v>7 件套动物陶瓷家具旋钮抽屉柜橱柜门拉手套装</v>
      </c>
      <c r="E91" s="1" t="str">
        <f>IFERROR(__xludf.DUMMYFUNCTION("CONCATENATE(GOOGLETRANSLATE(C91, ""en"", ""ko""))
"),"7개 동물 세라믹 가구 손잡이 서랍 캐비닛 찬장 도어 풀 핸들 세트")</f>
        <v>7개 동물 세라믹 가구 손잡이 서랍 캐비닛 찬장 도어 풀 핸들 세트</v>
      </c>
      <c r="F91" s="1" t="str">
        <f>IFERROR(__xludf.DUMMYFUNCTION("CONCATENATE(GOOGLETRANSLATE(C91, ""en"", ""ja""))"),"7 個動物セラミック家具ノブ引き出しキャビネット食器棚ドアプルハンドルセット")</f>
        <v>7 個動物セラミック家具ノブ引き出しキャビネット食器棚ドアプルハンドルセット</v>
      </c>
    </row>
    <row r="92" ht="15.75" customHeight="1">
      <c r="A92" s="1">
        <v>1557.0</v>
      </c>
      <c r="B92" s="1" t="s">
        <v>15</v>
      </c>
      <c r="C92" s="1" t="s">
        <v>82</v>
      </c>
      <c r="D92" s="1" t="str">
        <f>IFERROR(__xludf.DUMMYFUNCTION("CONCATENATE(GOOGLETRANSLATE(C92, ""en"", ""zh-cn""))
"),"多功能厨房收纳架碗碟沥干架铁水槽支架托盘盘杯碗餐具架篮")</f>
        <v>多功能厨房收纳架碗碟沥干架铁水槽支架托盘盘杯碗餐具架篮</v>
      </c>
      <c r="E92" s="1" t="str">
        <f>IFERROR(__xludf.DUMMYFUNCTION("CONCATENATE(GOOGLETRANSLATE(C92, ""en"", ""ko""))
"),"다기능 주방 스토리지 주최자 접시 드레이너 건조 랙 철 싱크 홀더 트레이 접시 컵 그릇 식기 선반 바구니")</f>
        <v>다기능 주방 스토리지 주최자 접시 드레이너 건조 랙 철 싱크 홀더 트레이 접시 컵 그릇 식기 선반 바구니</v>
      </c>
      <c r="F92" s="1" t="str">
        <f>IFERROR(__xludf.DUMMYFUNCTION("CONCATENATE(GOOGLETRANSLATE(C92, ""en"", ""ja""))"),"多機能キッチン収納オーガナイザー水切り乾燥ラック鉄シンクホルダートレイプレートカップボウル食器棚バスケット")</f>
        <v>多機能キッチン収納オーガナイザー水切り乾燥ラック鉄シンクホルダートレイプレートカップボウル食器棚バスケット</v>
      </c>
    </row>
    <row r="93" ht="15.75" customHeight="1">
      <c r="A93" s="1">
        <v>1558.0</v>
      </c>
      <c r="B93" s="1" t="s">
        <v>15</v>
      </c>
      <c r="C93" s="1" t="s">
        <v>83</v>
      </c>
      <c r="D93" s="1" t="str">
        <f>IFERROR(__xludf.DUMMYFUNCTION("CONCATENATE(GOOGLETRANSLATE(C93, ""en"", ""zh-cn""))
"),"金属框架纸胶带 DIY 水晶滴胶工具无痕粘合剂 ")</f>
        <v>金属框架纸胶带 DIY 水晶滴胶工具无痕粘合剂 </v>
      </c>
      <c r="E93" s="1" t="str">
        <f>IFERROR(__xludf.DUMMYFUNCTION("CONCATENATE(GOOGLETRANSLATE(C93, ""en"", ""ko""))
"),"금속 프레임용 종이 테이프 DIY 크리스탈 드롭 접착제 도구 비 추적 접착제 ")</f>
        <v>금속 프레임용 종이 테이프 DIY 크리스탈 드롭 접착제 도구 비 추적 접착제 </v>
      </c>
      <c r="F93" s="1" t="str">
        <f>IFERROR(__xludf.DUMMYFUNCTION("CONCATENATE(GOOGLETRANSLATE(C93, ""en"", ""ja""))"),"金属フレーム用紙テープ DIY クリスタルドロップ接着剤ツール 非痕跡接着剤 ")</f>
        <v>金属フレーム用紙テープ DIY クリスタルドロップ接着剤ツール 非痕跡接着剤 </v>
      </c>
    </row>
    <row r="94" ht="15.75" customHeight="1">
      <c r="A94" s="1">
        <v>1559.0</v>
      </c>
      <c r="B94" s="1" t="s">
        <v>15</v>
      </c>
      <c r="C94" s="1" t="s">
        <v>84</v>
      </c>
      <c r="D94" s="1" t="str">
        <f>IFERROR(__xludf.DUMMYFUNCTION("CONCATENATE(GOOGLETRANSLATE(C94, ""en"", ""zh-cn""))
"),"Suleve™ M4AN1 10件 M4自锁尼龙螺母 铝合金 多色 ")</f>
        <v>Suleve™ M4AN1 10件 M4自锁尼龙螺母 铝合金 多色 </v>
      </c>
      <c r="E94" s="1" t="str">
        <f>IFERROR(__xludf.DUMMYFUNCTION("CONCATENATE(GOOGLETRANSLATE(C94, ""en"", ""ko""))
"),"Suleve™ M4AN1 10Pcs M4 자동 잠금 나일론 너트 알루미늄 합금 멀티 컬러 ")</f>
        <v>Suleve™ M4AN1 10Pcs M4 자동 잠금 나일론 너트 알루미늄 합금 멀티 컬러 </v>
      </c>
      <c r="F94" s="1" t="str">
        <f>IFERROR(__xludf.DUMMYFUNCTION("CONCATENATE(GOOGLETRANSLATE(C94, ""en"", ""ja""))"),"Suleve™ M4AN1 10 個 M4 セルフロック ナイロン ナット アルミニウム合金 マルチカラー ")</f>
        <v>Suleve™ M4AN1 10 個 M4 セルフロック ナイロン ナット アルミニウム合金 マルチカラー </v>
      </c>
    </row>
    <row r="95" ht="15.75" customHeight="1">
      <c r="A95" s="1">
        <v>1560.0</v>
      </c>
      <c r="B95" s="1" t="s">
        <v>15</v>
      </c>
      <c r="C95" s="1" t="s">
        <v>85</v>
      </c>
      <c r="D95" s="1" t="str">
        <f>IFERROR(__xludf.DUMMYFUNCTION("CONCATENATE(GOOGLETRANSLATE(C95, ""en"", ""zh-cn""))
"),"100 件 1.0/1.5/2.0/3.0 毫米瓷砖找平系统间隔夹地板墙壁瓷砖工具")</f>
        <v>100 件 1.0/1.5/2.0/3.0 毫米瓷砖找平系统间隔夹地板墙壁瓷砖工具</v>
      </c>
      <c r="E95" s="1" t="str">
        <f>IFERROR(__xludf.DUMMYFUNCTION("CONCATENATE(GOOGLETRANSLATE(C95, ""en"", ""ko""))
"),"100Pcs 1.0/1.5/2.0/3.0mm 타일 레벨링 시스템 스페이서 클립 바닥 벽 타일링 도구")</f>
        <v>100Pcs 1.0/1.5/2.0/3.0mm 타일 레벨링 시스템 스페이서 클립 바닥 벽 타일링 도구</v>
      </c>
      <c r="F95" s="1" t="str">
        <f>IFERROR(__xludf.DUMMYFUNCTION("CONCATENATE(GOOGLETRANSLATE(C95, ""en"", ""ja""))"),"100 個 1.0/1.5/2.0/3.0 ミリメートルタイルレベリングシステムスペーサークリップ床壁タイルツール")</f>
        <v>100 個 1.0/1.5/2.0/3.0 ミリメートルタイルレベリングシステムスペーサークリップ床壁タイルツール</v>
      </c>
    </row>
    <row r="96" ht="15.75" customHeight="1">
      <c r="A96" s="1">
        <v>1561.0</v>
      </c>
      <c r="B96" s="1" t="s">
        <v>15</v>
      </c>
      <c r="C96" s="1" t="s">
        <v>86</v>
      </c>
      <c r="D96" s="1" t="str">
        <f>IFERROR(__xludf.DUMMYFUNCTION("CONCATENATE(GOOGLETRANSLATE(C96, ""en"", ""zh-cn""))
"),"实心黄铜弧形纽扣螺柱螺丝钉 4-15 毫米螺丝背皮带纽扣螺丝")</f>
        <v>实心黄铜弧形纽扣螺柱螺丝钉 4-15 毫米螺丝背皮带纽扣螺丝</v>
      </c>
      <c r="E96" s="1" t="str">
        <f>IFERROR(__xludf.DUMMYFUNCTION("CONCATENATE(GOOGLETRANSLATE(C96, ""en"", ""ko""))
"),"솔리드 브래스 아크 버튼 스터드 나사 네일 4-15mm 스크류 백 가죽 벨트 버튼 나사")</f>
        <v>솔리드 브래스 아크 버튼 스터드 나사 네일 4-15mm 스크류 백 가죽 벨트 버튼 나사</v>
      </c>
      <c r="F96" s="1" t="str">
        <f>IFERROR(__xludf.DUMMYFUNCTION("CONCATENATE(GOOGLETRANSLATE(C96, ""en"", ""ja""))"),"ソリッドブラスアークボタンスタッドスクリューネイル4-15mmスクリューバックレザーベルトボタンネジ")</f>
        <v>ソリッドブラスアークボタンスタッドスクリューネイル4-15mmスクリューバックレザーベルトボタンネジ</v>
      </c>
    </row>
    <row r="97" ht="15.75" customHeight="1">
      <c r="A97" s="1">
        <v>1562.0</v>
      </c>
      <c r="B97" s="1" t="s">
        <v>15</v>
      </c>
      <c r="C97" s="1" t="s">
        <v>87</v>
      </c>
      <c r="D97" s="1" t="str">
        <f>IFERROR(__xludf.DUMMYFUNCTION("CONCATENATE(GOOGLETRANSLATE(C97, ""en"", ""zh-cn""))
"),"2 件/1 套椅子座套 Farley 短毛绒通用弹性弹力可水洗")</f>
        <v>2 件/1 套椅子座套 Farley 短毛绒通用弹性弹力可水洗</v>
      </c>
      <c r="E97" s="1" t="str">
        <f>IFERROR(__xludf.DUMMYFUNCTION("CONCATENATE(GOOGLETRANSLATE(C97, ""en"", ""ko""))
"),"2개/1세트 의자 시트 커버 Farley 짧은 봉제 범용 탄성 스트레치 세척 가능")</f>
        <v>2개/1세트 의자 시트 커버 Farley 짧은 봉제 범용 탄성 스트레치 세척 가능</v>
      </c>
      <c r="F97" s="1" t="str">
        <f>IFERROR(__xludf.DUMMYFUNCTION("CONCATENATE(GOOGLETRANSLATE(C97, ""en"", ""ja""))"),"2 ピース/1 セット椅子シートカバーファーリーショートぬいぐるみユニバーサル弾性ストレッチ洗える")</f>
        <v>2 ピース/1 セット椅子シートカバーファーリーショートぬいぐるみユニバーサル弾性ストレッチ洗える</v>
      </c>
    </row>
    <row r="98" ht="15.75" customHeight="1">
      <c r="A98" s="1">
        <v>1563.0</v>
      </c>
      <c r="B98" s="1" t="s">
        <v>15</v>
      </c>
      <c r="C98" s="1" t="s">
        <v>88</v>
      </c>
      <c r="D98" s="1" t="str">
        <f>IFERROR(__xludf.DUMMYFUNCTION("CONCATENATE(GOOGLETRANSLATE(C98, ""en"", ""zh-cn""))
"),"露台防护家具罩黑色长方形超大防水防尘折叠罩")</f>
        <v>露台防护家具罩黑色长方形超大防水防尘折叠罩</v>
      </c>
      <c r="E98" s="1" t="str">
        <f>IFERROR(__xludf.DUMMYFUNCTION("CONCATENATE(GOOGLETRANSLATE(C98, ""en"", ""ko""))
"),"파티오 보호 가구 커버 검정색 직사각형 초대형 방수 방진 접이식 커버")</f>
        <v>파티오 보호 가구 커버 검정색 직사각형 초대형 방수 방진 접이식 커버</v>
      </c>
      <c r="F98" s="1" t="str">
        <f>IFERROR(__xludf.DUMMYFUNCTION("CONCATENATE(GOOGLETRANSLATE(C98, ""en"", ""ja""))"),"パティオ保護家具カバー黒長方形特大防水防塵折りたたみカバー")</f>
        <v>パティオ保護家具カバー黒長方形特大防水防塵折りたたみカバー</v>
      </c>
    </row>
    <row r="99" ht="15.75" customHeight="1">
      <c r="A99" s="1">
        <v>1564.0</v>
      </c>
      <c r="B99" s="1" t="s">
        <v>15</v>
      </c>
      <c r="C99" s="1" t="s">
        <v>89</v>
      </c>
      <c r="D99" s="1" t="str">
        <f>IFERROR(__xludf.DUMMYFUNCTION("CONCATENATE(GOOGLETRANSLATE(C99, ""en"", ""zh-cn""))
"),"花园露台长方形桌椅保护罩防水防尘折叠家具罩")</f>
        <v>花园露台长方形桌椅保护罩防水防尘折叠家具罩</v>
      </c>
      <c r="E99" s="1" t="str">
        <f>IFERROR(__xludf.DUMMYFUNCTION("CONCATENATE(GOOGLETRANSLATE(C99, ""en"", ""ko""))
"),"정원 안뜰 직사각형 테이블 의자 보호 커버 방수 방진 접이식 가구 커버")</f>
        <v>정원 안뜰 직사각형 테이블 의자 보호 커버 방수 방진 접이식 가구 커버</v>
      </c>
      <c r="F99" s="1" t="str">
        <f>IFERROR(__xludf.DUMMYFUNCTION("CONCATENATE(GOOGLETRANSLATE(C99, ""en"", ""ja""))"),"ガーデンパティオ長方形テーブル椅子保護カバー防水防塵折りたたみ家具カバー")</f>
        <v>ガーデンパティオ長方形テーブル椅子保護カバー防水防塵折りたたみ家具カバー</v>
      </c>
    </row>
    <row r="100" ht="15.75" customHeight="1">
      <c r="A100" s="1">
        <v>1565.0</v>
      </c>
      <c r="B100" s="1" t="s">
        <v>15</v>
      </c>
      <c r="C100" s="1" t="s">
        <v>90</v>
      </c>
      <c r="D100" s="1" t="str">
        <f>IFERROR(__xludf.DUMMYFUNCTION("CONCATENATE(GOOGLETRANSLATE(C100, ""en"", ""zh-cn""))
"),"牛津涤纶防水布太阳伞防护罩防水防尘防水罩")</f>
        <v>牛津涤纶防水布太阳伞防护罩防水防尘防水罩</v>
      </c>
      <c r="E100" s="1" t="str">
        <f>IFERROR(__xludf.DUMMYFUNCTION("CONCATENATE(GOOGLETRANSLATE(C100, ""en"", ""ko""))
"),"태양 우산 방수 방진 플로팅 커버를 위한 옥스포드 폴리에스터 방수포 보호 커버")</f>
        <v>태양 우산 방수 방진 플로팅 커버를 위한 옥스포드 폴리에스터 방수포 보호 커버</v>
      </c>
      <c r="F100" s="1" t="str">
        <f>IFERROR(__xludf.DUMMYFUNCTION("CONCATENATE(GOOGLETRANSLATE(C100, ""en"", ""ja""))"),"日傘用オックスフォード ポリエステル ターポリン保護カバー防水防塵洪水カバー")</f>
        <v>日傘用オックスフォード ポリエステル ターポリン保護カバー防水防塵洪水カバー</v>
      </c>
    </row>
    <row r="101" ht="15.75" customHeight="1">
      <c r="A101" s="1">
        <v>1566.0</v>
      </c>
      <c r="B101" s="1" t="s">
        <v>15</v>
      </c>
      <c r="C101" s="1" t="s">
        <v>91</v>
      </c>
      <c r="D101" s="1" t="str">
        <f>IFERROR(__xludf.DUMMYFUNCTION("CONCATENATE(GOOGLETRANSLATE(C101, ""en"", ""zh-cn""))
"),"20 件/套 3D 砖墙贴纸自粘面板贴花防水 PE 泡沫壁纸适合电视墙沙发背景墙装饰")</f>
        <v>20 件/套 3D 砖墙贴纸自粘面板贴花防水 PE 泡沫壁纸适合电视墙沙发背景墙装饰</v>
      </c>
      <c r="E101" s="1" t="str">
        <f>IFERROR(__xludf.DUMMYFUNCTION("CONCATENATE(GOOGLETRANSLATE(C101, ""en"", ""ko""))
"),"20 개/대 3D 벽돌 벽 스티커 자체 접착 패널 데칼 방수 PE 폼 벽지 TV 벽 소파 배경 벽 장식")</f>
        <v>20 개/대 3D 벽돌 벽 스티커 자체 접착 패널 데칼 방수 PE 폼 벽지 TV 벽 소파 배경 벽 장식</v>
      </c>
      <c r="F101" s="1" t="str">
        <f>IFERROR(__xludf.DUMMYFUNCTION("CONCATENATE(GOOGLETRANSLATE(C101, ""en"", ""ja""))"),"20 ピース/セット 3D レンガの壁のステッカー自己粘着パネルデカール防水 PE フォーム壁紙テレビの壁ソファ背景の壁の装飾")</f>
        <v>20 ピース/セット 3D レンガの壁のステッカー自己粘着パネルデカール防水 PE フォーム壁紙テレビの壁ソファ背景の壁の装飾</v>
      </c>
    </row>
    <row r="102" ht="15.75" customHeight="1">
      <c r="A102" s="1">
        <v>1567.0</v>
      </c>
      <c r="B102" s="1" t="s">
        <v>15</v>
      </c>
      <c r="C102" s="1" t="s">
        <v>92</v>
      </c>
      <c r="D102" s="1" t="str">
        <f>IFERROR(__xludf.DUMMYFUNCTION("CONCATENATE(GOOGLETRANSLATE(C102, ""en"", ""zh-cn""))
"),"1 件套弹性办公椅座套电脑旋转椅座椅保护器弹力扶手椅套家用办公家具装饰")</f>
        <v>1 件套弹性办公椅座套电脑旋转椅座椅保护器弹力扶手椅套家用办公家具装饰</v>
      </c>
      <c r="E102" s="1" t="str">
        <f>IFERROR(__xludf.DUMMYFUNCTION("CONCATENATE(GOOGLETRANSLATE(C102, ""en"", ""ko""))
"),"1 Pc 탄성 사무실 의자 좌석 커버 컴퓨터 회전 의자 좌석 보호대 스트레치 안락 의자 커버 홈 오피스 가구 장식")</f>
        <v>1 Pc 탄성 사무실 의자 좌석 커버 컴퓨터 회전 의자 좌석 보호대 스트레치 안락 의자 커버 홈 오피스 가구 장식</v>
      </c>
      <c r="F102" s="1" t="str">
        <f>IFERROR(__xludf.DUMMYFUNCTION("CONCATENATE(GOOGLETRANSLATE(C102, ""en"", ""ja""))"),"1 Pc 弾性オフィスチェアシートカバーコンピュータ回転椅子シートプロテクターストレッチアームチェアスリップカバーホームオフィス家具装飾")</f>
        <v>1 Pc 弾性オフィスチェアシートカバーコンピュータ回転椅子シートプロテクターストレッチアームチェアスリップカバーホームオフィス家具装飾</v>
      </c>
    </row>
    <row r="103" ht="15.75" customHeight="1">
      <c r="A103" s="1">
        <v>1568.0</v>
      </c>
      <c r="B103" s="1" t="s">
        <v>15</v>
      </c>
      <c r="C103" s="1" t="s">
        <v>93</v>
      </c>
      <c r="D103" s="1" t="str">
        <f>IFERROR(__xludf.DUMMYFUNCTION("CONCATENATE(GOOGLETRANSLATE(C103, ""en"", ""zh-cn""))
"),"Suleve™ MXNW2 100 件 M2 M3 M4 M5 白色尼龙平垫圈垫片厚度 1mm")</f>
        <v>Suleve™ MXNW2 100 件 M2 M3 M4 M5 白色尼龙平垫圈垫片厚度 1mm</v>
      </c>
      <c r="E103" s="1" t="str">
        <f>IFERROR(__xludf.DUMMYFUNCTION("CONCATENATE(GOOGLETRANSLATE(C103, ""en"", ""ko""))
"),"Suleve™ MXNW2 100pcs M2 M3 M4 M5 흰색 나일론 플랫 와셔 가스켓 두께 1mm")</f>
        <v>Suleve™ MXNW2 100pcs M2 M3 M4 M5 흰색 나일론 플랫 와셔 가스켓 두께 1mm</v>
      </c>
      <c r="F103" s="1" t="str">
        <f>IFERROR(__xludf.DUMMYFUNCTION("CONCATENATE(GOOGLETRANSLATE(C103, ""en"", ""ja""))"),"Suleve™ MXNW2 100 個 M2 M3 M4 M5 ホワイト ナイロン 平ワッシャー ガスケット 厚さ 1mm")</f>
        <v>Suleve™ MXNW2 100 個 M2 M3 M4 M5 ホワイト ナイロン 平ワッシャー ガスケット 厚さ 1mm</v>
      </c>
    </row>
    <row r="104" ht="15.75" customHeight="1">
      <c r="A104" s="1">
        <v>1569.0</v>
      </c>
      <c r="B104" s="1" t="s">
        <v>15</v>
      </c>
      <c r="C104" s="1" t="s">
        <v>94</v>
      </c>
      <c r="D104" s="1" t="str">
        <f>IFERROR(__xludf.DUMMYFUNCTION("CONCATENATE(GOOGLETRANSLATE(C104, ""en"", ""zh-cn""))
"),"Suleve™ M3NR2 50 件 M3 黑色尼龙圆形十字螺丝螺栓 6/15/20/25mm")</f>
        <v>Suleve™ M3NR2 50 件 M3 黑色尼龙圆形十字螺丝螺栓 6/15/20/25mm</v>
      </c>
      <c r="E104" s="1" t="str">
        <f>IFERROR(__xludf.DUMMYFUNCTION("CONCATENATE(GOOGLETRANSLATE(C104, ""en"", ""ko""))
"),"Suleve™ M3NR2 50개 M3 검정색 나일론 원형 십자 나사 볼트 6/15/20/25mm")</f>
        <v>Suleve™ M3NR2 50개 M3 검정색 나일론 원형 십자 나사 볼트 6/15/20/25mm</v>
      </c>
      <c r="F104" s="1" t="str">
        <f>IFERROR(__xludf.DUMMYFUNCTION("CONCATENATE(GOOGLETRANSLATE(C104, ""en"", ""ja""))"),"Suleve™ M3NR2 50 個 M3 ブラック ナイロン丸プラス ネジ ボルト 6/15/20/25mm")</f>
        <v>Suleve™ M3NR2 50 個 M3 ブラック ナイロン丸プラス ネジ ボルト 6/15/20/25mm</v>
      </c>
    </row>
    <row r="105" ht="15.75" customHeight="1">
      <c r="A105" s="1">
        <v>1570.0</v>
      </c>
      <c r="B105" s="1" t="s">
        <v>15</v>
      </c>
      <c r="C105" s="1" t="s">
        <v>95</v>
      </c>
      <c r="D105" s="1" t="str">
        <f>IFERROR(__xludf.DUMMYFUNCTION("CONCATENATE(GOOGLETRANSLATE(C105, ""en"", ""zh-cn""))
"),"Suleve™ MXSW2 50 件公制不锈钢平垫圈垫片 M3/M4/M5/M6/M8")</f>
        <v>Suleve™ MXSW2 50 件公制不锈钢平垫圈垫片 M3/M4/M5/M6/M8</v>
      </c>
      <c r="E105" s="1" t="str">
        <f>IFERROR(__xludf.DUMMYFUNCTION("CONCATENATE(GOOGLETRANSLATE(C105, ""en"", ""ko""))
"),"Suleve™ MXSW2 50개 미터법 스테인레스 스틸 플랫 와셔 개스킷 M3/M4/M5/M6/M8")</f>
        <v>Suleve™ MXSW2 50개 미터법 스테인레스 스틸 플랫 와셔 개스킷 M3/M4/M5/M6/M8</v>
      </c>
      <c r="F105" s="1" t="str">
        <f>IFERROR(__xludf.DUMMYFUNCTION("CONCATENATE(GOOGLETRANSLATE(C105, ""en"", ""ja""))"),"Suleve™ MXSW2 50 個メートル ステンレス鋼平ワッシャー ガスケット M3/M4/M5/M6/M8")</f>
        <v>Suleve™ MXSW2 50 個メートル ステンレス鋼平ワッシャー ガスケット M3/M4/M5/M6/M8</v>
      </c>
    </row>
    <row r="106" ht="15.75" customHeight="1">
      <c r="A106" s="1">
        <v>1571.0</v>
      </c>
      <c r="B106" s="1" t="s">
        <v>15</v>
      </c>
      <c r="C106" s="1" t="s">
        <v>96</v>
      </c>
      <c r="D106" s="1" t="str">
        <f>IFERROR(__xludf.DUMMYFUNCTION("CONCATENATE(GOOGLETRANSLATE(C106, ""en"", ""zh-cn""))
"),"塑料桌面收纳盒化妆品收纳盒化妆品收纳盒文具架家居装饰品 ")</f>
        <v>塑料桌面收纳盒化妆品收纳盒化妆品收纳盒文具架家居装饰品 </v>
      </c>
      <c r="E106" s="1" t="str">
        <f>IFERROR(__xludf.DUMMYFUNCTION("CONCATENATE(GOOGLETRANSLATE(C106, ""en"", ""ko""))
"),"플라스틱 데스크탑 주최자 메이크업 주최자 화장품 보관 상자 편지지 홀더 홈 장식 ")</f>
        <v>플라스틱 데스크탑 주최자 메이크업 주최자 화장품 보관 상자 편지지 홀더 홈 장식 </v>
      </c>
      <c r="F106" s="1" t="str">
        <f>IFERROR(__xludf.DUMMYFUNCTION("CONCATENATE(GOOGLETRANSLATE(C106, ""en"", ""ja""))"),"プラスチックデスクトップオーガナイザーメイクアップオーガナイザー化粧品収納ボックス文具ホルダー家の装飾 ")</f>
        <v>プラスチックデスクトップオーガナイザーメイクアップオーガナイザー化粧品収納ボックス文具ホルダー家の装飾 </v>
      </c>
    </row>
    <row r="107" ht="15.75" customHeight="1">
      <c r="A107" s="1">
        <v>1572.0</v>
      </c>
      <c r="B107" s="1" t="s">
        <v>15</v>
      </c>
      <c r="C107" s="1" t="s">
        <v>97</v>
      </c>
      <c r="D107" s="1" t="str">
        <f>IFERROR(__xludf.DUMMYFUNCTION("CONCATENATE(GOOGLETRANSLATE(C107, ""en"", ""zh-cn""))
"),"可折叠高度角度可调节 USB 散热风扇床笔记本电脑桌，可调节高度，易于折叠")</f>
        <v>可折叠高度角度可调节 USB 散热风扇床笔记本电脑桌，可调节高度，易于折叠</v>
      </c>
      <c r="E107" s="1" t="str">
        <f>IFERROR(__xludf.DUMMYFUNCTION("CONCATENATE(GOOGLETRANSLATE(C107, ""en"", ""ko""))
"),"접이식 높이 각도 조절 가능한 USB 냉각 팬 침대 노트북 책상, 높이 조절 가능, 접기 쉬움")</f>
        <v>접이식 높이 각도 조절 가능한 USB 냉각 팬 침대 노트북 책상, 높이 조절 가능, 접기 쉬움</v>
      </c>
      <c r="F107" s="1" t="str">
        <f>IFERROR(__xludf.DUMMYFUNCTION("CONCATENATE(GOOGLETRANSLATE(C107, ""en"", ""ja""))"),"折りたたみ式高さ角度調整可能なUSB冷却ファンベッドノートパソコンデスク、高さ調整可能、折りたたみ簡単")</f>
        <v>折りたたみ式高さ角度調整可能なUSB冷却ファンベッドノートパソコンデスク、高さ調整可能、折りたたみ簡単</v>
      </c>
    </row>
    <row r="108" ht="15.75" customHeight="1">
      <c r="A108" s="1">
        <v>1573.0</v>
      </c>
      <c r="B108" s="1" t="s">
        <v>15</v>
      </c>
      <c r="C108" s="1" t="s">
        <v>98</v>
      </c>
      <c r="D108" s="1" t="str">
        <f>IFERROR(__xludf.DUMMYFUNCTION("CONCATENATE(GOOGLETRANSLATE(C108, ""en"", ""zh-cn""))
"),"50/60cm方形简易茶几收纳小桌子安装方便，承载能力大")</f>
        <v>50/60cm方形简易茶几收纳小桌子安装方便，承载能力大</v>
      </c>
      <c r="E108" s="1" t="str">
        <f>IFERROR(__xludf.DUMMYFUNCTION("CONCATENATE(GOOGLETRANSLATE(C108, ""en"", ""ko""))
"),"50/60cm 정사각형 간단한 커피 테이블 보관소 작은 테이블 쉬운 설치, 큰 적재 용량")</f>
        <v>50/60cm 정사각형 간단한 커피 테이블 보관소 작은 테이블 쉬운 설치, 큰 적재 용량</v>
      </c>
      <c r="F108" s="1" t="str">
        <f>IFERROR(__xludf.DUMMYFUNCTION("CONCATENATE(GOOGLETRANSLATE(C108, ""en"", ""ja""))"),"50/60 センチメートル正方形シンプルなコーヒーテーブル収納小さなテーブル簡単なインストール、大積載量")</f>
        <v>50/60 センチメートル正方形シンプルなコーヒーテーブル収納小さなテーブル簡単なインストール、大積載量</v>
      </c>
    </row>
    <row r="109" ht="15.75" customHeight="1">
      <c r="A109" s="1">
        <v>1574.0</v>
      </c>
      <c r="B109" s="1" t="s">
        <v>15</v>
      </c>
      <c r="C109" s="1" t="s">
        <v>99</v>
      </c>
      <c r="D109" s="1" t="str">
        <f>IFERROR(__xludf.DUMMYFUNCTION("CONCATENATE(GOOGLETRANSLATE(C109, ""en"", ""zh-cn""))
"),"50/60cm三角简约茶几收纳小桌子安装方便，承载能力大")</f>
        <v>50/60cm三角简约茶几收纳小桌子安装方便，承载能力大</v>
      </c>
      <c r="E109" s="1" t="str">
        <f>IFERROR(__xludf.DUMMYFUNCTION("CONCATENATE(GOOGLETRANSLATE(C109, ""en"", ""ko""))
"),"50/60cm 삼각형 간단한 커피 테이블 보관소 작은 테이블 쉬운 설치, 큰 적재 용량")</f>
        <v>50/60cm 삼각형 간단한 커피 테이블 보관소 작은 테이블 쉬운 설치, 큰 적재 용량</v>
      </c>
      <c r="F109" s="1" t="str">
        <f>IFERROR(__xludf.DUMMYFUNCTION("CONCATENATE(GOOGLETRANSLATE(C109, ""en"", ""ja""))"),"50/60 センチメートル三角形シンプルなコーヒーテーブル収納小さなテーブル簡単なインストール、大積載量")</f>
        <v>50/60 センチメートル三角形シンプルなコーヒーテーブル収納小さなテーブル簡単なインストール、大積載量</v>
      </c>
    </row>
    <row r="110" ht="15.75" customHeight="1">
      <c r="A110" s="1">
        <v>1575.0</v>
      </c>
      <c r="B110" s="1" t="s">
        <v>15</v>
      </c>
      <c r="C110" s="1" t="s">
        <v>100</v>
      </c>
      <c r="D110" s="1" t="str">
        <f>IFERROR(__xludf.DUMMYFUNCTION("CONCATENATE(GOOGLETRANSLATE(C110, ""en"", ""zh-cn""))
"),"9 件装 30-100A ABS+铜汽车公母保险丝 7 色 PAL 替换配件")</f>
        <v>9 件装 30-100A ABS+铜汽车公母保险丝 7 色 PAL 替换配件</v>
      </c>
      <c r="E110" s="1" t="str">
        <f>IFERROR(__xludf.DUMMYFUNCTION("CONCATENATE(GOOGLETRANSLATE(C110, ""en"", ""ko""))
"),"9Pcs 30-100A ABS + 구리 자동 남성 여성 퓨즈 7 색 PAL 교체 액세서리")</f>
        <v>9Pcs 30-100A ABS + 구리 자동 남성 여성 퓨즈 7 색 PAL 교체 액세서리</v>
      </c>
      <c r="F110" s="1" t="str">
        <f>IFERROR(__xludf.DUMMYFUNCTION("CONCATENATE(GOOGLETRANSLATE(C110, ""en"", ""ja""))"),"9 個 30-100A ABS + 銅自動男性女性ヒューズ 7 色 PAL 交換アクセサリー")</f>
        <v>9 個 30-100A ABS + 銅自動男性女性ヒューズ 7 色 PAL 交換アクセサリー</v>
      </c>
    </row>
    <row r="111" ht="15.75" customHeight="1">
      <c r="A111" s="1">
        <v>1576.0</v>
      </c>
      <c r="B111" s="1" t="s">
        <v>15</v>
      </c>
      <c r="C111" s="1" t="s">
        <v>101</v>
      </c>
      <c r="D111" s="1" t="str">
        <f>IFERROR(__xludf.DUMMYFUNCTION("CONCATENATE(GOOGLETRANSLATE(C111, ""en"", ""zh-cn""))
"),"10 件不锈钢茎球模压手工压接金属柱 1/8 英寸电缆栏杆螺丝")</f>
        <v>10 件不锈钢茎球模压手工压接金属柱 1/8 英寸电缆栏杆螺丝</v>
      </c>
      <c r="E111" s="1" t="str">
        <f>IFERROR(__xludf.DUMMYFUNCTION("CONCATENATE(GOOGLETRANSLATE(C111, ""en"", ""ko""))
"),"10개 스테인레스 스틸 스템볼 스웨이지 핸드 크림프 금속 포스트 1/8"" 케이블 난간 나사")</f>
        <v>10개 스테인레스 스틸 스템볼 스웨이지 핸드 크림프 금속 포스트 1/8" 케이블 난간 나사</v>
      </c>
      <c r="F111" s="1" t="str">
        <f>IFERROR(__xludf.DUMMYFUNCTION("CONCATENATE(GOOGLETRANSLATE(C111, ""en"", ""ja""))"),"10 個のステンレス鋼ステムボール スエージ手圧着金属ポスト 1/8 インチ ケーブル手すりネジ")</f>
        <v>10 個のステンレス鋼ステムボール スエージ手圧着金属ポスト 1/8 インチ ケーブル手すりネジ</v>
      </c>
    </row>
    <row r="112" ht="15.75" customHeight="1">
      <c r="A112" s="1">
        <v>1577.0</v>
      </c>
      <c r="B112" s="1" t="s">
        <v>15</v>
      </c>
      <c r="C112" s="1" t="s">
        <v>102</v>
      </c>
      <c r="D112" s="1" t="str">
        <f>IFERROR(__xludf.DUMMYFUNCTION("CONCATENATE(GOOGLETRANSLATE(C112, ""en"", ""zh-cn""))
"),"单/双层顶部/底部/分层桌面塑料收纳盒化妆品收纳盒")</f>
        <v>单/双层顶部/底部/分层桌面塑料收纳盒化妆品收纳盒</v>
      </c>
      <c r="E112" s="1" t="str">
        <f>IFERROR(__xludf.DUMMYFUNCTION("CONCATENATE(GOOGLETRANSLATE(C112, ""en"", ""ko""))
"),"단일/이중 상단/하단/계층 데스크탑 플라스틱 주최자 메이크업 화장품 보관 상자")</f>
        <v>단일/이중 상단/하단/계층 데스크탑 플라스틱 주최자 메이크업 화장품 보관 상자</v>
      </c>
      <c r="F112" s="1" t="str">
        <f>IFERROR(__xludf.DUMMYFUNCTION("CONCATENATE(GOOGLETRANSLATE(C112, ""en"", ""ja""))"),"シングル/ダブルトップ/ボトム/ティアデスクトッププラスチックオーガナイザーメイクアップ化粧品収納ボックス")</f>
        <v>シングル/ダブルトップ/ボトム/ティアデスクトッププラスチックオーガナイザーメイクアップ化粧品収納ボックス</v>
      </c>
    </row>
    <row r="113" ht="15.75" customHeight="1">
      <c r="A113" s="1">
        <v>1578.0</v>
      </c>
      <c r="B113" s="1" t="s">
        <v>15</v>
      </c>
      <c r="C113" s="1" t="s">
        <v>103</v>
      </c>
      <c r="D113" s="1" t="str">
        <f>IFERROR(__xludf.DUMMYFUNCTION("CONCATENATE(GOOGLETRANSLATE(C113, ""en"", ""zh-cn""))
"),"20 颗 M3 至 M6 PC 透明螺丝 尼龙螺丝 塑料螺丝 螺母")</f>
        <v>20 颗 M3 至 M6 PC 透明螺丝 尼龙螺丝 塑料螺丝 螺母</v>
      </c>
      <c r="E113" s="1" t="str">
        <f>IFERROR(__xludf.DUMMYFUNCTION("CONCATENATE(GOOGLETRANSLATE(C113, ""en"", ""ko""))
"),"20개 M3 ~ M6 PC 투명 나사 나일론 나사 플라스틱 나사 너트")</f>
        <v>20개 M3 ~ M6 PC 투명 나사 나일론 나사 플라스틱 나사 너트</v>
      </c>
      <c r="F113" s="1" t="str">
        <f>IFERROR(__xludf.DUMMYFUNCTION("CONCATENATE(GOOGLETRANSLATE(C113, ""en"", ""ja""))"),"20 個 M3 から M6 PC 透明ネジナイロンネジプラスチックネジナット")</f>
        <v>20 個 M3 から M6 PC 透明ネジナイロンネジプラスチックネジナット</v>
      </c>
    </row>
    <row r="114" ht="15.75" customHeight="1">
      <c r="A114" s="1">
        <v>1579.0</v>
      </c>
      <c r="B114" s="1" t="s">
        <v>15</v>
      </c>
      <c r="C114" s="1" t="s">
        <v>104</v>
      </c>
      <c r="D114" s="1" t="str">
        <f>IFERROR(__xludf.DUMMYFUNCTION("CONCATENATE(GOOGLETRANSLATE(C114, ""en"", ""zh-cn""))
"),"便携式智能无钥匙行李箱门锁防盗指纹安全挂锁")</f>
        <v>便携式智能无钥匙行李箱门锁防盗指纹安全挂锁</v>
      </c>
      <c r="E114" s="1" t="str">
        <f>IFERROR(__xludf.DUMMYFUNCTION("CONCATENATE(GOOGLETRANSLATE(C114, ""en"", ""ko""))
"),"휴대용 스마트 열쇠가 없는 수하물 도어 잠금 장치 도난 방지 지문 보안 자물쇠")</f>
        <v>휴대용 스마트 열쇠가 없는 수하물 도어 잠금 장치 도난 방지 지문 보안 자물쇠</v>
      </c>
      <c r="F114" s="1" t="str">
        <f>IFERROR(__xludf.DUMMYFUNCTION("CONCATENATE(GOOGLETRANSLATE(C114, ""en"", ""ja""))"),"ポータブルスマートキーレス荷物ドアロック盗難防止指紋セキュリティ南京錠")</f>
        <v>ポータブルスマートキーレス荷物ドアロック盗難防止指紋セキュリティ南京錠</v>
      </c>
    </row>
    <row r="115" ht="15.75" customHeight="1">
      <c r="A115" s="1">
        <v>1580.0</v>
      </c>
      <c r="B115" s="1" t="s">
        <v>15</v>
      </c>
      <c r="C115" s="1" t="s">
        <v>105</v>
      </c>
      <c r="D115" s="1" t="str">
        <f>IFERROR(__xludf.DUMMYFUNCTION("CONCATENATE(GOOGLETRANSLATE(C115, ""en"", ""zh-cn""))
"),"4 张 5 硬币现金抽屉托盘储物盒适用于收银安全锁保险箱")</f>
        <v>4 张 5 硬币现金抽屉托盘储物盒适用于收银安全锁保险箱</v>
      </c>
      <c r="E115" s="1" t="str">
        <f>IFERROR(__xludf.DUMMYFUNCTION("CONCATENATE(GOOGLETRANSLATE(C115, ""en"", ""ko""))
"),"4 빌 5 동전 현금 서랍 트레이 보관함 출납원 돈 보안 잠금 장치 금고")</f>
        <v>4 빌 5 동전 현금 서랍 트레이 보관함 출납원 돈 보안 잠금 장치 금고</v>
      </c>
      <c r="F115" s="1" t="str">
        <f>IFERROR(__xludf.DUMMYFUNCTION("CONCATENATE(GOOGLETRANSLATE(C115, ""en"", ""ja""))"),"4紙幣5コインキャッシュドロワートレイ収納ボックスレジマネーセキュリティロックセーフティボックス")</f>
        <v>4紙幣5コインキャッシュドロワートレイ収納ボックスレジマネーセキュリティロックセーフティボックス</v>
      </c>
    </row>
    <row r="116" ht="15.75" customHeight="1">
      <c r="A116" s="1">
        <v>1581.0</v>
      </c>
      <c r="B116" s="1" t="s">
        <v>15</v>
      </c>
      <c r="C116" s="1" t="s">
        <v>106</v>
      </c>
      <c r="D116" s="1" t="str">
        <f>IFERROR(__xludf.DUMMYFUNCTION("CONCATENATE(GOOGLETRANSLATE(C116, ""en"", ""zh-cn""))
"),"Suleve™ M3AH6 10件 M3×8mm 内六角螺钉 圆头螺钉 7075 铝合金")</f>
        <v>Suleve™ M3AH6 10件 M3×8mm 内六角螺钉 圆头螺钉 7075 铝合金</v>
      </c>
      <c r="E116" s="1" t="str">
        <f>IFERROR(__xludf.DUMMYFUNCTION("CONCATENATE(GOOGLETRANSLATE(C116, ""en"", ""ko""))
"),"Suleve™ M3AH6 10개 M3×8mm 육각 소켓 나사 둥근 머리 캡 나사 7075 알루미늄 합금")</f>
        <v>Suleve™ M3AH6 10개 M3×8mm 육각 소켓 나사 둥근 머리 캡 나사 7075 알루미늄 합금</v>
      </c>
      <c r="F116" s="1" t="str">
        <f>IFERROR(__xludf.DUMMYFUNCTION("CONCATENATE(GOOGLETRANSLATE(C116, ""en"", ""ja""))"),"Suleve™ M3AH6 10 個 M3×8mm 六角穴付きネジ 丸頭キャップネジ 7075 アルミニウム合金")</f>
        <v>Suleve™ M3AH6 10 個 M3×8mm 六角穴付きネジ 丸頭キャップネジ 7075 アルミニウム合金</v>
      </c>
    </row>
    <row r="117" ht="15.75" customHeight="1">
      <c r="A117" s="1">
        <v>1582.0</v>
      </c>
      <c r="B117" s="1" t="s">
        <v>15</v>
      </c>
      <c r="C117" s="1" t="s">
        <v>107</v>
      </c>
      <c r="D117" s="1" t="str">
        <f>IFERROR(__xludf.DUMMYFUNCTION("CONCATENATE(GOOGLETRANSLATE(C117, ""en"", ""zh-cn""))
"),"Suleve™ M3AH7 10件 M3×10mm 内六角螺钉 圆头螺钉 7075 铝合金")</f>
        <v>Suleve™ M3AH7 10件 M3×10mm 内六角螺钉 圆头螺钉 7075 铝合金</v>
      </c>
      <c r="E117" s="1" t="str">
        <f>IFERROR(__xludf.DUMMYFUNCTION("CONCATENATE(GOOGLETRANSLATE(C117, ""en"", ""ko""))
"),"Suleve™ M3AH7 10개 M3×10mm 육각 소켓 나사 둥근 머리 캡 나사 7075 알루미늄 합금")</f>
        <v>Suleve™ M3AH7 10개 M3×10mm 육각 소켓 나사 둥근 머리 캡 나사 7075 알루미늄 합금</v>
      </c>
      <c r="F117" s="1" t="str">
        <f>IFERROR(__xludf.DUMMYFUNCTION("CONCATENATE(GOOGLETRANSLATE(C117, ""en"", ""ja""))"),"Suleve™ M3AH7 10 個 M3×10mm 六角穴付きネジ 丸頭キャップネジ 7075 アルミニウム合金")</f>
        <v>Suleve™ M3AH7 10 個 M3×10mm 六角穴付きネジ 丸頭キャップネジ 7075 アルミニウム合金</v>
      </c>
    </row>
    <row r="118" ht="15.75" customHeight="1">
      <c r="A118" s="1">
        <v>1583.0</v>
      </c>
      <c r="B118" s="1" t="s">
        <v>15</v>
      </c>
      <c r="C118" s="1" t="s">
        <v>108</v>
      </c>
      <c r="D118" s="1" t="str">
        <f>IFERROR(__xludf.DUMMYFUNCTION("CONCATENATE(GOOGLETRANSLATE(C118, ""en"", ""zh-cn""))
"),"厨房拉出式冷漆面灵活冷热混合水龙头甲板安装旋转")</f>
        <v>厨房拉出式冷漆面灵活冷热混合水龙头甲板安装旋转</v>
      </c>
      <c r="E118" s="1" t="str">
        <f>IFERROR(__xludf.DUMMYFUNCTION("CONCATENATE(GOOGLETRANSLATE(C118, ""en"", ""ko""))
"),"주방 풀 아웃 쿨 페인트 마감 유연한 냉온 믹서 탭 데크 마운트 회전")</f>
        <v>주방 풀 아웃 쿨 페인트 마감 유연한 냉온 믹서 탭 데크 마운트 회전</v>
      </c>
      <c r="F118" s="1" t="str">
        <f>IFERROR(__xludf.DUMMYFUNCTION("CONCATENATE(GOOGLETRANSLATE(C118, ""en"", ""ja""))"),"キッチン引き出しクール塗装仕上げフレキシブルホットおよびコールドミキサータップデッキマウントスイベル")</f>
        <v>キッチン引き出しクール塗装仕上げフレキシブルホットおよびコールドミキサータップデッキマウントスイベル</v>
      </c>
    </row>
    <row r="119" ht="15.75" customHeight="1">
      <c r="A119" s="1">
        <v>1584.0</v>
      </c>
      <c r="B119" s="1" t="s">
        <v>15</v>
      </c>
      <c r="C119" s="1" t="s">
        <v>109</v>
      </c>
      <c r="D119" s="1" t="str">
        <f>IFERROR(__xludf.DUMMYFUNCTION("CONCATENATE(GOOGLETRANSLATE(C119, ""en"", ""zh-cn""))
"),"厨房喷头旋转水槽下拉式预冲洗水龙头水龙头喷雾器替换零件")</f>
        <v>厨房喷头旋转水槽下拉式预冲洗水龙头水龙头喷雾器替换零件</v>
      </c>
      <c r="E119" s="1" t="str">
        <f>IFERROR(__xludf.DUMMYFUNCTION("CONCATENATE(GOOGLETRANSLATE(C119, ""en"", ""ko""))
"),"주방 스프레이 헤드 회전 싱크 풀다운 프리 린스 수도꼭지 탭 분무기 교체 부품")</f>
        <v>주방 스프레이 헤드 회전 싱크 풀다운 프리 린스 수도꼭지 탭 분무기 교체 부품</v>
      </c>
      <c r="F119" s="1" t="str">
        <f>IFERROR(__xludf.DUMMYFUNCTION("CONCATENATE(GOOGLETRANSLATE(C119, ""en"", ""ja""))"),"キッチンスプレーヘッドスイベルシンクプルダウンプレリンス蛇口タップスプレーヤの交換部品")</f>
        <v>キッチンスプレーヘッドスイベルシンクプルダウンプレリンス蛇口タップスプレーヤの交換部品</v>
      </c>
    </row>
    <row r="120" ht="15.75" customHeight="1">
      <c r="A120" s="1">
        <v>1585.0</v>
      </c>
      <c r="B120" s="1" t="s">
        <v>15</v>
      </c>
      <c r="C120" s="1" t="s">
        <v>110</v>
      </c>
      <c r="D120" s="1" t="str">
        <f>IFERROR(__xludf.DUMMYFUNCTION("CONCATENATE(GOOGLETRANSLATE(C120, ""en"", ""zh-cn""))
"),"Suleve™ M2NH2 M2 尼龙螺丝白色六角螺丝螺母尼龙 PCB 支架分类套件 140 件")</f>
        <v>Suleve™ M2NH2 M2 尼龙螺丝白色六角螺丝螺母尼龙 PCB 支架分类套件 140 件</v>
      </c>
      <c r="E120" s="1" t="str">
        <f>IFERROR(__xludf.DUMMYFUNCTION("CONCATENATE(GOOGLETRANSLATE(C120, ""en"", ""ko""))
"),"Suleve™ M2NH2 M2 나일론 나사 흰색 육각 나사 너트 나일론 PCB 스탠드오프 분류 키트 140개")</f>
        <v>Suleve™ M2NH2 M2 나일론 나사 흰색 육각 나사 너트 나일론 PCB 스탠드오프 분류 키트 140개</v>
      </c>
      <c r="F120" s="1" t="str">
        <f>IFERROR(__xludf.DUMMYFUNCTION("CONCATENATE(GOOGLETRANSLATE(C120, ""en"", ""ja""))"),"Suleve™ M2NH2 M2 ナイロンネジ白六角ネジナットナイロン PCB スタンドオフ詰め合わせキット 140 個")</f>
        <v>Suleve™ M2NH2 M2 ナイロンネジ白六角ネジナットナイロン PCB スタンドオフ詰め合わせキット 140 個</v>
      </c>
    </row>
    <row r="121" ht="15.75" customHeight="1">
      <c r="A121" s="1">
        <v>1586.0</v>
      </c>
      <c r="B121" s="1" t="s">
        <v>15</v>
      </c>
      <c r="C121" s="1" t="s">
        <v>111</v>
      </c>
      <c r="D121" s="1" t="str">
        <f>IFERROR(__xludf.DUMMYFUNCTION("CONCATENATE(GOOGLETRANSLATE(C121, ""en"", ""zh-cn""))
"),"餐厅椅子座套防滑弹力婚宴派对可拆卸弹力摇粒绒斜纹酒吧凳椅套套酒店柜台装饰")</f>
        <v>餐厅椅子座套防滑弹力婚宴派对可拆卸弹力摇粒绒斜纹酒吧凳椅套套酒店柜台装饰</v>
      </c>
      <c r="E121" s="1" t="str">
        <f>IFERROR(__xludf.DUMMYFUNCTION("CONCATENATE(GOOGLETRANSLATE(C121, ""en"", ""ko""))
"),"다이닝 룸 의자 시트 커버 슬립 스트레치 웨딩 연회 파티 이동식 스트레치 폴라 플리스 능직 바 의자 의자 커버 슬리퍼 호텔 카운터 장식")</f>
        <v>다이닝 룸 의자 시트 커버 슬립 스트레치 웨딩 연회 파티 이동식 스트레치 폴라 플리스 능직 바 의자 의자 커버 슬리퍼 호텔 카운터 장식</v>
      </c>
      <c r="F121" s="1" t="str">
        <f>IFERROR(__xludf.DUMMYFUNCTION("CONCATENATE(GOOGLETRANSLATE(C121, ""en"", ""ja""))"),"ダイニングルーム椅子シートカバースリップストレッチ結婚式宴会パーティー取り外し可能ストレッチポーラーフリースツイルバースツール椅子カバースリップカバーホテルカウンター装飾")</f>
        <v>ダイニングルーム椅子シートカバースリップストレッチ結婚式宴会パーティー取り外し可能ストレッチポーラーフリースツイルバースツール椅子カバースリップカバーホテルカウンター装飾</v>
      </c>
    </row>
    <row r="122" ht="15.75" customHeight="1">
      <c r="A122" s="1">
        <v>1587.0</v>
      </c>
      <c r="B122" s="1" t="s">
        <v>15</v>
      </c>
      <c r="C122" s="1" t="s">
        <v>112</v>
      </c>
      <c r="D122" s="1" t="str">
        <f>IFERROR(__xludf.DUMMYFUNCTION("CONCATENATE(GOOGLETRANSLATE(C122, ""en"", ""zh-cn""))
"),"Suleve™ CJ40 T 槽 3 路 90 度内角连接器连接支架，适用于 4040 系列铝型材")</f>
        <v>Suleve™ CJ40 T 槽 3 路 90 度内角连接器连接支架，适用于 4040 系列铝型材</v>
      </c>
      <c r="E122" s="1" t="str">
        <f>IFERROR(__xludf.DUMMYFUNCTION("CONCATENATE(GOOGLETRANSLATE(C122, ""en"", ""ko""))
"),"Suleve™ CJ40 T 슬롯 3방향 90도 내부 코너 커넥터 조인트 브래킷(4040 시리즈 알루미늄 프로파일용)")</f>
        <v>Suleve™ CJ40 T 슬롯 3방향 90도 내부 코너 커넥터 조인트 브래킷(4040 시리즈 알루미늄 프로파일용)</v>
      </c>
      <c r="F122" s="1" t="str">
        <f>IFERROR(__xludf.DUMMYFUNCTION("CONCATENATE(GOOGLETRANSLATE(C122, ""en"", ""ja""))"),"Suleve™ CJ40 T スロット 3 ウェイ 90 度 4040 シリーズ アルミニウム プロファイル用インサイド コーナー コネクタ ジョイント ブラケット")</f>
        <v>Suleve™ CJ40 T スロット 3 ウェイ 90 度 4040 シリーズ アルミニウム プロファイル用インサイド コーナー コネクタ ジョイント ブラケット</v>
      </c>
    </row>
    <row r="123" ht="15.75" customHeight="1">
      <c r="A123" s="1">
        <v>1588.0</v>
      </c>
      <c r="B123" s="1" t="s">
        <v>15</v>
      </c>
      <c r="C123" s="1" t="s">
        <v>113</v>
      </c>
      <c r="D123" s="1" t="str">
        <f>IFERROR(__xludf.DUMMYFUNCTION("CONCATENATE(GOOGLETRANSLATE(C123, ""en"", ""zh-cn""))
"),"7 件/套 3D 墙贴花自粘防水面板壁纸")</f>
        <v>7 件/套 3D 墙贴花自粘防水面板壁纸</v>
      </c>
      <c r="E123" s="1" t="str">
        <f>IFERROR(__xludf.DUMMYFUNCTION("CONCATENATE(GOOGLETRANSLATE(C123, ""en"", ""ko""))
"),"7개 세트/3D 벽 데칼 스티커 자체 접착식 방수 패널 벽지")</f>
        <v>7개 세트/3D 벽 데칼 스티커 자체 접착식 방수 패널 벽지</v>
      </c>
      <c r="F123" s="1" t="str">
        <f>IFERROR(__xludf.DUMMYFUNCTION("CONCATENATE(GOOGLETRANSLATE(C123, ""en"", ""ja""))"),"7 ピース/セット 3D ウォールデカールステッカー自己粘着防水パネル壁紙")</f>
        <v>7 ピース/セット 3D ウォールデカールステッカー自己粘着防水パネル壁紙</v>
      </c>
    </row>
    <row r="124" ht="15.75" customHeight="1">
      <c r="A124" s="1">
        <v>1589.0</v>
      </c>
      <c r="B124" s="1" t="s">
        <v>15</v>
      </c>
      <c r="C124" s="1" t="s">
        <v>114</v>
      </c>
      <c r="D124" s="1" t="str">
        <f>IFERROR(__xludf.DUMMYFUNCTION("CONCATENATE(GOOGLETRANSLATE(C124, ""en"", ""zh-cn""))
"),"吊床椅悬挂套件秋千椅固定配件不锈钢")</f>
        <v>吊床椅悬挂套件秋千椅固定配件不锈钢</v>
      </c>
      <c r="E124" s="1" t="str">
        <f>IFERROR(__xludf.DUMMYFUNCTION("CONCATENATE(GOOGLETRANSLATE(C124, ""en"", ""ko""))
"),"해먹 의자 걸이 키트 스윙 의자 고정 액세서리 스테인레스 스틸")</f>
        <v>해먹 의자 걸이 키트 스윙 의자 고정 액세서리 스테인레스 스틸</v>
      </c>
      <c r="F124" s="1" t="str">
        <f>IFERROR(__xludf.DUMMYFUNCTION("CONCATENATE(GOOGLETRANSLATE(C124, ""en"", ""ja""))"),"ハンモックチェアハンギングキットスイングチェア固定アクセサリーステンレス鋼")</f>
        <v>ハンモックチェアハンギングキットスイングチェア固定アクセサリーステンレス鋼</v>
      </c>
    </row>
    <row r="125" ht="15.75" customHeight="1">
      <c r="A125" s="1">
        <v>1590.0</v>
      </c>
      <c r="B125" s="1" t="s">
        <v>15</v>
      </c>
      <c r="C125" s="1" t="s">
        <v>115</v>
      </c>
      <c r="D125" s="1" t="str">
        <f>IFERROR(__xludf.DUMMYFUNCTION("CONCATENATE(GOOGLETRANSLATE(C125, ""en"", ""zh-cn""))
"),"厨房面盆水槽水龙头 360° 旋转拉出式喷雾器冷热混合水龙头单手柄黄铜饰面甲板安装 ")</f>
        <v>厨房面盆水槽水龙头 360° 旋转拉出式喷雾器冷热混合水龙头单手柄黄铜饰面甲板安装 </v>
      </c>
      <c r="E125" s="1" t="str">
        <f>IFERROR(__xludf.DUMMYFUNCTION("CONCATENATE(GOOGLETRANSLATE(C125, ""en"", ""ko""))
"),"주방 분지 싱크 수도꼭지 360° 회전 풀아웃 분무기 핫 콜드 믹서 탭 싱글 핸들 황동 마감 데크 마운트 ")</f>
        <v>주방 분지 싱크 수도꼭지 360° 회전 풀아웃 분무기 핫 콜드 믹서 탭 싱글 핸들 황동 마감 데크 마운트 </v>
      </c>
      <c r="F125" s="1" t="str">
        <f>IFERROR(__xludf.DUMMYFUNCTION("CONCATENATE(GOOGLETRANSLATE(C125, ""en"", ""ja""))"),"キッチン洗面台のシンクの蛇口 360 度回転引き出し式噴霧器ホットコールドミキサータップシングルハンドル真鍮仕上げデッキマウント ")</f>
        <v>キッチン洗面台のシンクの蛇口 360 度回転引き出し式噴霧器ホットコールドミキサータップシングルハンドル真鍮仕上げデッキマウント </v>
      </c>
    </row>
    <row r="126" ht="15.75" customHeight="1">
      <c r="A126" s="1">
        <v>1591.0</v>
      </c>
      <c r="B126" s="1" t="s">
        <v>15</v>
      </c>
      <c r="C126" s="1" t="s">
        <v>116</v>
      </c>
      <c r="D126" s="1" t="str">
        <f>IFERROR(__xludf.DUMMYFUNCTION("CONCATENATE(GOOGLETRANSLATE(C126, ""en"", ""zh-cn""))
"),"DC 12V 60kg 可视安装门柜磁力锁门禁系统")</f>
        <v>DC 12V 60kg 可视安装门柜磁力锁门禁系统</v>
      </c>
      <c r="E126" s="1" t="str">
        <f>IFERROR(__xludf.DUMMYFUNCTION("CONCATENATE(GOOGLETRANSLATE(C126, ""en"", ""ko""))
"),"DC 12V 60kg 눈에 보이는 설치 도어 캐비닛 자석 잠금 장치 출입 통제 시스템")</f>
        <v>DC 12V 60kg 눈에 보이는 설치 도어 캐비닛 자석 잠금 장치 출입 통제 시스템</v>
      </c>
      <c r="F126" s="1" t="str">
        <f>IFERROR(__xludf.DUMMYFUNCTION("CONCATENATE(GOOGLETRANSLATE(C126, ""en"", ""ja""))"),"DC 12V 60kg 目に見える設置ドアキャビネット磁気ロックアクセス制御システム")</f>
        <v>DC 12V 60kg 目に見える設置ドアキャビネット磁気ロックアクセス制御システム</v>
      </c>
    </row>
    <row r="127" ht="15.75" customHeight="1">
      <c r="A127" s="1">
        <v>1592.0</v>
      </c>
      <c r="B127" s="1" t="s">
        <v>15</v>
      </c>
      <c r="C127" s="1" t="s">
        <v>117</v>
      </c>
      <c r="D127" s="1" t="str">
        <f>IFERROR(__xludf.DUMMYFUNCTION("CONCATENATE(GOOGLETRANSLATE(C127, ""en"", ""zh-cn""))
"),"可折叠透明塑料鞋盒储物收纳盒可堆叠整齐展示盒篮")</f>
        <v>可折叠透明塑料鞋盒储物收纳盒可堆叠整齐展示盒篮</v>
      </c>
      <c r="E127" s="1" t="str">
        <f>IFERROR(__xludf.DUMMYFUNCTION("CONCATENATE(GOOGLETRANSLATE(C127, ""en"", ""ko""))
"),"접이식 투명 플라스틱 신발 상자 보관 주최자 쌓을 수 있는 깔끔한 디스플레이 상자 바구니")</f>
        <v>접이식 투명 플라스틱 신발 상자 보관 주최자 쌓을 수 있는 깔끔한 디스플레이 상자 바구니</v>
      </c>
      <c r="F127" s="1" t="str">
        <f>IFERROR(__xludf.DUMMYFUNCTION("CONCATENATE(GOOGLETRANSLATE(C127, ""en"", ""ja""))"),"折りたたみ可能な透明なプラスチック靴箱収納オーガナイザー積み重ね可能なきちんとしたディスプレイボックスバスケット")</f>
        <v>折りたたみ可能な透明なプラスチック靴箱収納オーガナイザー積み重ね可能なきちんとしたディスプレイボックスバスケット</v>
      </c>
    </row>
    <row r="128" ht="15.75" customHeight="1">
      <c r="A128" s="1">
        <v>1593.0</v>
      </c>
      <c r="B128" s="1" t="s">
        <v>15</v>
      </c>
      <c r="C128" s="1" t="s">
        <v>118</v>
      </c>
      <c r="D128" s="1" t="str">
        <f>IFERROR(__xludf.DUMMYFUNCTION("CONCATENATE(GOOGLETRANSLATE(C128, ""en"", ""zh-cn""))
"),"升级升降脚凳 6 档可调高度脚踩平台适合家庭办公室")</f>
        <v>升级升降脚凳 6 档可调高度脚踩平台适合家庭办公室</v>
      </c>
      <c r="E128" s="1" t="str">
        <f>IFERROR(__xludf.DUMMYFUNCTION("CONCATENATE(GOOGLETRANSLATE(C128, ""en"", ""ko""))
"),"리프팅 발판 업그레이드 6 기어 홈 오피스용 높이 조절 가능 발 스테핑 플랫폼")</f>
        <v>리프팅 발판 업그레이드 6 기어 홈 오피스용 높이 조절 가능 발 스테핑 플랫폼</v>
      </c>
      <c r="F128" s="1" t="str">
        <f>IFERROR(__xludf.DUMMYFUNCTION("CONCATENATE(GOOGLETRANSLATE(C128, ""en"", ""ja""))"),"アップグレードリフティングフットスツール6ギア高さ調節可能なフットステッピングプラットフォームホームオフィス用")</f>
        <v>アップグレードリフティングフットスツール6ギア高さ調節可能なフットステッピングプラットフォームホームオフィス用</v>
      </c>
    </row>
    <row r="129" ht="15.75" customHeight="1">
      <c r="A129" s="1">
        <v>1594.0</v>
      </c>
      <c r="B129" s="1" t="s">
        <v>15</v>
      </c>
      <c r="C129" s="1" t="s">
        <v>119</v>
      </c>
      <c r="D129" s="1" t="str">
        <f>IFERROR(__xludf.DUMMYFUNCTION("CONCATENATE(GOOGLETRANSLATE(C129, ""en"", ""zh-cn""))
"),"2 件套靠背椅套沙发椅套氨纶弹力弹性靠背椅套躺椅扶手椅保护套")</f>
        <v>2 件套靠背椅套沙发椅套氨纶弹力弹性靠背椅套躺椅扶手椅保护套</v>
      </c>
      <c r="E129" s="1" t="str">
        <f>IFERROR(__xludf.DUMMYFUNCTION("CONCATENATE(GOOGLETRANSLATE(C129, ""en"", ""ko""))
"),"2 조각 윙백 의자 슬립 커버 소파 의자 커버 스판덱스 스트레치 탄성 윙 백 슬립 의자 커버 안락 의자 팔 의자 보호대")</f>
        <v>2 조각 윙백 의자 슬립 커버 소파 의자 커버 스판덱스 스트레치 탄성 윙 백 슬립 의자 커버 안락 의자 팔 의자 보호대</v>
      </c>
      <c r="F129" s="1" t="str">
        <f>IFERROR(__xludf.DUMMYFUNCTION("CONCATENATE(GOOGLETRANSLATE(C129, ""en"", ""ja""))"),"2 ピースウィングバックチェアスリップカバーソファチェアカバースパンデックスストレッチ弾性ウィングバックスリップチェアカバーリクライニングアームチェアプロテクター")</f>
        <v>2 ピースウィングバックチェアスリップカバーソファチェアカバースパンデックスストレッチ弾性ウィングバックスリップチェアカバーリクライニングアームチェアプロテクター</v>
      </c>
    </row>
    <row r="130" ht="15.75" customHeight="1">
      <c r="A130" s="1">
        <v>1595.0</v>
      </c>
      <c r="B130" s="1" t="s">
        <v>15</v>
      </c>
      <c r="C130" s="1" t="s">
        <v>120</v>
      </c>
      <c r="D130" s="1" t="str">
        <f>IFERROR(__xludf.DUMMYFUNCTION("CONCATENATE(GOOGLETRANSLATE(C130, ""en"", ""zh-cn""))
"),"可调节可移动底座洗衣底座支架适用于洗衣机烘干机冰箱")</f>
        <v>可调节可移动底座洗衣底座支架适用于洗衣机烘干机冰箱</v>
      </c>
      <c r="E130" s="1" t="str">
        <f>IFERROR(__xludf.DUMMYFUNCTION("CONCATENATE(GOOGLETRANSLATE(C130, ""en"", ""ko""))
"),"세탁기 건조기 냉장고용 조절 가능한 이동식 베이스 세탁 받침대 스탠드 브라켓")</f>
        <v>세탁기 건조기 냉장고용 조절 가능한 이동식 베이스 세탁 받침대 스탠드 브라켓</v>
      </c>
      <c r="F130" s="1" t="str">
        <f>IFERROR(__xludf.DUMMYFUNCTION("CONCATENATE(GOOGLETRANSLATE(C130, ""en"", ""ja""))"),"調節可能な可動ベースランドリーペデスタルスタンドブラケット洗濯機乾燥機冷蔵庫用")</f>
        <v>調節可能な可動ベースランドリーペデスタルスタンドブラケット洗濯機乾燥機冷蔵庫用</v>
      </c>
    </row>
    <row r="131" ht="15.75" customHeight="1">
      <c r="A131" s="1">
        <v>1596.0</v>
      </c>
      <c r="B131" s="1" t="s">
        <v>15</v>
      </c>
      <c r="C131" s="1" t="s">
        <v>121</v>
      </c>
      <c r="D131" s="1" t="str">
        <f>IFERROR(__xludf.DUMMYFUNCTION("CONCATENATE(GOOGLETRANSLATE(C131, ""en"", ""zh-cn""))
"),"便携式尼龙旅行收纳袋袋袋箱行李化妆品收纳袋")</f>
        <v>便携式尼龙旅行收纳袋袋袋箱行李化妆品收纳袋</v>
      </c>
      <c r="E131" s="1" t="str">
        <f>IFERROR(__xludf.DUMMYFUNCTION("CONCATENATE(GOOGLETRANSLATE(C131, ""en"", ""ko""))
"),"휴대용 나일론 여행용 수납 가방 파우치 가방 케이스 수하물 화장품 정리함")</f>
        <v>휴대용 나일론 여행용 수납 가방 파우치 가방 케이스 수하물 화장품 정리함</v>
      </c>
      <c r="F131" s="1" t="str">
        <f>IFERROR(__xludf.DUMMYFUNCTION("CONCATENATE(GOOGLETRANSLATE(C131, ""en"", ""ja""))"),"ポータブルナイロントラベルストレージバッグポーチバッグケース荷物化粧品オーガナイザー")</f>
        <v>ポータブルナイロントラベルストレージバッグポーチバッグケース荷物化粧品オーガナイザー</v>
      </c>
    </row>
    <row r="132" ht="15.75" customHeight="1">
      <c r="A132" s="1">
        <v>1597.0</v>
      </c>
      <c r="B132" s="1" t="s">
        <v>15</v>
      </c>
      <c r="C132" s="1" t="s">
        <v>122</v>
      </c>
      <c r="D132" s="1" t="str">
        <f>IFERROR(__xludf.DUMMYFUNCTION("CONCATENATE(GOOGLETRANSLATE(C132, ""en"", ""zh-cn""))
"),"化妆抽屉收纳盒化妆品珠宝桌面塑料家居收纳盒")</f>
        <v>化妆抽屉收纳盒化妆品珠宝桌面塑料家居收纳盒</v>
      </c>
      <c r="E132" s="1" t="str">
        <f>IFERROR(__xludf.DUMMYFUNCTION("CONCATENATE(GOOGLETRANSLATE(C132, ""en"", ""ko""))
"),"메이크업 서랍 보관 상자 화장품 보석 데스크탑 플라스틱 홈 정리 케이스")</f>
        <v>메이크업 서랍 보관 상자 화장품 보석 데스크탑 플라스틱 홈 정리 케이스</v>
      </c>
      <c r="F132" s="1" t="str">
        <f>IFERROR(__xludf.DUMMYFUNCTION("CONCATENATE(GOOGLETRANSLATE(C132, ""en"", ""ja""))"),"化粧引き出し収納ボックス化粧品ジュエリーデスクトッププラスチックホームオーガナイザーケース")</f>
        <v>化粧引き出し収納ボックス化粧品ジュエリーデスクトッププラスチックホームオーガナイザーケース</v>
      </c>
    </row>
    <row r="133" ht="15.75" customHeight="1">
      <c r="A133" s="1">
        <v>1598.0</v>
      </c>
      <c r="B133" s="1" t="s">
        <v>15</v>
      </c>
      <c r="C133" s="1" t="s">
        <v>123</v>
      </c>
      <c r="D133" s="1" t="str">
        <f>IFERROR(__xludf.DUMMYFUNCTION("CONCATENATE(GOOGLETRANSLATE(C133, ""en"", ""zh-cn""))
"),"25 件装 M3 内螺纹六角隔离柱黄铜支座垫片 ")</f>
        <v>25 件装 M3 内螺纹六角隔离柱黄铜支座垫片 </v>
      </c>
      <c r="E133" s="1" t="str">
        <f>IFERROR(__xludf.DUMMYFUNCTION("CONCATENATE(GOOGLETRANSLATE(C133, ""en"", ""ko""))
"),"25개 M3 암나사 육각형 절연 컬럼 황동 스탠드오프 스페이서 ")</f>
        <v>25개 M3 암나사 육각형 절연 컬럼 황동 스탠드오프 스페이서 </v>
      </c>
      <c r="F133" s="1" t="str">
        <f>IFERROR(__xludf.DUMMYFUNCTION("CONCATENATE(GOOGLETRANSLATE(C133, ""en"", ""ja""))"),"25 個 M3 雌ネジ六角絶縁コラム真鍮スタンドオフ スペーサー ")</f>
        <v>25 個 M3 雌ネジ六角絶縁コラム真鍮スタンドオフ スペーサー </v>
      </c>
    </row>
    <row r="134" ht="15.75" customHeight="1">
      <c r="A134" s="1">
        <v>1599.0</v>
      </c>
      <c r="B134" s="1" t="s">
        <v>15</v>
      </c>
      <c r="C134" s="1" t="s">
        <v>124</v>
      </c>
      <c r="D134" s="1" t="str">
        <f>IFERROR(__xludf.DUMMYFUNCTION("CONCATENATE(GOOGLETRANSLATE(C134, ""en"", ""zh-cn""))
"),"Suleve™ M2NC1 20 颗 M2 黑色圆形尼龙螺丝 十字圆头螺丝 螺栓 ")</f>
        <v>Suleve™ M2NC1 20 颗 M2 黑色圆形尼龙螺丝 十字圆头螺丝 螺栓 </v>
      </c>
      <c r="E134" s="1" t="str">
        <f>IFERROR(__xludf.DUMMYFUNCTION("CONCATENATE(GOOGLETRANSLATE(C134, ""en"", ""ko""))
"),"Suleve™ M2NC1 20개 M2 검정색 원형 나일론 나사 십자형 둥근 머리 나사 볼트 ")</f>
        <v>Suleve™ M2NC1 20개 M2 검정색 원형 나일론 나사 십자형 둥근 머리 나사 볼트 </v>
      </c>
      <c r="F134" s="1" t="str">
        <f>IFERROR(__xludf.DUMMYFUNCTION("CONCATENATE(GOOGLETRANSLATE(C134, ""en"", ""ja""))"),"Suleve™ M2NC1 20 個 M2 黒丸ナイロンネジクロス丸頭ネジボルト ")</f>
        <v>Suleve™ M2NC1 20 個 M2 黒丸ナイロンネジクロス丸頭ネジボルト </v>
      </c>
    </row>
    <row r="135" ht="15.75" customHeight="1">
      <c r="A135" s="1">
        <v>1600.0</v>
      </c>
      <c r="B135" s="1" t="s">
        <v>15</v>
      </c>
      <c r="C135" s="1" t="s">
        <v>125</v>
      </c>
      <c r="D135" s="1" t="str">
        <f>IFERROR(__xludf.DUMMYFUNCTION("CONCATENATE(GOOGLETRANSLATE(C135, ""en"", ""zh-cn""))
"),"金属书架字母杂志收纳架托盘架办公桌收纳架")</f>
        <v>金属书架字母杂志收纳架托盘架办公桌收纳架</v>
      </c>
      <c r="E135" s="1" t="str">
        <f>IFERROR(__xludf.DUMMYFUNCTION("CONCATENATE(GOOGLETRANSLATE(C135, ""en"", ""ko""))
"),"금속 책장 편지 잡지 보관함 트레이 홀더 책상 정리")</f>
        <v>금속 책장 편지 잡지 보관함 트레이 홀더 책상 정리</v>
      </c>
      <c r="F135" s="1" t="str">
        <f>IFERROR(__xludf.DUMMYFUNCTION("CONCATENATE(GOOGLETRANSLATE(C135, ""en"", ""ja""))"),"金属本棚レターマガジン収納ラックトレイホルダーデスク整理")</f>
        <v>金属本棚レターマガジン収納ラックトレイホルダーデスク整理</v>
      </c>
    </row>
    <row r="136" ht="15.75" customHeight="1">
      <c r="A136" s="1">
        <v>1601.0</v>
      </c>
      <c r="B136" s="1" t="s">
        <v>15</v>
      </c>
      <c r="C136" s="1" t="s">
        <v>126</v>
      </c>
      <c r="D136" s="1" t="str">
        <f>IFERROR(__xludf.DUMMYFUNCTION("CONCATENATE(GOOGLETRANSLATE(C136, ""en"", ""zh-cn""))
"),"4 件装古董水桶脚钉脚钉钉子行李箱包行李箱装饰钉脚钉 ")</f>
        <v>4 件装古董水桶脚钉脚钉钉子行李箱包行李箱装饰钉脚钉 </v>
      </c>
      <c r="E136" s="1" t="str">
        <f>IFERROR(__xludf.DUMMYFUNCTION("CONCATENATE(GOOGLETRANSLATE(C136, ""en"", ""ko""))
"),"4pcs 골동품 양동이 발 손톱 스파이크 Brads 수하물 가방 가방 Ail 장식 손톱 발 ")</f>
        <v>4pcs 골동품 양동이 발 손톱 스파이크 Brads 수하물 가방 가방 Ail 장식 손톱 발 </v>
      </c>
      <c r="F136" s="1" t="str">
        <f>IFERROR(__xludf.DUMMYFUNCTION("CONCATENATE(GOOGLETRANSLATE(C136, ""en"", ""ja""))"),"4 個アンティークバケツフットネイルスパイクブラッド荷物バッグスーツケース Ail 装飾ネイルフット ")</f>
        <v>4 個アンティークバケツフットネイルスパイクブラッド荷物バッグスーツケース Ail 装飾ネイルフット </v>
      </c>
    </row>
    <row r="137" ht="15.75" customHeight="1">
      <c r="A137" s="1">
        <v>1602.0</v>
      </c>
      <c r="B137" s="1" t="s">
        <v>15</v>
      </c>
      <c r="C137" s="1" t="s">
        <v>127</v>
      </c>
      <c r="D137" s="1" t="str">
        <f>IFERROR(__xludf.DUMMYFUNCTION("CONCATENATE(GOOGLETRANSLATE(C137, ""en"", ""zh-cn""))
"),"100 件聚乙烯邮寄信封运输包装塑料自封环袋")</f>
        <v>100 件聚乙烯邮寄信封运输包装塑料自封环袋</v>
      </c>
      <c r="E137" s="1" t="str">
        <f>IFERROR(__xludf.DUMMYFUNCTION("CONCATENATE(GOOGLETRANSLATE(C137, ""en"", ""ko""))
"),"100개 폴리 메일러 봉투 배송 포장 플라스틱 셀프 인감 링 가방")</f>
        <v>100개 폴리 메일러 봉투 배송 포장 플라스틱 셀프 인감 링 가방</v>
      </c>
      <c r="F137" s="1" t="str">
        <f>IFERROR(__xludf.DUMMYFUNCTION("CONCATENATE(GOOGLETRANSLATE(C137, ""en"", ""ja""))"),"100 個ポリメーラー封筒出荷梱包プラスチックセルフシールリングバッグ")</f>
        <v>100 個ポリメーラー封筒出荷梱包プラスチックセルフシールリングバッグ</v>
      </c>
    </row>
    <row r="138" ht="15.75" customHeight="1">
      <c r="A138" s="1">
        <v>1603.0</v>
      </c>
      <c r="B138" s="1" t="s">
        <v>15</v>
      </c>
      <c r="C138" s="1" t="s">
        <v>128</v>
      </c>
      <c r="D138" s="1" t="str">
        <f>IFERROR(__xludf.DUMMYFUNCTION("CONCATENATE(GOOGLETRANSLATE(C138, ""en"", ""zh-cn""))
"),"厕所便携式坐浴盆座椅喷水女自清洁浴室带水管套装 ")</f>
        <v>厕所便携式坐浴盆座椅喷水女自清洁浴室带水管套装 </v>
      </c>
      <c r="E138" s="1" t="str">
        <f>IFERROR(__xludf.DUMMYFUNCTION("CONCATENATE(GOOGLETRANSLATE(C138, ""en"", ""ko""))
"),"화장실 휴대용 비데 시트 스프레이 물 물 튜브 세트가 있는 여성 자체 청소 욕실 ")</f>
        <v>화장실 휴대용 비데 시트 스프레이 물 물 튜브 세트가 있는 여성 자체 청소 욕실 </v>
      </c>
      <c r="F138" s="1" t="str">
        <f>IFERROR(__xludf.DUMMYFUNCTION("CONCATENATE(GOOGLETRANSLATE(C138, ""en"", ""ja""))"),"トイレポータブルビデシートスプレー水女性セルフクリーニングバスルームと水チューブセット ")</f>
        <v>トイレポータブルビデシートスプレー水女性セルフクリーニングバスルームと水チューブセット </v>
      </c>
    </row>
    <row r="139" ht="15.75" customHeight="1">
      <c r="A139" s="1">
        <v>1604.0</v>
      </c>
      <c r="B139" s="1" t="s">
        <v>15</v>
      </c>
      <c r="C139" s="1" t="s">
        <v>129</v>
      </c>
      <c r="D139" s="1" t="str">
        <f>IFERROR(__xludf.DUMMYFUNCTION("CONCATENATE(GOOGLETRANSLATE(C139, ""en"", ""zh-cn""))
"),"高/短型不锈钢浴室面盆龙头单把单孔无铅冷热混合水龙头带软管")</f>
        <v>高/短型不锈钢浴室面盆龙头单把单孔无铅冷热混合水龙头带软管</v>
      </c>
      <c r="E139" s="1" t="str">
        <f>IFERROR(__xludf.DUMMYFUNCTION("CONCATENATE(GOOGLETRANSLATE(C139, ""en"", ""ko""))
"),"키가 큰/짧은 유형 스테인레스 스틸 욕실 분지의 수도꼭지 싱글 핸들 싱글 홀 무연 냉온수 믹서 탭 (호스 포함)")</f>
        <v>키가 큰/짧은 유형 스테인레스 스틸 욕실 분지의 수도꼭지 싱글 핸들 싱글 홀 무연 냉온수 믹서 탭 (호스 포함)</v>
      </c>
      <c r="F139" s="1" t="str">
        <f>IFERROR(__xludf.DUMMYFUNCTION("CONCATENATE(GOOGLETRANSLATE(C139, ""en"", ""ja""))"),"トール/ショートタイプのステンレス鋼の浴室の洗面器の蛇口シングルハンドル単穴鉛フリー温冷ミキサータップホース付き")</f>
        <v>トール/ショートタイプのステンレス鋼の浴室の洗面器の蛇口シングルハンドル単穴鉛フリー温冷ミキサータップホース付き</v>
      </c>
    </row>
    <row r="140" ht="15.75" customHeight="1">
      <c r="A140" s="1">
        <v>1605.0</v>
      </c>
      <c r="B140" s="1" t="s">
        <v>15</v>
      </c>
      <c r="C140" s="1" t="s">
        <v>130</v>
      </c>
      <c r="D140" s="1" t="str">
        <f>IFERROR(__xludf.DUMMYFUNCTION("CONCATENATE(GOOGLETRANSLATE(C140, ""en"", ""zh-cn""))
"),"Clean-n-Fresh 30 件/套洗碗机专用自动冲洗清洁皂含有活性氧因子洗碗机清洁剂")</f>
        <v>Clean-n-Fresh 30 件/套洗碗机专用自动冲洗清洁皂含有活性氧因子洗碗机清洁剂</v>
      </c>
      <c r="E140" s="1" t="str">
        <f>IFERROR(__xludf.DUMMYFUNCTION("CONCATENATE(GOOGLETRANSLATE(C140, ""en"", ""ko""))
"),"Clean-n-Fresh 30개/대 식기세척기 전용 자동 플러시 클리너 비누에는 활성 산소 인자가 포함되어 있습니다. 식기 세척기 클리너")</f>
        <v>Clean-n-Fresh 30개/대 식기세척기 전용 자동 플러시 클리너 비누에는 활성 산소 인자가 포함되어 있습니다. 식기 세척기 클리너</v>
      </c>
      <c r="F140" s="1" t="str">
        <f>IFERROR(__xludf.DUMMYFUNCTION("CONCATENATE(GOOGLETRANSLATE(C140, ""en"", ""ja""))"),"Clean-n-Fresh 30 個/セット 食器洗い機専用自動フラッシュ クリーナー ソープには活性酸素因子が含まれています 食器洗い機クリーナー")</f>
        <v>Clean-n-Fresh 30 個/セット 食器洗い機専用自動フラッシュ クリーナー ソープには活性酸素因子が含まれています 食器洗い機クリーナー</v>
      </c>
    </row>
    <row r="141" ht="15.75" customHeight="1">
      <c r="A141" s="1">
        <v>1606.0</v>
      </c>
      <c r="B141" s="1" t="s">
        <v>15</v>
      </c>
      <c r="C141" s="1" t="s">
        <v>131</v>
      </c>
      <c r="D141" s="1" t="str">
        <f>IFERROR(__xludf.DUMMYFUNCTION("CONCATENATE(GOOGLETRANSLATE(C141, ""en"", ""zh-cn""))
"),"50 毫米 PVC 出水软管接头转换器管适配器")</f>
        <v>50 毫米 PVC 出水软管接头转换器管适配器</v>
      </c>
      <c r="E141" s="1" t="str">
        <f>IFERROR(__xludf.DUMMYFUNCTION("CONCATENATE(GOOGLETRANSLATE(C141, ""en"", ""ko""))
"),"50mm PVC 물 출구 호스 커넥터 변환기 파이프 어댑터")</f>
        <v>50mm PVC 물 출구 호스 커넥터 변환기 파이프 어댑터</v>
      </c>
      <c r="F141" s="1" t="str">
        <f>IFERROR(__xludf.DUMMYFUNCTION("CONCATENATE(GOOGLETRANSLATE(C141, ""en"", ""ja""))"),"50mm PVC水出口ホースコネクタコンバータパイプアダプタ")</f>
        <v>50mm PVC水出口ホースコネクタコンバータパイプアダプタ</v>
      </c>
    </row>
    <row r="142" ht="15.75" customHeight="1">
      <c r="A142" s="1">
        <v>1607.0</v>
      </c>
      <c r="B142" s="1" t="s">
        <v>15</v>
      </c>
      <c r="C142" s="1" t="s">
        <v>132</v>
      </c>
      <c r="D142" s="1" t="str">
        <f>IFERROR(__xludf.DUMMYFUNCTION("CONCATENATE(GOOGLETRANSLATE(C142, ""en"", ""zh-cn""))
"),"1/2'' 3/4'' S60x6 IBC 水箱适配器喷嘴快速连接粗螺纹软管管道龙头替换阀门配件")</f>
        <v>1/2'' 3/4'' S60x6 IBC 水箱适配器喷嘴快速连接粗螺纹软管管道龙头替换阀门配件</v>
      </c>
      <c r="E142" s="1" t="str">
        <f>IFERROR(__xludf.DUMMYFUNCTION("CONCATENATE(GOOGLETRANSLATE(C142, ""en"", ""ko""))
"),"1/2 ""3/4"" S60x6 IBC 물 탱크 어댑터 노즐 빠른 연결 거친 나사 호스 파이프 탭 교체 밸브 피팅 부품")</f>
        <v>1/2 "3/4" S60x6 IBC 물 탱크 어댑터 노즐 빠른 연결 거친 나사 호스 파이프 탭 교체 밸브 피팅 부품</v>
      </c>
      <c r="F142" s="1" t="str">
        <f>IFERROR(__xludf.DUMMYFUNCTION("CONCATENATE(GOOGLETRANSLATE(C142, ""en"", ""ja""))"),"1/2 ''3/4 '' S60x6 IBC 水タンクアダプターノズルクイックコネクト並目ホースパイプタップ交換バルブ継手部品")</f>
        <v>1/2 ''3/4 '' S60x6 IBC 水タンクアダプターノズルクイックコネクト並目ホースパイプタップ交換バルブ継手部品</v>
      </c>
    </row>
    <row r="143" ht="15.75" customHeight="1">
      <c r="A143" s="1">
        <v>1608.0</v>
      </c>
      <c r="B143" s="1" t="s">
        <v>15</v>
      </c>
      <c r="C143" s="1" t="s">
        <v>133</v>
      </c>
      <c r="D143" s="1" t="str">
        <f>IFERROR(__xludf.DUMMYFUNCTION("CONCATENATE(GOOGLETRANSLATE(C143, ""en"", ""zh-cn""))
"),"4层可折叠晾衣架4轮室内外使用")</f>
        <v>4层可折叠晾衣架4轮室内外使用</v>
      </c>
      <c r="E143" s="1" t="str">
        <f>IFERROR(__xludf.DUMMYFUNCTION("CONCATENATE(GOOGLETRANSLATE(C143, ""en"", ""ko""))
"),"4개의 지면 Foldable 옷 실내/실외 사용을 위한 4개의 바퀴를 가진 선반을 말리는 옷")</f>
        <v>4개의 지면 Foldable 옷 실내/실외 사용을 위한 4개의 바퀴를 가진 선반을 말리는 옷</v>
      </c>
      <c r="F143" s="1" t="str">
        <f>IFERROR(__xludf.DUMMYFUNCTION("CONCATENATE(GOOGLETRANSLATE(C143, ""en"", ""ja""))"),"屋内/屋外用の4つの車輪が付いている4階建て折りたたみ式物干しラック")</f>
        <v>屋内/屋外用の4つの車輪が付いている4階建て折りたたみ式物干しラック</v>
      </c>
    </row>
    <row r="144" ht="15.75" customHeight="1">
      <c r="A144" s="1">
        <v>1609.0</v>
      </c>
      <c r="B144" s="1" t="s">
        <v>15</v>
      </c>
      <c r="C144" s="1" t="s">
        <v>134</v>
      </c>
      <c r="D144" s="1" t="str">
        <f>IFERROR(__xludf.DUMMYFUNCTION("CONCATENATE(GOOGLETRANSLATE(C144, ""en"", ""zh-cn""))
"),"240/258/385/360 厘米户外花园耐用 PE 游泳池盖防水防雨防尘盖蓝色圆形游泳池及配件")</f>
        <v>240/258/385/360 厘米户外花园耐用 PE 游泳池盖防水防雨防尘盖蓝色圆形游泳池及配件</v>
      </c>
      <c r="E144" s="1" t="str">
        <f>IFERROR(__xludf.DUMMYFUNCTION("CONCATENATE(GOOGLETRANSLATE(C144, ""en"", ""ko""))
"),"240/258/385/360cm 야외 정원 내구성 PE 수영장 커버 방수 방수 방진 커버 블루 라운드 수영장 및 액세서리")</f>
        <v>240/258/385/360cm 야외 정원 내구성 PE 수영장 커버 방수 방수 방진 커버 블루 라운드 수영장 및 액세서리</v>
      </c>
      <c r="F144" s="1" t="str">
        <f>IFERROR(__xludf.DUMMYFUNCTION("CONCATENATE(GOOGLETRANSLATE(C144, ""en"", ""ja""))"),"240/258/385/360 センチメートル屋外ガーデン耐久性のある PE プールカバー防水防雨防塵カバーブルーラウンドプール &amp; アクセサリー")</f>
        <v>240/258/385/360 センチメートル屋外ガーデン耐久性のある PE プールカバー防水防雨防塵カバーブルーラウンドプール &amp; アクセサリー</v>
      </c>
    </row>
    <row r="145" ht="15.75" customHeight="1">
      <c r="A145" s="1">
        <v>1610.0</v>
      </c>
      <c r="B145" s="1" t="s">
        <v>15</v>
      </c>
      <c r="C145" s="1" t="s">
        <v>135</v>
      </c>
      <c r="D145" s="1" t="str">
        <f>IFERROR(__xludf.DUMMYFUNCTION("CONCATENATE(GOOGLETRANSLATE(C145, ""en"", ""zh-cn""))
"),"1/2 英寸转陶瓷盘插装龙头阀热冷维修更换套件")</f>
        <v>1/2 英寸转陶瓷盘插装龙头阀热冷维修更换套件</v>
      </c>
      <c r="E145" s="1" t="str">
        <f>IFERROR(__xludf.DUMMYFUNCTION("CONCATENATE(GOOGLETRANSLATE(C145, ""en"", ""ko""))
"),"1/2인치 회전 세라믹 디스크 카트리지 탭 밸브 핫 콜드 수리 교체 키트")</f>
        <v>1/2인치 회전 세라믹 디스크 카트리지 탭 밸브 핫 콜드 수리 교체 키트</v>
      </c>
      <c r="F145" s="1" t="str">
        <f>IFERROR(__xludf.DUMMYFUNCTION("CONCATENATE(GOOGLETRANSLATE(C145, ""en"", ""ja""))"),"1/2 インチターンセラミックディスクカートリッジタップバルブホットコールド修理交換キット")</f>
        <v>1/2 インチターンセラミックディスクカートリッジタップバルブホットコールド修理交換キット</v>
      </c>
    </row>
    <row r="146" ht="15.75" customHeight="1">
      <c r="A146" s="1">
        <v>1611.0</v>
      </c>
      <c r="B146" s="1" t="s">
        <v>15</v>
      </c>
      <c r="C146" s="1" t="s">
        <v>136</v>
      </c>
      <c r="D146" s="1" t="str">
        <f>IFERROR(__xludf.DUMMYFUNCTION("CONCATENATE(GOOGLETRANSLATE(C146, ""en"", ""zh-cn""))
"),"便携式 3 层鞋架 储物鞋架 凉鞋拖鞋 节省空间")</f>
        <v>便携式 3 层鞋架 储物鞋架 凉鞋拖鞋 节省空间</v>
      </c>
      <c r="E146" s="1" t="str">
        <f>IFERROR(__xludf.DUMMYFUNCTION("CONCATENATE(GOOGLETRANSLATE(C146, ""en"", ""ko""))
"),"휴대용 3겹 신발장 보관용 신발장 샌들 슬리퍼 공간 절약")</f>
        <v>휴대용 3겹 신발장 보관용 신발장 샌들 슬리퍼 공간 절약</v>
      </c>
      <c r="F146" s="1" t="str">
        <f>IFERROR(__xludf.DUMMYFUNCTION("CONCATENATE(GOOGLETRANSLATE(C146, ""en"", ""ja""))"),"ポータブル 3 層シューズラック収納シューズラックサンダルスリッパ省スペース")</f>
        <v>ポータブル 3 層シューズラック収納シューズラックサンダルスリッパ省スペース</v>
      </c>
    </row>
    <row r="147" ht="15.75" customHeight="1">
      <c r="A147" s="1">
        <v>1612.0</v>
      </c>
      <c r="B147" s="1" t="s">
        <v>15</v>
      </c>
      <c r="C147" s="1" t="s">
        <v>137</v>
      </c>
      <c r="D147" s="1" t="str">
        <f>IFERROR(__xludf.DUMMYFUNCTION("CONCATENATE(GOOGLETRANSLATE(C147, ""en"", ""zh-cn""))
"),"4 层金属厨房调料架罐瓶收纳架浴室储物架")</f>
        <v>4 层金属厨房调料架罐瓶收纳架浴室储物架</v>
      </c>
      <c r="E147" s="1" t="str">
        <f>IFERROR(__xludf.DUMMYFUNCTION("CONCATENATE(GOOGLETRANSLATE(C147, ""en"", ""ko""))
"),"4단 금속 주방 양념 선반 항아리 병 정리함 욕실 보관 선반")</f>
        <v>4단 금속 주방 양념 선반 항아리 병 정리함 욕실 보관 선반</v>
      </c>
      <c r="F147" s="1" t="str">
        <f>IFERROR(__xludf.DUMMYFUNCTION("CONCATENATE(GOOGLETRANSLATE(C147, ""en"", ""ja""))"),"4段メタルキッチンスパイスラックジャーボトルオーガナイザーバスルーム収納棚")</f>
        <v>4段メタルキッチンスパイスラックジャーボトルオーガナイザーバスルーム収納棚</v>
      </c>
    </row>
    <row r="148" ht="15.75" customHeight="1">
      <c r="A148" s="1">
        <v>1613.0</v>
      </c>
      <c r="B148" s="1" t="s">
        <v>15</v>
      </c>
      <c r="C148" s="1" t="s">
        <v>138</v>
      </c>
      <c r="D148" s="1" t="str">
        <f>IFERROR(__xludf.DUMMYFUNCTION("CONCATENATE(GOOGLETRANSLATE(C148, ""en"", ""zh-cn""))
"),"10 件装青铜气泡钉装饰沙发囊泡盒气泡钉钉")</f>
        <v>10 件装青铜气泡钉装饰沙发囊泡盒气泡钉钉</v>
      </c>
      <c r="E148" s="1" t="str">
        <f>IFERROR(__xludf.DUMMYFUNCTION("CONCATENATE(GOOGLETRANSLATE(C148, ""en"", ""ko""))
"),"10개 청동 버블 손톱 장식 소파 소포 상자 버블 네일 압정")</f>
        <v>10개 청동 버블 손톱 장식 소파 소포 상자 버블 네일 압정</v>
      </c>
      <c r="F148" s="1" t="str">
        <f>IFERROR(__xludf.DUMMYFUNCTION("CONCATENATE(GOOGLETRANSLATE(C148, ""en"", ""ja""))"),"10 個のブロンズバブルネイル装飾ソファ小胞ボックスバブルネイルタック")</f>
        <v>10 個のブロンズバブルネイル装飾ソファ小胞ボックスバブルネイルタック</v>
      </c>
    </row>
    <row r="149" ht="15.75" customHeight="1">
      <c r="A149" s="1">
        <v>1614.0</v>
      </c>
      <c r="B149" s="1" t="s">
        <v>15</v>
      </c>
      <c r="C149" s="1" t="s">
        <v>139</v>
      </c>
      <c r="D149" s="1" t="str">
        <f>IFERROR(__xludf.DUMMYFUNCTION("CONCATENATE(GOOGLETRANSLATE(C149, ""en"", ""zh-cn""))
"),"Suleve™ M2NH4 50 件 M2 尼龙六角六角内螺纹 PCB 支座垫片 10/15/20/25mm")</f>
        <v>Suleve™ M2NH4 50 件 M2 尼龙六角六角内螺纹 PCB 支座垫片 10/15/20/25mm</v>
      </c>
      <c r="E149" s="1" t="str">
        <f>IFERROR(__xludf.DUMMYFUNCTION("CONCATENATE(GOOGLETRANSLATE(C149, ""en"", ""ko""))
"),"Suleve™ M2NH4 50개 M2 나일론 육각 육각형 암나사 PCB 스탠드오프 스페이서 10/15/20/25mm")</f>
        <v>Suleve™ M2NH4 50개 M2 나일론 육각 육각형 암나사 PCB 스탠드오프 스페이서 10/15/20/25mm</v>
      </c>
      <c r="F149" s="1" t="str">
        <f>IFERROR(__xludf.DUMMYFUNCTION("CONCATENATE(GOOGLETRANSLATE(C149, ""en"", ""ja""))"),"Suleve™ M2NH4 50 個 M2 ナイロン六角六角めねじ PCB スタンドオフ スペーサー 10/15/20/25 ミリメートル")</f>
        <v>Suleve™ M2NH4 50 個 M2 ナイロン六角六角めねじ PCB スタンドオフ スペーサー 10/15/20/25 ミリメートル</v>
      </c>
    </row>
    <row r="150" ht="15.75" customHeight="1">
      <c r="A150" s="1">
        <v>1615.0</v>
      </c>
      <c r="B150" s="1" t="s">
        <v>15</v>
      </c>
      <c r="C150" s="1" t="s">
        <v>140</v>
      </c>
      <c r="D150" s="1" t="str">
        <f>IFERROR(__xludf.DUMMYFUNCTION("CONCATENATE(GOOGLETRANSLATE(C150, ""en"", ""zh-cn""))
"),"1.0-4.0mm 塑料易存放螺丝固定器防静电适用于 DIY 模型 RC 14x9x2cm")</f>
        <v>1.0-4.0mm 塑料易存放螺丝固定器防静电适用于 DIY 模型 RC 14x9x2cm</v>
      </c>
      <c r="E150" s="1" t="str">
        <f>IFERROR(__xludf.DUMMYFUNCTION("CONCATENATE(GOOGLETRANSLATE(C150, ""en"", ""ko""))
"),"1.0-4.0mm 플라스틱 쉬운 저장 나사 세터 DIY 모델 RC 14x9x2cm에 대한 정전기 방지")</f>
        <v>1.0-4.0mm 플라스틱 쉬운 저장 나사 세터 DIY 모델 RC 14x9x2cm에 대한 정전기 방지</v>
      </c>
      <c r="F150" s="1" t="str">
        <f>IFERROR(__xludf.DUMMYFUNCTION("CONCATENATE(GOOGLETRANSLATE(C150, ""en"", ""ja""))"),"1.0-4.0 ミリメートルプラスチック簡単に保管ネジセッター帯電防止 DIY モデル RC 14x9x2cm")</f>
        <v>1.0-4.0 ミリメートルプラスチック簡単に保管ネジセッター帯電防止 DIY モデル RC 14x9x2cm</v>
      </c>
    </row>
    <row r="151" ht="15.75" customHeight="1">
      <c r="A151" s="1">
        <v>1616.0</v>
      </c>
      <c r="B151" s="1" t="s">
        <v>15</v>
      </c>
      <c r="C151" s="1" t="s">
        <v>141</v>
      </c>
      <c r="D151" s="1" t="str">
        <f>IFERROR(__xludf.DUMMYFUNCTION("CONCATENATE(GOOGLETRANSLATE(C151, ""en"", ""zh-cn""))
"),"木质多肉花盆架室内阳台落地架花园装饰")</f>
        <v>木质多肉花盆架室内阳台落地架花园装饰</v>
      </c>
      <c r="E151" s="1" t="str">
        <f>IFERROR(__xludf.DUMMYFUNCTION("CONCATENATE(GOOGLETRANSLATE(C151, ""en"", ""ko""))
"),"나무 즙이 많은 화분 스탠드 실내 발코니 플로어 스탠드 정원 장식")</f>
        <v>나무 즙이 많은 화분 스탠드 실내 발코니 플로어 스탠드 정원 장식</v>
      </c>
      <c r="F151" s="1" t="str">
        <f>IFERROR(__xludf.DUMMYFUNCTION("CONCATENATE(GOOGLETRANSLATE(C151, ""en"", ""ja""))"),"木製多肉植物ポットスタンド屋内バルコニーフロアスタンド庭の装飾")</f>
        <v>木製多肉植物ポットスタンド屋内バルコニーフロアスタンド庭の装飾</v>
      </c>
    </row>
    <row r="152" ht="15.75" customHeight="1">
      <c r="A152" s="1">
        <v>1617.0</v>
      </c>
      <c r="B152" s="1" t="s">
        <v>15</v>
      </c>
      <c r="C152" s="1" t="s">
        <v>142</v>
      </c>
      <c r="D152" s="1" t="str">
        <f>IFERROR(__xludf.DUMMYFUNCTION("CONCATENATE(GOOGLETRANSLATE(C152, ""en"", ""zh-cn""))
"),"折叠笔记本电脑桌支架便携式塑料学习桌多功能收纳书桌笔记本电脑笔记本卧室书桌")</f>
        <v>折叠笔记本电脑桌支架便携式塑料学习桌多功能收纳书桌笔记本电脑笔记本卧室书桌</v>
      </c>
      <c r="E152" s="1" t="str">
        <f>IFERROR(__xludf.DUMMYFUNCTION("CONCATENATE(GOOGLETRANSLATE(C152, ""en"", ""ko""))
"),"접이식 노트북 컴퓨터 책상 스탠드 휴대용 플라스틱 학습 책상 노트북 노트북 침실 책상을위한 다기능 스토리지 데스크")</f>
        <v>접이식 노트북 컴퓨터 책상 스탠드 휴대용 플라스틱 학습 책상 노트북 노트북 침실 책상을위한 다기능 스토리지 데스크</v>
      </c>
      <c r="F152" s="1" t="str">
        <f>IFERROR(__xludf.DUMMYFUNCTION("CONCATENATE(GOOGLETRANSLATE(C152, ""en"", ""ja""))"),"折りたたみノートブックコンピュータデスクスタンドポータブルプラスチック学習デスク多機能収納デスクラップトップノートブック寝室デスク")</f>
        <v>折りたたみノートブックコンピュータデスクスタンドポータブルプラスチック学習デスク多機能収納デスクラップトップノートブック寝室デスク</v>
      </c>
    </row>
    <row r="153" ht="15.75" customHeight="1">
      <c r="A153" s="1">
        <v>1618.0</v>
      </c>
      <c r="B153" s="1" t="s">
        <v>15</v>
      </c>
      <c r="C153" s="1" t="s">
        <v>143</v>
      </c>
      <c r="D153" s="1" t="str">
        <f>IFERROR(__xludf.DUMMYFUNCTION("CONCATENATE(GOOGLETRANSLATE(C153, ""en"", ""zh-cn""))
"),"1/4 英寸外螺纹管倒钩软管尾部连接器适配器 6 毫米至 12 毫米")</f>
        <v>1/4 英寸外螺纹管倒钩软管尾部连接器适配器 6 毫米至 12 毫米</v>
      </c>
      <c r="E153" s="1" t="str">
        <f>IFERROR(__xludf.DUMMYFUNCTION("CONCATENATE(GOOGLETRANSLATE(C153, ""en"", ""ko""))
"),"1/4 인치 수나사 파이프 바브 호스 테일 커넥터 어댑터 6mm ~ 12mm")</f>
        <v>1/4 인치 수나사 파이프 바브 호스 테일 커넥터 어댑터 6mm ~ 12mm</v>
      </c>
      <c r="F153" s="1" t="str">
        <f>IFERROR(__xludf.DUMMYFUNCTION("CONCATENATE(GOOGLETRANSLATE(C153, ""en"", ""ja""))"),"1/4 インチおねじパイプバーブホーステールコネクタアダプタ 6 ミリメートルに 12 ミリメートル")</f>
        <v>1/4 インチおねじパイプバーブホーステールコネクタアダプタ 6 ミリメートルに 12 ミリメートル</v>
      </c>
    </row>
    <row r="154" ht="15.75" customHeight="1">
      <c r="A154" s="1">
        <v>1619.0</v>
      </c>
      <c r="B154" s="1" t="s">
        <v>15</v>
      </c>
      <c r="C154" s="1" t="s">
        <v>144</v>
      </c>
      <c r="D154" s="1" t="str">
        <f>IFERROR(__xludf.DUMMYFUNCTION("CONCATENATE(GOOGLETRANSLATE(C154, ""en"", ""zh-cn""))
"),"复古黑色金属折叠植物架单元花架架鞋架适用于花园露台阳台")</f>
        <v>复古黑色金属折叠植物架单元花架架鞋架适用于花园露台阳台</v>
      </c>
      <c r="E154" s="1" t="str">
        <f>IFERROR(__xludf.DUMMYFUNCTION("CONCATENATE(GOOGLETRANSLATE(C154, ""en"", ""ko""))
"),"레트로 블랙 금속 접는 식물 선반 단위 꽃 랙 스탠드 신발 스탠드 정원 파티오 발코니")</f>
        <v>레트로 블랙 금속 접는 식물 선반 단위 꽃 랙 스탠드 신발 스탠드 정원 파티오 발코니</v>
      </c>
      <c r="F154" s="1" t="str">
        <f>IFERROR(__xludf.DUMMYFUNCTION("CONCATENATE(GOOGLETRANSLATE(C154, ""en"", ""ja""))"),"レトロブラックメタル折りたたみ植物棚ユニットフラワーラックスタンド靴スタンドガーデンパティオバルコニー用")</f>
        <v>レトロブラックメタル折りたたみ植物棚ユニットフラワーラックスタンド靴スタンドガーデンパティオバルコニー用</v>
      </c>
    </row>
    <row r="155" ht="15.75" customHeight="1">
      <c r="A155" s="1">
        <v>1620.0</v>
      </c>
      <c r="B155" s="1" t="s">
        <v>15</v>
      </c>
      <c r="C155" s="1" t="s">
        <v>145</v>
      </c>
      <c r="D155" s="1" t="str">
        <f>IFERROR(__xludf.DUMMYFUNCTION("CONCATENATE(GOOGLETRANSLATE(C155, ""en"", ""zh-cn""))
"),"防水重型遮阳篷遮阳帆布长方形户外")</f>
        <v>防水重型遮阳篷遮阳帆布长方形户外</v>
      </c>
      <c r="E155" s="1" t="str">
        <f>IFERROR(__xludf.DUMMYFUNCTION("CONCATENATE(GOOGLETRANSLATE(C155, ""en"", ""ko""))
"),"방수 헤비 듀티 프루프 썬 캐노피 그늘 세일 천 직사각형 야외")</f>
        <v>방수 헤비 듀티 프루프 썬 캐노피 그늘 세일 천 직사각형 야외</v>
      </c>
      <c r="F155" s="1" t="str">
        <f>IFERROR(__xludf.DUMMYFUNCTION("CONCATENATE(GOOGLETRANSLATE(C155, ""en"", ""ja""))"),"防水ヘビーデューティプルーフサンキャノピーシェードセイルクロス長方形屋外")</f>
        <v>防水ヘビーデューティプルーフサンキャノピーシェードセイルクロス長方形屋外</v>
      </c>
    </row>
    <row r="156" ht="15.75" customHeight="1">
      <c r="A156" s="1">
        <v>1621.0</v>
      </c>
      <c r="B156" s="1" t="s">
        <v>15</v>
      </c>
      <c r="C156" s="1" t="s">
        <v>146</v>
      </c>
      <c r="D156" s="1" t="str">
        <f>IFERROR(__xludf.DUMMYFUNCTION("CONCATENATE(GOOGLETRANSLATE(C156, ""en"", ""zh-cn""))
"),"木制植物架花园花盆花盆架架子室内室外")</f>
        <v>木制植物架花园花盆花盆架架子室内室外</v>
      </c>
      <c r="E156" s="1" t="str">
        <f>IFERROR(__xludf.DUMMYFUNCTION("CONCATENATE(GOOGLETRANSLATE(C156, ""en"", ""ko""))
"),"나무 화분 스탠드 정원 화분 화분 스탠드 선반 실내 실외")</f>
        <v>나무 화분 스탠드 정원 화분 화분 스탠드 선반 실내 실외</v>
      </c>
      <c r="F156" s="1" t="str">
        <f>IFERROR(__xludf.DUMMYFUNCTION("CONCATENATE(GOOGLETRANSLATE(C156, ""en"", ""ja""))"),"木製プラントスタンドガーデンプランター植木鉢スタンド棚屋内屋外")</f>
        <v>木製プラントスタンドガーデンプランター植木鉢スタンド棚屋内屋外</v>
      </c>
    </row>
    <row r="157" ht="15.75" customHeight="1">
      <c r="A157" s="1">
        <v>1622.0</v>
      </c>
      <c r="B157" s="1" t="s">
        <v>15</v>
      </c>
      <c r="C157" s="1" t="s">
        <v>147</v>
      </c>
      <c r="D157" s="1" t="str">
        <f>IFERROR(__xludf.DUMMYFUNCTION("CONCATENATE(GOOGLETRANSLATE(C157, ""en"", ""zh-cn""))
"),"金属植物架架子花盆室内花园厨房架节省空间鞋柜收纳家居装饰室内室外")</f>
        <v>金属植物架架子花盆室内花园厨房架节省空间鞋柜收纳家居装饰室内室外</v>
      </c>
      <c r="E157" s="1" t="str">
        <f>IFERROR(__xludf.DUMMYFUNCTION("CONCATENATE(GOOGLETRANSLATE(C157, ""en"", ""ko""))
"),"금속 식물 스탠드 선반 꽃 냄비 실내 정원 주방 랙 공간 절약 신발 주최자 실내 옥외를위한 스토리지 홈 인테리어")</f>
        <v>금속 식물 스탠드 선반 꽃 냄비 실내 정원 주방 랙 공간 절약 신발 주최자 실내 옥외를위한 스토리지 홈 인테리어</v>
      </c>
      <c r="F157" s="1" t="str">
        <f>IFERROR(__xludf.DUMMYFUNCTION("CONCATENATE(GOOGLETRANSLATE(C157, ""en"", ""ja""))"),"金属植物スタンド棚フラワーポット屋内庭キッチンラック省スペース靴オーガナイザーストレージ家の装飾屋内屋外用")</f>
        <v>金属植物スタンド棚フラワーポット屋内庭キッチンラック省スペース靴オーガナイザーストレージ家の装飾屋内屋外用</v>
      </c>
    </row>
    <row r="158" ht="15.75" customHeight="1">
      <c r="A158" s="1">
        <v>1623.0</v>
      </c>
      <c r="B158" s="1" t="s">
        <v>15</v>
      </c>
      <c r="C158" s="1" t="s">
        <v>148</v>
      </c>
      <c r="D158" s="1" t="str">
        <f>IFERROR(__xludf.DUMMYFUNCTION("CONCATENATE(GOOGLETRANSLATE(C158, ""en"", ""zh-cn""))
"),"多层木质花架植物架木架盆景展示架室内")</f>
        <v>多层木质花架植物架木架盆景展示架室内</v>
      </c>
      <c r="E158" s="1" t="str">
        <f>IFERROR(__xludf.DUMMYFUNCTION("CONCATENATE(GOOGLETRANSLATE(C158, ""en"", ""ko""))
"),"다층 목재 꽃꽂이 식물 스탠드 목재 선반 실내 분재 디스플레이 선반")</f>
        <v>다층 목재 꽃꽂이 식물 스탠드 목재 선반 실내 분재 디스플레이 선반</v>
      </c>
      <c r="F158" s="1" t="str">
        <f>IFERROR(__xludf.DUMMYFUNCTION("CONCATENATE(GOOGLETRANSLATE(C158, ""en"", ""ja""))"),"多層木製フラワーラック植物スタンド木製棚盆栽陳列棚屋内")</f>
        <v>多層木製フラワーラック植物スタンド木製棚盆栽陳列棚屋内</v>
      </c>
    </row>
    <row r="159" ht="15.75" customHeight="1">
      <c r="A159" s="1">
        <v>1624.0</v>
      </c>
      <c r="B159" s="1" t="s">
        <v>15</v>
      </c>
      <c r="C159" s="1" t="s">
        <v>149</v>
      </c>
      <c r="D159" s="1" t="str">
        <f>IFERROR(__xludf.DUMMYFUNCTION("CONCATENATE(GOOGLETRANSLATE(C159, ""en"", ""zh-cn""))
"),"客厅卧室防水墙贴 DIY 墙壁装饰自粘")</f>
        <v>客厅卧室防水墙贴 DIY 墙壁装饰自粘</v>
      </c>
      <c r="E159" s="1" t="str">
        <f>IFERROR(__xludf.DUMMYFUNCTION("CONCATENATE(GOOGLETRANSLATE(C159, ""en"", ""ko""))
"),"거실 침실 DIY 벽 장식 자체 접착 방수 벽 스티커")</f>
        <v>거실 침실 DIY 벽 장식 자체 접착 방수 벽 스티커</v>
      </c>
      <c r="F159" s="1" t="str">
        <f>IFERROR(__xludf.DUMMYFUNCTION("CONCATENATE(GOOGLETRANSLATE(C159, ""en"", ""ja""))"),"防水ウォールステッカー リビングルーム ベッドルーム DIY 壁装飾 自己粘着")</f>
        <v>防水ウォールステッカー リビングルーム ベッドルーム DIY 壁装飾 自己粘着</v>
      </c>
    </row>
    <row r="160" ht="15.75" customHeight="1">
      <c r="A160" s="1">
        <v>1625.0</v>
      </c>
      <c r="B160" s="1" t="s">
        <v>15</v>
      </c>
      <c r="C160" s="1" t="s">
        <v>150</v>
      </c>
      <c r="D160" s="1" t="str">
        <f>IFERROR(__xludf.DUMMYFUNCTION("CONCATENATE(GOOGLETRANSLATE(C160, ""en"", ""zh-cn""))
"),"植物架多层花架落地架花盆架")</f>
        <v>植物架多层花架落地架花盆架</v>
      </c>
      <c r="E160" s="1" t="str">
        <f>IFERROR(__xludf.DUMMYFUNCTION("CONCATENATE(GOOGLETRANSLATE(C160, ""en"", ""ko""))
"),"식물 스탠드 다층 꽃 스탠드 플로어 스탠드 꽃 냄비 랙")</f>
        <v>식물 스탠드 다층 꽃 스탠드 플로어 스탠드 꽃 냄비 랙</v>
      </c>
      <c r="F160" s="1" t="str">
        <f>IFERROR(__xludf.DUMMYFUNCTION("CONCATENATE(GOOGLETRANSLATE(C160, ""en"", ""ja""))"),"プラントスタンド 多層フラワースタンド フロアスタンド 植木鉢ラック")</f>
        <v>プラントスタンド 多層フラワースタンド フロアスタンド 植木鉢ラック</v>
      </c>
    </row>
    <row r="161" ht="15.75" customHeight="1">
      <c r="A161" s="1">
        <v>1626.0</v>
      </c>
      <c r="B161" s="1" t="s">
        <v>15</v>
      </c>
      <c r="C161" s="1" t="s">
        <v>151</v>
      </c>
      <c r="D161" s="1" t="str">
        <f>IFERROR(__xludf.DUMMYFUNCTION("CONCATENATE(GOOGLETRANSLATE(C161, ""en"", ""zh-cn""))
"),"4 层花架铁艺花盆架阳台落地支架花园家居装饰花盆架")</f>
        <v>4 层花架铁艺花盆架阳台落地支架花园家居装饰花盆架</v>
      </c>
      <c r="E161" s="1" t="str">
        <f>IFERROR(__xludf.DUMMYFUNCTION("CONCATENATE(GOOGLETRANSLATE(C161, ""en"", ""ko""))
"),"4 계층 꽃 스탠드 철 식물 냄비 선반 발코니 바닥 스탠드 정원 홈 장식 화분 홀더")</f>
        <v>4 계층 꽃 스탠드 철 식물 냄비 선반 발코니 바닥 스탠드 정원 홈 장식 화분 홀더</v>
      </c>
      <c r="F161" s="1" t="str">
        <f>IFERROR(__xludf.DUMMYFUNCTION("CONCATENATE(GOOGLETRANSLATE(C161, ""en"", ""ja""))"),"4 段フラワースタンド鉄植木鉢棚バルコニーフロアスタンド庭の家の装飾プランターホルダー")</f>
        <v>4 段フラワースタンド鉄植木鉢棚バルコニーフロアスタンド庭の家の装飾プランターホルダー</v>
      </c>
    </row>
    <row r="162" ht="15.75" customHeight="1">
      <c r="A162" s="1">
        <v>1627.0</v>
      </c>
      <c r="B162" s="1" t="s">
        <v>15</v>
      </c>
      <c r="C162" s="1" t="s">
        <v>152</v>
      </c>
      <c r="D162" s="1" t="str">
        <f>IFERROR(__xludf.DUMMYFUNCTION("CONCATENATE(GOOGLETRANSLATE(C162, ""en"", ""zh-cn""))
"),"塑料化妆品化妆品收纳盒收纳盒首饰盒带抽屉")</f>
        <v>塑料化妆品化妆品收纳盒收纳盒首饰盒带抽屉</v>
      </c>
      <c r="E162" s="1" t="str">
        <f>IFERROR(__xludf.DUMMYFUNCTION("CONCATENATE(GOOGLETRANSLATE(C162, ""en"", ""ko""))
"),"서랍이 있는 플라스틱 화장품 메이크업 보관함 정리함 케이스 홀더 쥬얼리")</f>
        <v>서랍이 있는 플라스틱 화장품 메이크업 보관함 정리함 케이스 홀더 쥬얼리</v>
      </c>
      <c r="F162" s="1" t="str">
        <f>IFERROR(__xludf.DUMMYFUNCTION("CONCATENATE(GOOGLETRANSLATE(C162, ""en"", ""ja""))"),"プラスチック化粧品メイクアップ収納ボックスオーガナイザーケースホルダージュエリー引き出し付き")</f>
        <v>プラスチック化粧品メイクアップ収納ボックスオーガナイザーケースホルダージュエリー引き出し付き</v>
      </c>
    </row>
    <row r="163" ht="15.75" customHeight="1">
      <c r="A163" s="1">
        <v>1628.0</v>
      </c>
      <c r="B163" s="1" t="s">
        <v>15</v>
      </c>
      <c r="C163" s="1" t="s">
        <v>153</v>
      </c>
      <c r="D163" s="1" t="str">
        <f>IFERROR(__xludf.DUMMYFUNCTION("CONCATENATE(GOOGLETRANSLATE(C163, ""en"", ""zh-cn""))
"),"黑银色旋转喷嘴面盆水龙头浴室容器水槽混合水龙头单把手 360 度旋转冷热水龙头")</f>
        <v>黑银色旋转喷嘴面盆水龙头浴室容器水槽混合水龙头单把手 360 度旋转冷热水龙头</v>
      </c>
      <c r="E163" s="1" t="str">
        <f>IFERROR(__xludf.DUMMYFUNCTION("CONCATENATE(GOOGLETRANSLATE(C163, ""en"", ""ko""))
"),"블랙 실버 회전 오르네 분지의 수도꼭지 욕실 선박 싱크 믹서 탭 싱글 레버 360 회전 뜨거운 냉수 탭")</f>
        <v>블랙 실버 회전 오르네 분지의 수도꼭지 욕실 선박 싱크 믹서 탭 싱글 레버 360 회전 뜨거운 냉수 탭</v>
      </c>
      <c r="F163" s="1" t="str">
        <f>IFERROR(__xludf.DUMMYFUNCTION("CONCATENATE(GOOGLETRANSLATE(C163, ""en"", ""ja""))"),"ブラックシルバー Swive スパウト洗面器蛇口浴室容器シンクミキサータップシングルレバー 360 回転温冷水タップ")</f>
        <v>ブラックシルバー Swive スパウト洗面器蛇口浴室容器シンクミキサータップシングルレバー 360 回転温冷水タップ</v>
      </c>
    </row>
    <row r="164" ht="15.75" customHeight="1">
      <c r="A164" s="1">
        <v>1629.0</v>
      </c>
      <c r="B164" s="1" t="s">
        <v>15</v>
      </c>
      <c r="C164" s="1" t="s">
        <v>154</v>
      </c>
      <c r="D164" s="1" t="str">
        <f>IFERROR(__xludf.DUMMYFUNCTION("CONCATENATE(GOOGLETRANSLATE(C164, ""en"", ""zh-cn""))
"),"2 件便携式可折叠三脚架电视支架可调节高度显示器支架，适用于 26 英寸至 50 英寸平面屏幕")</f>
        <v>2 件便携式可折叠三脚架电视支架可调节高度显示器支架，适用于 26 英寸至 50 英寸平面屏幕</v>
      </c>
      <c r="E164" s="1" t="str">
        <f>IFERROR(__xludf.DUMMYFUNCTION("CONCATENATE(GOOGLETRANSLATE(C164, ""en"", ""ko""))
"),"2Pcs 휴대용 접이식 삼각대 TV 스탠드 26 ""~ 50"" 평면 스크린 용 조절 가능한 높이 모니터 브래킷 마운트")</f>
        <v>2Pcs 휴대용 접이식 삼각대 TV 스탠드 26 "~ 50" 평면 스크린 용 조절 가능한 높이 모니터 브래킷 마운트</v>
      </c>
      <c r="F164" s="1" t="str">
        <f>IFERROR(__xludf.DUMMYFUNCTION("CONCATENATE(GOOGLETRANSLATE(C164, ""en"", ""ja""))"),"2 個ポータブル折りたたみ三脚テレビスタンド高さ調節可能なモニターブラケットマウント 26 インチから 50 インチのフラットスクリーン用")</f>
        <v>2 個ポータブル折りたたみ三脚テレビスタンド高さ調節可能なモニターブラケットマウント 26 インチから 50 インチのフラットスクリーン用</v>
      </c>
    </row>
    <row r="165" ht="15.75" customHeight="1">
      <c r="A165" s="1">
        <v>1630.0</v>
      </c>
      <c r="B165" s="1" t="s">
        <v>15</v>
      </c>
      <c r="C165" s="1" t="s">
        <v>155</v>
      </c>
      <c r="D165" s="1" t="str">
        <f>IFERROR(__xludf.DUMMYFUNCTION("CONCATENATE(GOOGLETRANSLATE(C165, ""en"", ""zh-cn""))
"),"160x50x25CM卫生间浴室置物架钢管材质免打孔置物架带纸巾架毛巾架")</f>
        <v>160x50x25CM卫生间浴室置物架钢管材质免打孔置物架带纸巾架毛巾架</v>
      </c>
      <c r="E165" s="1" t="str">
        <f>IFERROR(__xludf.DUMMYFUNCTION("CONCATENATE(GOOGLETRANSLATE(C165, ""en"", ""ko""))
"),"160x50x25CM 화장실 욕실 선반 강관 소재 종이 수건 걸이 및 수건 걸이가있는 천공없는 보관 선반")</f>
        <v>160x50x25CM 화장실 욕실 선반 강관 소재 종이 수건 걸이 및 수건 걸이가있는 천공없는 보관 선반</v>
      </c>
      <c r="F165" s="1" t="str">
        <f>IFERROR(__xludf.DUMMYFUNCTION("CONCATENATE(GOOGLETRANSLATE(C165, ""en"", ""ja""))"),"160 × 50 × 25 センチメートルトイレ浴室棚鋼管材料穿孔フリー収納棚ペーパータオルラック &amp; タオルラック")</f>
        <v>160 × 50 × 25 センチメートルトイレ浴室棚鋼管材料穿孔フリー収納棚ペーパータオルラック &amp; タオルラック</v>
      </c>
    </row>
    <row r="166" ht="15.75" customHeight="1">
      <c r="A166" s="1">
        <v>1631.0</v>
      </c>
      <c r="B166" s="1" t="s">
        <v>15</v>
      </c>
      <c r="C166" s="1" t="s">
        <v>156</v>
      </c>
      <c r="D166" s="1" t="str">
        <f>IFERROR(__xludf.DUMMYFUNCTION("CONCATENATE(GOOGLETRANSLATE(C166, ""en"", ""zh-cn""))
"),"32 件镀锌螺纹钉膨胀螺丝钉门框和安全减速块固定拉力爆裂钉")</f>
        <v>32 件镀锌螺纹钉膨胀螺丝钉门框和安全减速块固定拉力爆裂钉</v>
      </c>
      <c r="E166" s="1" t="str">
        <f>IFERROR(__xludf.DUMMYFUNCTION("CONCATENATE(GOOGLETRANSLATE(C166, ""en"", ""ko""))
"),"32Pcs 아연 도금 스레드 손톱 확장 나사 손톱 도어 프레임 및 안전 속도 범프 고정 당겨 버스트 손톱")</f>
        <v>32Pcs 아연 도금 스레드 손톱 확장 나사 손톱 도어 프레임 및 안전 속도 범프 고정 당겨 버스트 손톱</v>
      </c>
      <c r="F166" s="1" t="str">
        <f>IFERROR(__xludf.DUMMYFUNCTION("CONCATENATE(GOOGLETRANSLATE(C166, ""en"", ""ja""))"),"32 個の亜鉛メッキねじ釘拡張ねじ釘ドアフレームと安全スピードバンプ固定プルバースト釘")</f>
        <v>32 個の亜鉛メッキねじ釘拡張ねじ釘ドアフレームと安全スピードバンプ固定プルバースト釘</v>
      </c>
    </row>
    <row r="167" ht="15.75" customHeight="1">
      <c r="A167" s="1">
        <v>1632.0</v>
      </c>
      <c r="B167" s="1" t="s">
        <v>15</v>
      </c>
      <c r="C167" s="1" t="s">
        <v>157</v>
      </c>
      <c r="D167" s="1" t="str">
        <f>IFERROR(__xludf.DUMMYFUNCTION("CONCATENATE(GOOGLETRANSLATE(C167, ""en"", ""zh-cn""))
"),"哑光黑色橱柜拉门把手钢制厨房五金抽屉旋钮 T 形杆")</f>
        <v>哑光黑色橱柜拉门把手钢制厨房五金抽屉旋钮 T 形杆</v>
      </c>
      <c r="E167" s="1" t="str">
        <f>IFERROR(__xludf.DUMMYFUNCTION("CONCATENATE(GOOGLETRANSLATE(C167, ""en"", ""ko""))
"),"광택이 없는 검정 내각 잡아당기기 문 손잡이 강철 부엌 기계설비 서랍 손잡이 T 막대기")</f>
        <v>광택이 없는 검정 내각 잡아당기기 문 손잡이 강철 부엌 기계설비 서랍 손잡이 T 막대기</v>
      </c>
      <c r="F167" s="1" t="str">
        <f>IFERROR(__xludf.DUMMYFUNCTION("CONCATENATE(GOOGLETRANSLATE(C167, ""en"", ""ja""))"),"マットブラックキャビネットプルドアハンドルスチールキッチンハードウェア引き出しノブTバー")</f>
        <v>マットブラックキャビネットプルドアハンドルスチールキッチンハードウェア引き出しノブTバー</v>
      </c>
    </row>
    <row r="168" ht="15.75" customHeight="1">
      <c r="A168" s="1">
        <v>1633.0</v>
      </c>
      <c r="B168" s="1" t="s">
        <v>15</v>
      </c>
      <c r="C168" s="1" t="s">
        <v>158</v>
      </c>
      <c r="D168" s="1" t="str">
        <f>IFERROR(__xludf.DUMMYFUNCTION("CONCATENATE(GOOGLETRANSLATE(C168, ""en"", ""zh-cn""))
"),"2/3/4/5 层可折叠花盆植物架花盆展示架架子收纳架花园阳台")</f>
        <v>2/3/4/5 层可折叠花盆植物架花盆展示架架子收纳架花园阳台</v>
      </c>
      <c r="E168" s="1" t="str">
        <f>IFERROR(__xludf.DUMMYFUNCTION("CONCATENATE(GOOGLETRANSLATE(C168, ""en"", ""ko""))
"),"2/3/4/5 계층 접이식 꽃 냄비 식물 스탠드 화분 디스플레이 랙 선반 주최자 정원 발코니")</f>
        <v>2/3/4/5 계층 접이식 꽃 냄비 식물 스탠드 화분 디스플레이 랙 선반 주최자 정원 발코니</v>
      </c>
      <c r="F168" s="1" t="str">
        <f>IFERROR(__xludf.DUMMYFUNCTION("CONCATENATE(GOOGLETRANSLATE(C168, ""en"", ""ja""))"),"2/3/4/5 段折りたたみ植木鉢植物スタンドプランターディスプレイラック棚オーガナイザーガーデンバルコニー")</f>
        <v>2/3/4/5 段折りたたみ植木鉢植物スタンドプランターディスプレイラック棚オーガナイザーガーデンバルコニー</v>
      </c>
    </row>
    <row r="169" ht="15.75" customHeight="1">
      <c r="A169" s="1">
        <v>1634.0</v>
      </c>
      <c r="B169" s="1" t="s">
        <v>15</v>
      </c>
      <c r="C169" s="1" t="s">
        <v>159</v>
      </c>
      <c r="D169" s="1" t="str">
        <f>IFERROR(__xludf.DUMMYFUNCTION("CONCATENATE(GOOGLETRANSLATE(C169, ""en"", ""zh-cn""))
"),"适用于 3/16 英寸电缆栏杆的 3/16 英寸不锈钢手动模压螺柱转扣甲板肘节张紧器")</f>
        <v>适用于 3/16 英寸电缆栏杆的 3/16 英寸不锈钢手动模压螺柱转扣甲板肘节张紧器</v>
      </c>
      <c r="E169" s="1" t="str">
        <f>IFERROR(__xludf.DUMMYFUNCTION("CONCATENATE(GOOGLETRANSLATE(C169, ""en"", ""ko""))
"),"3/16인치 케이블 난간용 스테인레스 스틸 핸드 스웨이지 스터드 턴 버클 데크 토글 텐셔너")</f>
        <v>3/16인치 케이블 난간용 스테인레스 스틸 핸드 스웨이지 스터드 턴 버클 데크 토글 텐셔너</v>
      </c>
      <c r="F169" s="1" t="str">
        <f>IFERROR(__xludf.DUMMYFUNCTION("CONCATENATE(GOOGLETRANSLATE(C169, ""en"", ""ja""))"),"3/16 インチステンレス鋼ハンドスエージスタッドターンバックルデッキトグルテンショナー 3/16 インチケーブル手すり用")</f>
        <v>3/16 インチステンレス鋼ハンドスエージスタッドターンバックルデッキトグルテンショナー 3/16 インチケーブル手すり用</v>
      </c>
    </row>
    <row r="170" ht="15.75" customHeight="1">
      <c r="A170" s="1">
        <v>1635.0</v>
      </c>
      <c r="B170" s="1" t="s">
        <v>15</v>
      </c>
      <c r="C170" s="1" t="s">
        <v>160</v>
      </c>
      <c r="D170" s="1" t="str">
        <f>IFERROR(__xludf.DUMMYFUNCTION("CONCATENATE(GOOGLETRANSLATE(C170, ""en"", ""zh-cn""))
"),"12.5 厘米复古铁艺衣帽毛巾挂钩墙壁浴室架门家居装饰")</f>
        <v>12.5 厘米复古铁艺衣帽毛巾挂钩墙壁浴室架门家居装饰</v>
      </c>
      <c r="E170" s="1" t="str">
        <f>IFERROR(__xludf.DUMMYFUNCTION("CONCATENATE(GOOGLETRANSLATE(C170, ""en"", ""ko""))
"),"12.5CM 빈티지 철 코트 타월 걸이 후크 벽 욕실 랙 도어 홈 장식")</f>
        <v>12.5CM 빈티지 철 코트 타월 걸이 후크 벽 욕실 랙 도어 홈 장식</v>
      </c>
      <c r="F170" s="1" t="str">
        <f>IFERROR(__xludf.DUMMYFUNCTION("CONCATENATE(GOOGLETRANSLATE(C170, ""en"", ""ja""))"),"12.5 センチメートルヴィンテージアイアンコートタオル吊りフック壁浴室ラックドア家の装飾")</f>
        <v>12.5 センチメートルヴィンテージアイアンコートタオル吊りフック壁浴室ラックドア家の装飾</v>
      </c>
    </row>
    <row r="171" ht="15.75" customHeight="1">
      <c r="A171" s="1">
        <v>1636.0</v>
      </c>
      <c r="B171" s="1" t="s">
        <v>15</v>
      </c>
      <c r="C171" s="1" t="s">
        <v>161</v>
      </c>
      <c r="D171" s="1" t="str">
        <f>IFERROR(__xludf.DUMMYFUNCTION("CONCATENATE(GOOGLETRANSLATE(C171, ""en"", ""zh-cn""))
"),"仿古木管架浮动架子支架壁挂式储物")</f>
        <v>仿古木管架浮动架子支架壁挂式储物</v>
      </c>
      <c r="E171" s="1" t="str">
        <f>IFERROR(__xludf.DUMMYFUNCTION("CONCATENATE(GOOGLETRANSLATE(C171, ""en"", ""ko""))
"),"소박한 목재 파이프 프레임 플로팅 선반 브래킷 랙 홀더 벽걸이형 보관함")</f>
        <v>소박한 목재 파이프 프레임 플로팅 선반 브래킷 랙 홀더 벽걸이형 보관함</v>
      </c>
      <c r="F171" s="1" t="str">
        <f>IFERROR(__xludf.DUMMYFUNCTION("CONCATENATE(GOOGLETRANSLATE(C171, ""en"", ""ja""))"),"素朴な木製パイプフレームフローティングシェルフブラケットラックホルダー壁掛け収納")</f>
        <v>素朴な木製パイプフレームフローティングシェルフブラケットラックホルダー壁掛け収納</v>
      </c>
    </row>
    <row r="172" ht="15.75" customHeight="1">
      <c r="A172" s="1">
        <v>1637.0</v>
      </c>
      <c r="B172" s="1" t="s">
        <v>15</v>
      </c>
      <c r="C172" s="1" t="s">
        <v>162</v>
      </c>
      <c r="D172" s="1" t="str">
        <f>IFERROR(__xludf.DUMMYFUNCTION("CONCATENATE(GOOGLETRANSLATE(C172, ""en"", ""zh-cn""))
"),"卷铜钢 25 英尺 3/16 英寸制动管路管件带 20 件套件配件制动器内螺纹螺母")</f>
        <v>卷铜钢 25 英尺 3/16 英寸制动管路管件带 20 件套件配件制动器内螺纹螺母</v>
      </c>
      <c r="E172" s="1" t="str">
        <f>IFERROR(__xludf.DUMMYFUNCTION("CONCATENATE(GOOGLETRANSLATE(C172, ""en"", ""ko""))
"),"롤 구리 강철 25피트 3/16"" 브레이크 라인 파이프 튜브 20개 키트 피팅 브레이크 암수 너트 포함")</f>
        <v>롤 구리 강철 25피트 3/16" 브레이크 라인 파이프 튜브 20개 키트 피팅 브레이크 암수 너트 포함</v>
      </c>
      <c r="F172" s="1" t="str">
        <f>IFERROR(__xludf.DUMMYFUNCTION("CONCATENATE(GOOGLETRANSLATE(C172, ""en"", ""ja""))"),"ロール銅鋼 25 フィート 3/16 インチ ブレーキラインパイプチューブ 20 個キット継手ブレーキメスオスナット付き")</f>
        <v>ロール銅鋼 25 フィート 3/16 インチ ブレーキラインパイプチューブ 20 個キット継手ブレーキメスオスナット付き</v>
      </c>
    </row>
    <row r="173" ht="15.75" customHeight="1">
      <c r="A173" s="1">
        <v>1638.0</v>
      </c>
      <c r="B173" s="1" t="s">
        <v>15</v>
      </c>
      <c r="C173" s="1" t="s">
        <v>163</v>
      </c>
      <c r="D173" s="1" t="str">
        <f>IFERROR(__xludf.DUMMYFUNCTION("CONCATENATE(GOOGLETRANSLATE(C173, ""en"", ""zh-cn""))
"),"iBeauty桑拿便捷折叠椅野营便携椅")</f>
        <v>iBeauty桑拿便捷折叠椅野营便携椅</v>
      </c>
      <c r="E173" s="1" t="str">
        <f>IFERROR(__xludf.DUMMYFUNCTION("CONCATENATE(GOOGLETRANSLATE(C173, ""en"", ""ko""))
"),"iBeauty 사우나 편리한 접이식 의자 캠핑 휴대용 의자")</f>
        <v>iBeauty 사우나 편리한 접이식 의자 캠핑 휴대용 의자</v>
      </c>
      <c r="F173" s="1" t="str">
        <f>IFERROR(__xludf.DUMMYFUNCTION("CONCATENATE(GOOGLETRANSLATE(C173, ""en"", ""ja""))"),"iBeauty サウナ便利な折りたたみ椅子キャンプポータブルチェア")</f>
        <v>iBeauty サウナ便利な折りたたみ椅子キャンプポータブルチェア</v>
      </c>
    </row>
    <row r="174" ht="15.75" customHeight="1">
      <c r="A174" s="1">
        <v>1639.0</v>
      </c>
      <c r="B174" s="1" t="s">
        <v>15</v>
      </c>
      <c r="C174" s="1" t="s">
        <v>164</v>
      </c>
      <c r="D174" s="1" t="str">
        <f>IFERROR(__xludf.DUMMYFUNCTION("CONCATENATE(GOOGLETRANSLATE(C174, ""en"", ""zh-cn""))
"),"铁制肘节闩锁搭扣夹子鸭嘴扣适用于木箱")</f>
        <v>铁制肘节闩锁搭扣夹子鸭嘴扣适用于木箱</v>
      </c>
      <c r="E174" s="1" t="str">
        <f>IFERROR(__xludf.DUMMYFUNCTION("CONCATENATE(GOOGLETRANSLATE(C174, ""en"", ""ko""))
"),"철 토글 래치 캐치 걸쇠 클램프 클립 나무 상자 케이스용 오리 청구 버클")</f>
        <v>철 토글 래치 캐치 걸쇠 클램프 클립 나무 상자 케이스용 오리 청구 버클</v>
      </c>
      <c r="F174" s="1" t="str">
        <f>IFERROR(__xludf.DUMMYFUNCTION("CONCATENATE(GOOGLETRANSLATE(C174, ""en"", ""ja""))"),"アイアントグルラッチキャッチハスプクランプクリップダックビルバックルウッドボックスケース用")</f>
        <v>アイアントグルラッチキャッチハスプクランプクリップダックビルバックルウッドボックスケース用</v>
      </c>
    </row>
    <row r="175" ht="15.75" customHeight="1">
      <c r="A175" s="1">
        <v>1640.0</v>
      </c>
      <c r="B175" s="1" t="s">
        <v>15</v>
      </c>
      <c r="C175" s="1" t="s">
        <v>165</v>
      </c>
      <c r="D175" s="1" t="str">
        <f>IFERROR(__xludf.DUMMYFUNCTION("CONCATENATE(GOOGLETRANSLATE(C175, ""en"", ""zh-cn""))
"),"可折叠生态杂货袋魔术折叠购物袋可重复使用回收布购物袋大号")</f>
        <v>可折叠生态杂货袋魔术折叠购物袋可重复使用回收布购物袋大号</v>
      </c>
      <c r="E175" s="1" t="str">
        <f>IFERROR(__xludf.DUMMYFUNCTION("CONCATENATE(GOOGLETRANSLATE(C175, ""en"", ""ko""))
"),"접이식 에코 식료품 가방 매직 접이식 쇼핑백 재사용 가능한 재활용 천 구매자 가방 대형")</f>
        <v>접이식 에코 식료품 가방 매직 접이식 쇼핑백 재사용 가능한 재활용 천 구매자 가방 대형</v>
      </c>
      <c r="F175" s="1" t="str">
        <f>IFERROR(__xludf.DUMMYFUNCTION("CONCATENATE(GOOGLETRANSLATE(C175, ""en"", ""ja""))"),"折りたたみ ECO 食料品バッグ マジック折りたたみショッピングバッグ 再利用可能なリサイクル布ショッパーバッグ L")</f>
        <v>折りたたみ ECO 食料品バッグ マジック折りたたみショッピングバッグ 再利用可能なリサイクル布ショッパーバッグ L</v>
      </c>
    </row>
    <row r="176" ht="15.75" customHeight="1">
      <c r="A176" s="1">
        <v>1641.0</v>
      </c>
      <c r="B176" s="1" t="s">
        <v>15</v>
      </c>
      <c r="C176" s="1" t="s">
        <v>166</v>
      </c>
      <c r="D176" s="1" t="str">
        <f>IFERROR(__xludf.DUMMYFUNCTION("CONCATENATE(GOOGLETRANSLATE(C176, ""en"", ""zh-cn""))
"),"Suleve™ M5AN2 10 件 M5 杯头六角螺丝垫片垫圈螺母铝合金多色")</f>
        <v>Suleve™ M5AN2 10 件 M5 杯头六角螺丝垫片垫圈螺母铝合金多色</v>
      </c>
      <c r="E176" s="1" t="str">
        <f>IFERROR(__xludf.DUMMYFUNCTION("CONCATENATE(GOOGLETRANSLATE(C176, ""en"", ""ko""))
"),"Suleve™ M5AN2 10개 M5 컵 헤드 육각 나사 가스켓 와셔 너트 알루미늄 합금 다색")</f>
        <v>Suleve™ M5AN2 10개 M5 컵 헤드 육각 나사 가스켓 와셔 너트 알루미늄 합금 다색</v>
      </c>
      <c r="F176" s="1" t="str">
        <f>IFERROR(__xludf.DUMMYFUNCTION("CONCATENATE(GOOGLETRANSLATE(C176, ""en"", ""ja""))"),"Suleve™ M5AN2 10 個 M5 カップヘッド六角ネジガスケットワッシャーナットアルミニウム合金マルチカラー")</f>
        <v>Suleve™ M5AN2 10 個 M5 カップヘッド六角ネジガスケットワッシャーナットアルミニウム合金マルチカラー</v>
      </c>
    </row>
    <row r="177" ht="15.75" customHeight="1">
      <c r="A177" s="1">
        <v>1642.0</v>
      </c>
      <c r="B177" s="1" t="s">
        <v>15</v>
      </c>
      <c r="C177" s="1" t="s">
        <v>167</v>
      </c>
      <c r="D177" s="1" t="str">
        <f>IFERROR(__xludf.DUMMYFUNCTION("CONCATENATE(GOOGLETRANSLATE(C177, ""en"", ""zh-cn""))
"),"Suleve™ AJ40 4 件角支架铸铝角角接头 40x40mm")</f>
        <v>Suleve™ AJ40 4 件角支架铸铝角角接头 40x40mm</v>
      </c>
      <c r="E177" s="1" t="str">
        <f>IFERROR(__xludf.DUMMYFUNCTION("CONCATENATE(GOOGLETRANSLATE(C177, ""en"", ""ko""))
"),"Suleve™ AJ40 4개 코너 브래킷 주조 알루미늄 앵글 코너 조인트 40x40mm")</f>
        <v>Suleve™ AJ40 4개 코너 브래킷 주조 알루미늄 앵글 코너 조인트 40x40mm</v>
      </c>
      <c r="F177" s="1" t="str">
        <f>IFERROR(__xludf.DUMMYFUNCTION("CONCATENATE(GOOGLETRANSLATE(C177, ""en"", ""ja""))"),"Suleve™ AJ40 4 個コーナーブラケット鋳造アルミニウムアングルコーナージョイント 40x40mm")</f>
        <v>Suleve™ AJ40 4 個コーナーブラケット鋳造アルミニウムアングルコーナージョイント 40x40mm</v>
      </c>
    </row>
    <row r="178" ht="15.75" customHeight="1">
      <c r="A178" s="1">
        <v>1643.0</v>
      </c>
      <c r="B178" s="1" t="s">
        <v>15</v>
      </c>
      <c r="C178" s="1" t="s">
        <v>168</v>
      </c>
      <c r="D178" s="1" t="str">
        <f>IFERROR(__xludf.DUMMYFUNCTION("CONCATENATE(GOOGLETRANSLATE(C178, ""en"", ""zh-cn""))
"),"男婴如厕厕所儿童幼儿小便池浴室悬挂小便训练器 ")</f>
        <v>男婴如厕厕所儿童幼儿小便池浴室悬挂小便训练器 </v>
      </c>
      <c r="E178" s="1" t="str">
        <f>IFERROR(__xludf.DUMMYFUNCTION("CONCATENATE(GOOGLETRANSLATE(C178, ""en"", ""ko""))
"),"남아용 유아용 변기 어린이 유아용 소변기 욕실 걸이형 오줌 트레이너 ")</f>
        <v>남아용 유아용 변기 어린이 유아용 소변기 욕실 걸이형 오줌 트레이너 </v>
      </c>
      <c r="F178" s="1" t="str">
        <f>IFERROR(__xludf.DUMMYFUNCTION("CONCATENATE(GOOGLETRANSLATE(C178, ""en"", ""ja""))"),"赤ちゃん男の子トイレトイレ子供幼児小便器バスルームぶら下げおしっこトレーナー ")</f>
        <v>赤ちゃん男の子トイレトイレ子供幼児小便器バスルームぶら下げおしっこトレーナー </v>
      </c>
    </row>
    <row r="179" ht="15.75" customHeight="1">
      <c r="A179" s="1">
        <v>1644.0</v>
      </c>
      <c r="B179" s="1" t="s">
        <v>15</v>
      </c>
      <c r="C179" s="1" t="s">
        <v>169</v>
      </c>
      <c r="D179" s="1" t="str">
        <f>IFERROR(__xludf.DUMMYFUNCTION("CONCATENATE(GOOGLETRANSLATE(C179, ""en"", ""zh-cn""))
"),"抽屉柜橱柜门家具把手家具部件旋钮拉环")</f>
        <v>抽屉柜橱柜门家具把手家具部件旋钮拉环</v>
      </c>
      <c r="E179" s="1" t="str">
        <f>IFERROR(__xludf.DUMMYFUNCTION("CONCATENATE(GOOGLETRANSLATE(C179, ""en"", ""ko""))
"),"서랍 캐비닛 찬장 도어 가구 손잡이 가구 구성 요소용 손잡이 당김 링")</f>
        <v>서랍 캐비닛 찬장 도어 가구 손잡이 가구 구성 요소용 손잡이 당김 링</v>
      </c>
      <c r="F179" s="1" t="str">
        <f>IFERROR(__xludf.DUMMYFUNCTION("CONCATENATE(GOOGLETRANSLATE(C179, ""en"", ""ja""))"),"ノブプルリング引き出しキャビネット食器棚ドア家具ハンドル家具コンポーネント")</f>
        <v>ノブプルリング引き出しキャビネット食器棚ドア家具ハンドル家具コンポーネント</v>
      </c>
    </row>
    <row r="180" ht="15.75" customHeight="1">
      <c r="A180" s="1">
        <v>1645.0</v>
      </c>
      <c r="B180" s="1" t="s">
        <v>15</v>
      </c>
      <c r="C180" s="1" t="s">
        <v>170</v>
      </c>
      <c r="D180" s="1" t="str">
        <f>IFERROR(__xludf.DUMMYFUNCTION("CONCATENATE(GOOGLETRANSLATE(C180, ""en"", ""zh-cn""))
"),"20件装 PPR牙塞 PPR外丝塞 DN20 热水管件")</f>
        <v>20件装 PPR牙塞 PPR外丝塞 DN20 热水管件</v>
      </c>
      <c r="E180" s="1" t="str">
        <f>IFERROR(__xludf.DUMMYFUNCTION("CONCATENATE(GOOGLETRANSLATE(C180, ""en"", ""ko""))
"),"20개 PPR 치아 플러그 PPR 외부 와이어 플러그 DN20 온수 파이프 피팅")</f>
        <v>20개 PPR 치아 플러그 PPR 외부 와이어 플러그 DN20 온수 파이프 피팅</v>
      </c>
      <c r="F180" s="1" t="str">
        <f>IFERROR(__xludf.DUMMYFUNCTION("CONCATENATE(GOOGLETRANSLATE(C180, ""en"", ""ja""))"),"20 個 PPR 歯プラグ PPR 外部ワイヤープラグ DN20 温水パイプ継手")</f>
        <v>20 個 PPR 歯プラグ PPR 外部ワイヤープラグ DN20 温水パイプ継手</v>
      </c>
    </row>
    <row r="181" ht="15.75" customHeight="1">
      <c r="A181" s="1">
        <v>1646.0</v>
      </c>
      <c r="B181" s="1" t="s">
        <v>15</v>
      </c>
      <c r="C181" s="1" t="s">
        <v>171</v>
      </c>
      <c r="D181" s="1" t="str">
        <f>IFERROR(__xludf.DUMMYFUNCTION("CONCATENATE(GOOGLETRANSLATE(C181, ""en"", ""zh-cn""))
"),"厨房水槽水龙头 360° 旋转抽拉式水龙头台面安装冷热混合器带软管")</f>
        <v>厨房水槽水龙头 360° 旋转抽拉式水龙头台面安装冷热混合器带软管</v>
      </c>
      <c r="E181" s="1" t="str">
        <f>IFERROR(__xludf.DUMMYFUNCTION("CONCATENATE(GOOGLETRANSLATE(C181, ""en"", ""ko""))
"),"주방 싱크 수전 360°회전식 수도꼭지 데크 장착 호스 포함 냉온수 믹서")</f>
        <v>주방 싱크 수전 360°회전식 수도꼭지 데크 장착 호스 포함 냉온수 믹서</v>
      </c>
      <c r="F181" s="1" t="str">
        <f>IFERROR(__xludf.DUMMYFUNCTION("CONCATENATE(GOOGLETRANSLATE(C181, ""en"", ""ja""))"),"キッチンのシンクの蛇口 360 ° 回転引き出し水道タップデッキマウントコールドホットミキサーとホース")</f>
        <v>キッチンのシンクの蛇口 360 ° 回転引き出し水道タップデッキマウントコールドホットミキサーとホース</v>
      </c>
    </row>
    <row r="182" ht="15.75" customHeight="1">
      <c r="A182" s="1">
        <v>1647.0</v>
      </c>
      <c r="B182" s="1" t="s">
        <v>15</v>
      </c>
      <c r="C182" s="1" t="s">
        <v>172</v>
      </c>
      <c r="D182" s="1" t="str">
        <f>IFERROR(__xludf.DUMMYFUNCTION("CONCATENATE(GOOGLETRANSLATE(C182, ""en"", ""zh-cn""))
"),"拉丝金色厨房水槽水龙头拉出式水龙头单柄混合水龙头 360 度旋转")</f>
        <v>拉丝金色厨房水槽水龙头拉出式水龙头单柄混合水龙头 360 度旋转</v>
      </c>
      <c r="E182" s="1" t="str">
        <f>IFERROR(__xludf.DUMMYFUNCTION("CONCATENATE(GOOGLETRANSLATE(C182, ""en"", ""ko""))
"),"브러시드 골드 주방 싱크 수전 인출식 수도꼭지 싱글 핸들 믹서 탭 360 회전")</f>
        <v>브러시드 골드 주방 싱크 수전 인출식 수도꼭지 싱글 핸들 믹서 탭 360 회전</v>
      </c>
      <c r="F182" s="1" t="str">
        <f>IFERROR(__xludf.DUMMYFUNCTION("CONCATENATE(GOOGLETRANSLATE(C182, ""en"", ""ja""))"),"ブラッシュゴールドキッチンシンクの蛇口引き出し水栓シングルハンドルミキサータップ 360 回転")</f>
        <v>ブラッシュゴールドキッチンシンクの蛇口引き出し水栓シングルハンドルミキサータップ 360 回転</v>
      </c>
    </row>
    <row r="183" ht="15.75" customHeight="1">
      <c r="A183" s="1">
        <v>1648.0</v>
      </c>
      <c r="B183" s="1" t="s">
        <v>15</v>
      </c>
      <c r="C183" s="1" t="s">
        <v>173</v>
      </c>
      <c r="D183" s="1" t="str">
        <f>IFERROR(__xludf.DUMMYFUNCTION("CONCATENATE(GOOGLETRANSLATE(C183, ""en"", ""zh-cn""))
"),"吸尘器支架适合戴森 V6 V7 V8 V10")</f>
        <v>吸尘器支架适合戴森 V6 V7 V8 V10</v>
      </c>
      <c r="E183" s="1" t="str">
        <f>IFERROR(__xludf.DUMMYFUNCTION("CONCATENATE(GOOGLETRANSLATE(C183, ""en"", ""ko""))
"),"다이슨 V6 V7 V8 V10에 맞는 진공 청소기 스탠드")</f>
        <v>다이슨 V6 V7 V8 V10에 맞는 진공 청소기 스탠드</v>
      </c>
      <c r="F183" s="1" t="str">
        <f>IFERROR(__xludf.DUMMYFUNCTION("CONCATENATE(GOOGLETRANSLATE(C183, ""en"", ""ja""))"),"掃除機スタンドはダイソン V6 V7 V8 V10 に適合します。")</f>
        <v>掃除機スタンドはダイソン V6 V7 V8 V10 に適合します。</v>
      </c>
    </row>
    <row r="184" ht="15.75" customHeight="1">
      <c r="A184" s="1">
        <v>1649.0</v>
      </c>
      <c r="B184" s="1" t="s">
        <v>15</v>
      </c>
      <c r="C184" s="1" t="s">
        <v>67</v>
      </c>
      <c r="D184" s="1" t="str">
        <f>IFERROR(__xludf.DUMMYFUNCTION("CONCATENATE(GOOGLETRANSLATE(C184, ""en"", ""zh-cn""))
"),"自由弯曲防水阻水塞硅胶50/60/90/120/150/200cm")</f>
        <v>自由弯曲防水阻水塞硅胶50/60/90/120/150/200cm</v>
      </c>
      <c r="E184" s="1" t="str">
        <f>IFERROR(__xludf.DUMMYFUNCTION("CONCATENATE(GOOGLETRANSLATE(C184, ""en"", ""ko""))
"),"프리 벤딩 워터 배리어 워터 스토퍼 실리콘 50/60/90/120/150/200cm")</f>
        <v>프리 벤딩 워터 배리어 워터 스토퍼 실리콘 50/60/90/120/150/200cm</v>
      </c>
      <c r="F184" s="1" t="str">
        <f>IFERROR(__xludf.DUMMYFUNCTION("CONCATENATE(GOOGLETRANSLATE(C184, ""en"", ""ja""))"),"自由に曲がるウォーターバリアウォーターストッパーシリコン50/60/90/120/150/200センチメートル")</f>
        <v>自由に曲がるウォーターバリアウォーターストッパーシリコン50/60/90/120/150/200センチメートル</v>
      </c>
    </row>
    <row r="185" ht="15.75" customHeight="1">
      <c r="A185" s="1">
        <v>1650.0</v>
      </c>
      <c r="B185" s="1" t="s">
        <v>15</v>
      </c>
      <c r="C185" s="1" t="s">
        <v>174</v>
      </c>
      <c r="D185" s="1" t="str">
        <f>IFERROR(__xludf.DUMMYFUNCTION("CONCATENATE(GOOGLETRANSLATE(C185, ""en"", ""zh-cn""))
"),"可调节笔记本电脑支架可折叠便携式电脑适用于床沙发桌架桌子")</f>
        <v>可调节笔记本电脑支架可折叠便携式电脑适用于床沙发桌架桌子</v>
      </c>
      <c r="E185" s="1" t="str">
        <f>IFERROR(__xludf.DUMMYFUNCTION("CONCATENATE(GOOGLETRANSLATE(C185, ""en"", ""ko""))
"),"조정 가능한 노트북 스탠드 침대 소파 책상 홀더 테이블용 접이식 휴대용 컴퓨터")</f>
        <v>조정 가능한 노트북 스탠드 침대 소파 책상 홀더 테이블용 접이식 휴대용 컴퓨터</v>
      </c>
      <c r="F185" s="1" t="str">
        <f>IFERROR(__xludf.DUMMYFUNCTION("CONCATENATE(GOOGLETRANSLATE(C185, ""en"", ""ja""))"),"調節可能なラップトップスタンド折りたたみポータブルコンピュータベッドソファデスクホルダーテーブル")</f>
        <v>調節可能なラップトップスタンド折りたたみポータブルコンピュータベッドソファデスクホルダーテーブル</v>
      </c>
    </row>
    <row r="186" ht="15.75" customHeight="1">
      <c r="A186" s="1">
        <v>1651.0</v>
      </c>
      <c r="B186" s="1" t="s">
        <v>15</v>
      </c>
      <c r="C186" s="1" t="s">
        <v>175</v>
      </c>
      <c r="D186" s="1" t="str">
        <f>IFERROR(__xludf.DUMMYFUNCTION("CONCATENATE(GOOGLETRANSLATE(C186, ""en"", ""zh-cn""))
"),"铝合金柜脚可调节家具脚床柜腿茶几固定脚")</f>
        <v>铝合金柜脚可调节家具脚床柜腿茶几固定脚</v>
      </c>
      <c r="E186" s="1" t="str">
        <f>IFERROR(__xludf.DUMMYFUNCTION("CONCATENATE(GOOGLETRANSLATE(C186, ""en"", ""ko""))
"),"알루미늄 합금 캐비닛 피트 조정 가능한 가구 발 침대 캐비닛 다리 커피 테이블 고정 피트")</f>
        <v>알루미늄 합금 캐비닛 피트 조정 가능한 가구 발 침대 캐비닛 다리 커피 테이블 고정 피트</v>
      </c>
      <c r="F186" s="1" t="str">
        <f>IFERROR(__xludf.DUMMYFUNCTION("CONCATENATE(GOOGLETRANSLATE(C186, ""en"", ""ja""))"),"アルミ合金キャビネット足調節可能な家具フットベッドキャビネット脚コーヒーテーブル固定足")</f>
        <v>アルミ合金キャビネット足調節可能な家具フットベッドキャビネット脚コーヒーテーブル固定足</v>
      </c>
    </row>
    <row r="187" ht="15.75" customHeight="1">
      <c r="A187" s="1">
        <v>1652.0</v>
      </c>
      <c r="B187" s="1" t="s">
        <v>15</v>
      </c>
      <c r="C187" s="1" t="s">
        <v>176</v>
      </c>
      <c r="D187" s="1" t="str">
        <f>IFERROR(__xludf.DUMMYFUNCTION("CONCATENATE(GOOGLETRANSLATE(C187, ""en"", ""zh-cn""))
"),"花园防鸟网防虫网家禽植物蔬菜户外农作物水果防护网网")</f>
        <v>花园防鸟网防虫网家禽植物蔬菜户外农作物水果防护网网</v>
      </c>
      <c r="E187" s="1" t="str">
        <f>IFERROR(__xludf.DUMMYFUNCTION("CONCATENATE(GOOGLETRANSLATE(C187, ""en"", ""ko""))
"),"정원 안티 버드 그물 곤충 그물 가금류 식물 야채 야외 자르기 과일 보호 메쉬 그물")</f>
        <v>정원 안티 버드 그물 곤충 그물 가금류 식물 야채 야외 자르기 과일 보호 메쉬 그물</v>
      </c>
      <c r="F187" s="1" t="str">
        <f>IFERROR(__xludf.DUMMYFUNCTION("CONCATENATE(GOOGLETRANSLATE(C187, ""en"", ""ja""))"),"庭の抗鳥ネット昆虫ネッティング家禽植物野菜屋外作物果物保護メッシュネット")</f>
        <v>庭の抗鳥ネット昆虫ネッティング家禽植物野菜屋外作物果物保護メッシュネット</v>
      </c>
    </row>
    <row r="188" ht="15.75" customHeight="1">
      <c r="A188" s="1">
        <v>1653.0</v>
      </c>
      <c r="B188" s="1" t="s">
        <v>15</v>
      </c>
      <c r="C188" s="1" t="s">
        <v>177</v>
      </c>
      <c r="D188" s="1" t="str">
        <f>IFERROR(__xludf.DUMMYFUNCTION("CONCATENATE(GOOGLETRANSLATE(C188, ""en"", ""zh-cn""))
"),"现代白花卧室床头柜置物架橱柜收纳柜床头柜储物篮")</f>
        <v>现代白花卧室床头柜置物架橱柜收纳柜床头柜储物篮</v>
      </c>
      <c r="E188" s="1" t="str">
        <f>IFERROR(__xludf.DUMMYFUNCTION("CONCATENATE(GOOGLETRANSLATE(C188, ""en"", ""ko""))
"),"현대 흰색 꽃 침실 침대 옆 테이블 랙 캐비닛 주최자 밤 스탠드 보관 바구니")</f>
        <v>현대 흰색 꽃 침실 침대 옆 테이블 랙 캐비닛 주최자 밤 스탠드 보관 바구니</v>
      </c>
      <c r="F188" s="1" t="str">
        <f>IFERROR(__xludf.DUMMYFUNCTION("CONCATENATE(GOOGLETRANSLATE(C188, ""en"", ""ja""))"),"モダンな白い花の寝室のベッドサイドテーブルラックキャビネットオーガナイザーナイトスタンド収納バスケット")</f>
        <v>モダンな白い花の寝室のベッドサイドテーブルラックキャビネットオーガナイザーナイトスタンド収納バスケット</v>
      </c>
    </row>
    <row r="189" ht="15.75" customHeight="1">
      <c r="A189" s="1">
        <v>1654.0</v>
      </c>
      <c r="B189" s="1" t="s">
        <v>15</v>
      </c>
      <c r="C189" s="1" t="s">
        <v>178</v>
      </c>
      <c r="D189" s="1" t="str">
        <f>IFERROR(__xludf.DUMMYFUNCTION("CONCATENATE(GOOGLETRANSLATE(C189, ""en"", ""zh-cn""))
"),"黑色木质纹理自粘装饰接触纸乙烯基架子衬垫壁纸")</f>
        <v>黑色木质纹理自粘装饰接触纸乙烯基架子衬垫壁纸</v>
      </c>
      <c r="E189" s="1" t="str">
        <f>IFERROR(__xludf.DUMMYFUNCTION("CONCATENATE(GOOGLETRANSLATE(C189, ""en"", ""ko""))
"),"검은색 목재 질감의 자체 접착 장식 접착지 비닐 선반 라이너 벽 종이")</f>
        <v>검은색 목재 질감의 자체 접착 장식 접착지 비닐 선반 라이너 벽 종이</v>
      </c>
      <c r="F189" s="1" t="str">
        <f>IFERROR(__xludf.DUMMYFUNCTION("CONCATENATE(GOOGLETRANSLATE(C189, ""en"", ""ja""))"),"黒い木の質感のある自己粘着装飾コンタクト紙ビニール棚ライナー壁紙")</f>
        <v>黒い木の質感のある自己粘着装飾コンタクト紙ビニール棚ライナー壁紙</v>
      </c>
    </row>
    <row r="190" ht="15.75" customHeight="1">
      <c r="A190" s="1">
        <v>1655.0</v>
      </c>
      <c r="B190" s="1" t="s">
        <v>15</v>
      </c>
      <c r="C190" s="1" t="s">
        <v>179</v>
      </c>
      <c r="D190" s="1" t="str">
        <f>IFERROR(__xludf.DUMMYFUNCTION("CONCATENATE(GOOGLETRANSLATE(C190, ""en"", ""zh-cn""))
"),"防水堆叠椅套户外花园公园庭院办公家具")</f>
        <v>防水堆叠椅套户外花园公园庭院办公家具</v>
      </c>
      <c r="E190" s="1" t="str">
        <f>IFERROR(__xludf.DUMMYFUNCTION("CONCATENATE(GOOGLETRANSLATE(C190, ""en"", ""ko""))
"),"방수 겹쳐 쌓이는 의자는 옥외 정원 공원 안뜰 사무용 가구를 덮습니다")</f>
        <v>방수 겹쳐 쌓이는 의자는 옥외 정원 공원 안뜰 사무용 가구를 덮습니다</v>
      </c>
      <c r="F190" s="1" t="str">
        <f>IFERROR(__xludf.DUMMYFUNCTION("CONCATENATE(GOOGLETRANSLATE(C190, ""en"", ""ja""))"),"防水スタッキングチェアカバー屋外庭園公園パティオオフィス家具")</f>
        <v>防水スタッキングチェアカバー屋外庭園公園パティオオフィス家具</v>
      </c>
    </row>
    <row r="191" ht="15.75" customHeight="1">
      <c r="A191" s="1">
        <v>1656.0</v>
      </c>
      <c r="B191" s="1" t="s">
        <v>15</v>
      </c>
      <c r="C191" s="1" t="s">
        <v>180</v>
      </c>
      <c r="D191" s="1" t="str">
        <f>IFERROR(__xludf.DUMMYFUNCTION("CONCATENATE(GOOGLETRANSLATE(C191, ""en"", ""zh-cn""))
"),"2 件套雨淋式手持花洒头硅胶出水口加压花洒套装")</f>
        <v>2 件套雨淋式手持花洒头硅胶出水口加压花洒套装</v>
      </c>
      <c r="E191" s="1" t="str">
        <f>IFERROR(__xludf.DUMMYFUNCTION("CONCATENATE(GOOGLETRANSLATE(C191, ""en"", ""ko""))
"),"2개/대 강우 휴대용 샤워 헤드 실리카 젤 배출구 가압 샤워 세트")</f>
        <v>2개/대 강우 휴대용 샤워 헤드 실리카 젤 배출구 가압 샤워 세트</v>
      </c>
      <c r="F191" s="1" t="str">
        <f>IFERROR(__xludf.DUMMYFUNCTION("CONCATENATE(GOOGLETRANSLATE(C191, ""en"", ""ja""))"),"2 ピース/セット降雨ハンドヘルドシャワーヘッドシリカゲル出口加圧シャワーセット")</f>
        <v>2 ピース/セット降雨ハンドヘルドシャワーヘッドシリカゲル出口加圧シャワーセット</v>
      </c>
    </row>
    <row r="192" ht="15.75" customHeight="1">
      <c r="A192" s="1">
        <v>1657.0</v>
      </c>
      <c r="B192" s="1" t="s">
        <v>15</v>
      </c>
      <c r="C192" s="1" t="s">
        <v>181</v>
      </c>
      <c r="D192" s="1" t="str">
        <f>IFERROR(__xludf.DUMMYFUNCTION("CONCATENATE(GOOGLETRANSLATE(C192, ""en"", ""zh-cn""))
"),"FRAP 银色双把水龙头厨房水槽水龙头和厨房 ")</f>
        <v>FRAP 银色双把水龙头厨房水槽水龙头和厨房 </v>
      </c>
      <c r="E192" s="1" t="str">
        <f>IFERROR(__xludf.DUMMYFUNCTION("CONCATENATE(GOOGLETRANSLATE(C192, ""en"", ""ko""))
"),"FRAP 실버 더블 핸들 수전 주방 싱크 수전 및 주방 ")</f>
        <v>FRAP 실버 더블 핸들 수전 주방 싱크 수전 및 주방 </v>
      </c>
      <c r="F192" s="1" t="str">
        <f>IFERROR(__xludf.DUMMYFUNCTION("CONCATENATE(GOOGLETRANSLATE(C192, ""en"", ""ja""))"),"FRAP シルバー ダブルハンドル蛇口 キッチン シンクの蛇口とキッチン ")</f>
        <v>FRAP シルバー ダブルハンドル蛇口 キッチン シンクの蛇口とキッチン </v>
      </c>
    </row>
    <row r="193" ht="15.75" customHeight="1">
      <c r="A193" s="1">
        <v>1658.0</v>
      </c>
      <c r="B193" s="1" t="s">
        <v>15</v>
      </c>
      <c r="C193" s="1" t="s">
        <v>182</v>
      </c>
      <c r="D193" s="1" t="str">
        <f>IFERROR(__xludf.DUMMYFUNCTION("CONCATENATE(GOOGLETRANSLATE(C193, ""en"", ""zh-cn""))
"),"TMOK 1"" 1-1/4"" 温度计手动内螺纹黄铜温度计球阀")</f>
        <v>TMOK 1" 1-1/4" 温度计手动内螺纹黄铜温度计球阀</v>
      </c>
      <c r="E193" s="1" t="str">
        <f>IFERROR(__xludf.DUMMYFUNCTION("CONCATENATE(GOOGLETRANSLATE(C193, ""en"", ""ko""))
"),"TMOK 1"" 1-1/4"" 수동 내부 나사식 황동 온도 게이지 볼 밸브(온도계용)")</f>
        <v>TMOK 1" 1-1/4" 수동 내부 나사식 황동 온도 게이지 볼 밸브(온도계용)</v>
      </c>
      <c r="F193" s="1" t="str">
        <f>IFERROR(__xludf.DUMMYFUNCTION("CONCATENATE(GOOGLETRANSLATE(C193, ""en"", ""ja""))"),"TMOK 1 ""1-1/4"" 手動雌ネジ真鍮温度計温度計用ボールバルブ")</f>
        <v>TMOK 1 "1-1/4" 手動雌ネジ真鍮温度計温度計用ボールバルブ</v>
      </c>
    </row>
    <row r="194" ht="15.75" customHeight="1">
      <c r="A194" s="1">
        <v>1659.0</v>
      </c>
      <c r="B194" s="1" t="s">
        <v>15</v>
      </c>
      <c r="C194" s="1" t="s">
        <v>183</v>
      </c>
      <c r="D194" s="1" t="str">
        <f>IFERROR(__xludf.DUMMYFUNCTION("CONCATENATE(GOOGLETRANSLATE(C194, ""en"", ""zh-cn""))
"),"TMOK TK201 1/2"" 3/4"" 1"" 内螺纹黄铜两片式全端口螺纹球阀，带乙烯基手柄 ")</f>
        <v>TMOK TK201 1/2" 3/4" 1" 内螺纹黄铜两片式全端口螺纹球阀，带乙烯基手柄 </v>
      </c>
      <c r="E194" s="1" t="str">
        <f>IFERROR(__xludf.DUMMYFUNCTION("CONCATENATE(GOOGLETRANSLATE(C194, ""en"", ""ko""))
"),"TMOK TK201 1/2"" 3/4"" 1"" 암형 황동 2피스 풀 포트 나사산 볼 밸브(비닐 핸들 포함) ")</f>
        <v>TMOK TK201 1/2" 3/4" 1" 암형 황동 2피스 풀 포트 나사산 볼 밸브(비닐 핸들 포함) </v>
      </c>
      <c r="F194" s="1" t="str">
        <f>IFERROR(__xludf.DUMMYFUNCTION("CONCATENATE(GOOGLETRANSLATE(C194, ""en"", ""ja""))"),"TMOK TK201 1/2 ""3/4"" 1"" メス真鍮ツーピースフルポートねじボールバルブ、ビニールハンドル付き ")</f>
        <v>TMOK TK201 1/2 "3/4" 1" メス真鍮ツーピースフルポートねじボールバルブ、ビニールハンドル付き </v>
      </c>
    </row>
    <row r="195" ht="15.75" customHeight="1">
      <c r="A195" s="1">
        <v>1660.0</v>
      </c>
      <c r="B195" s="1" t="s">
        <v>15</v>
      </c>
      <c r="C195" s="1" t="s">
        <v>184</v>
      </c>
      <c r="D195" s="1" t="str">
        <f>IFERROR(__xludf.DUMMYFUNCTION("CONCATENATE(GOOGLETRANSLATE(C195, ""en"", ""zh-cn""))
"),"TMOK 1/2"" 3/4"" 外丝手动 PPR 黄铜球阀 镍手柄 PPR 外螺纹阀门")</f>
        <v>TMOK 1/2" 3/4" 外丝手动 PPR 黄铜球阀 镍手柄 PPR 外螺纹阀门</v>
      </c>
      <c r="E195" s="1" t="str">
        <f>IFERROR(__xludf.DUMMYFUNCTION("CONCATENATE(GOOGLETRANSLATE(C195, ""en"", ""ko""))
"),"TMOK 1/2"" 3/4"" 외부 와이어 수동 PPR 황동 볼 밸브 니켈 핸들 PPR 수나사 밸브")</f>
        <v>TMOK 1/2" 3/4" 외부 와이어 수동 PPR 황동 볼 밸브 니켈 핸들 PPR 수나사 밸브</v>
      </c>
      <c r="F195" s="1" t="str">
        <f>IFERROR(__xludf.DUMMYFUNCTION("CONCATENATE(GOOGLETRANSLATE(C195, ""en"", ""ja""))"),"TMOK 1/2 ""3/4"" 外部ワイヤー手動 PPR 真鍮ボールバルブニッケルハンドル PPR おねじバルブ")</f>
        <v>TMOK 1/2 "3/4" 外部ワイヤー手動 PPR 真鍮ボールバルブニッケルハンドル PPR おねじバルブ</v>
      </c>
    </row>
    <row r="196" ht="15.75" customHeight="1">
      <c r="A196" s="1">
        <v>1661.0</v>
      </c>
      <c r="B196" s="1" t="s">
        <v>15</v>
      </c>
      <c r="C196" s="1" t="s">
        <v>185</v>
      </c>
      <c r="D196" s="1" t="str">
        <f>IFERROR(__xludf.DUMMYFUNCTION("CONCATENATE(GOOGLETRANSLATE(C196, ""en"", ""zh-cn""))
"),"Suleve™ MXHN1 50 件透明亚克力螺母六角塑料螺母垫圈六角锁紧螺母 M6")</f>
        <v>Suleve™ MXHN1 50 件透明亚克力螺母六角塑料螺母垫圈六角锁紧螺母 M6</v>
      </c>
      <c r="E196" s="1" t="str">
        <f>IFERROR(__xludf.DUMMYFUNCTION("CONCATENATE(GOOGLETRANSLATE(C196, ""en"", ""ko""))
"),"Suleve™ MXHN1 50개 투명 아크릴 너트 육각 플라스틱 너트 와셔 육각 잠금 너트 M6")</f>
        <v>Suleve™ MXHN1 50개 투명 아크릴 너트 육각 플라스틱 너트 와셔 육각 잠금 너트 M6</v>
      </c>
      <c r="F196" s="1" t="str">
        <f>IFERROR(__xludf.DUMMYFUNCTION("CONCATENATE(GOOGLETRANSLATE(C196, ""en"", ""ja""))"),"Suleve™ MXHN1 50 個透明アクリルナット六角プラスチックナットワッシャー六角ロックナット M6")</f>
        <v>Suleve™ MXHN1 50 個透明アクリルナット六角プラスチックナットワッシャー六角ロックナット M6</v>
      </c>
    </row>
    <row r="197" ht="15.75" customHeight="1">
      <c r="A197" s="1">
        <v>1662.0</v>
      </c>
      <c r="B197" s="1" t="s">
        <v>15</v>
      </c>
      <c r="C197" s="1" t="s">
        <v>186</v>
      </c>
      <c r="D197" s="1" t="str">
        <f>IFERROR(__xludf.DUMMYFUNCTION("CONCATENATE(GOOGLETRANSLATE(C197, ""en"", ""zh-cn""))
"),"76.2 毫米至 57.6 毫米不锈钢排气管至组件适配器变径接头管")</f>
        <v>76.2 毫米至 57.6 毫米不锈钢排气管至组件适配器变径接头管</v>
      </c>
      <c r="E197" s="1" t="str">
        <f>IFERROR(__xludf.DUMMYFUNCTION("CONCATENATE(GOOGLETRANSLATE(C197, ""en"", ""ko""))
"),"76.2mm ~ 57.6mm 스테인레스 배기관 - 구성 요소 어댑터 감속기 커넥터 파이프 튜브")</f>
        <v>76.2mm ~ 57.6mm 스테인레스 배기관 - 구성 요소 어댑터 감속기 커넥터 파이프 튜브</v>
      </c>
      <c r="F197" s="1" t="str">
        <f>IFERROR(__xludf.DUMMYFUNCTION("CONCATENATE(GOOGLETRANSLATE(C197, ""en"", ""ja""))"),"76.2mm ～ 57.6mm ステンレス排気管 - コンポーネントアダプター減速機コネクターパイプチューブ")</f>
        <v>76.2mm ～ 57.6mm ステンレス排気管 - コンポーネントアダプター減速機コネクターパイプチューブ</v>
      </c>
    </row>
    <row r="198" ht="15.75" customHeight="1">
      <c r="A198" s="1">
        <v>1663.0</v>
      </c>
      <c r="B198" s="1" t="s">
        <v>15</v>
      </c>
      <c r="C198" s="1" t="s">
        <v>187</v>
      </c>
      <c r="D198" s="1" t="str">
        <f>IFERROR(__xludf.DUMMYFUNCTION("CONCATENATE(GOOGLETRANSLATE(C198, ""en"", ""zh-cn""))
"),"M22 外螺纹至 1/4"" 外螺纹适配器黄铜高压清洗机软管快速连接接头适用于 Karcher")</f>
        <v>M22 外螺纹至 1/4" 外螺纹适配器黄铜高压清洗机软管快速连接接头适用于 Karcher</v>
      </c>
      <c r="E198" s="1" t="str">
        <f>IFERROR(__xludf.DUMMYFUNCTION("CONCATENATE(GOOGLETRANSLATE(C198, ""en"", ""ko""))
"),"M22 남성 1/4 ""남성 어댑터 황동 압력 와셔 호스 Karcher 용 빠른 연결 커플 링 피팅")</f>
        <v>M22 남성 1/4 "남성 어댑터 황동 압력 와셔 호스 Karcher 용 빠른 연결 커플 링 피팅</v>
      </c>
      <c r="F198" s="1" t="str">
        <f>IFERROR(__xludf.DUMMYFUNCTION("CONCATENATE(GOOGLETRANSLATE(C198, ""en"", ""ja""))"),"M22 オス - 1/4 インチオスアダプター真鍮高圧洗浄機ホースクイックコネクトカップリング継手ケルヒャー用")</f>
        <v>M22 オス - 1/4 インチオスアダプター真鍮高圧洗浄機ホースクイックコネクトカップリング継手ケルヒャー用</v>
      </c>
    </row>
    <row r="199" ht="15.75" customHeight="1">
      <c r="A199" s="1">
        <v>1664.0</v>
      </c>
      <c r="B199" s="1" t="s">
        <v>15</v>
      </c>
      <c r="C199" s="1" t="s">
        <v>188</v>
      </c>
      <c r="D199" s="1" t="str">
        <f>IFERROR(__xludf.DUMMYFUNCTION("CONCATENATE(GOOGLETRANSLATE(C199, ""en"", ""zh-cn""))
"),"10 件 8x12 英寸粘性闪光纸卡各种颜色剪贴簿工艺品 ")</f>
        <v>10 件 8x12 英寸粘性闪光纸卡各种颜色剪贴簿工艺品 </v>
      </c>
      <c r="E199" s="1" t="str">
        <f>IFERROR(__xludf.DUMMYFUNCTION("CONCATENATE(GOOGLETRANSLATE(C199, ""en"", ""ko""))
"),"10개 8x12인치 접착 반짝이 종이 카드 다양한 색상 스크랩북 공예 ")</f>
        <v>10개 8x12인치 접착 반짝이 종이 카드 다양한 색상 스크랩북 공예 </v>
      </c>
      <c r="F199" s="1" t="str">
        <f>IFERROR(__xludf.DUMMYFUNCTION("CONCATENATE(GOOGLETRANSLATE(C199, ""en"", ""ja""))"),"8x12インチ粘着グリッター紙カードアソートカラースクラップブッキングクラフト10枚 ")</f>
        <v>8x12インチ粘着グリッター紙カードアソートカラースクラップブッキングクラフト10枚 </v>
      </c>
    </row>
    <row r="200" ht="15.75" customHeight="1">
      <c r="A200" s="1">
        <v>1665.0</v>
      </c>
      <c r="B200" s="1" t="s">
        <v>15</v>
      </c>
      <c r="C200" s="1" t="s">
        <v>189</v>
      </c>
      <c r="D200" s="1" t="str">
        <f>IFERROR(__xludf.DUMMYFUNCTION("CONCATENATE(GOOGLETRANSLATE(C200, ""en"", ""zh-cn""))
"),"LED 灯条 50/100/150/200cm RGB 5050SMD LED 灯条 电池供电 防水 3 种模式变色")</f>
        <v>LED 灯条 50/100/150/200cm RGB 5050SMD LED 灯条 电池供电 防水 3 种模式变色</v>
      </c>
      <c r="E200" s="1" t="str">
        <f>IFERROR(__xludf.DUMMYFUNCTION("CONCATENATE(GOOGLETRANSLATE(C200, ""en"", ""ko""))
"),"LED 조명 스트립 50/100/150/200cm RGB 5050SMD LED 스트립 조명 배터리 작동 방수 3가지 모드 색상 변경")</f>
        <v>LED 조명 스트립 50/100/150/200cm RGB 5050SMD LED 스트립 조명 배터리 작동 방수 3가지 모드 색상 변경</v>
      </c>
      <c r="F200" s="1" t="str">
        <f>IFERROR(__xludf.DUMMYFUNCTION("CONCATENATE(GOOGLETRANSLATE(C200, ""en"", ""ja""))"),"LED ライトストリップ 50/100/150/200 センチメートル RGB 5050SMD LED ストリップライト電池式防水 3 モード色変更")</f>
        <v>LED ライトストリップ 50/100/150/200 センチメートル RGB 5050SMD LED ストリップライト電池式防水 3 モード色変更</v>
      </c>
    </row>
    <row r="201" ht="15.75" customHeight="1">
      <c r="A201" s="1">
        <v>1666.0</v>
      </c>
      <c r="B201" s="1" t="s">
        <v>15</v>
      </c>
      <c r="C201" s="1" t="s">
        <v>190</v>
      </c>
      <c r="D201" s="1" t="str">
        <f>IFERROR(__xludf.DUMMYFUNCTION("CONCATENATE(GOOGLETRANSLATE(C201, ""en"", ""zh-cn""))
"),"15/25/37mm 宽度 PVA 宽丝网粗鱼饵袋库存柱塞棒管 7m 长")</f>
        <v>15/25/37mm 宽度 PVA 宽丝网粗鱼饵袋库存柱塞棒管 7m 长</v>
      </c>
      <c r="E201" s="1" t="str">
        <f>IFERROR(__xludf.DUMMYFUNCTION("CONCATENATE(GOOGLETRANSLATE(C201, ""en"", ""ko""))
"),"15/25/37mm 너비 PVA 와이드 와이어 메쉬 거친 낚시 미끼 가방 스타킹 플런저 스틱 튜브 7m 길이")</f>
        <v>15/25/37mm 너비 PVA 와이드 와이어 메쉬 거친 낚시 미끼 가방 스타킹 플런저 스틱 튜브 7m 길이</v>
      </c>
      <c r="F201" s="1" t="str">
        <f>IFERROR(__xludf.DUMMYFUNCTION("CONCATENATE(GOOGLETRANSLATE(C201, ""en"", ""ja""))"),"15/25/37 ミリメートル幅 PVA ワイドワイヤーメッシュ粗釣り餌バッグストッキングプランジャースティックチューブ 7 メートルの長さ")</f>
        <v>15/25/37 ミリメートル幅 PVA ワイドワイヤーメッシュ粗釣り餌バッグストッキングプランジャースティックチューブ 7 メートルの長さ</v>
      </c>
    </row>
    <row r="202" ht="15.75" customHeight="1">
      <c r="A202" s="1">
        <v>1667.0</v>
      </c>
      <c r="B202" s="1" t="s">
        <v>15</v>
      </c>
      <c r="C202" s="1" t="s">
        <v>191</v>
      </c>
      <c r="D202" s="1" t="str">
        <f>IFERROR(__xludf.DUMMYFUNCTION("CONCATENATE(GOOGLETRANSLATE(C202, ""en"", ""zh-cn""))
"),"TMOK 3/4"" 1"" 1-1/4"" PPR 黄铜球阀热熔双联承插管件")</f>
        <v>TMOK 3/4" 1" 1-1/4" PPR 黄铜球阀热熔双联承插管件</v>
      </c>
      <c r="E202" s="1" t="str">
        <f>IFERROR(__xludf.DUMMYFUNCTION("CONCATENATE(GOOGLETRANSLATE(C202, ""en"", ""ko""))
"),"TMOK 3/4"" 1"" 1-1/4"" PPR 황동 볼 밸브 열 융합 이중 유니온 소켓 배관 피팅")</f>
        <v>TMOK 3/4" 1" 1-1/4" PPR 황동 볼 밸브 열 융합 이중 유니온 소켓 배관 피팅</v>
      </c>
      <c r="F202" s="1" t="str">
        <f>IFERROR(__xludf.DUMMYFUNCTION("CONCATENATE(GOOGLETRANSLATE(C202, ""en"", ""ja""))"),"TMOK 3/4 ""1"" 1-1/4"" PPR 真鍮ボールバルブ熱融合ダブルユニオンソケット配管継手")</f>
        <v>TMOK 3/4 "1" 1-1/4" PPR 真鍮ボールバルブ熱融合ダブルユニオンソケット配管継手</v>
      </c>
    </row>
    <row r="203" ht="15.75" customHeight="1">
      <c r="A203" s="1">
        <v>1668.0</v>
      </c>
      <c r="B203" s="1" t="s">
        <v>15</v>
      </c>
      <c r="C203" s="1" t="s">
        <v>192</v>
      </c>
      <c r="D203" s="1" t="str">
        <f>IFERROR(__xludf.DUMMYFUNCTION("CONCATENATE(GOOGLETRANSLATE(C203, ""en"", ""zh-cn""))
"),"重型铝制旋转轴承转盘转盘圆盘餐具")</f>
        <v>重型铝制旋转轴承转盘转盘圆盘餐具</v>
      </c>
      <c r="E203" s="1" t="str">
        <f>IFERROR(__xludf.DUMMYFUNCTION("CONCATENATE(GOOGLETRANSLATE(C203, ""en"", ""ko""))
"),"헤비 듀티 알루미늄 회전 베어링 턴테이블 회전 테이블 라운드 플레이트 식기")</f>
        <v>헤비 듀티 알루미늄 회전 베어링 턴테이블 회전 테이블 라운드 플레이트 식기</v>
      </c>
      <c r="F203" s="1" t="str">
        <f>IFERROR(__xludf.DUMMYFUNCTION("CONCATENATE(GOOGLETRANSLATE(C203, ""en"", ""ja""))"),"ヘビーデューティアルミ回転ベアリングターンテーブルターンテーブル丸板食器")</f>
        <v>ヘビーデューティアルミ回転ベアリングターンテーブルターンテーブル丸板食器</v>
      </c>
    </row>
    <row r="204" ht="15.75" customHeight="1">
      <c r="A204" s="1">
        <v>1669.0</v>
      </c>
      <c r="B204" s="1" t="s">
        <v>15</v>
      </c>
      <c r="C204" s="1" t="s">
        <v>193</v>
      </c>
      <c r="D204" s="1" t="str">
        <f>IFERROR(__xludf.DUMMYFUNCTION("CONCATENATE(GOOGLETRANSLATE(C204, ""en"", ""zh-cn""))
"),"迷你装饰珠宝盒胸箱橱柜抽屉门拉旋钮手柄")</f>
        <v>迷你装饰珠宝盒胸箱橱柜抽屉门拉旋钮手柄</v>
      </c>
      <c r="E204" s="1" t="str">
        <f>IFERROR(__xludf.DUMMYFUNCTION("CONCATENATE(GOOGLETRANSLATE(C204, ""en"", ""ko""))
"),"미니 장식 보석함 가슴 케이스 캐비닛 서랍 문 손잡이 손잡이")</f>
        <v>미니 장식 보석함 가슴 케이스 캐비닛 서랍 문 손잡이 손잡이</v>
      </c>
      <c r="F204" s="1" t="str">
        <f>IFERROR(__xludf.DUMMYFUNCTION("CONCATENATE(GOOGLETRANSLATE(C204, ""en"", ""ja""))"),"ミニ装飾ジュエリーボックスチェストケースキャビネット引き出しドアプルノブハンドル")</f>
        <v>ミニ装飾ジュエリーボックスチェストケースキャビネット引き出しドアプルノブハンドル</v>
      </c>
    </row>
    <row r="205" ht="15.75" customHeight="1">
      <c r="A205" s="1">
        <v>1670.0</v>
      </c>
      <c r="B205" s="1" t="s">
        <v>15</v>
      </c>
      <c r="C205" s="1" t="s">
        <v>194</v>
      </c>
      <c r="D205" s="1" t="str">
        <f>IFERROR(__xludf.DUMMYFUNCTION("CONCATENATE(GOOGLETRANSLATE(C205, ""en"", ""zh-cn""))
"),"CHENGSHE 竹制茶盘垫功夫泡茶工具 ")</f>
        <v>CHENGSHE 竹制茶盘垫功夫泡茶工具 </v>
      </c>
      <c r="E205" s="1" t="str">
        <f>IFERROR(__xludf.DUMMYFUNCTION("CONCATENATE(GOOGLETRANSLATE(C205, ""en"", ""ko""))
"),"CHENGSHE 대나무 차 트레이 매트 쿵푸 차 만들기 도구 ")</f>
        <v>CHENGSHE 대나무 차 트레이 매트 쿵푸 차 만들기 도구 </v>
      </c>
      <c r="F205" s="1" t="str">
        <f>IFERROR(__xludf.DUMMYFUNCTION("CONCATENATE(GOOGLETRANSLATE(C205, ""en"", ""ja""))"),"CHENGSHE 竹製ティートレイ マット カンフー ティー メイキング ツール から ")</f>
        <v>CHENGSHE 竹製ティートレイ マット カンフー ティー メイキング ツール から </v>
      </c>
    </row>
    <row r="206" ht="15.75" customHeight="1">
      <c r="A206" s="1">
        <v>1671.0</v>
      </c>
      <c r="B206" s="1" t="s">
        <v>15</v>
      </c>
      <c r="C206" s="1" t="s">
        <v>195</v>
      </c>
      <c r="D206" s="1" t="str">
        <f>IFERROR(__xludf.DUMMYFUNCTION("CONCATENATE(GOOGLETRANSLATE(C206, ""en"", ""zh-cn""))
"),"20 件装不锈钢夹子帐篷防风固定钩扣 ")</f>
        <v>20 件装不锈钢夹子帐篷防风固定钩扣 </v>
      </c>
      <c r="E206" s="1" t="str">
        <f>IFERROR(__xludf.DUMMYFUNCTION("CONCATENATE(GOOGLETRANSLATE(C206, ""en"", ""ko""))
"),"20개 스테인레스 스틸 클립 텐트 방풍 고정 후크 버클 ")</f>
        <v>20개 스테인레스 스틸 클립 텐트 방풍 고정 후크 버클 </v>
      </c>
      <c r="F206" s="1" t="str">
        <f>IFERROR(__xludf.DUMMYFUNCTION("CONCATENATE(GOOGLETRANSLATE(C206, ""en"", ""ja""))"),"20個のステンレス鋼クリップテント防風固定フックバックル ")</f>
        <v>20個のステンレス鋼クリップテント防風固定フックバックル </v>
      </c>
    </row>
    <row r="207" ht="15.75" customHeight="1">
      <c r="A207" s="1">
        <v>1672.0</v>
      </c>
      <c r="B207" s="1" t="s">
        <v>15</v>
      </c>
      <c r="C207" s="1" t="s">
        <v>196</v>
      </c>
      <c r="D207" s="1" t="str">
        <f>IFERROR(__xludf.DUMMYFUNCTION("CONCATENATE(GOOGLETRANSLATE(C207, ""en"", ""zh-cn""))
"),"两用坐浴盆喷枪套装塑料 ABS 电镀马桶伴侣冲洗器坐浴盆喷嘴")</f>
        <v>两用坐浴盆喷枪套装塑料 ABS 电镀马桶伴侣冲洗器坐浴盆喷嘴</v>
      </c>
      <c r="E207" s="1" t="str">
        <f>IFERROR(__xludf.DUMMYFUNCTION("CONCATENATE(GOOGLETRANSLATE(C207, ""en"", ""ko""))
"),"이중 목적 비데 에어 브러시 세트 플라스틱 ABS 전기 도금 화장실 동반자 Flusher 비데 노즐")</f>
        <v>이중 목적 비데 에어 브러시 세트 플라스틱 ABS 전기 도금 화장실 동반자 Flusher 비데 노즐</v>
      </c>
      <c r="F207" s="1" t="str">
        <f>IFERROR(__xludf.DUMMYFUNCTION("CONCATENATE(GOOGLETRANSLATE(C207, ""en"", ""ja""))"),"両用ビデエアブラシセットプラスチック ABS 電気メッキトイレコンパニオンフラッシャービデノズル")</f>
        <v>両用ビデエアブラシセットプラスチック ABS 電気メッキトイレコンパニオンフラッシャービデノズル</v>
      </c>
    </row>
    <row r="208" ht="15.75" customHeight="1">
      <c r="A208" s="1">
        <v>1673.0</v>
      </c>
      <c r="B208" s="1" t="s">
        <v>15</v>
      </c>
      <c r="C208" s="1" t="s">
        <v>197</v>
      </c>
      <c r="D208" s="1" t="str">
        <f>IFERROR(__xludf.DUMMYFUNCTION("CONCATENATE(GOOGLETRANSLATE(C208, ""en"", ""zh-cn""))
"),"手持式马桶坐浴盆喷雾器浴室喷嘴淋浴喷水头坐浴盆增压器套件带开关")</f>
        <v>手持式马桶坐浴盆喷雾器浴室喷嘴淋浴喷水头坐浴盆增压器套件带开关</v>
      </c>
      <c r="E208" s="1" t="str">
        <f>IFERROR(__xludf.DUMMYFUNCTION("CONCATENATE(GOOGLETRANSLATE(C208, ""en"", ""ko""))
"),"휴대용 화장실 비데 분무기 욕실 노즐 샤워 물 스프레이 헤드 비데 부스터 키트 스위치 포함")</f>
        <v>휴대용 화장실 비데 분무기 욕실 노즐 샤워 물 스프레이 헤드 비데 부스터 키트 스위치 포함</v>
      </c>
      <c r="F208" s="1" t="str">
        <f>IFERROR(__xludf.DUMMYFUNCTION("CONCATENATE(GOOGLETRANSLATE(C208, ""en"", ""ja""))"),"ハンドヘルドトイレビデスプレー浴室ノズルシャワー水スプレーヘッドビデブースターキットスイッチ付き")</f>
        <v>ハンドヘルドトイレビデスプレー浴室ノズルシャワー水スプレーヘッドビデブースターキットスイッチ付き</v>
      </c>
    </row>
    <row r="209" ht="15.75" customHeight="1">
      <c r="A209" s="1">
        <v>1674.0</v>
      </c>
      <c r="B209" s="1" t="s">
        <v>15</v>
      </c>
      <c r="C209" s="1" t="s">
        <v>198</v>
      </c>
      <c r="D209" s="1" t="str">
        <f>IFERROR(__xludf.DUMMYFUNCTION("CONCATENATE(GOOGLETRANSLATE(C209, ""en"", ""zh-cn""))
"),"旋转座套弹性电脑办公椅套可水洗可拆卸扶手椅套家居商务办公用品")</f>
        <v>旋转座套弹性电脑办公椅套可水洗可拆卸扶手椅套家居商务办公用品</v>
      </c>
      <c r="E209" s="1" t="str">
        <f>IFERROR(__xludf.DUMMYFUNCTION("CONCATENATE(GOOGLETRANSLATE(C209, ""en"", ""ko""))
"),"회전 시트 커버 탄성 컴퓨터 사무실 의자 커버 빨 수있는 이동식 팔 의자 커버 홈 비즈니스 사무용품")</f>
        <v>회전 시트 커버 탄성 컴퓨터 사무실 의자 커버 빨 수있는 이동식 팔 의자 커버 홈 비즈니스 사무용품</v>
      </c>
      <c r="F209" s="1" t="str">
        <f>IFERROR(__xludf.DUMMYFUNCTION("CONCATENATE(GOOGLETRANSLATE(C209, ""en"", ""ja""))"),"回転シートカバー弾性コンピュータオフィスチェアカバー洗える取り外し可能なアームチェアカバーホームビジネスオフィス用品")</f>
        <v>回転シートカバー弾性コンピュータオフィスチェアカバー洗える取り外し可能なアームチェアカバーホームビジネスオフィス用品</v>
      </c>
    </row>
    <row r="210" ht="15.75" customHeight="1">
      <c r="A210" s="1">
        <v>1675.0</v>
      </c>
      <c r="B210" s="1" t="s">
        <v>15</v>
      </c>
      <c r="C210" s="1" t="s">
        <v>199</v>
      </c>
      <c r="D210" s="1" t="str">
        <f>IFERROR(__xludf.DUMMYFUNCTION("CONCATENATE(GOOGLETRANSLATE(C210, ""en"", ""zh-cn""))
"),"钢丝绳栏杆套件钳口型锻叉眼螺栓端子花篮螺丝鞍座")</f>
        <v>钢丝绳栏杆套件钳口型锻叉眼螺栓端子花篮螺丝鞍座</v>
      </c>
      <c r="E210" s="1" t="str">
        <f>IFERROR(__xludf.DUMMYFUNCTION("CONCATENATE(GOOGLETRANSLATE(C210, ""en"", ""ko""))
"),"강철 와이어 로프 난간 키트 조 스웨이지 포크 아이 볼트 터미널 턴버클 안장")</f>
        <v>강철 와이어 로프 난간 키트 조 스웨이지 포크 아이 볼트 터미널 턴버클 안장</v>
      </c>
      <c r="F210" s="1" t="str">
        <f>IFERROR(__xludf.DUMMYFUNCTION("CONCATENATE(GOOGLETRANSLATE(C210, ""en"", ""ja""))"),"スチールワイヤーロープ欄干キットジョースエージフォークアイボルトターミナルターンバックルサドル")</f>
        <v>スチールワイヤーロープ欄干キットジョースエージフォークアイボルトターミナルターンバックルサドル</v>
      </c>
    </row>
    <row r="211" ht="15.75" customHeight="1">
      <c r="A211" s="1">
        <v>1676.0</v>
      </c>
      <c r="B211" s="1" t="s">
        <v>15</v>
      </c>
      <c r="C211" s="1" t="s">
        <v>200</v>
      </c>
      <c r="D211" s="1" t="str">
        <f>IFERROR(__xludf.DUMMYFUNCTION("CONCATENATE(GOOGLETRANSLATE(C211, ""en"", ""zh-cn""))
"),"1/2/3/4 座弹性沙发套通用波西米亚椅子座椅保护沙发套弹力沙发套家庭办公家具装饰品")</f>
        <v>1/2/3/4 座弹性沙发套通用波西米亚椅子座椅保护沙发套弹力沙发套家庭办公家具装饰品</v>
      </c>
      <c r="E211" s="1" t="str">
        <f>IFERROR(__xludf.DUMMYFUNCTION("CONCATENATE(GOOGLETRANSLATE(C211, ""en"", ""ko""))
"),"1/2/3/4 Seaters 탄성 소파 커버 유니버설 보헤미안 의자 좌석 보호대 소파 케이스 스트레치 슬립 커버 홈 오피스 가구 장식")</f>
        <v>1/2/3/4 Seaters 탄성 소파 커버 유니버설 보헤미안 의자 좌석 보호대 소파 케이스 스트레치 슬립 커버 홈 오피스 가구 장식</v>
      </c>
      <c r="F211" s="1" t="str">
        <f>IFERROR(__xludf.DUMMYFUNCTION("CONCATENATE(GOOGLETRANSLATE(C211, ""en"", ""ja""))"),"1/2/3/4 人乗り弾性ソファカバーユニバーサルボヘミアン椅子シートプロテクターソファケースストレッチスリップカバーホームオフィス家具装飾")</f>
        <v>1/2/3/4 人乗り弾性ソファカバーユニバーサルボヘミアン椅子シートプロテクターソファケースストレッチスリップカバーホームオフィス家具装飾</v>
      </c>
    </row>
    <row r="212" ht="15.75" customHeight="1">
      <c r="A212" s="1">
        <v>1677.0</v>
      </c>
      <c r="B212" s="1" t="s">
        <v>15</v>
      </c>
      <c r="C212" s="1" t="s">
        <v>201</v>
      </c>
      <c r="D212" s="1" t="str">
        <f>IFERROR(__xludf.DUMMYFUNCTION("CONCATENATE(GOOGLETRANSLATE(C212, ""en"", ""zh-cn""))
"),"4 件装 10/15 厘米欧式实木雕刻家具脚腿未上漆沙发柜沙发座脚")</f>
        <v>4 件装 10/15 厘米欧式实木雕刻家具脚腿未上漆沙发柜沙发座脚</v>
      </c>
      <c r="E212" s="1" t="str">
        <f>IFERROR(__xludf.DUMMYFUNCTION("CONCATENATE(GOOGLETRANSLATE(C212, ""en"", ""ko""))
"),"4Pcs 10/15cm 유럽 단단한 나무 조각 가구 발 다리 도색되지 않은 소파 캐비닛 소파 좌석 피트")</f>
        <v>4Pcs 10/15cm 유럽 단단한 나무 조각 가구 발 다리 도색되지 않은 소파 캐비닛 소파 좌석 피트</v>
      </c>
      <c r="F212" s="1" t="str">
        <f>IFERROR(__xludf.DUMMYFUNCTION("CONCATENATE(GOOGLETRANSLATE(C212, ""en"", ""ja""))"),"4 個 10/15 センチメートルヨーロッパ無垢材彫刻家具足脚未塗装ソファキャビネットソファシート足")</f>
        <v>4 個 10/15 センチメートルヨーロッパ無垢材彫刻家具足脚未塗装ソファキャビネットソファシート足</v>
      </c>
    </row>
    <row r="213" ht="15.75" customHeight="1">
      <c r="A213" s="1">
        <v>1678.0</v>
      </c>
      <c r="B213" s="1" t="s">
        <v>15</v>
      </c>
      <c r="C213" s="1" t="s">
        <v>202</v>
      </c>
      <c r="D213" s="1" t="str">
        <f>IFERROR(__xludf.DUMMYFUNCTION("CONCATENATE(GOOGLETRANSLATE(C213, ""en"", ""zh-cn""))
"),"弹力椅套餐厅椅套弹力家具保护套可拆卸厨房椅套酒店仪式宴会婚礼派对座椅")</f>
        <v>弹力椅套餐厅椅套弹力家具保护套可拆卸厨房椅套酒店仪式宴会婚礼派对座椅</v>
      </c>
      <c r="E213" s="1" t="str">
        <f>IFERROR(__xludf.DUMMYFUNCTION("CONCATENATE(GOOGLETRANSLATE(C213, ""en"", ""ko""))
"),"스트레치 의자 커버 다이닝 룸 의자 슬리퍼 스트레치 가구 보호 커버 호텔 행사 연회 웨딩 파티를위한 이동식 주방 의자 커버 좌석")</f>
        <v>스트레치 의자 커버 다이닝 룸 의자 슬리퍼 스트레치 가구 보호 커버 호텔 행사 연회 웨딩 파티를위한 이동식 주방 의자 커버 좌석</v>
      </c>
      <c r="F213" s="1" t="str">
        <f>IFERROR(__xludf.DUMMYFUNCTION("CONCATENATE(GOOGLETRANSLATE(C213, ""en"", ""ja""))"),"ストレッチチェアカバー ダイニングルームチェアスリップカバー ストレッチ家具プロテクターカバー 取り外し可能なキッチンチェアカバーシート ホテルセレモニー宴会ウェディングパーティー用")</f>
        <v>ストレッチチェアカバー ダイニングルームチェアスリップカバー ストレッチ家具プロテクターカバー 取り外し可能なキッチンチェアカバーシート ホテルセレモニー宴会ウェディングパーティー用</v>
      </c>
    </row>
    <row r="214" ht="15.75" customHeight="1">
      <c r="A214" s="1">
        <v>1679.0</v>
      </c>
      <c r="B214" s="1" t="s">
        <v>15</v>
      </c>
      <c r="C214" s="1" t="s">
        <v>203</v>
      </c>
      <c r="D214" s="1" t="str">
        <f>IFERROR(__xludf.DUMMYFUNCTION("CONCATENATE(GOOGLETRANSLATE(C214, ""en"", ""zh-cn""))
"),"4 件装 10/15 厘米欧式实木雕刻家具脚腿未上漆橱柜脚木贴花")</f>
        <v>4 件装 10/15 厘米欧式实木雕刻家具脚腿未上漆橱柜脚木贴花</v>
      </c>
      <c r="E214" s="1" t="str">
        <f>IFERROR(__xludf.DUMMYFUNCTION("CONCATENATE(GOOGLETRANSLATE(C214, ""en"", ""ko""))
"),"4Pcs 10/15cm 유럽 단단한 나무 조각 가구 발 다리 도색되지 않은 캐비닛 피트 나무 데칼")</f>
        <v>4Pcs 10/15cm 유럽 단단한 나무 조각 가구 발 다리 도색되지 않은 캐비닛 피트 나무 데칼</v>
      </c>
      <c r="F214" s="1" t="str">
        <f>IFERROR(__xludf.DUMMYFUNCTION("CONCATENATE(GOOGLETRANSLATE(C214, ""en"", ""ja""))"),"4 個 10/15 センチメートルヨーロッパ無垢材彫刻家具足脚未塗装キャビネット足木製デカール")</f>
        <v>4 個 10/15 センチメートルヨーロッパ無垢材彫刻家具足脚未塗装キャビネット足木製デカール</v>
      </c>
    </row>
    <row r="215" ht="15.75" customHeight="1">
      <c r="A215" s="1">
        <v>1680.0</v>
      </c>
      <c r="B215" s="1" t="s">
        <v>15</v>
      </c>
      <c r="C215" s="1" t="s">
        <v>204</v>
      </c>
      <c r="D215" s="1" t="str">
        <f>IFERROR(__xludf.DUMMYFUNCTION("CONCATENATE(GOOGLETRANSLATE(C215, ""en"", ""zh-cn""))
"),"25 英尺空气软管接头 Recoil 气动压缩机 200PSI 快速接头")</f>
        <v>25 英尺空气软管接头 Recoil 气动压缩机 200PSI 快速接头</v>
      </c>
      <c r="E215" s="1" t="str">
        <f>IFERROR(__xludf.DUMMYFUNCTION("CONCATENATE(GOOGLETRANSLATE(C215, ""en"", ""ko""))
"),"25FT 공기 호스 피팅 반동 공압 항공 압축기 200PSI 퀵 커플러")</f>
        <v>25FT 공기 호스 피팅 반동 공압 항공 압축기 200PSI 퀵 커플러</v>
      </c>
      <c r="F215" s="1" t="str">
        <f>IFERROR(__xludf.DUMMYFUNCTION("CONCATENATE(GOOGLETRANSLATE(C215, ""en"", ""ja""))"),"25FT エアホース継手リコイル空気圧エアラインコンプレッサー 200PSI クイックカプラー")</f>
        <v>25FT エアホース継手リコイル空気圧エアラインコンプレッサー 200PSI クイックカプラー</v>
      </c>
    </row>
    <row r="216" ht="15.75" customHeight="1">
      <c r="A216" s="1">
        <v>1681.0</v>
      </c>
      <c r="B216" s="1" t="s">
        <v>15</v>
      </c>
      <c r="C216" s="1" t="s">
        <v>205</v>
      </c>
      <c r="D216" s="1" t="str">
        <f>IFERROR(__xludf.DUMMYFUNCTION("CONCATENATE(GOOGLETRANSLATE(C216, ""en"", ""zh-cn""))
"),"1/2/3 座弹性沙发套通用纯色椅子座椅保护沙发套弹力沙发套家庭办公家具装饰品")</f>
        <v>1/2/3 座弹性沙发套通用纯色椅子座椅保护沙发套弹力沙发套家庭办公家具装饰品</v>
      </c>
      <c r="E216" s="1" t="str">
        <f>IFERROR(__xludf.DUMMYFUNCTION("CONCATENATE(GOOGLETRANSLATE(C216, ""en"", ""ko""))
"),"1/2/3 Seaters 탄성 소파 커버 유니버설 퓨어 컬러 의자 좌석 보호대 소파 케이스 스트레치 슬립 커버 홈 오피스 가구 장식")</f>
        <v>1/2/3 Seaters 탄성 소파 커버 유니버설 퓨어 컬러 의자 좌석 보호대 소파 케이스 스트레치 슬립 커버 홈 오피스 가구 장식</v>
      </c>
      <c r="F216" s="1" t="str">
        <f>IFERROR(__xludf.DUMMYFUNCTION("CONCATENATE(GOOGLETRANSLATE(C216, ""en"", ""ja""))"),"1/2/3 人乗り弾性ソファカバーユニバーサルピュアカラー椅子シートプロテクターソファケースストレッチスリップカバーホームオフィス家具装飾")</f>
        <v>1/2/3 人乗り弾性ソファカバーユニバーサルピュアカラー椅子シートプロテクターソファケースストレッチスリップカバーホームオフィス家具装飾</v>
      </c>
    </row>
    <row r="217" ht="15.75" customHeight="1">
      <c r="A217" s="1">
        <v>1682.0</v>
      </c>
      <c r="B217" s="1" t="s">
        <v>15</v>
      </c>
      <c r="C217" s="1" t="s">
        <v>206</v>
      </c>
      <c r="D217" s="1" t="str">
        <f>IFERROR(__xludf.DUMMYFUNCTION("CONCATENATE(GOOGLETRANSLATE(C217, ""en"", ""zh-cn""))
"),"60/90/120/150/200cm浴室/厨房淋浴防水硅胶干湿分离防水条")</f>
        <v>60/90/120/150/200cm浴室/厨房淋浴防水硅胶干湿分离防水条</v>
      </c>
      <c r="E217" s="1" t="str">
        <f>IFERROR(__xludf.DUMMYFUNCTION("CONCATENATE(GOOGLETRANSLATE(C217, ""en"", ""ko""))
"),"60/90/120/150/200cm 욕실/주방 샤워 물 배리어 실리콘 건식 및 습식 분리 물 차단 스트립")</f>
        <v>60/90/120/150/200cm 욕실/주방 샤워 물 배리어 실리콘 건식 및 습식 분리 물 차단 스트립</v>
      </c>
      <c r="F217" s="1" t="str">
        <f>IFERROR(__xludf.DUMMYFUNCTION("CONCATENATE(GOOGLETRANSLATE(C217, ""en"", ""ja""))"),"60/90/120/150/200 センチメートル浴室/キッチンシャワー水バリアシリコーンドライとウェット分離ウォーターブロックストリップ")</f>
        <v>60/90/120/150/200 センチメートル浴室/キッチンシャワー水バリアシリコーンドライとウェット分離ウォーターブロックストリップ</v>
      </c>
    </row>
    <row r="218" ht="15.75" customHeight="1">
      <c r="A218" s="1">
        <v>1683.0</v>
      </c>
      <c r="B218" s="1" t="s">
        <v>15</v>
      </c>
      <c r="C218" s="1" t="s">
        <v>207</v>
      </c>
      <c r="D218" s="1" t="str">
        <f>IFERROR(__xludf.DUMMYFUNCTION("CONCATENATE(GOOGLETRANSLATE(C218, ""en"", ""zh-cn""))
"),"弹性椅套家庭办公酒店现代可拆卸花艺椅子套桌椅家居装饰品")</f>
        <v>弹性椅套家庭办公酒店现代可拆卸花艺椅子套桌椅家居装饰品</v>
      </c>
      <c r="E218" s="1" t="str">
        <f>IFERROR(__xludf.DUMMYFUNCTION("CONCATENATE(GOOGLETRANSLATE(C218, ""en"", ""ko""))
"),"탄성 의자 커버 홈 오피스 호텔 현대 이동식 꽃 의자 슬리퍼 테이블 의자 홈 가구 장식")</f>
        <v>탄성 의자 커버 홈 오피스 호텔 현대 이동식 꽃 의자 슬리퍼 테이블 의자 홈 가구 장식</v>
      </c>
      <c r="F218" s="1" t="str">
        <f>IFERROR(__xludf.DUMMYFUNCTION("CONCATENATE(GOOGLETRANSLATE(C218, ""en"", ""ja""))"),"弾性椅子カバーホームオフィスホテルモダンな取り外し可能な花椅子カバーテーブルチェア家庭用家具の装飾")</f>
        <v>弾性椅子カバーホームオフィスホテルモダンな取り外し可能な花椅子カバーテーブルチェア家庭用家具の装飾</v>
      </c>
    </row>
    <row r="219" ht="15.75" customHeight="1">
      <c r="A219" s="1">
        <v>1684.0</v>
      </c>
      <c r="B219" s="1" t="s">
        <v>15</v>
      </c>
      <c r="C219" s="1" t="s">
        <v>208</v>
      </c>
      <c r="D219" s="1" t="str">
        <f>IFERROR(__xludf.DUMMYFUNCTION("CONCATENATE(GOOGLETRANSLATE(C219, ""en"", ""zh-cn""))
"),"4 件装 10/15 厘米欧式实木雕刻家具脚腿未上漆桌柜脚")</f>
        <v>4 件装 10/15 厘米欧式实木雕刻家具脚腿未上漆桌柜脚</v>
      </c>
      <c r="E219" s="1" t="str">
        <f>IFERROR(__xludf.DUMMYFUNCTION("CONCATENATE(GOOGLETRANSLATE(C219, ""en"", ""ko""))
"),"4Pcs 10/15cm 유럽 단단한 나무 조각 가구 발 다리 도색되지 않은 테이블 캐비닛 피트")</f>
        <v>4Pcs 10/15cm 유럽 단단한 나무 조각 가구 발 다리 도색되지 않은 테이블 캐비닛 피트</v>
      </c>
      <c r="F219" s="1" t="str">
        <f>IFERROR(__xludf.DUMMYFUNCTION("CONCATENATE(GOOGLETRANSLATE(C219, ""en"", ""ja""))"),"4 個 10/15 センチメートルヨーロッパ無垢材彫刻家具足脚未塗装テーブルキャビネットの足")</f>
        <v>4 個 10/15 センチメートルヨーロッパ無垢材彫刻家具足脚未塗装テーブルキャビネットの足</v>
      </c>
    </row>
    <row r="220" ht="15.75" customHeight="1">
      <c r="A220" s="1">
        <v>1685.0</v>
      </c>
      <c r="B220" s="1" t="s">
        <v>15</v>
      </c>
      <c r="C220" s="1" t="s">
        <v>209</v>
      </c>
      <c r="D220" s="1" t="str">
        <f>IFERROR(__xludf.DUMMYFUNCTION("CONCATENATE(GOOGLETRANSLATE(C220, ""en"", ""zh-cn""))
"),"4 件装 10/15 厘米欧式实木雕刻家具脚腿未上漆橱柜沙发座脚")</f>
        <v>4 件装 10/15 厘米欧式实木雕刻家具脚腿未上漆橱柜沙发座脚</v>
      </c>
      <c r="E220" s="1" t="str">
        <f>IFERROR(__xludf.DUMMYFUNCTION("CONCATENATE(GOOGLETRANSLATE(C220, ""en"", ""ko""))
"),"4Pcs 10/15cm 유럽 단단한 나무 조각 가구 발 다리 도색되지 않은 캐비닛 소파 좌석 피트")</f>
        <v>4Pcs 10/15cm 유럽 단단한 나무 조각 가구 발 다리 도색되지 않은 캐비닛 소파 좌석 피트</v>
      </c>
      <c r="F220" s="1" t="str">
        <f>IFERROR(__xludf.DUMMYFUNCTION("CONCATENATE(GOOGLETRANSLATE(C220, ""en"", ""ja""))"),"4 個 10/15 センチメートルヨーロッパ無垢材彫刻家具足脚未塗装キャビネットソファシート足")</f>
        <v>4 個 10/15 センチメートルヨーロッパ無垢材彫刻家具足脚未塗装キャビネットソファシート足</v>
      </c>
    </row>
    <row r="221" ht="15.75" customHeight="1">
      <c r="A221" s="1">
        <v>1686.0</v>
      </c>
      <c r="B221" s="1" t="s">
        <v>15</v>
      </c>
      <c r="C221" s="1" t="s">
        <v>210</v>
      </c>
      <c r="D221" s="1" t="str">
        <f>IFERROR(__xludf.DUMMYFUNCTION("CONCATENATE(GOOGLETRANSLATE(C221, ""en"", ""zh-cn""))
"),"10 件乙烯基壁板挂钩衣架不锈钢无孔需要乙烯基壁板夹用于悬挂家居户外装饰品")</f>
        <v>10 件乙烯基壁板挂钩衣架不锈钢无孔需要乙烯基壁板夹用于悬挂家居户外装饰品</v>
      </c>
      <c r="E221" s="1" t="str">
        <f>IFERROR(__xludf.DUMMYFUNCTION("CONCATENATE(GOOGLETRANSLATE(C221, ""en"", ""ko""))
"),"10Pcs 비닐 사이딩 후크 행거 스테인레스 스틸 구멍 없음 홈 야외 장식을 매달려 비닐 사이딩 클립 필요")</f>
        <v>10Pcs 비닐 사이딩 후크 행거 스테인레스 스틸 구멍 없음 홈 야외 장식을 매달려 비닐 사이딩 클립 필요</v>
      </c>
      <c r="F221" s="1" t="str">
        <f>IFERROR(__xludf.DUMMYFUNCTION("CONCATENATE(GOOGLETRANSLATE(C221, ""en"", ""ja""))"),"10 個のビニール サイディング フック ハンガー ステンレス鋼 穴不要のビニール サイディング クリップ 吊り下げ用 ホーム アウトドア デコレーション")</f>
        <v>10 個のビニール サイディング フック ハンガー ステンレス鋼 穴不要のビニール サイディング クリップ 吊り下げ用 ホーム アウトドア デコレーション</v>
      </c>
    </row>
    <row r="222" ht="15.75" customHeight="1">
      <c r="A222" s="1">
        <v>1687.0</v>
      </c>
      <c r="B222" s="1" t="s">
        <v>15</v>
      </c>
      <c r="C222" s="1" t="s">
        <v>211</v>
      </c>
      <c r="D222" s="1" t="str">
        <f>IFERROR(__xludf.DUMMYFUNCTION("CONCATENATE(GOOGLETRANSLATE(C222, ""en"", ""zh-cn""))
"),"25×1100×0.75mm 防滑网球拍握带 羽毛球拍握带 壁球带")</f>
        <v>25×1100×0.75mm 防滑网球拍握带 羽毛球拍握带 壁球带</v>
      </c>
      <c r="E222" s="1" t="str">
        <f>IFERROR(__xludf.DUMMYFUNCTION("CONCATENATE(GOOGLETRANSLATE(C222, ""en"", ""ko""))
"),"25×1100×0.75mm 미끄럼 방지 테니스 라켓 그립 테이프 배드민턴 라켓 그립 테이프 스쿼시 테이프")</f>
        <v>25×1100×0.75mm 미끄럼 방지 테니스 라켓 그립 테이프 배드민턴 라켓 그립 테이프 스쿼시 테이프</v>
      </c>
      <c r="F222" s="1" t="str">
        <f>IFERROR(__xludf.DUMMYFUNCTION("CONCATENATE(GOOGLETRANSLATE(C222, ""en"", ""ja""))"),"25×1100×0.75ミリメートルアンチスリップテニスラケットグリップテープバドミントンラケットグリップテープスカッシュテープ")</f>
        <v>25×1100×0.75ミリメートルアンチスリップテニスラケットグリップテープバドミントンラケットグリップテープスカッシュテープ</v>
      </c>
    </row>
    <row r="223" ht="15.75" customHeight="1">
      <c r="A223" s="1">
        <v>1688.0</v>
      </c>
      <c r="B223" s="1" t="s">
        <v>15</v>
      </c>
      <c r="C223" s="1" t="s">
        <v>212</v>
      </c>
      <c r="D223" s="1" t="str">
        <f>IFERROR(__xludf.DUMMYFUNCTION("CONCATENATE(GOOGLETRANSLATE(C223, ""en"", ""zh-cn""))
"),"金属椭圆形搭扣转动扭锁适用于 DIY 手提包包钱包")</f>
        <v>金属椭圆形搭扣转动扭锁适用于 DIY 手提包包钱包</v>
      </c>
      <c r="E223" s="1" t="str">
        <f>IFERROR(__xludf.DUMMYFUNCTION("CONCATENATE(GOOGLETRANSLATE(C223, ""en"", ""ko""))
"),"DIY 핸드백 가방 지갑을 위한 금속 타원형 모양 걸쇠 회전 트위스트 잠금 장치")</f>
        <v>DIY 핸드백 가방 지갑을 위한 금속 타원형 모양 걸쇠 회전 트위스트 잠금 장치</v>
      </c>
      <c r="F223" s="1" t="str">
        <f>IFERROR(__xludf.DUMMYFUNCTION("CONCATENATE(GOOGLETRANSLATE(C223, ""en"", ""ja""))"),"金属楕円形クラスプターンツイストロック DIY ハンドバッグバッグ財布")</f>
        <v>金属楕円形クラスプターンツイストロック DIY ハンドバッグバッグ財布</v>
      </c>
    </row>
    <row r="224" ht="15.75" customHeight="1">
      <c r="A224" s="1">
        <v>1689.0</v>
      </c>
      <c r="B224" s="1" t="s">
        <v>15</v>
      </c>
      <c r="C224" s="1" t="s">
        <v>213</v>
      </c>
      <c r="D224" s="1" t="str">
        <f>IFERROR(__xludf.DUMMYFUNCTION("CONCATENATE(GOOGLETRANSLATE(C224, ""en"", ""zh-cn""))
"),"9 尺寸 M4 M5 M6 M8 M10 六角驱动螺钉螺纹嵌件适用于木材 E 型")</f>
        <v>9 尺寸 M4 M5 M6 M8 M10 六角驱动螺钉螺纹嵌件适用于木材 E 型</v>
      </c>
      <c r="E224" s="1" t="str">
        <f>IFERROR(__xludf.DUMMYFUNCTION("CONCATENATE(GOOGLETRANSLATE(C224, ""en"", ""ko""))
"),"9 크기 M4 M5 M6 M8 M10 목재 유형 E용 나사형 인서트의 육각 드라이브 나사")</f>
        <v>9 크기 M4 M5 M6 M8 M10 목재 유형 E용 나사형 인서트의 육각 드라이브 나사</v>
      </c>
      <c r="F224" s="1" t="str">
        <f>IFERROR(__xludf.DUMMYFUNCTION("CONCATENATE(GOOGLETRANSLATE(C224, ""en"", ""ja""))"),"9 サイズ M4 M5 M6 M8 M10 六角ドライブねじねじ込みインサート木材タイプ E")</f>
        <v>9 サイズ M4 M5 M6 M8 M10 六角ドライブねじねじ込みインサート木材タイプ E</v>
      </c>
    </row>
    <row r="225" ht="15.75" customHeight="1">
      <c r="A225" s="1">
        <v>1690.0</v>
      </c>
      <c r="B225" s="1" t="s">
        <v>15</v>
      </c>
      <c r="C225" s="1" t="s">
        <v>214</v>
      </c>
      <c r="D225" s="1" t="str">
        <f>IFERROR(__xludf.DUMMYFUNCTION("CONCATENATE(GOOGLETRANSLATE(C225, ""en"", ""zh-cn""))
"),"Suleve™ AC30 30×30mm 铝角连接器连接角支架 3030 系列铝型材")</f>
        <v>Suleve™ AC30 30×30mm 铝角连接器连接角支架 3030 系列铝型材</v>
      </c>
      <c r="E225" s="1" t="str">
        <f>IFERROR(__xludf.DUMMYFUNCTION("CONCATENATE(GOOGLETRANSLATE(C225, ""en"", ""ko""))
"),"Suleve™ AC30 30×30mm 알루미늄 앵글 커넥터 접합 코너 브래킷 3030 시리즈 알루미늄 프로파일")</f>
        <v>Suleve™ AC30 30×30mm 알루미늄 앵글 커넥터 접합 코너 브래킷 3030 시리즈 알루미늄 프로파일</v>
      </c>
      <c r="F225" s="1" t="str">
        <f>IFERROR(__xludf.DUMMYFUNCTION("CONCATENATE(GOOGLETRANSLATE(C225, ""en"", ""ja""))"),"Suleve™ AC30 30×30mm アルミニウム アングル コネクタ ジャンクション コーナー ブラケット 3030 シリーズ アルミニウム プロファイル")</f>
        <v>Suleve™ AC30 30×30mm アルミニウム アングル コネクタ ジャンクション コーナー ブラケット 3030 シリーズ アルミニウム プロファイル</v>
      </c>
    </row>
    <row r="226" ht="15.75" customHeight="1">
      <c r="A226" s="1">
        <v>1691.0</v>
      </c>
      <c r="B226" s="1" t="s">
        <v>15</v>
      </c>
      <c r="C226" s="1" t="s">
        <v>215</v>
      </c>
      <c r="D226" s="1" t="str">
        <f>IFERROR(__xludf.DUMMYFUNCTION("CONCATENATE(GOOGLETRANSLATE(C226, ""en"", ""zh-cn""))
"),"Suleve™ AC20 20×20mm 铝角角连接器 T 开槽型材 2020 系列铝型材")</f>
        <v>Suleve™ AC20 20×20mm 铝角角连接器 T 开槽型材 2020 系列铝型材</v>
      </c>
      <c r="E226" s="1" t="str">
        <f>IFERROR(__xludf.DUMMYFUNCTION("CONCATENATE(GOOGLETRANSLATE(C226, ""en"", ""ko""))
"),"Suleve™ AC20 20×20mm 알루미늄 앵글 코너 커넥터 T 슬롯 프로파일 2020 시리즈 알루미늄 프로파일")</f>
        <v>Suleve™ AC20 20×20mm 알루미늄 앵글 코너 커넥터 T 슬롯 프로파일 2020 시리즈 알루미늄 프로파일</v>
      </c>
      <c r="F226" s="1" t="str">
        <f>IFERROR(__xludf.DUMMYFUNCTION("CONCATENATE(GOOGLETRANSLATE(C226, ""en"", ""ja""))"),"Suleve™ AC20 20×20mm アルミニウム アングル コーナー コネクタ T スロット プロファイル 2020 シリーズ アルミニウム プロファイル")</f>
        <v>Suleve™ AC20 20×20mm アルミニウム アングル コーナー コネクタ T スロット プロファイル 2020 シリーズ アルミニウム プロファイル</v>
      </c>
    </row>
    <row r="227" ht="15.75" customHeight="1">
      <c r="A227" s="1">
        <v>1692.0</v>
      </c>
      <c r="B227" s="1" t="s">
        <v>15</v>
      </c>
      <c r="C227" s="1" t="s">
        <v>216</v>
      </c>
      <c r="D227" s="1" t="str">
        <f>IFERROR(__xludf.DUMMYFUNCTION("CONCATENATE(GOOGLETRANSLATE(C227, ""en"", ""zh-cn""))
"),"Suleve™ AC40 40×40mm 铝角连接器连接角支架 4040 系列铝型材")</f>
        <v>Suleve™ AC40 40×40mm 铝角连接器连接角支架 4040 系列铝型材</v>
      </c>
      <c r="E227" s="1" t="str">
        <f>IFERROR(__xludf.DUMMYFUNCTION("CONCATENATE(GOOGLETRANSLATE(C227, ""en"", ""ko""))
"),"Suleve™ AC40 40×40mm 알루미늄 앵글 커넥터 접합 코너 브래킷 4040 시리즈 알루미늄 프로파일")</f>
        <v>Suleve™ AC40 40×40mm 알루미늄 앵글 커넥터 접합 코너 브래킷 4040 시리즈 알루미늄 프로파일</v>
      </c>
      <c r="F227" s="1" t="str">
        <f>IFERROR(__xludf.DUMMYFUNCTION("CONCATENATE(GOOGLETRANSLATE(C227, ""en"", ""ja""))"),"Suleve™ AC40 40×40mm アルミニウム アングル コネクタ ジャンクション コーナー ブラケット 4040 シリーズ アルミニウム プロファイル")</f>
        <v>Suleve™ AC40 40×40mm アルミニウム アングル コネクタ ジャンクション コーナー ブラケット 4040 シリーズ アルミニウム プロファイル</v>
      </c>
    </row>
    <row r="228" ht="15.75" customHeight="1">
      <c r="A228" s="1">
        <v>1693.0</v>
      </c>
      <c r="B228" s="1" t="s">
        <v>15</v>
      </c>
      <c r="C228" s="1" t="s">
        <v>217</v>
      </c>
      <c r="D228" s="1" t="str">
        <f>IFERROR(__xludf.DUMMYFUNCTION("CONCATENATE(GOOGLETRANSLATE(C228, ""en"", ""zh-cn""))
"),"1/2 英寸 3.5 厘米软管适配器黄铜接头快速接头耦合器")</f>
        <v>1/2 英寸 3.5 厘米软管适配器黄铜接头快速接头耦合器</v>
      </c>
      <c r="E228" s="1" t="str">
        <f>IFERROR(__xludf.DUMMYFUNCTION("CONCATENATE(GOOGLETRANSLATE(C228, ""en"", ""ko""))
"),"1/2 인치 3.5cm 호스 어댑터 황동 커플 링 퀵 피팅 커플러")</f>
        <v>1/2 인치 3.5cm 호스 어댑터 황동 커플 링 퀵 피팅 커플러</v>
      </c>
      <c r="F228" s="1" t="str">
        <f>IFERROR(__xludf.DUMMYFUNCTION("CONCATENATE(GOOGLETRANSLATE(C228, ""en"", ""ja""))"),"1/2 インチ 3.5 センチメートルホースアダプター真鍮カップリングクイック継手カプラー")</f>
        <v>1/2 インチ 3.5 センチメートルホースアダプター真鍮カップリングクイック継手カプラー</v>
      </c>
    </row>
    <row r="229" ht="15.75" customHeight="1">
      <c r="A229" s="1">
        <v>1694.0</v>
      </c>
      <c r="B229" s="1" t="s">
        <v>15</v>
      </c>
      <c r="C229" s="1" t="s">
        <v>218</v>
      </c>
      <c r="D229" s="1" t="str">
        <f>IFERROR(__xludf.DUMMYFUNCTION("CONCATENATE(GOOGLETRANSLATE(C229, ""en"", ""zh-cn""))
"),"加厚挂篮座垫挂蛋椅垫椅垫 BRS")</f>
        <v>加厚挂篮座垫挂蛋椅垫椅垫 BRS</v>
      </c>
      <c r="E229" s="1" t="str">
        <f>IFERROR(__xludf.DUMMYFUNCTION("CONCATENATE(GOOGLETRANSLATE(C229, ""en"", ""ko""))
"),"두꺼운 걸이 바구니 좌석 쿠션 걸이 계란 의자 쿠션 의자 쿠션 BRS")</f>
        <v>두꺼운 걸이 바구니 좌석 쿠션 걸이 계란 의자 쿠션 의자 쿠션 BRS</v>
      </c>
      <c r="F229" s="1" t="str">
        <f>IFERROR(__xludf.DUMMYFUNCTION("CONCATENATE(GOOGLETRANSLATE(C229, ""en"", ""ja""))"),"厚手のハンギングバスケットシートクッションハンギングエッグチェアクッションチェアクッションBRS")</f>
        <v>厚手のハンギングバスケットシートクッションハンギングエッグチェアクッションチェアクッションBRS</v>
      </c>
    </row>
    <row r="230" ht="15.75" customHeight="1">
      <c r="A230" s="1">
        <v>1695.0</v>
      </c>
      <c r="B230" s="1" t="s">
        <v>15</v>
      </c>
      <c r="C230" s="1" t="s">
        <v>219</v>
      </c>
      <c r="D230" s="1" t="str">
        <f>IFERROR(__xludf.DUMMYFUNCTION("CONCATENATE(GOOGLETRANSLATE(C230, ""en"", ""zh-cn""))
"),"220 磅吊床吊椅绳放松流苏秋千座椅棉质家用")</f>
        <v>220 磅吊床吊椅绳放松流苏秋千座椅棉质家用</v>
      </c>
      <c r="E230" s="1" t="str">
        <f>IFERROR(__xludf.DUMMYFUNCTION("CONCATENATE(GOOGLETRANSLATE(C230, ""en"", ""ko""))
"),"220파운드 해먹 행잉 의자 로프 릴렉스 마크라메 스윙 시트 코튼 홈")</f>
        <v>220파운드 해먹 행잉 의자 로프 릴렉스 마크라메 스윙 시트 코튼 홈</v>
      </c>
      <c r="F230" s="1" t="str">
        <f>IFERROR(__xludf.DUMMYFUNCTION("CONCATENATE(GOOGLETRANSLATE(C230, ""en"", ""ja""))"),"220ポンド ハンモック ハンギングチェア ロープ リラックス マクラメ スイングシート コットン ホーム")</f>
        <v>220ポンド ハンモック ハンギングチェア ロープ リラックス マクラメ スイングシート コットン ホーム</v>
      </c>
    </row>
    <row r="231" ht="15.75" customHeight="1">
      <c r="A231" s="1">
        <v>1696.0</v>
      </c>
      <c r="B231" s="1" t="s">
        <v>15</v>
      </c>
      <c r="C231" s="1" t="s">
        <v>220</v>
      </c>
      <c r="D231" s="1" t="str">
        <f>IFERROR(__xludf.DUMMYFUNCTION("CONCATENATE(GOOGLETRANSLATE(C231, ""en"", ""zh-cn""))
"),"可移动电脑笔记本电脑桌高度可调节书写学习桌书本储物架工作站带轮家用办公家具")</f>
        <v>可移动电脑笔记本电脑桌高度可调节书写学习桌书本储物架工作站带轮家用办公家具</v>
      </c>
      <c r="E231" s="1" t="str">
        <f>IFERROR(__xludf.DUMMYFUNCTION("CONCATENATE(GOOGLETRANSLATE(C231, ""en"", ""ko""))
"),"이동식 컴퓨터 노트북 책상 높이 조절 가능한 쓰기 학습 테이블 책 보관 선반 바퀴가있는 워크 스테이션 홈 오피스 가구")</f>
        <v>이동식 컴퓨터 노트북 책상 높이 조절 가능한 쓰기 학습 테이블 책 보관 선반 바퀴가있는 워크 스테이션 홈 오피스 가구</v>
      </c>
      <c r="F231" s="1" t="str">
        <f>IFERROR(__xludf.DUMMYFUNCTION("CONCATENATE(GOOGLETRANSLATE(C231, ""en"", ""ja""))"),"移動可能なコンピュータラップトップデスク高さ調節可能なライティング学習テーブル本収納棚ワークステーションホイール付きホームオフィス家具")</f>
        <v>移動可能なコンピュータラップトップデスク高さ調節可能なライティング学習テーブル本収納棚ワークステーションホイール付きホームオフィス家具</v>
      </c>
    </row>
    <row r="232" ht="15.75" customHeight="1">
      <c r="A232" s="1">
        <v>1697.0</v>
      </c>
      <c r="B232" s="1" t="s">
        <v>15</v>
      </c>
      <c r="C232" s="1" t="s">
        <v>221</v>
      </c>
      <c r="D232" s="1" t="str">
        <f>IFERROR(__xludf.DUMMYFUNCTION("CONCATENATE(GOOGLETRANSLATE(C232, ""en"", ""zh-cn""))
"),"花园长凳露台座垫椅垫秋千 3 座户外 150x50x10 厘米")</f>
        <v>花园长凳露台座垫椅垫秋千 3 座户外 150x50x10 厘米</v>
      </c>
      <c r="E232" s="1" t="str">
        <f>IFERROR(__xludf.DUMMYFUNCTION("CONCATENATE(GOOGLETRANSLATE(C232, ""en"", ""ko""))
"),"정원 벤치 파티오 좌석 패드 의자 쿠션 그네 3인용 야외 150x50x10CM")</f>
        <v>정원 벤치 파티오 좌석 패드 의자 쿠션 그네 3인용 야외 150x50x10CM</v>
      </c>
      <c r="F232" s="1" t="str">
        <f>IFERROR(__xludf.DUMMYFUNCTION("CONCATENATE(GOOGLETRANSLATE(C232, ""en"", ""ja""))"),"ガーデンベンチパティオシートパッドチェアクッションスイング3人乗り屋外150x50x10CM")</f>
        <v>ガーデンベンチパティオシートパッドチェアクッションスイング3人乗り屋外150x50x10CM</v>
      </c>
    </row>
    <row r="233" ht="15.75" customHeight="1">
      <c r="A233" s="1">
        <v>1698.0</v>
      </c>
      <c r="B233" s="1" t="s">
        <v>15</v>
      </c>
      <c r="C233" s="1" t="s">
        <v>222</v>
      </c>
      <c r="D233" s="1" t="str">
        <f>IFERROR(__xludf.DUMMYFUNCTION("CONCATENATE(GOOGLETRANSLATE(C233, ""en"", ""zh-cn""))
"),"便携式充气椅户外毛绒充气凳豆袋圆形家居家具")</f>
        <v>便携式充气椅户外毛绒充气凳豆袋圆形家居家具</v>
      </c>
      <c r="E233" s="1" t="str">
        <f>IFERROR(__xludf.DUMMYFUNCTION("CONCATENATE(GOOGLETRANSLATE(C233, ""en"", ""ko""))
"),"휴대용 풍선 의자 야외 플러시 공압 의자 콩 가방 원형 모양 홈 가구")</f>
        <v>휴대용 풍선 의자 야외 플러시 공압 의자 콩 가방 원형 모양 홈 가구</v>
      </c>
      <c r="F233" s="1" t="str">
        <f>IFERROR(__xludf.DUMMYFUNCTION("CONCATENATE(GOOGLETRANSLATE(C233, ""en"", ""ja""))"),"ポータブルインフレータブル椅子屋外豪華な空気圧スツールビーンバッグ丸型家庭用家具")</f>
        <v>ポータブルインフレータブル椅子屋外豪華な空気圧スツールビーンバッグ丸型家庭用家具</v>
      </c>
    </row>
    <row r="234" ht="15.75" customHeight="1">
      <c r="A234" s="1">
        <v>1699.0</v>
      </c>
      <c r="B234" s="1" t="s">
        <v>15</v>
      </c>
      <c r="C234" s="1" t="s">
        <v>223</v>
      </c>
      <c r="D234" s="1" t="str">
        <f>IFERROR(__xludf.DUMMYFUNCTION("CONCATENATE(GOOGLETRANSLATE(C234, ""en"", ""zh-cn""))
"),"8-24 毫米表带不锈钢弹簧连接杆销")</f>
        <v>8-24 毫米表带不锈钢弹簧连接杆销</v>
      </c>
      <c r="E234" s="1" t="str">
        <f>IFERROR(__xludf.DUMMYFUNCTION("CONCATENATE(GOOGLETRANSLATE(C234, ""en"", ""ko""))
"),"시계 밴드 스트랩용 8-24mm 스테인레스 스틸 스프링 링크 바 핀")</f>
        <v>시계 밴드 스트랩용 8-24mm 스테인레스 스틸 스프링 링크 바 핀</v>
      </c>
      <c r="F234" s="1" t="str">
        <f>IFERROR(__xludf.DUMMYFUNCTION("CONCATENATE(GOOGLETRANSLATE(C234, ""en"", ""ja""))"),"8-24mm 時計バンド ストラップ用ステンレス鋼スプリング リンク バー ピン")</f>
        <v>8-24mm 時計バンド ストラップ用ステンレス鋼スプリング リンク バー ピン</v>
      </c>
    </row>
    <row r="235" ht="15.75" customHeight="1">
      <c r="A235" s="1">
        <v>1700.0</v>
      </c>
      <c r="B235" s="1" t="s">
        <v>15</v>
      </c>
      <c r="C235" s="1" t="s">
        <v>224</v>
      </c>
      <c r="D235" s="1" t="str">
        <f>IFERROR(__xludf.DUMMYFUNCTION("CONCATENATE(GOOGLETRANSLATE(C235, ""en"", ""zh-cn""))
"),"10 件 1/4 英寸公/母 BSP 适配器压缩空气快速接头软管")</f>
        <v>10 件 1/4 英寸公/母 BSP 适配器压缩空气快速接头软管</v>
      </c>
      <c r="E235" s="1" t="str">
        <f>IFERROR(__xludf.DUMMYFUNCTION("CONCATENATE(GOOGLETRANSLATE(C235, ""en"", ""ko""))
"),"10pcs 1/4inch 남성/여성 BSP 어댑터 압축 공기 퀵 커플 링 호스")</f>
        <v>10pcs 1/4inch 남성/여성 BSP 어댑터 압축 공기 퀵 커플 링 호스</v>
      </c>
      <c r="F235" s="1" t="str">
        <f>IFERROR(__xludf.DUMMYFUNCTION("CONCATENATE(GOOGLETRANSLATE(C235, ""en"", ""ja""))"),"10 個 1/4 インチオス/メス BSP アダプター圧縮空気クイックカップリングホース")</f>
        <v>10 個 1/4 インチオス/メス BSP アダプター圧縮空気クイックカップリングホース</v>
      </c>
    </row>
    <row r="236" ht="15.75" customHeight="1">
      <c r="A236" s="1">
        <v>1701.0</v>
      </c>
      <c r="B236" s="1" t="s">
        <v>15</v>
      </c>
      <c r="C236" s="1" t="s">
        <v>225</v>
      </c>
      <c r="D236" s="1" t="str">
        <f>IFERROR(__xludf.DUMMYFUNCTION("CONCATENATE(GOOGLETRANSLATE(C236, ""en"", ""zh-cn""))
"),"18m×48mm PVC卷 自粘警示胶带 装饰胶带")</f>
        <v>18m×48mm PVC卷 自粘警示胶带 装饰胶带</v>
      </c>
      <c r="E236" s="1" t="str">
        <f>IFERROR(__xludf.DUMMYFUNCTION("CONCATENATE(GOOGLETRANSLATE(C236, ""en"", ""ko""))
"),"18m×48mm PVC 목록 자동 접착 경고 테이프 장식 테이프")</f>
        <v>18m×48mm PVC 목록 자동 접착 경고 테이프 장식 테이프</v>
      </c>
      <c r="F236" s="1" t="str">
        <f>IFERROR(__xludf.DUMMYFUNCTION("CONCATENATE(GOOGLETRANSLATE(C236, ""en"", ""ja""))"),"18m×48mm PVCロール自己粘着警告テープ装飾テープ")</f>
        <v>18m×48mm PVCロール自己粘着警告テープ装飾テープ</v>
      </c>
    </row>
    <row r="237" ht="15.75" customHeight="1">
      <c r="A237" s="1">
        <v>1702.0</v>
      </c>
      <c r="B237" s="1" t="s">
        <v>15</v>
      </c>
      <c r="C237" s="1" t="s">
        <v>226</v>
      </c>
      <c r="D237" s="1" t="str">
        <f>IFERROR(__xludf.DUMMYFUNCTION("CONCATENATE(GOOGLETRANSLATE(C237, ""en"", ""zh-cn""))
"),"20x10CM木雕角嵌未上漆框架装饰")</f>
        <v>20x10CM木雕角嵌未上漆框架装饰</v>
      </c>
      <c r="E237" s="1" t="str">
        <f>IFERROR(__xludf.DUMMYFUNCTION("CONCATENATE(GOOGLETRANSLATE(C237, ""en"", ""ko""))
"),"20x10CM 나무 조각 코너 온레이 도색되지 않은 프레임 장식")</f>
        <v>20x10CM 나무 조각 코너 온레이 도색되지 않은 프레임 장식</v>
      </c>
      <c r="F237" s="1" t="str">
        <f>IFERROR(__xludf.DUMMYFUNCTION("CONCATENATE(GOOGLETRANSLATE(C237, ""en"", ""ja""))"),"20x10CM 木彫りコーナーアンレイ未塗装フレーム装飾")</f>
        <v>20x10CM 木彫りコーナーアンレイ未塗装フレーム装飾</v>
      </c>
    </row>
    <row r="238" ht="15.75" customHeight="1">
      <c r="A238" s="1">
        <v>1703.0</v>
      </c>
      <c r="B238" s="1" t="s">
        <v>15</v>
      </c>
      <c r="C238" s="1" t="s">
        <v>227</v>
      </c>
      <c r="D238" s="1" t="str">
        <f>IFERROR(__xludf.DUMMYFUNCTION("CONCATENATE(GOOGLETRANSLATE(C238, ""en"", ""zh-cn""))
"),"10 件不锈钢墙壁展示挂钩适用于衣帽店板墙面板 10 × 150MM")</f>
        <v>10 件不锈钢墙壁展示挂钩适用于衣帽店板墙面板 10 × 150MM</v>
      </c>
      <c r="E238" s="1" t="str">
        <f>IFERROR(__xludf.DUMMYFUNCTION("CONCATENATE(GOOGLETRANSLATE(C238, ""en"", ""ko""))
"),"코트 숍 Slatwall 패널 10 × 150MM에 대 한 10Pcs 스테인레스 스틸 벽 디스플레이 후크")</f>
        <v>코트 숍 Slatwall 패널 10 × 150MM에 대 한 10Pcs 스테인레스 스틸 벽 디스플레이 후크</v>
      </c>
      <c r="F238" s="1" t="str">
        <f>IFERROR(__xludf.DUMMYFUNCTION("CONCATENATE(GOOGLETRANSLATE(C238, ""en"", ""ja""))"),"10 個のステンレス鋼壁ディスプレイフックコートショップ Slatwall パネル 10 × 150MM")</f>
        <v>10 個のステンレス鋼壁ディスプレイフックコートショップ Slatwall パネル 10 × 150MM</v>
      </c>
    </row>
    <row r="239" ht="15.75" customHeight="1">
      <c r="A239" s="1">
        <v>1704.0</v>
      </c>
      <c r="B239" s="1" t="s">
        <v>15</v>
      </c>
      <c r="C239" s="1" t="s">
        <v>228</v>
      </c>
      <c r="D239" s="1" t="str">
        <f>IFERROR(__xludf.DUMMYFUNCTION("CONCATENATE(GOOGLETRANSLATE(C239, ""en"", ""zh-cn""))
"),"橡胶和不锈钢门挡楔子安全保护器挡块")</f>
        <v>橡胶和不锈钢门挡楔子安全保护器挡块</v>
      </c>
      <c r="E239" s="1" t="str">
        <f>IFERROR(__xludf.DUMMYFUNCTION("CONCATENATE(GOOGLETRANSLATE(C239, ""en"", ""ko""))
"),"고무 및 스테인레스 스틸 도어 스톱 웨지 안전 보호 장치 스토퍼 블록")</f>
        <v>고무 및 스테인레스 스틸 도어 스톱 웨지 안전 보호 장치 스토퍼 블록</v>
      </c>
      <c r="F239" s="1" t="str">
        <f>IFERROR(__xludf.DUMMYFUNCTION("CONCATENATE(GOOGLETRANSLATE(C239, ""en"", ""ja""))"),"ゴムおよびステンレス鋼のドアストップウェッジ安全プロテクターストッパーブロック")</f>
        <v>ゴムおよびステンレス鋼のドアストップウェッジ安全プロテクターストッパーブロック</v>
      </c>
    </row>
    <row r="240" ht="15.75" customHeight="1">
      <c r="A240" s="1">
        <v>1705.0</v>
      </c>
      <c r="B240" s="1" t="s">
        <v>15</v>
      </c>
      <c r="C240" s="1" t="s">
        <v>229</v>
      </c>
      <c r="D240" s="1" t="str">
        <f>IFERROR(__xludf.DUMMYFUNCTION("CONCATENATE(GOOGLETRANSLATE(C240, ""en"", ""zh-cn""))
"),"FRAP F4254 家用厨房单旋转手柄面盆龙头可选手柄风格水槽龙头 ")</f>
        <v>FRAP F4254 家用厨房单旋转手柄面盆龙头可选手柄风格水槽龙头 </v>
      </c>
      <c r="E240" s="1" t="str">
        <f>IFERROR(__xludf.DUMMYFUNCTION("CONCATENATE(GOOGLETRANSLATE(C240, ""en"", ""ko""))
"),"FRAP F4254 가정용 주방 단일 회전 핸들 세면대 수도꼭지 옵션 핸들 스타일 싱크 수도꼭지 ")</f>
        <v>FRAP F4254 가정용 주방 단일 회전 핸들 세면대 수도꼭지 옵션 핸들 스타일 싱크 수도꼭지 </v>
      </c>
      <c r="F240" s="1" t="str">
        <f>IFERROR(__xludf.DUMMYFUNCTION("CONCATENATE(GOOGLETRANSLATE(C240, ""en"", ""ja""))"),"FRAP F4254 ホームキッチンシングル回転ハンドル洗面器の蛇口オプションのハンドルスタイルシンクの蛇口 ")</f>
        <v>FRAP F4254 ホームキッチンシングル回転ハンドル洗面器の蛇口オプションのハンドルスタイルシンクの蛇口 </v>
      </c>
    </row>
    <row r="241" ht="15.75" customHeight="1">
      <c r="A241" s="1">
        <v>1706.0</v>
      </c>
      <c r="B241" s="1" t="s">
        <v>15</v>
      </c>
      <c r="C241" s="1" t="s">
        <v>230</v>
      </c>
      <c r="D241" s="1" t="str">
        <f>IFERROR(__xludf.DUMMYFUNCTION("CONCATENATE(GOOGLETRANSLATE(C241, ""en"", ""zh-cn""))
"),"通用 4 路软管水龙头歧管分水器适用于 3/4"" 1/2"" 花园水龙头分流器水管分配器软管快速接头喷嘴关闭控制")</f>
        <v>通用 4 路软管水龙头歧管分水器适用于 3/4" 1/2" 花园水龙头分流器水管分配器软管快速接头喷嘴关闭控制</v>
      </c>
      <c r="E241" s="1" t="str">
        <f>IFERROR(__xludf.DUMMYFUNCTION("CONCATENATE(GOOGLETRANSLATE(C241, ""en"", ""ko""))
"),"범용 4 웨이 호스 수도꼭지 매니 폴드 워터 분리기 3/4 ""1/2"" 가든 탭 스플리터 워터 파이프 디바이더 호스 퀵 커넥터 노즐 차단 제어")</f>
        <v>범용 4 웨이 호스 수도꼭지 매니 폴드 워터 분리기 3/4 "1/2" 가든 탭 스플리터 워터 파이프 디바이더 호스 퀵 커넥터 노즐 차단 제어</v>
      </c>
      <c r="F241" s="1" t="str">
        <f>IFERROR(__xludf.DUMMYFUNCTION("CONCATENATE(GOOGLETRANSLATE(C241, ""en"", ""ja""))"),"ユニバーサル 4 ウェイホース蛇口マニホールド水分離器 3/4 ""1/2"" ガーデンタップスプリッター水道管ディバイダーホースクイックコネクタノズルシャットオフ制御")</f>
        <v>ユニバーサル 4 ウェイホース蛇口マニホールド水分離器 3/4 "1/2" ガーデンタップスプリッター水道管ディバイダーホースクイックコネクタノズルシャットオフ制御</v>
      </c>
    </row>
    <row r="242" ht="15.75" customHeight="1">
      <c r="A242" s="1">
        <v>1707.0</v>
      </c>
      <c r="B242" s="1" t="s">
        <v>15</v>
      </c>
      <c r="C242" s="1" t="s">
        <v>231</v>
      </c>
      <c r="D242" s="1" t="str">
        <f>IFERROR(__xludf.DUMMYFUNCTION("CONCATENATE(GOOGLETRANSLATE(C242, ""en"", ""zh-cn""))
"),"8.5 厘米 x 6.5 厘米金属钱包袋框架吻扣锁钱包夹 DIY 工艺装饰品")</f>
        <v>8.5 厘米 x 6.5 厘米金属钱包袋框架吻扣锁钱包夹 DIY 工艺装饰品</v>
      </c>
      <c r="E242" s="1" t="str">
        <f>IFERROR(__xludf.DUMMYFUNCTION("CONCATENATE(GOOGLETRANSLATE(C242, ""en"", ""ko""))
"),"8.5cm x 6.5cm 금속 지갑 가방 프레임 키스 걸쇠 잠금 지갑 클립 DIY 공예 장식")</f>
        <v>8.5cm x 6.5cm 금속 지갑 가방 프레임 키스 걸쇠 잠금 지갑 클립 DIY 공예 장식</v>
      </c>
      <c r="F242" s="1" t="str">
        <f>IFERROR(__xludf.DUMMYFUNCTION("CONCATENATE(GOOGLETRANSLATE(C242, ""en"", ""ja""))"),"8.5 センチメートル x 6.5 センチメートル金属財布バッグフレームキスクラスプロック財布クリップ DIY クラフト装飾")</f>
        <v>8.5 センチメートル x 6.5 センチメートル金属財布バッグフレームキスクラスプロック財布クリップ DIY クラフト装飾</v>
      </c>
    </row>
    <row r="243" ht="15.75" customHeight="1">
      <c r="A243" s="1">
        <v>1708.0</v>
      </c>
      <c r="B243" s="1" t="s">
        <v>15</v>
      </c>
      <c r="C243" s="1" t="s">
        <v>232</v>
      </c>
      <c r="D243" s="1" t="str">
        <f>IFERROR(__xludf.DUMMYFUNCTION("CONCATENATE(GOOGLETRANSLATE(C243, ""en"", ""zh-cn""))
"),"真正的大理石咖啡桌 2 件套圆形边桌金属底座")</f>
        <v>真正的大理石咖啡桌 2 件套圆形边桌金属底座</v>
      </c>
      <c r="E243" s="1" t="str">
        <f>IFERROR(__xludf.DUMMYFUNCTION("CONCATENATE(GOOGLETRANSLATE(C243, ""en"", ""ko""))
"),"원형 사이드 테이블 금속 베이스 2개로 구성된 실제 대리석 커피 테이블 세트")</f>
        <v>원형 사이드 테이블 금속 베이스 2개로 구성된 실제 대리석 커피 테이블 세트</v>
      </c>
      <c r="F243" s="1" t="str">
        <f>IFERROR(__xludf.DUMMYFUNCTION("CONCATENATE(GOOGLETRANSLATE(C243, ""en"", ""ja""))"),"本物の大理石のコーヒーテーブル 2 個セット ラウンドサイドエンドテーブル メタルベース")</f>
        <v>本物の大理石のコーヒーテーブル 2 個セット ラウンドサイドエンドテーブル メタルベース</v>
      </c>
    </row>
    <row r="244" ht="15.75" customHeight="1">
      <c r="A244" s="1">
        <v>1709.0</v>
      </c>
      <c r="B244" s="1" t="s">
        <v>15</v>
      </c>
      <c r="C244" s="1" t="s">
        <v>233</v>
      </c>
      <c r="D244" s="1" t="str">
        <f>IFERROR(__xludf.DUMMYFUNCTION("CONCATENATE(GOOGLETRANSLATE(C244, ""en"", ""zh-cn""))
"),"66-96CM 可调节伸缩水槽上方碗碟晾衣架")</f>
        <v>66-96CM 可调节伸缩水槽上方碗碟晾衣架</v>
      </c>
      <c r="E244" s="1" t="str">
        <f>IFERROR(__xludf.DUMMYFUNCTION("CONCATENATE(GOOGLETRANSLATE(C244, ""en"", ""ko""))
"),"66-96CM 조정 가능한 텔레스코픽 오버 싱크 접시 건조 랙 홀더")</f>
        <v>66-96CM 조정 가능한 텔레스코픽 오버 싱크 접시 건조 랙 홀더</v>
      </c>
      <c r="F244" s="1" t="str">
        <f>IFERROR(__xludf.DUMMYFUNCTION("CONCATENATE(GOOGLETRANSLATE(C244, ""en"", ""ja""))"),"66-96CM調節可能な伸縮式オーバーシンク食器乾燥ラックホルダー")</f>
        <v>66-96CM調節可能な伸縮式オーバーシンク食器乾燥ラックホルダー</v>
      </c>
    </row>
    <row r="245" ht="15.75" customHeight="1">
      <c r="A245" s="1">
        <v>1710.0</v>
      </c>
      <c r="B245" s="1" t="s">
        <v>15</v>
      </c>
      <c r="C245" s="1" t="s">
        <v>234</v>
      </c>
      <c r="D245" s="1" t="str">
        <f>IFERROR(__xludf.DUMMYFUNCTION("CONCATENATE(GOOGLETRANSLATE(C245, ""en"", ""zh-cn""))
"),"办公室脚垫脚底按摩垫云形脚枕舒适脚垫枕家用办公用品")</f>
        <v>办公室脚垫脚底按摩垫云形脚枕舒适脚垫枕家用办公用品</v>
      </c>
      <c r="E245" s="1" t="str">
        <f>IFERROR(__xludf.DUMMYFUNCTION("CONCATENATE(GOOGLETRANSLATE(C245, ""en"", ""ko""))
"),"사무실 발 받침대 매트 발 마사지 매트 구름 모양의 발 베개 편안한 발 쿠션 베개 홈 오피스 용품")</f>
        <v>사무실 발 받침대 매트 발 마사지 매트 구름 모양의 발 베개 편안한 발 쿠션 베개 홈 오피스 용품</v>
      </c>
      <c r="F245" s="1" t="str">
        <f>IFERROR(__xludf.DUMMYFUNCTION("CONCATENATE(GOOGLETRANSLATE(C245, ""en"", ""ja""))"),"オフィスフットレストマットフットマッサージマット雲型足枕快適な足クッション枕ホームオフィス用品")</f>
        <v>オフィスフットレストマットフットマッサージマット雲型足枕快適な足クッション枕ホームオフィス用品</v>
      </c>
    </row>
    <row r="246" ht="15.75" customHeight="1">
      <c r="A246" s="1">
        <v>1711.0</v>
      </c>
      <c r="B246" s="1" t="s">
        <v>15</v>
      </c>
      <c r="C246" s="1" t="s">
        <v>235</v>
      </c>
      <c r="D246" s="1" t="str">
        <f>IFERROR(__xludf.DUMMYFUNCTION("CONCATENATE(GOOGLETRANSLATE(C246, ""en"", ""zh-cn""))
"),"厕所冲洗器手持式坐浴盆淋浴喷头喷洒器清洗喷射软管套装")</f>
        <v>厕所冲洗器手持式坐浴盆淋浴喷头喷洒器清洗喷射软管套装</v>
      </c>
      <c r="E246" s="1" t="str">
        <f>IFERROR(__xludf.DUMMYFUNCTION("CONCATENATE(GOOGLETRANSLATE(C246, ""en"", ""ko""))
"),"화장실 샤워 핸드 헬드 비데 샤워 헤드 스프레이 스프링클러 워시 제트 호스 세트")</f>
        <v>화장실 샤워 핸드 헬드 비데 샤워 헤드 스프레이 스프링클러 워시 제트 호스 세트</v>
      </c>
      <c r="F246" s="1" t="str">
        <f>IFERROR(__xludf.DUMMYFUNCTION("CONCATENATE(GOOGLETRANSLATE(C246, ""en"", ""ja""))"),"トイレ潅水ハンドヘルドビデシャワーヘッドスプレースプリンクラー洗浄ジェットホースセット")</f>
        <v>トイレ潅水ハンドヘルドビデシャワーヘッドスプレースプリンクラー洗浄ジェットホースセット</v>
      </c>
    </row>
    <row r="247" ht="15.75" customHeight="1">
      <c r="A247" s="1">
        <v>1712.0</v>
      </c>
      <c r="B247" s="1" t="s">
        <v>15</v>
      </c>
      <c r="C247" s="1" t="s">
        <v>236</v>
      </c>
      <c r="D247" s="1" t="str">
        <f>IFERROR(__xludf.DUMMYFUNCTION("CONCATENATE(GOOGLETRANSLATE(C247, ""en"", ""zh-cn""))
"),"6/10/14mm 实心黄铜 Y 型接头 3 路软管连接器 带倒刺 Y 型分流器")</f>
        <v>6/10/14mm 实心黄铜 Y 型接头 3 路软管连接器 带倒刺 Y 型分流器</v>
      </c>
      <c r="E247" s="1" t="str">
        <f>IFERROR(__xludf.DUMMYFUNCTION("CONCATENATE(GOOGLETRANSLATE(C247, ""en"", ""ko""))
"),"6/10/14mm 솔리드 브래스 Y 커넥터 3가지 방식 호스 조이너 가시 Y 분배기")</f>
        <v>6/10/14mm 솔리드 브래스 Y 커넥터 3가지 방식 호스 조이너 가시 Y 분배기</v>
      </c>
      <c r="F247" s="1" t="str">
        <f>IFERROR(__xludf.DUMMYFUNCTION("CONCATENATE(GOOGLETRANSLATE(C247, ""en"", ""ja""))"),"6/10/14 ミリメートルソリッドブラス Y コネクタ 3 方法ホースジョイナー有刺鉄線 Y スプリッター")</f>
        <v>6/10/14 ミリメートルソリッドブラス Y コネクタ 3 方法ホースジョイナー有刺鉄線 Y スプリッター</v>
      </c>
    </row>
    <row r="248" ht="15.75" customHeight="1">
      <c r="A248" s="1">
        <v>1713.0</v>
      </c>
      <c r="B248" s="1" t="s">
        <v>15</v>
      </c>
      <c r="C248" s="1" t="s">
        <v>237</v>
      </c>
      <c r="D248" s="1" t="str">
        <f>IFERROR(__xludf.DUMMYFUNCTION("CONCATENATE(GOOGLETRANSLATE(C248, ""en"", ""zh-cn""))
"),"拉手，带螺钉，适用于橱柜橱柜抽屉门衣柜")</f>
        <v>拉手，带螺钉，适用于橱柜橱柜抽屉门衣柜</v>
      </c>
      <c r="E248" s="1" t="str">
        <f>IFERROR(__xludf.DUMMYFUNCTION("CONCATENATE(GOOGLETRANSLATE(C248, ""en"", ""ko""))
"),"캐비닛 찬장 서랍 문 옷장용 나사로 당기는 손잡이")</f>
        <v>캐비닛 찬장 서랍 문 옷장용 나사로 당기는 손잡이</v>
      </c>
      <c r="F248" s="1" t="str">
        <f>IFERROR(__xludf.DUMMYFUNCTION("CONCATENATE(GOOGLETRANSLATE(C248, ""en"", ""ja""))"),"キャビネット食器棚引き出しドアワードローブ用ネジ付きハンドルプル")</f>
        <v>キャビネット食器棚引き出しドアワードローブ用ネジ付きハンドルプル</v>
      </c>
    </row>
    <row r="249" ht="15.75" customHeight="1">
      <c r="A249" s="1">
        <v>1714.0</v>
      </c>
      <c r="B249" s="1" t="s">
        <v>15</v>
      </c>
      <c r="C249" s="1" t="s">
        <v>238</v>
      </c>
      <c r="D249" s="1" t="str">
        <f>IFERROR(__xludf.DUMMYFUNCTION("CONCATENATE(GOOGLETRANSLATE(C249, ""en"", ""zh-cn""))
"),"带柄啤酒水龙头软管扳手的生啤酒塔重建套件")</f>
        <v>带柄啤酒水龙头软管扳手的生啤酒塔重建套件</v>
      </c>
      <c r="E249" s="1" t="str">
        <f>IFERROR(__xludf.DUMMYFUNCTION("CONCATENATE(GOOGLETRANSLATE(C249, ""en"", ""ko""))
"),"생크 맥주 수도꼭지 호스 렌치가 포함된 생맥주 타워 재건 키트")</f>
        <v>생크 맥주 수도꼭지 호스 렌치가 포함된 생맥주 타워 재건 키트</v>
      </c>
      <c r="F249" s="1" t="str">
        <f>IFERROR(__xludf.DUMMYFUNCTION("CONCATENATE(GOOGLETRANSLATE(C249, ""en"", ""ja""))"),"ドラフトビールタワー再構築キット シャンクビール蛇口ホースレンチ付き")</f>
        <v>ドラフトビールタワー再構築キット シャンクビール蛇口ホースレンチ付き</v>
      </c>
    </row>
    <row r="250" ht="15.75" customHeight="1">
      <c r="A250" s="1">
        <v>1715.0</v>
      </c>
      <c r="B250" s="1" t="s">
        <v>15</v>
      </c>
      <c r="C250" s="1" t="s">
        <v>239</v>
      </c>
      <c r="D250" s="1" t="str">
        <f>IFERROR(__xludf.DUMMYFUNCTION("CONCATENATE(GOOGLETRANSLATE(C250, ""en"", ""zh-cn""))
"),"20 件黑色 12.9 级 M12 内六角套筒组芯点平头螺钉")</f>
        <v>20 件黑色 12.9 级 M12 内六角套筒组芯点平头螺钉</v>
      </c>
      <c r="E250" s="1" t="str">
        <f>IFERROR(__xludf.DUMMYFUNCTION("CONCATENATE(GOOGLETRANSLATE(C250, ""en"", ""ko""))
"),"20개 검정색 12.9 등급 M12 육각형 소켓 세트 코어 포인트 그러브 나사")</f>
        <v>20개 검정색 12.9 등급 M12 육각형 소켓 세트 코어 포인트 그러브 나사</v>
      </c>
      <c r="F250" s="1" t="str">
        <f>IFERROR(__xludf.DUMMYFUNCTION("CONCATENATE(GOOGLETRANSLATE(C250, ""en"", ""ja""))"),"20 個ブラック 12.9 グレード M12 六角ソケットセットコアポイントグラブネジ")</f>
        <v>20 個ブラック 12.9 グレード M12 六角ソケットセットコアポイントグラブネジ</v>
      </c>
    </row>
    <row r="251" ht="15.75" customHeight="1">
      <c r="A251" s="1">
        <v>1716.0</v>
      </c>
      <c r="B251" s="1" t="s">
        <v>15</v>
      </c>
      <c r="C251" s="1" t="s">
        <v>240</v>
      </c>
      <c r="D251" s="1" t="str">
        <f>IFERROR(__xludf.DUMMYFUNCTION("CONCATENATE(GOOGLETRANSLATE(C251, ""en"", ""zh-cn""))
"),"眼镜展示柜网格收纳盒珠宝收藏盒展示架")</f>
        <v>眼镜展示柜网格收纳盒珠宝收藏盒展示架</v>
      </c>
      <c r="E251" s="1" t="str">
        <f>IFERROR(__xludf.DUMMYFUNCTION("CONCATENATE(GOOGLETRANSLATE(C251, ""en"", ""ko""))
"),"안경 디스플레이 케이스 그리드 보관 상자 보석 컬렉션 케이스 디스플레이 홀더")</f>
        <v>안경 디스플레이 케이스 그리드 보관 상자 보석 컬렉션 케이스 디스플레이 홀더</v>
      </c>
      <c r="F251" s="1" t="str">
        <f>IFERROR(__xludf.DUMMYFUNCTION("CONCATENATE(GOOGLETRANSLATE(C251, ""en"", ""ja""))"),"メガネディスプレイケースグリッド収納ボックスジュエリーコレクションケースディスプレイホルダー")</f>
        <v>メガネディスプレイケースグリッド収納ボックスジュエリーコレクションケースディスプレイホルダー</v>
      </c>
    </row>
    <row r="252" ht="15.75" customHeight="1">
      <c r="A252" s="1">
        <v>1717.0</v>
      </c>
      <c r="B252" s="1" t="s">
        <v>15</v>
      </c>
      <c r="C252" s="1" t="s">
        <v>241</v>
      </c>
      <c r="D252" s="1" t="str">
        <f>IFERROR(__xludf.DUMMYFUNCTION("CONCATENATE(GOOGLETRANSLATE(C252, ""en"", ""zh-cn""))
"),"帆布秋千悬挂吊床椅棉绳流苏树椅座椅露台户外")</f>
        <v>帆布秋千悬挂吊床椅棉绳流苏树椅座椅露台户外</v>
      </c>
      <c r="E252" s="1" t="str">
        <f>IFERROR(__xludf.DUMMYFUNCTION("CONCATENATE(GOOGLETRANSLATE(C252, ""en"", ""ko""))
"),"캔버스 그네 교수형 해먹 의자 코튼 로프 술 나무 의자 좌석 파티오 야외")</f>
        <v>캔버스 그네 교수형 해먹 의자 코튼 로프 술 나무 의자 좌석 파티오 야외</v>
      </c>
      <c r="F252" s="1" t="str">
        <f>IFERROR(__xludf.DUMMYFUNCTION("CONCATENATE(GOOGLETRANSLATE(C252, ""en"", ""ja""))"),"キャンバス ブランコ ハンモック チェア コットン ロープ タッセル ツリー チェア シート パティオ 屋外")</f>
        <v>キャンバス ブランコ ハンモック チェア コットン ロープ タッセル ツリー チェア シート パティオ 屋外</v>
      </c>
    </row>
    <row r="253" ht="15.75" customHeight="1">
      <c r="A253" s="1">
        <v>1718.0</v>
      </c>
      <c r="B253" s="1" t="s">
        <v>15</v>
      </c>
      <c r="C253" s="1" t="s">
        <v>242</v>
      </c>
      <c r="D253" s="1" t="str">
        <f>IFERROR(__xludf.DUMMYFUNCTION("CONCATENATE(GOOGLETRANSLATE(C253, ""en"", ""zh-cn""))
"),"花园树庭院露营吊床椅吊椅秋千棉流苏绳")</f>
        <v>花园树庭院露营吊床椅吊椅秋千棉流苏绳</v>
      </c>
      <c r="E253" s="1" t="str">
        <f>IFERROR(__xludf.DUMMYFUNCTION("CONCATENATE(GOOGLETRANSLATE(C253, ""en"", ""ko""))
"),"정원 나무 파티오 캠핑 해먹 의자 교수형 의자 스윙 코튼 태슬 로프")</f>
        <v>정원 나무 파티오 캠핑 해먹 의자 교수형 의자 스윙 코튼 태슬 로프</v>
      </c>
      <c r="F253" s="1" t="str">
        <f>IFERROR(__xludf.DUMMYFUNCTION("CONCATENATE(GOOGLETRANSLATE(C253, ""en"", ""ja""))"),"庭木パティオキャンプハンモックチェアハンギングチェアスイングコットンタッセルロープ")</f>
        <v>庭木パティオキャンプハンモックチェアハンギングチェアスイングコットンタッセルロープ</v>
      </c>
    </row>
    <row r="254" ht="15.75" customHeight="1">
      <c r="A254" s="1">
        <v>1719.0</v>
      </c>
      <c r="B254" s="1" t="s">
        <v>15</v>
      </c>
      <c r="C254" s="1" t="s">
        <v>243</v>
      </c>
      <c r="D254" s="1" t="str">
        <f>IFERROR(__xludf.DUMMYFUNCTION("CONCATENATE(GOOGLETRANSLATE(C254, ""en"", ""zh-cn""))
"),"硅胶方圆形家具脚帽桌椅腿垫地板保护垫防刮")</f>
        <v>硅胶方圆形家具脚帽桌椅腿垫地板保护垫防刮</v>
      </c>
      <c r="E254" s="1" t="str">
        <f>IFERROR(__xludf.DUMMYFUNCTION("CONCATENATE(GOOGLETRANSLATE(C254, ""en"", ""ko""))
"),"실리콘 사각 원형 가구 피트 캡 테이블 의자 다리 패드 긁힘 방지 바닥 보호대")</f>
        <v>실리콘 사각 원형 가구 피트 캡 테이블 의자 다리 패드 긁힘 방지 바닥 보호대</v>
      </c>
      <c r="F254" s="1" t="str">
        <f>IFERROR(__xludf.DUMMYFUNCTION("CONCATENATE(GOOGLETRANSLATE(C254, ""en"", ""ja""))"),"シリコーン正方形ラウンド家具足キャップテーブル椅子脚パッド床プロテクター傷防止")</f>
        <v>シリコーン正方形ラウンド家具足キャップテーブル椅子脚パッド床プロテクター傷防止</v>
      </c>
    </row>
    <row r="255" ht="15.75" customHeight="1">
      <c r="A255" s="1">
        <v>1720.0</v>
      </c>
      <c r="B255" s="1" t="s">
        <v>15</v>
      </c>
      <c r="C255" s="1" t="s">
        <v>244</v>
      </c>
      <c r="D255" s="1" t="str">
        <f>IFERROR(__xludf.DUMMYFUNCTION("CONCATENATE(GOOGLETRANSLATE(C255, ""en"", ""zh-cn""))
"),"儿童如厕训练座椅，带阶梯凳梯，适用于幼儿马桶椅")</f>
        <v>儿童如厕训练座椅，带阶梯凳梯，适用于幼儿马桶椅</v>
      </c>
      <c r="E255" s="1" t="str">
        <f>IFERROR(__xludf.DUMMYFUNCTION("CONCATENATE(GOOGLETRANSLATE(C255, ""en"", ""ko""))
"),"어린이 유아 변기 의자용 발판 사다리가 있는 어린이 변기 훈련 시트")</f>
        <v>어린이 유아 변기 의자용 발판 사다리가 있는 어린이 변기 훈련 시트</v>
      </c>
      <c r="F255" s="1" t="str">
        <f>IFERROR(__xludf.DUMMYFUNCTION("CONCATENATE(GOOGLETRANSLATE(C255, ""en"", ""ja""))"),"子供用トイレトレーニングシート ステップスツールはしご付き 子供幼児トイレチェア用")</f>
        <v>子供用トイレトレーニングシート ステップスツールはしご付き 子供幼児トイレチェア用</v>
      </c>
    </row>
    <row r="256" ht="15.75" customHeight="1">
      <c r="A256" s="1">
        <v>1721.0</v>
      </c>
      <c r="B256" s="1" t="s">
        <v>15</v>
      </c>
      <c r="C256" s="1" t="s">
        <v>245</v>
      </c>
      <c r="D256" s="1" t="str">
        <f>IFERROR(__xludf.DUMMYFUNCTION("CONCATENATE(GOOGLETRANSLATE(C256, ""en"", ""zh-cn""))
"),"复古墙架木绳秋千架婴儿儿童房间储物架装饰全新")</f>
        <v>复古墙架木绳秋千架婴儿儿童房间储物架装饰全新</v>
      </c>
      <c r="E256" s="1" t="str">
        <f>IFERROR(__xludf.DUMMYFUNCTION("CONCATENATE(GOOGLETRANSLATE(C256, ""en"", ""ko""))
"),"레트로 벽 선반 나무 로프 스윙 선반 아기 어린이 방 스토리지 홀더 장식 새로운")</f>
        <v>레트로 벽 선반 나무 로프 스윙 선반 아기 어린이 방 스토리지 홀더 장식 새로운</v>
      </c>
      <c r="F256" s="1" t="str">
        <f>IFERROR(__xludf.DUMMYFUNCTION("CONCATENATE(GOOGLETRANSLATE(C256, ""en"", ""ja""))"),"レトロな壁棚木製ロープスイング棚ベビーキッズルーム収納ホルダー装飾新しい")</f>
        <v>レトロな壁棚木製ロープスイング棚ベビーキッズルーム収納ホルダー装飾新しい</v>
      </c>
    </row>
    <row r="257" ht="15.75" customHeight="1">
      <c r="A257" s="1">
        <v>1722.0</v>
      </c>
      <c r="B257" s="1" t="s">
        <v>15</v>
      </c>
      <c r="C257" s="1" t="s">
        <v>246</v>
      </c>
      <c r="D257" s="1" t="str">
        <f>IFERROR(__xludf.DUMMYFUNCTION("CONCATENATE(GOOGLETRANSLATE(C257, ""en"", ""zh-cn""))
"),"天鹅绒弹力椅套椅子保护套套餐厅婚礼宴会派对家庭办公室装饰")</f>
        <v>天鹅绒弹力椅套椅子保护套套餐厅婚礼宴会派对家庭办公室装饰</v>
      </c>
      <c r="E257" s="1" t="str">
        <f>IFERROR(__xludf.DUMMYFUNCTION("CONCATENATE(GOOGLETRANSLATE(C257, ""en"", ""ko""))
"),"벨벳 스트레치 의자 커버 의자 보호대 슬리퍼 다이닝 룸 웨딩 연회 파티 홈 오피스 장식")</f>
        <v>벨벳 스트레치 의자 커버 의자 보호대 슬리퍼 다이닝 룸 웨딩 연회 파티 홈 오피스 장식</v>
      </c>
      <c r="F257" s="1" t="str">
        <f>IFERROR(__xludf.DUMMYFUNCTION("CONCATENATE(GOOGLETRANSLATE(C257, ""en"", ""ja""))"),"ベルベットストレッチ椅子カバー椅子プロテクタースリップカバーダイニングルーム結婚式宴会パーティーホームオフィス装飾用")</f>
        <v>ベルベットストレッチ椅子カバー椅子プロテクタースリップカバーダイニングルーム結婚式宴会パーティーホームオフィス装飾用</v>
      </c>
    </row>
    <row r="258" ht="15.75" customHeight="1">
      <c r="A258" s="1">
        <v>1723.0</v>
      </c>
      <c r="B258" s="1" t="s">
        <v>15</v>
      </c>
      <c r="C258" s="1" t="s">
        <v>247</v>
      </c>
      <c r="D258" s="1" t="str">
        <f>IFERROR(__xludf.DUMMYFUNCTION("CONCATENATE(GOOGLETRANSLATE(C258, ""en"", ""zh-cn""))
"),"木制电脑笔记本电脑桌现代桌子学习桌办公家具电脑工作站家庭办公室学习客厅")</f>
        <v>木制电脑笔记本电脑桌现代桌子学习桌办公家具电脑工作站家庭办公室学习客厅</v>
      </c>
      <c r="E258" s="1" t="str">
        <f>IFERROR(__xludf.DUMMYFUNCTION("CONCATENATE(GOOGLETRANSLATE(C258, ""en"", ""ko""))
"),"나무 컴퓨터 노트북 책상 현대 테이블 연구 책상 사무용 가구 홈 오피스 공부 거실을위한 PC 워크 스테이션")</f>
        <v>나무 컴퓨터 노트북 책상 현대 테이블 연구 책상 사무용 가구 홈 오피스 공부 거실을위한 PC 워크 스테이션</v>
      </c>
      <c r="F258" s="1" t="str">
        <f>IFERROR(__xludf.DUMMYFUNCTION("CONCATENATE(GOOGLETRANSLATE(C258, ""en"", ""ja""))"),"木製コンピュータラップトップデスクモダンテーブル学習机オフィス家具PCワークステーションホームオフィス学習リビングルーム")</f>
        <v>木製コンピュータラップトップデスクモダンテーブル学習机オフィス家具PCワークステーションホームオフィス学習リビングルーム</v>
      </c>
    </row>
    <row r="259" ht="15.75" customHeight="1">
      <c r="A259" s="1">
        <v>1724.0</v>
      </c>
      <c r="B259" s="1" t="s">
        <v>15</v>
      </c>
      <c r="C259" s="1" t="s">
        <v>248</v>
      </c>
      <c r="D259" s="1" t="str">
        <f>IFERROR(__xludf.DUMMYFUNCTION("CONCATENATE(GOOGLETRANSLATE(C259, ""en"", ""zh-cn""))
"),"3 件装自定型硅胶多用途建模修复裂缝修复形状修复橡皮泥工具")</f>
        <v>3 件装自定型硅胶多用途建模修复裂缝修复形状修复橡皮泥工具</v>
      </c>
      <c r="E259" s="1" t="str">
        <f>IFERROR(__xludf.DUMMYFUNCTION("CONCATENATE(GOOGLETRANSLATE(C259, ""en"", ""ko""))
"),"3Pcs 팩 자체 설정 실리콘 다목적 모델링 수리 균열 수정 양식 수리 Plasticine 도구")</f>
        <v>3Pcs 팩 자체 설정 실리콘 다목적 모델링 수리 균열 수정 양식 수리 Plasticine 도구</v>
      </c>
      <c r="F259" s="1" t="str">
        <f>IFERROR(__xludf.DUMMYFUNCTION("CONCATENATE(GOOGLETRANSLATE(C259, ""en"", ""ja""))"),"3 個パック自己設定シリコーン多目的モデリング修理亀裂修正フォーム修復粘土ツール")</f>
        <v>3 個パック自己設定シリコーン多目的モデリング修理亀裂修正フォーム修復粘土ツール</v>
      </c>
    </row>
    <row r="260" ht="15.75" customHeight="1">
      <c r="A260" s="1">
        <v>1725.0</v>
      </c>
      <c r="B260" s="1" t="s">
        <v>15</v>
      </c>
      <c r="C260" s="1" t="s">
        <v>249</v>
      </c>
      <c r="D260" s="1" t="str">
        <f>IFERROR(__xludf.DUMMYFUNCTION("CONCATENATE(GOOGLETRANSLATE(C260, ""en"", ""zh-cn""))
"),"10 件装 11 毫米 x 200 毫米彩色闪光热熔胶棒着色剂 DIY 工艺品修复模型胶棒")</f>
        <v>10 件装 11 毫米 x 200 毫米彩色闪光热熔胶棒着色剂 DIY 工艺品修复模型胶棒</v>
      </c>
      <c r="E260" s="1" t="str">
        <f>IFERROR(__xludf.DUMMYFUNCTION("CONCATENATE(GOOGLETRANSLATE(C260, ""en"", ""ko""))
"),"10Pcs 11mm x 200mm 다채로운 반짝이 핫멜트 접착제 스틱 착색제 DIY 공예 수리 모델 접착 스틱")</f>
        <v>10Pcs 11mm x 200mm 다채로운 반짝이 핫멜트 접착제 스틱 착색제 DIY 공예 수리 모델 접착 스틱</v>
      </c>
      <c r="F260" s="1" t="str">
        <f>IFERROR(__xludf.DUMMYFUNCTION("CONCATENATE(GOOGLETRANSLATE(C260, ""en"", ""ja""))"),"10 個 11 ミリメートル × 200 ミリメートルカラフルなグリッターホットメルト接着剤スティック着色剤 DIY 工芸品修理モデル粘着スティック")</f>
        <v>10 個 11 ミリメートル × 200 ミリメートルカラフルなグリッターホットメルト接着剤スティック着色剤 DIY 工芸品修理モデル粘着スティック</v>
      </c>
    </row>
    <row r="261" ht="15.75" customHeight="1">
      <c r="A261" s="1">
        <v>1726.0</v>
      </c>
      <c r="B261" s="1" t="s">
        <v>15</v>
      </c>
      <c r="C261" s="1" t="s">
        <v>250</v>
      </c>
      <c r="D261" s="1" t="str">
        <f>IFERROR(__xludf.DUMMYFUNCTION("CONCATENATE(GOOGLETRANSLATE(C261, ""en"", ""zh-cn""))
"),"古董黄铜三角阀浴室配件 G1/2 黄铜角截止阀填充阀方形")</f>
        <v>古董黄铜三角阀浴室配件 G1/2 黄铜角截止阀填充阀方形</v>
      </c>
      <c r="E261" s="1" t="str">
        <f>IFERROR(__xludf.DUMMYFUNCTION("CONCATENATE(GOOGLETRANSLATE(C261, ""en"", ""ko""))
"),"골동품 황동 삼각형 밸브 욕실 액세서리 G1/2 황동 앵글 스톱 밸브 필링 밸브 스퀘어 타입")</f>
        <v>골동품 황동 삼각형 밸브 욕실 액세서리 G1/2 황동 앵글 스톱 밸브 필링 밸브 스퀘어 타입</v>
      </c>
      <c r="F261" s="1" t="str">
        <f>IFERROR(__xludf.DUMMYFUNCTION("CONCATENATE(GOOGLETRANSLATE(C261, ""en"", ""ja""))"),"アンティーク真鍮三角バルブバスルームアクセサリー G1/2 真鍮アングルストップバルブ充填バルブ角型")</f>
        <v>アンティーク真鍮三角バルブバスルームアクセサリー G1/2 真鍮アングルストップバルブ充填バルブ角型</v>
      </c>
    </row>
    <row r="262" ht="15.75" customHeight="1">
      <c r="A262" s="1">
        <v>1727.0</v>
      </c>
      <c r="B262" s="1" t="s">
        <v>15</v>
      </c>
      <c r="C262" s="1" t="s">
        <v>251</v>
      </c>
      <c r="D262" s="1" t="str">
        <f>IFERROR(__xludf.DUMMYFUNCTION("CONCATENATE(GOOGLETRANSLATE(C262, ""en"", ""zh-cn""))
"),"丝绒收纳脚凳沙发脚凳脚凳化妆梳妆台凳子收纳盒长凳座椅椅子家用办公家具")</f>
        <v>丝绒收纳脚凳沙发脚凳脚凳化妆梳妆台凳子收纳盒长凳座椅椅子家用办公家具</v>
      </c>
      <c r="E262" s="1" t="str">
        <f>IFERROR(__xludf.DUMMYFUNCTION("CONCATENATE(GOOGLETRANSLATE(C262, ""en"", ""ko""))
"),"벨벳 보관 발판 소파 오토만 발판 메이크업 드레싱 테이블 의자 보관 상자 벤치 좌석 의자 홈 오피스 가구")</f>
        <v>벨벳 보관 발판 소파 오토만 발판 메이크업 드레싱 테이블 의자 보관 상자 벤치 좌석 의자 홈 오피스 가구</v>
      </c>
      <c r="F262" s="1" t="str">
        <f>IFERROR(__xludf.DUMMYFUNCTION("CONCATENATE(GOOGLETRANSLATE(C262, ""en"", ""ja""))"),"ベルベット収納フットスツールソファオットマンフットレスト化粧ドレッシングテーブルスツール収納ボックスベンチシートチェアホームオフィス家具")</f>
        <v>ベルベット収納フットスツールソファオットマンフットレスト化粧ドレッシングテーブルスツール収納ボックスベンチシートチェアホームオフィス家具</v>
      </c>
    </row>
    <row r="263" ht="15.75" customHeight="1">
      <c r="A263" s="1">
        <v>1728.0</v>
      </c>
      <c r="B263" s="1" t="s">
        <v>15</v>
      </c>
      <c r="C263" s="1" t="s">
        <v>252</v>
      </c>
      <c r="D263" s="1" t="str">
        <f>IFERROR(__xludf.DUMMYFUNCTION("CONCATENATE(GOOGLETRANSLATE(C263, ""en"", ""zh-cn""))
"),"高背椅垫防水沙发躺椅垫座椅靠背垫榻榻米垫适用于办公室家庭庭院后院花园")</f>
        <v>高背椅垫防水沙发躺椅垫座椅靠背垫榻榻米垫适用于办公室家庭庭院后院花园</v>
      </c>
      <c r="E263" s="1" t="str">
        <f>IFERROR(__xludf.DUMMYFUNCTION("CONCATENATE(GOOGLETRANSLATE(C263, ""en"", ""ko""))
"),"하이 백 의자 쿠션 방수 소파 안락 의자 의자 쿠션 시트 백 패드 다다미 매트 사무실 홈 파티오 뒷마당 정원")</f>
        <v>하이 백 의자 쿠션 방수 소파 안락 의자 의자 쿠션 시트 백 패드 다다미 매트 사무실 홈 파티오 뒷마당 정원</v>
      </c>
      <c r="F263" s="1" t="str">
        <f>IFERROR(__xludf.DUMMYFUNCTION("CONCATENATE(GOOGLETRANSLATE(C263, ""en"", ""ja""))"),"ハイバックチェアクッション防水ソファリクライニングチェアクッションシートバックパッド畳オフィスホームパティオ裏庭庭用")</f>
        <v>ハイバックチェアクッション防水ソファリクライニングチェアクッションシートバックパッド畳オフィスホームパティオ裏庭庭用</v>
      </c>
    </row>
    <row r="264" ht="15.75" customHeight="1">
      <c r="A264" s="1">
        <v>1729.0</v>
      </c>
      <c r="B264" s="1" t="s">
        <v>15</v>
      </c>
      <c r="C264" s="1" t="s">
        <v>253</v>
      </c>
      <c r="D264" s="1" t="str">
        <f>IFERROR(__xludf.DUMMYFUNCTION("CONCATENATE(GOOGLETRANSLATE(C264, ""en"", ""zh-cn""))
"),"高背椅座垫办公椅躺椅椅垫抱枕软沙发汽车座垫垫家用办公家具装饰品")</f>
        <v>高背椅座垫办公椅躺椅椅垫抱枕软沙发汽车座垫垫家用办公家具装饰品</v>
      </c>
      <c r="E264" s="1" t="str">
        <f>IFERROR(__xludf.DUMMYFUNCTION("CONCATENATE(GOOGLETRANSLATE(C264, ""en"", ""ko""))
"),"높은 뒤 의자 좌석 쿠션 사무실 의자 안락 의자 의자 패드 베개 부드러운 소파 자동차 좌석 쿠션 매트 홈 오피스 가구 장식")</f>
        <v>높은 뒤 의자 좌석 쿠션 사무실 의자 안락 의자 의자 패드 베개 부드러운 소파 자동차 좌석 쿠션 매트 홈 오피스 가구 장식</v>
      </c>
      <c r="F264" s="1" t="str">
        <f>IFERROR(__xludf.DUMMYFUNCTION("CONCATENATE(GOOGLETRANSLATE(C264, ""en"", ""ja""))"),"ハイバックチェアシートクッションオフィスチェアリクライニングチェアパッド枕ソフトソファカーシートクッションマットホームオフィス家具装飾")</f>
        <v>ハイバックチェアシートクッションオフィスチェアリクライニングチェアパッド枕ソフトソファカーシートクッションマットホームオフィス家具装飾</v>
      </c>
    </row>
    <row r="265" ht="15.75" customHeight="1">
      <c r="A265" s="1">
        <v>1730.0</v>
      </c>
      <c r="B265" s="1" t="s">
        <v>15</v>
      </c>
      <c r="C265" s="1" t="s">
        <v>254</v>
      </c>
      <c r="D265" s="1" t="str">
        <f>IFERROR(__xludf.DUMMYFUNCTION("CONCATENATE(GOOGLETRANSLATE(C265, ""en"", ""zh-cn""))
"),"婴儿幼儿如厕训练器如厕带可调节梯子安全座椅椅子台阶")</f>
        <v>婴儿幼儿如厕训练器如厕带可调节梯子安全座椅椅子台阶</v>
      </c>
      <c r="E265" s="1" t="str">
        <f>IFERROR(__xludf.DUMMYFUNCTION("CONCATENATE(GOOGLETRANSLATE(C265, ""en"", ""ko""))
"),"조절 가능한 사다리 안전 좌석 의자 단계가 포함된 유아용 화장실 트레이너 변기")</f>
        <v>조절 가능한 사다리 안전 좌석 의자 단계가 포함된 유아용 화장실 트레이너 변기</v>
      </c>
      <c r="F265" s="1" t="str">
        <f>IFERROR(__xludf.DUMMYFUNCTION("CONCATENATE(GOOGLETRANSLATE(C265, ""en"", ""ja""))"),"調節可能なはしご安全シートチェアステップ付きベビー幼児トイレトレーナートイレ")</f>
        <v>調節可能なはしご安全シートチェアステップ付きベビー幼児トイレトレーナートイレ</v>
      </c>
    </row>
    <row r="266" ht="15.75" customHeight="1">
      <c r="A266" s="1">
        <v>1731.0</v>
      </c>
      <c r="B266" s="1" t="s">
        <v>15</v>
      </c>
      <c r="C266" s="1" t="s">
        <v>255</v>
      </c>
      <c r="D266" s="1" t="str">
        <f>IFERROR(__xludf.DUMMYFUNCTION("CONCATENATE(GOOGLETRANSLATE(C266, ""en"", ""zh-cn""))
"),"YOUHUA 2006 5/6 层花卉植物架室内金属盆栽展示架")</f>
        <v>YOUHUA 2006 5/6 层花卉植物架室内金属盆栽展示架</v>
      </c>
      <c r="E266" s="1" t="str">
        <f>IFERROR(__xludf.DUMMYFUNCTION("CONCATENATE(GOOGLETRANSLATE(C266, ""en"", ""ko""))
"),"YOUHUA 2006 5/6층 꽃 식물 스탠드 실내 금속 화분 스탠드 디스플레이")</f>
        <v>YOUHUA 2006 5/6층 꽃 식물 스탠드 실내 금속 화분 스탠드 디스플레이</v>
      </c>
      <c r="F266" s="1" t="str">
        <f>IFERROR(__xludf.DUMMYFUNCTION("CONCATENATE(GOOGLETRANSLATE(C266, ""en"", ""ja""))"),"YOUHUA 2006 5/6 段花植物スタンド屋内金属ポットスタンダーディスプレイ")</f>
        <v>YOUHUA 2006 5/6 段花植物スタンド屋内金属ポットスタンダーディスプレイ</v>
      </c>
    </row>
    <row r="267" ht="15.75" customHeight="1">
      <c r="A267" s="1">
        <v>1732.0</v>
      </c>
      <c r="B267" s="1" t="s">
        <v>15</v>
      </c>
      <c r="C267" s="1" t="s">
        <v>256</v>
      </c>
      <c r="D267" s="1" t="str">
        <f>IFERROR(__xludf.DUMMYFUNCTION("CONCATENATE(GOOGLETRANSLATE(C267, ""en"", ""zh-cn""))
"),"3/4 层储物架家用浴室淋浴架厨房浴室支架收纳架")</f>
        <v>3/4 层储物架家用浴室淋浴架厨房浴室支架收纳架</v>
      </c>
      <c r="E267" s="1" t="str">
        <f>IFERROR(__xludf.DUMMYFUNCTION("CONCATENATE(GOOGLETRANSLATE(C267, ""en"", ""ko""))
"),"3/4 레이어 스토리지 랙 홈 욕실 샤워 선반 주방 목욕 홀더 주최자")</f>
        <v>3/4 레이어 스토리지 랙 홈 욕실 샤워 선반 주방 목욕 홀더 주최자</v>
      </c>
      <c r="F267" s="1" t="str">
        <f>IFERROR(__xludf.DUMMYFUNCTION("CONCATENATE(GOOGLETRANSLATE(C267, ""en"", ""ja""))"),"3/4 層収納ラックホームバスルームのシャワー棚キッチンバスホルダーオーガナイザー")</f>
        <v>3/4 層収納ラックホームバスルームのシャワー棚キッチンバスホルダーオーガナイザー</v>
      </c>
    </row>
    <row r="268" ht="15.75" customHeight="1">
      <c r="A268" s="1">
        <v>1733.0</v>
      </c>
      <c r="B268" s="1" t="s">
        <v>15</v>
      </c>
      <c r="C268" s="1" t="s">
        <v>257</v>
      </c>
      <c r="D268" s="1" t="str">
        <f>IFERROR(__xludf.DUMMYFUNCTION("CONCATENATE(GOOGLETRANSLATE(C268, ""en"", ""zh-cn""))
"),"卧室浴室门圆形杠杆手柄旋钮锁不锈钢")</f>
        <v>卧室浴室门圆形杠杆手柄旋钮锁不锈钢</v>
      </c>
      <c r="E268" s="1" t="str">
        <f>IFERROR(__xludf.DUMMYFUNCTION("CONCATENATE(GOOGLETRANSLATE(C268, ""en"", ""ko""))
"),"침실 욕실 문 원형 레버 손잡이 손잡이 잠금 장치 스테인레스 스틸")</f>
        <v>침실 욕실 문 원형 레버 손잡이 손잡이 잠금 장치 스테인레스 스틸</v>
      </c>
      <c r="F268" s="1" t="str">
        <f>IFERROR(__xludf.DUMMYFUNCTION("CONCATENATE(GOOGLETRANSLATE(C268, ""en"", ""ja""))"),"寝室の浴室のドアラウンドレバーハンドルノブロックステンレス鋼")</f>
        <v>寝室の浴室のドアラウンドレバーハンドルノブロックステンレス鋼</v>
      </c>
    </row>
    <row r="269" ht="15.75" customHeight="1">
      <c r="A269" s="1">
        <v>1734.0</v>
      </c>
      <c r="B269" s="1" t="s">
        <v>15</v>
      </c>
      <c r="C269" s="1" t="s">
        <v>258</v>
      </c>
      <c r="D269" s="1" t="str">
        <f>IFERROR(__xludf.DUMMYFUNCTION("CONCATENATE(GOOGLETRANSLATE(C269, ""en"", ""zh-cn""))
"),"USB电脑桌多功能便携式床上电脑桌懒人可折叠懒人笔记本电脑桌家庭办公宿舍")</f>
        <v>USB电脑桌多功能便携式床上电脑桌懒人可折叠懒人笔记本电脑桌家庭办公宿舍</v>
      </c>
      <c r="E269" s="1" t="str">
        <f>IFERROR(__xludf.DUMMYFUNCTION("CONCATENATE(GOOGLETRANSLATE(C269, ""en"", ""ko""))
"),"USB 컴퓨터 책상 다기능 휴대용 침대 컴퓨터 책상 홈 오피스 기숙사를위한 게으른 접이식 게으른 노트북 테이블")</f>
        <v>USB 컴퓨터 책상 다기능 휴대용 침대 컴퓨터 책상 홈 오피스 기숙사를위한 게으른 접이식 게으른 노트북 테이블</v>
      </c>
      <c r="F269" s="1" t="str">
        <f>IFERROR(__xludf.DUMMYFUNCTION("CONCATENATE(GOOGLETRANSLATE(C269, ""en"", ""ja""))"),"USBコンピュータデスク多機能ポータブルベッドコンピュータデスク怠惰な折りたたみ式怠惰なラップトップテーブルホームオフィス寮用")</f>
        <v>USBコンピュータデスク多機能ポータブルベッドコンピュータデスク怠惰な折りたたみ式怠惰なラップトップテーブルホームオフィス寮用</v>
      </c>
    </row>
    <row r="270" ht="15.75" customHeight="1">
      <c r="A270" s="1">
        <v>1735.0</v>
      </c>
      <c r="B270" s="1" t="s">
        <v>15</v>
      </c>
      <c r="C270" s="1" t="s">
        <v>259</v>
      </c>
      <c r="D270" s="1" t="str">
        <f>IFERROR(__xludf.DUMMYFUNCTION("CONCATENATE(GOOGLETRANSLATE(C270, ""en"", ""zh-cn""))
"),"可调节笔记本电脑桌可移动床头柜书写小书桌升降桌家庭宿舍移动床头柜")</f>
        <v>可调节笔记本电脑桌可移动床头柜书写小书桌升降桌家庭宿舍移动床头柜</v>
      </c>
      <c r="E270" s="1" t="str">
        <f>IFERROR(__xludf.DUMMYFUNCTION("CONCATENATE(GOOGLETRANSLATE(C270, ""en"", ""ko""))
"),"조정 가능한 노트북 책상 이동식 침대 책상 쓰기 작은 책상 리프팅 책상 홈 기숙사 용 모바일 침대 옆 테이블")</f>
        <v>조정 가능한 노트북 책상 이동식 침대 책상 쓰기 작은 책상 리프팅 책상 홈 기숙사 용 모바일 침대 옆 테이블</v>
      </c>
      <c r="F270" s="1" t="str">
        <f>IFERROR(__xludf.DUMMYFUNCTION("CONCATENATE(GOOGLETRANSLATE(C270, ""en"", ""ja""))"),"調節可能なラップトップデスク可動ベッドデスクライティング小型デスクリフティングデスクモバイルベッドサイドテーブル自宅寮用")</f>
        <v>調節可能なラップトップデスク可動ベッドデスクライティング小型デスクリフティングデスクモバイルベッドサイドテーブル自宅寮用</v>
      </c>
    </row>
    <row r="271" ht="15.75" customHeight="1">
      <c r="A271" s="1">
        <v>1736.0</v>
      </c>
      <c r="B271" s="1" t="s">
        <v>15</v>
      </c>
      <c r="C271" s="1" t="s">
        <v>260</v>
      </c>
      <c r="D271" s="1" t="str">
        <f>IFERROR(__xludf.DUMMYFUNCTION("CONCATENATE(GOOGLETRANSLATE(C271, ""en"", ""zh-cn""))
"),"12 件装防滑握把防滑浴缸安全贴纸淋浴地板")</f>
        <v>12 件装防滑握把防滑浴缸安全贴纸淋浴地板</v>
      </c>
      <c r="E271" s="1" t="str">
        <f>IFERROR(__xludf.DUMMYFUNCTION("CONCATENATE(GOOGLETRANSLATE(C271, ""en"", ""ko""))
"),"12개 미끄럼 방지 그립 스트립 미끄럼 방지 욕조 안전 스티커 샤워 바닥")</f>
        <v>12개 미끄럼 방지 그립 스트립 미끄럼 방지 욕조 안전 스티커 샤워 바닥</v>
      </c>
      <c r="F271" s="1" t="str">
        <f>IFERROR(__xludf.DUMMYFUNCTION("CONCATENATE(GOOGLETRANSLATE(C271, ""en"", ""ja""))"),"12 個の滑り止めグリップストリップ滑り止め浴槽安全ステッカーシャワーフロア")</f>
        <v>12 個の滑り止めグリップストリップ滑り止め浴槽安全ステッカーシャワーフロア</v>
      </c>
    </row>
    <row r="272" ht="15.75" customHeight="1">
      <c r="A272" s="1">
        <v>1737.0</v>
      </c>
      <c r="B272" s="1" t="s">
        <v>15</v>
      </c>
      <c r="C272" s="1" t="s">
        <v>261</v>
      </c>
      <c r="D272" s="1" t="str">
        <f>IFERROR(__xludf.DUMMYFUNCTION("CONCATENATE(GOOGLETRANSLATE(C272, ""en"", ""zh-cn""))
"),"2 合 1 可折叠便携式婴儿床和背包婴儿床儿童房旅行床蚊子")</f>
        <v>2 合 1 可折叠便携式婴儿床和背包婴儿床儿童房旅行床蚊子</v>
      </c>
      <c r="E272" s="1" t="str">
        <f>IFERROR(__xludf.DUMMYFUNCTION("CONCATENATE(GOOGLETRANSLATE(C272, ""en"", ""ko""))
"),"2 IN 1 접이식 휴대용 아기 침대 및 배낭 유아용 침대 보육 여행용 침대 모기")</f>
        <v>2 IN 1 접이식 휴대용 아기 침대 및 배낭 유아용 침대 보육 여행용 침대 모기</v>
      </c>
      <c r="F272" s="1" t="str">
        <f>IFERROR(__xludf.DUMMYFUNCTION("CONCATENATE(GOOGLETRANSLATE(C272, ""en"", ""ja""))"),"2 IN 1 折りたたみ式ポータブルベビーベッド &amp; バックパックベビーベッド保育園旅行用ベビーベッド蚊")</f>
        <v>2 IN 1 折りたたみ式ポータブルベビーベッド &amp; バックパックベビーベッド保育園旅行用ベビーベッド蚊</v>
      </c>
    </row>
    <row r="273" ht="15.75" customHeight="1">
      <c r="A273" s="1">
        <v>1738.0</v>
      </c>
      <c r="B273" s="1" t="s">
        <v>15</v>
      </c>
      <c r="C273" s="1" t="s">
        <v>262</v>
      </c>
      <c r="D273" s="1" t="str">
        <f>IFERROR(__xludf.DUMMYFUNCTION("CONCATENATE(GOOGLETRANSLATE(C273, ""en"", ""zh-cn""))
"),"厨房排水管储物架水槽海绵洗碗巾收纳架布架架子")</f>
        <v>厨房排水管储物架水槽海绵洗碗巾收纳架布架架子</v>
      </c>
      <c r="E273" s="1" t="str">
        <f>IFERROR(__xludf.DUMMYFUNCTION("CONCATENATE(GOOGLETRANSLATE(C273, ""en"", ""ko""))
"),"주방 배수 보관함 싱크대 스폰지 접시 수건 정리 천 홀더 선반")</f>
        <v>주방 배수 보관함 싱크대 스폰지 접시 수건 정리 천 홀더 선반</v>
      </c>
      <c r="F273" s="1" t="str">
        <f>IFERROR(__xludf.DUMMYFUNCTION("CONCATENATE(GOOGLETRANSLATE(C273, ""en"", ""ja""))"),"キッチン排水管収納ラックシンクスポンジディッシュタオルオーガナイザー布ホルダー棚")</f>
        <v>キッチン排水管収納ラックシンクスポンジディッシュタオルオーガナイザー布ホルダー棚</v>
      </c>
    </row>
    <row r="274" ht="15.75" customHeight="1">
      <c r="A274" s="1">
        <v>1739.0</v>
      </c>
      <c r="B274" s="1" t="s">
        <v>15</v>
      </c>
      <c r="C274" s="1" t="s">
        <v>263</v>
      </c>
      <c r="D274" s="1" t="str">
        <f>IFERROR(__xludf.DUMMYFUNCTION("CONCATENATE(GOOGLETRANSLATE(C274, ""en"", ""zh-cn""))
"),"MUMAREN ZJBGZWJ 壁挂式储物架质朴浮动地幔书架家居装饰")</f>
        <v>MUMAREN ZJBGZWJ 壁挂式储物架质朴浮动地幔书架家居装饰</v>
      </c>
      <c r="E274" s="1" t="str">
        <f>IFERROR(__xludf.DUMMYFUNCTION("CONCATENATE(GOOGLETRANSLATE(C274, ""en"", ""ko""))
"),"MUMAREN ZJBGZWJ 벽걸이형 보관 선반 소박한 플로팅 맨틀 책장 홈 장식")</f>
        <v>MUMAREN ZJBGZWJ 벽걸이형 보관 선반 소박한 플로팅 맨틀 책장 홈 장식</v>
      </c>
      <c r="F274" s="1" t="str">
        <f>IFERROR(__xludf.DUMMYFUNCTION("CONCATENATE(GOOGLETRANSLATE(C274, ""en"", ""ja""))"),"MUMAREN ZJBGZWJ 壁掛け収納棚素朴なフローティングマントル本棚家の装飾")</f>
        <v>MUMAREN ZJBGZWJ 壁掛け収納棚素朴なフローティングマントル本棚家の装飾</v>
      </c>
    </row>
    <row r="275" ht="15.75" customHeight="1">
      <c r="A275" s="1">
        <v>1740.0</v>
      </c>
      <c r="B275" s="1" t="s">
        <v>15</v>
      </c>
      <c r="C275" s="1" t="s">
        <v>264</v>
      </c>
      <c r="D275" s="1" t="str">
        <f>IFERROR(__xludf.DUMMYFUNCTION("CONCATENATE(GOOGLETRANSLATE(C275, ""en"", ""zh-cn""))
"),"壁挂式收纳架儿童房装饰置物架粉色黄色紫色")</f>
        <v>壁挂式收纳架儿童房装饰置物架粉色黄色紫色</v>
      </c>
      <c r="E275" s="1" t="str">
        <f>IFERROR(__xludf.DUMMYFUNCTION("CONCATENATE(GOOGLETRANSLATE(C275, ""en"", ""ko""))
"),"잘 고정된 저장 선반 아이들 방 장식적인 선반 분홍색 노란 자주색")</f>
        <v>잘 고정된 저장 선반 아이들 방 장식적인 선반 분홍색 노란 자주색</v>
      </c>
      <c r="F275" s="1" t="str">
        <f>IFERROR(__xludf.DUMMYFUNCTION("CONCATENATE(GOOGLETRANSLATE(C275, ""en"", ""ja""))"),"壁掛け収納ラック子供部屋装飾棚ピンクイエローパープル")</f>
        <v>壁掛け収納ラック子供部屋装飾棚ピンクイエローパープル</v>
      </c>
    </row>
    <row r="276" ht="15.75" customHeight="1">
      <c r="A276" s="1">
        <v>1741.0</v>
      </c>
      <c r="B276" s="1" t="s">
        <v>15</v>
      </c>
      <c r="C276" s="1" t="s">
        <v>265</v>
      </c>
      <c r="D276" s="1" t="str">
        <f>IFERROR(__xludf.DUMMYFUNCTION("CONCATENATE(GOOGLETRANSLATE(C276, ""en"", ""zh-cn""))
"),"1/2/3 座弹性毛绒沙发套通用加厚纯色沙发椅座椅保护套弹力沙发套家用办公家具装饰")</f>
        <v>1/2/3 座弹性毛绒沙发套通用加厚纯色沙发椅座椅保护套弹力沙发套家用办公家具装饰</v>
      </c>
      <c r="E276" s="1" t="str">
        <f>IFERROR(__xludf.DUMMYFUNCTION("CONCATENATE(GOOGLETRANSLATE(C276, ""en"", ""ko""))
"),"1/2/3 Seaters 탄성 플러시 소파 커버 유니버설 두꺼운 순수 컬러 소파 의자 좌석 보호대 스트레치 슬립 커버 소파 케이스 홈 오피스 가구 장식")</f>
        <v>1/2/3 Seaters 탄성 플러시 소파 커버 유니버설 두꺼운 순수 컬러 소파 의자 좌석 보호대 스트레치 슬립 커버 소파 케이스 홈 오피스 가구 장식</v>
      </c>
      <c r="F276" s="1" t="str">
        <f>IFERROR(__xludf.DUMMYFUNCTION("CONCATENATE(GOOGLETRANSLATE(C276, ""en"", ""ja""))"),"1/2/3 人乗り弾性ぬいぐるみソファカバーユニバーサル厚い純粋な色のソファ椅子シートプロテクターストレッチスリップカバーソファケースホームオフィス家具装飾")</f>
        <v>1/2/3 人乗り弾性ぬいぐるみソファカバーユニバーサル厚い純粋な色のソファ椅子シートプロテクターストレッチスリップカバーソファケースホームオフィス家具装飾</v>
      </c>
    </row>
    <row r="277" ht="15.75" customHeight="1">
      <c r="A277" s="1">
        <v>1742.0</v>
      </c>
      <c r="B277" s="1" t="s">
        <v>15</v>
      </c>
      <c r="C277" s="1" t="s">
        <v>266</v>
      </c>
      <c r="D277" s="1" t="str">
        <f>IFERROR(__xludf.DUMMYFUNCTION("CONCATENATE(GOOGLETRANSLATE(C277, ""en"", ""zh-cn""))
"),"1/3/5m 25/45mm 通用实用汽车成型装饰条汽车防撞条防刮花")</f>
        <v>1/3/5m 25/45mm 通用实用汽车成型装饰条汽车防撞条防刮花</v>
      </c>
      <c r="E277" s="1" t="str">
        <f>IFERROR(__xludf.DUMMYFUNCTION("CONCATENATE(GOOGLETRANSLATE(C277, ""en"", ""ko""))
"),"1/3/5m 25/45mm 범용 실용 자동 몰딩 트림 자동차 충돌 방지 스트립 스크래치")</f>
        <v>1/3/5m 25/45mm 범용 실용 자동 몰딩 트림 자동차 충돌 방지 스트립 스크래치</v>
      </c>
      <c r="F277" s="1" t="str">
        <f>IFERROR(__xludf.DUMMYFUNCTION("CONCATENATE(GOOGLETRANSLATE(C277, ""en"", ""ja""))"),"1/3/5 メートル 25/45 ミリメートルユニバーサル実用的な自動成形トリム車衝突防止ストリップスクラッチ")</f>
        <v>1/3/5 メートル 25/45 ミリメートルユニバーサル実用的な自動成形トリム車衝突防止ストリップスクラッチ</v>
      </c>
    </row>
    <row r="278" ht="15.75" customHeight="1">
      <c r="A278" s="1">
        <v>1743.0</v>
      </c>
      <c r="B278" s="1" t="s">
        <v>15</v>
      </c>
      <c r="C278" s="1" t="s">
        <v>267</v>
      </c>
      <c r="D278" s="1" t="str">
        <f>IFERROR(__xludf.DUMMYFUNCTION("CONCATENATE(GOOGLETRANSLATE(C278, ""en"", ""zh-cn""))
"),"浴室厨房止水条分隔硅胶隔断条高度30MM")</f>
        <v>浴室厨房止水条分隔硅胶隔断条高度30MM</v>
      </c>
      <c r="E278" s="1" t="str">
        <f>IFERROR(__xludf.DUMMYFUNCTION("CONCATENATE(GOOGLETRANSLATE(C278, ""en"", ""ko""))
"),"욕실 주방 워터 스토퍼 분리 실리콘 파티션 스트립 높이 30MM")</f>
        <v>욕실 주방 워터 스토퍼 분리 실리콘 파티션 스트립 높이 30MM</v>
      </c>
      <c r="F278" s="1" t="str">
        <f>IFERROR(__xludf.DUMMYFUNCTION("CONCATENATE(GOOGLETRANSLATE(C278, ""en"", ""ja""))"),"浴室のキッチン止水栓分離シリコーンパーティションストリップ高さ30MM")</f>
        <v>浴室のキッチン止水栓分離シリコーンパーティションストリップ高さ30MM</v>
      </c>
    </row>
    <row r="279" ht="15.75" customHeight="1">
      <c r="A279" s="1">
        <v>1744.0</v>
      </c>
      <c r="B279" s="1" t="s">
        <v>15</v>
      </c>
      <c r="C279" s="1" t="s">
        <v>268</v>
      </c>
      <c r="D279" s="1" t="str">
        <f>IFERROR(__xludf.DUMMYFUNCTION("CONCATENATE(GOOGLETRANSLATE(C279, ""en"", ""zh-cn""))
"),"Suleve通用水龙头加长器1080度旋转延长器防溅过滤起泡器旋转网嘴防溅头双模式水龙头延长器浴室厨房节水装置")</f>
        <v>Suleve通用水龙头加长器1080度旋转延长器防溅过滤起泡器旋转网嘴防溅头双模式水龙头延长器浴室厨房节水装置</v>
      </c>
      <c r="E279" s="1" t="str">
        <f>IFERROR(__xludf.DUMMYFUNCTION("CONCATENATE(GOOGLETRANSLATE(C279, ""en"", ""ko""))
"),"Suleve 범용 ​​수도꼭지 Areaator 1080도 회전 익스텐더 스플래시 필터 버블러 회전 메쉬 입 안티 스플래시 헤드 욕실 주방을 위한 듀얼 모드 수도꼭지 익스텐더 물 절약 장치")</f>
        <v>Suleve 범용 ​​수도꼭지 Areaator 1080도 회전 익스텐더 스플래시 필터 버블러 회전 메쉬 입 안티 스플래시 헤드 욕실 주방을 위한 듀얼 모드 수도꼭지 익스텐더 물 절약 장치</v>
      </c>
      <c r="F279" s="1" t="str">
        <f>IFERROR(__xludf.DUMMYFUNCTION("CONCATENATE(GOOGLETRANSLATE(C279, ""en"", ""ja""))"),"Suleve ユニバーサル蛇口エリアター 1080 度回転エクステンダー スプラッシュフィルターバブラー回転メッシュ口アンチスプラッシュヘッドデュアルモード蛇口エクステンダー節水装置浴室キッチン用")</f>
        <v>Suleve ユニバーサル蛇口エリアター 1080 度回転エクステンダー スプラッシュフィルターバブラー回転メッシュ口アンチスプラッシュヘッドデュアルモード蛇口エクステンダー節水装置浴室キッチン用</v>
      </c>
    </row>
    <row r="280" ht="15.75" customHeight="1">
      <c r="A280" s="1">
        <v>1745.0</v>
      </c>
      <c r="B280" s="1" t="s">
        <v>15</v>
      </c>
      <c r="C280" s="1" t="s">
        <v>269</v>
      </c>
      <c r="D280" s="1" t="str">
        <f>IFERROR(__xludf.DUMMYFUNCTION("CONCATENATE(GOOGLETRANSLATE(C280, ""en"", ""zh-cn""))
"),"索尔诺 Z674 4 层储物架铁艺浴室厨房置物架白色/棕色")</f>
        <v>索尔诺 Z674 4 层储物架铁艺浴室厨房置物架白色/棕色</v>
      </c>
      <c r="E280" s="1" t="str">
        <f>IFERROR(__xludf.DUMMYFUNCTION("CONCATENATE(GOOGLETRANSLATE(C280, ""en"", ""ko""))
"),"SUOERNUO Z674 4겹 스토리지 랙 단철 욕실 주방 선반 화이트/브라운")</f>
        <v>SUOERNUO Z674 4겹 스토리지 랙 단철 욕실 주방 선반 화이트/브라운</v>
      </c>
      <c r="F280" s="1" t="str">
        <f>IFERROR(__xludf.DUMMYFUNCTION("CONCATENATE(GOOGLETRANSLATE(C280, ""en"", ""ja""))"),"SUOERNUO Z674 4層収納ラック錬鉄製バスルームキッチンシェルフホワイト/ブラウン")</f>
        <v>SUOERNUO Z674 4層収納ラック錬鉄製バスルームキッチンシェルフホワイト/ブラウン</v>
      </c>
    </row>
    <row r="281" ht="15.75" customHeight="1">
      <c r="A281" s="1">
        <v>1746.0</v>
      </c>
      <c r="B281" s="1" t="s">
        <v>15</v>
      </c>
      <c r="C281" s="1" t="s">
        <v>270</v>
      </c>
      <c r="D281" s="1" t="str">
        <f>IFERROR(__xludf.DUMMYFUNCTION("CONCATENATE(GOOGLETRANSLATE(C281, ""en"", ""zh-cn""))
"),"洗衣机上方 2 层浴室储物架卫生间落地架")</f>
        <v>洗衣机上方 2 层浴室储物架卫生间落地架</v>
      </c>
      <c r="E281" s="1" t="str">
        <f>IFERROR(__xludf.DUMMYFUNCTION("CONCATENATE(GOOGLETRANSLATE(C281, ""en"", ""ko""))
"),"세탁기 화장실 바닥 스탠딩 랙 위의 2단 욕실 보관 선반")</f>
        <v>세탁기 화장실 바닥 스탠딩 랙 위의 2단 욕실 보관 선반</v>
      </c>
      <c r="F281" s="1" t="str">
        <f>IFERROR(__xludf.DUMMYFUNCTION("CONCATENATE(GOOGLETRANSLATE(C281, ""en"", ""ja""))"),"2段バスルーム収納棚洗濯機トイレ床置きラックの上")</f>
        <v>2段バスルーム収納棚洗濯機トイレ床置きラックの上</v>
      </c>
    </row>
    <row r="282" ht="15.75" customHeight="1">
      <c r="A282" s="1">
        <v>1747.0</v>
      </c>
      <c r="B282" s="1" t="s">
        <v>15</v>
      </c>
      <c r="C282" s="1" t="s">
        <v>271</v>
      </c>
      <c r="D282" s="1" t="str">
        <f>IFERROR(__xludf.DUMMYFUNCTION("CONCATENATE(GOOGLETRANSLATE(C282, ""en"", ""zh-cn""))
"),"2 层厨房/浴室储物架独立式搁板节省空间")</f>
        <v>2 层厨房/浴室储物架独立式搁板节省空间</v>
      </c>
      <c r="E282" s="1" t="str">
        <f>IFERROR(__xludf.DUMMYFUNCTION("CONCATENATE(GOOGLETRANSLATE(C282, ""en"", ""ko""))
"),"2단 주방/욕실 보관함 독립형 선반 공간 절약")</f>
        <v>2단 주방/욕실 보관함 독립형 선반 공간 절약</v>
      </c>
      <c r="F282" s="1" t="str">
        <f>IFERROR(__xludf.DUMMYFUNCTION("CONCATENATE(GOOGLETRANSLATE(C282, ""en"", ""ja""))"),"2段キッチン/バスルーム収納ラック自立棚スペースを節約")</f>
        <v>2段キッチン/バスルーム収納ラック自立棚スペースを節約</v>
      </c>
    </row>
    <row r="283" ht="15.75" customHeight="1">
      <c r="A283" s="1">
        <v>1748.0</v>
      </c>
      <c r="B283" s="1" t="s">
        <v>15</v>
      </c>
      <c r="C283" s="1" t="s">
        <v>272</v>
      </c>
      <c r="D283" s="1" t="str">
        <f>IFERROR(__xludf.DUMMYFUNCTION("CONCATENATE(GOOGLETRANSLATE(C283, ""en"", ""zh-cn""))
"),"化妆品收纳盒 360° 旋转化妆盒储物旋转架案例")</f>
        <v>化妆品收纳盒 360° 旋转化妆盒储物旋转架案例</v>
      </c>
      <c r="E283" s="1" t="str">
        <f>IFERROR(__xludf.DUMMYFUNCTION("CONCATENATE(GOOGLETRANSLATE(C283, ""en"", ""ko""))
"),"화장품 정리함 360° 회전 메이크업 상자 보관함 회전 랙 케이스")</f>
        <v>화장품 정리함 360° 회전 메이크업 상자 보관함 회전 랙 케이스</v>
      </c>
      <c r="F283" s="1" t="str">
        <f>IFERROR(__xludf.DUMMYFUNCTION("CONCATENATE(GOOGLETRANSLATE(C283, ""en"", ""ja""))"),"化粧品オーガナイザー 360 度回転メイクボックス収納スピニングラックケース")</f>
        <v>化粧品オーガナイザー 360 度回転メイクボックス収納スピニングラックケース</v>
      </c>
    </row>
    <row r="284" ht="15.75" customHeight="1">
      <c r="A284" s="1">
        <v>1749.0</v>
      </c>
      <c r="B284" s="1" t="s">
        <v>15</v>
      </c>
      <c r="C284" s="1" t="s">
        <v>273</v>
      </c>
      <c r="D284" s="1" t="str">
        <f>IFERROR(__xludf.DUMMYFUNCTION("CONCATENATE(GOOGLETRANSLATE(C284, ""en"", ""zh-cn""))
"),"4 层储物柜洗衣柜什锦架子抽屉办公室家用")</f>
        <v>4 层储物柜洗衣柜什锦架子抽屉办公室家用</v>
      </c>
      <c r="E284" s="1" t="str">
        <f>IFERROR(__xludf.DUMMYFUNCTION("CONCATENATE(GOOGLETRANSLATE(C284, ""en"", ""ko""))
"),"4단 수납 캐비닛 세탁 찬장 다양한 선반 서랍 사무실 홈")</f>
        <v>4단 수납 캐비닛 세탁 찬장 다양한 선반 서랍 사무실 홈</v>
      </c>
      <c r="F284" s="1" t="str">
        <f>IFERROR(__xludf.DUMMYFUNCTION("CONCATENATE(GOOGLETRANSLATE(C284, ""en"", ""ja""))"),"4段収納キャビネット ランドリー食器棚 各種棚 引き出し オフィス ホーム")</f>
        <v>4段収納キャビネット ランドリー食器棚 各種棚 引き出し オフィス ホーム</v>
      </c>
    </row>
    <row r="285" ht="15.75" customHeight="1">
      <c r="A285" s="1">
        <v>1750.0</v>
      </c>
      <c r="B285" s="1" t="s">
        <v>15</v>
      </c>
      <c r="C285" s="1" t="s">
        <v>274</v>
      </c>
      <c r="D285" s="1" t="str">
        <f>IFERROR(__xludf.DUMMYFUNCTION("CONCATENATE(GOOGLETRANSLATE(C285, ""en"", ""zh-cn""))
"),"5 抽屉美发沙龙美容水疗美发师收纳车推车滚动理发师")</f>
        <v>5 抽屉美发沙龙美容水疗美发师收纳车推车滚动理发师</v>
      </c>
      <c r="E285" s="1" t="str">
        <f>IFERROR(__xludf.DUMMYFUNCTION("CONCATENATE(GOOGLETRANSLATE(C285, ""en"", ""ko""))
"),"서랍 5개 헤어 살롱 미용 스파 미용사 보관 카트 트롤리 롤링 이발사")</f>
        <v>서랍 5개 헤어 살롱 미용 스파 미용사 보관 카트 트롤리 롤링 이발사</v>
      </c>
      <c r="F285" s="1" t="str">
        <f>IFERROR(__xludf.DUMMYFUNCTION("CONCATENATE(GOOGLETRANSLATE(C285, ""en"", ""ja""))"),"5 引き出しヘアサロン美容スパ美容院収納カートトロリーローリング理髪店")</f>
        <v>5 引き出しヘアサロン美容スパ美容院収納カートトロリーローリング理髪店</v>
      </c>
    </row>
    <row r="286" ht="15.75" customHeight="1">
      <c r="A286" s="1">
        <v>1751.0</v>
      </c>
      <c r="B286" s="1" t="s">
        <v>15</v>
      </c>
      <c r="C286" s="1" t="s">
        <v>275</v>
      </c>
      <c r="D286" s="1" t="str">
        <f>IFERROR(__xludf.DUMMYFUNCTION("CONCATENATE(GOOGLETRANSLATE(C286, ""en"", ""zh-cn""))
"),"墙壁储物架毛巾收纳架免打孔厨房浴室 30/40/50/60 厘米")</f>
        <v>墙壁储物架毛巾收纳架免打孔厨房浴室 30/40/50/60 厘米</v>
      </c>
      <c r="E286" s="1" t="str">
        <f>IFERROR(__xludf.DUMMYFUNCTION("CONCATENATE(GOOGLETRANSLATE(C286, ""en"", ""ko""))
"),"벽 보관함 수건 정리함 펀치 없는 주방 욕실 30/40/50/60CM")</f>
        <v>벽 보관함 수건 정리함 펀치 없는 주방 욕실 30/40/50/60CM</v>
      </c>
      <c r="F286" s="1" t="str">
        <f>IFERROR(__xludf.DUMMYFUNCTION("CONCATENATE(GOOGLETRANSLATE(C286, ""en"", ""ja""))"),"壁収納ラック タオルオーガナイザー パンチフリー キッチン バスルーム 30/40/50/60CM")</f>
        <v>壁収納ラック タオルオーガナイザー パンチフリー キッチン バスルーム 30/40/50/60CM</v>
      </c>
    </row>
    <row r="287" ht="15.75" customHeight="1">
      <c r="A287" s="1">
        <v>1752.0</v>
      </c>
      <c r="B287" s="1" t="s">
        <v>15</v>
      </c>
      <c r="C287" s="1" t="s">
        <v>276</v>
      </c>
      <c r="D287" s="1" t="str">
        <f>IFERROR(__xludf.DUMMYFUNCTION("CONCATENATE(GOOGLETRANSLATE(C287, ""en"", ""zh-cn""))
"),"文件柜抽屉柜床头柜衣柜床头柜书桌储物 2 层")</f>
        <v>文件柜抽屉柜床头柜衣柜床头柜书桌储物 2 层</v>
      </c>
      <c r="E287" s="1" t="str">
        <f>IFERROR(__xludf.DUMMYFUNCTION("CONCATENATE(GOOGLETRANSLATE(C287, ""en"", ""ko""))
"),"파일 캐비넷 서랍장 침실용 탁자 옷장 침대 옆 탁자 책상 보관함 2겹")</f>
        <v>파일 캐비넷 서랍장 침실용 탁자 옷장 침대 옆 탁자 책상 보관함 2겹</v>
      </c>
      <c r="F287" s="1" t="str">
        <f>IFERROR(__xludf.DUMMYFUNCTION("CONCATENATE(GOOGLETRANSLATE(C287, ""en"", ""ja""))"),"ファイルキャビネット引き出しチェストナイトスタンドワードローブベッドサイドテーブルデスク収納 2 層")</f>
        <v>ファイルキャビネット引き出しチェストナイトスタンドワードローブベッドサイドテーブルデスク収納 2 層</v>
      </c>
    </row>
    <row r="288" ht="15.75" customHeight="1">
      <c r="A288" s="1">
        <v>1753.0</v>
      </c>
      <c r="B288" s="1" t="s">
        <v>15</v>
      </c>
      <c r="C288" s="1" t="s">
        <v>277</v>
      </c>
      <c r="D288" s="1" t="str">
        <f>IFERROR(__xludf.DUMMYFUNCTION("CONCATENATE(GOOGLETRANSLATE(C288, ""en"", ""zh-cn""))
"),"盛荣达 635 三层厨房储物架橱柜桌面独立式调料架瓶架")</f>
        <v>盛荣达 635 三层厨房储物架橱柜桌面独立式调料架瓶架</v>
      </c>
      <c r="E288" s="1" t="str">
        <f>IFERROR(__xludf.DUMMYFUNCTION("CONCATENATE(GOOGLETRANSLATE(C288, ""en"", ""ko""))
"),"SHENGRONGDA 635 3 단 주방 수납 선반 찬장 테이블 Topp 프리 스탠딩 스파이스 랙 병 홀더")</f>
        <v>SHENGRONGDA 635 3 단 주방 수납 선반 찬장 테이블 Topp 프리 스탠딩 스파이스 랙 병 홀더</v>
      </c>
      <c r="F288" s="1" t="str">
        <f>IFERROR(__xludf.DUMMYFUNCTION("CONCATENATE(GOOGLETRANSLATE(C288, ""en"", ""ja""))"),"SHENGRONGDA 635 3 層キッチン収納棚食器棚テーブルトップ自立スパイスラックボトルホルダー")</f>
        <v>SHENGRONGDA 635 3 層キッチン収納棚食器棚テーブルトップ自立スパイスラックボトルホルダー</v>
      </c>
    </row>
    <row r="289" ht="15.75" customHeight="1">
      <c r="A289" s="1">
        <v>1754.0</v>
      </c>
      <c r="B289" s="1" t="s">
        <v>15</v>
      </c>
      <c r="C289" s="1" t="s">
        <v>278</v>
      </c>
      <c r="D289" s="1" t="str">
        <f>IFERROR(__xludf.DUMMYFUNCTION("CONCATENATE(GOOGLETRANSLATE(C289, ""en"", ""zh-cn""))
"),"2 件装壁挂式浮动货架木质工业货架支架架子")</f>
        <v>2 件装壁挂式浮动货架木质工业货架支架架子</v>
      </c>
      <c r="E289" s="1" t="str">
        <f>IFERROR(__xludf.DUMMYFUNCTION("CONCATENATE(GOOGLETRANSLATE(C289, ""en"", ""ko""))
"),"2개 벽걸이형 플로팅 선반 목재 산업용 랙 브래킷 선반")</f>
        <v>2개 벽걸이형 플로팅 선반 목재 산업용 랙 브래킷 선반</v>
      </c>
      <c r="F289" s="1" t="str">
        <f>IFERROR(__xludf.DUMMYFUNCTION("CONCATENATE(GOOGLETRANSLATE(C289, ""en"", ""ja""))"),"2 個壁掛けフローティング棚木材工業用ラックブラケット棚")</f>
        <v>2 個壁掛けフローティング棚木材工業用ラックブラケット棚</v>
      </c>
    </row>
    <row r="290" ht="15.75" customHeight="1">
      <c r="A290" s="1">
        <v>1755.0</v>
      </c>
      <c r="B290" s="1" t="s">
        <v>15</v>
      </c>
      <c r="C290" s="1" t="s">
        <v>279</v>
      </c>
      <c r="D290" s="1" t="str">
        <f>IFERROR(__xludf.DUMMYFUNCTION("CONCATENATE(GOOGLETRANSLATE(C290, ""en"", ""zh-cn""))
"),"衣帽架服装架架子金属夹克雨伞衣架站立 12 个挂钩")</f>
        <v>衣帽架服装架架子金属夹克雨伞衣架站立 12 个挂钩</v>
      </c>
      <c r="E290" s="1" t="str">
        <f>IFERROR(__xludf.DUMMYFUNCTION("CONCATENATE(GOOGLETRANSLATE(C290, ""en"", ""ko""))
"),"코트 스탠드 의류 선반 선반 금속 재킷 우산 걸이 스탠딩 12 후크")</f>
        <v>코트 스탠드 의류 선반 선반 금속 재킷 우산 걸이 스탠딩 12 후크</v>
      </c>
      <c r="F290" s="1" t="str">
        <f>IFERROR(__xludf.DUMMYFUNCTION("CONCATENATE(GOOGLETRANSLATE(C290, ""en"", ""ja""))"),"コートスタンドガーメントラック棚メタルジャケット傘ハンガースタンディング12フック")</f>
        <v>コートスタンドガーメントラック棚メタルジャケット傘ハンガースタンディング12フック</v>
      </c>
    </row>
    <row r="291" ht="15.75" customHeight="1">
      <c r="A291" s="1">
        <v>1756.0</v>
      </c>
      <c r="B291" s="1" t="s">
        <v>15</v>
      </c>
      <c r="C291" s="1" t="s">
        <v>280</v>
      </c>
      <c r="D291" s="1" t="str">
        <f>IFERROR(__xludf.DUMMYFUNCTION("CONCATENATE(GOOGLETRANSLATE(C291, ""en"", ""zh-cn""))
"),"躺椅垫躺椅花园躺椅座垫柔软替换垫")</f>
        <v>躺椅垫躺椅花园躺椅座垫柔软替换垫</v>
      </c>
      <c r="E291" s="1" t="str">
        <f>IFERROR(__xludf.DUMMYFUNCTION("CONCATENATE(GOOGLETRANSLATE(C291, ""en"", ""ko""))
"),"안락 의자 쿠션 라운지 의자 정원 갑판 의자 좌석 패드 소프트 교체 매트")</f>
        <v>안락 의자 쿠션 라운지 의자 정원 갑판 의자 좌석 패드 소프트 교체 매트</v>
      </c>
      <c r="F291" s="1" t="str">
        <f>IFERROR(__xludf.DUMMYFUNCTION("CONCATENATE(GOOGLETRANSLATE(C291, ""en"", ""ja""))"),"リクライニングクッションラウンジ長椅子ガーデンデッキチェアシートパッドソフト交換マット")</f>
        <v>リクライニングクッションラウンジ長椅子ガーデンデッキチェアシートパッドソフト交換マット</v>
      </c>
    </row>
    <row r="292" ht="15.75" customHeight="1">
      <c r="A292" s="1">
        <v>1757.0</v>
      </c>
      <c r="B292" s="1" t="s">
        <v>15</v>
      </c>
      <c r="C292" s="1" t="s">
        <v>281</v>
      </c>
      <c r="D292" s="1" t="str">
        <f>IFERROR(__xludf.DUMMYFUNCTION("CONCATENATE(GOOGLETRANSLATE(C292, ""en"", ""zh-cn""))
"),"碗碟晾干架储物架厨房支架铁板沥水架")</f>
        <v>碗碟晾干架储物架厨房支架铁板沥水架</v>
      </c>
      <c r="E292" s="1" t="str">
        <f>IFERROR(__xludf.DUMMYFUNCTION("CONCATENATE(GOOGLETRANSLATE(C292, ""en"", ""ko""))
"),"접시 건조 랙 보관 선반 주방 홀더 철판 배수구 정리함")</f>
        <v>접시 건조 랙 보관 선반 주방 홀더 철판 배수구 정리함</v>
      </c>
      <c r="F292" s="1" t="str">
        <f>IFERROR(__xludf.DUMMYFUNCTION("CONCATENATE(GOOGLETRANSLATE(C292, ""en"", ""ja""))"),"食器乾燥ラック 収納棚 キッチンホルダー 鉄板 水切りオーガナイザー")</f>
        <v>食器乾燥ラック 収納棚 キッチンホルダー 鉄板 水切りオーガナイザー</v>
      </c>
    </row>
    <row r="293" ht="15.75" customHeight="1">
      <c r="A293" s="1">
        <v>1758.0</v>
      </c>
      <c r="B293" s="1" t="s">
        <v>15</v>
      </c>
      <c r="C293" s="1" t="s">
        <v>282</v>
      </c>
      <c r="D293" s="1" t="str">
        <f>IFERROR(__xludf.DUMMYFUNCTION("CONCATENATE(GOOGLETRANSLATE(C293, ""en"", ""zh-cn""))
"),"永红 G29496 多功能厨房置物架底排水隔断收纳餐具菜板用具")</f>
        <v>永红 G29496 多功能厨房置物架底排水隔断收纳餐具菜板用具</v>
      </c>
      <c r="E293" s="1" t="str">
        <f>IFERROR(__xludf.DUMMYFUNCTION("CONCATENATE(GOOGLETRANSLATE(C293, ""en"", ""ko""))
"),"YONGHONG G29496 식기 도마 용품을위한 다기능 주방 선반 바닥 배수 파티션 보관")</f>
        <v>YONGHONG G29496 식기 도마 용품을위한 다기능 주방 선반 바닥 배수 파티션 보관</v>
      </c>
      <c r="F293" s="1" t="str">
        <f>IFERROR(__xludf.DUMMYFUNCTION("CONCATENATE(GOOGLETRANSLATE(C293, ""en"", ""ja""))"),"YONGHONG G29496 多機能キッチン棚底排水パーティション収納食器まな板調理器具用")</f>
        <v>YONGHONG G29496 多機能キッチン棚底排水パーティション収納食器まな板調理器具用</v>
      </c>
    </row>
    <row r="294" ht="15.75" customHeight="1">
      <c r="A294" s="1">
        <v>1759.0</v>
      </c>
      <c r="B294" s="1" t="s">
        <v>15</v>
      </c>
      <c r="C294" s="1" t="s">
        <v>283</v>
      </c>
      <c r="D294" s="1" t="str">
        <f>IFERROR(__xludf.DUMMYFUNCTION("CONCATENATE(GOOGLETRANSLATE(C294, ""en"", ""zh-cn""))
"),"智米 ZM-049 厨房餐具沥干架 2/3 层香料罐瓶不锈钢收纳盒")</f>
        <v>智米 ZM-049 厨房餐具沥干架 2/3 层香料罐瓶不锈钢收纳盒</v>
      </c>
      <c r="E294" s="1" t="str">
        <f>IFERROR(__xludf.DUMMYFUNCTION("CONCATENATE(GOOGLETRANSLATE(C294, ""en"", ""ko""))
"),"ZHIMI ZM-049 주방 접시 배수구 건조 랙 2/3단 양념통 병 스테인레스 정리함")</f>
        <v>ZHIMI ZM-049 주방 접시 배수구 건조 랙 2/3단 양념통 병 스테인레스 정리함</v>
      </c>
      <c r="F294" s="1" t="str">
        <f>IFERROR(__xludf.DUMMYFUNCTION("CONCATENATE(GOOGLETRANSLATE(C294, ""en"", ""ja""))"),"ZHIMI ZM-049 キッチン水切りドライラック 2/3 段スパイス瓶ボトルステンレスオーガナイザー")</f>
        <v>ZHIMI ZM-049 キッチン水切りドライラック 2/3 段スパイス瓶ボトルステンレスオーガナイザー</v>
      </c>
    </row>
    <row r="295" ht="15.75" customHeight="1">
      <c r="A295" s="1">
        <v>1760.0</v>
      </c>
      <c r="B295" s="1" t="s">
        <v>15</v>
      </c>
      <c r="C295" s="1" t="s">
        <v>284</v>
      </c>
      <c r="D295" s="1" t="str">
        <f>IFERROR(__xludf.DUMMYFUNCTION("CONCATENATE(GOOGLETRANSLATE(C295, ""en"", ""zh-cn""))
"),"厕所/浴室/洗衣房/洗衣机架子上的 3 层储物架")</f>
        <v>厕所/浴室/洗衣房/洗衣机架子上的 3 层储物架</v>
      </c>
      <c r="E295" s="1" t="str">
        <f>IFERROR(__xludf.DUMMYFUNCTION("CONCATENATE(GOOGLETRANSLATE(C295, ""en"", ""ko""))
"),"화장실/욕실/세탁실/세탁기 선반 정리함 위의 3단 보관 랙")</f>
        <v>화장실/욕실/세탁실/세탁기 선반 정리함 위의 3단 보관 랙</v>
      </c>
      <c r="F295" s="1" t="str">
        <f>IFERROR(__xludf.DUMMYFUNCTION("CONCATENATE(GOOGLETRANSLATE(C295, ""en"", ""ja""))"),"3段収納ラック トイレ/バスルーム/ランドリー/洗濯機棚オーガナイザー")</f>
        <v>3段収納ラック トイレ/バスルーム/ランドリー/洗濯機棚オーガナイザー</v>
      </c>
    </row>
    <row r="296" ht="15.75" customHeight="1">
      <c r="A296" s="1">
        <v>1761.0</v>
      </c>
      <c r="B296" s="1" t="s">
        <v>15</v>
      </c>
      <c r="C296" s="1" t="s">
        <v>285</v>
      </c>
      <c r="D296" s="1" t="str">
        <f>IFERROR(__xludf.DUMMYFUNCTION("CONCATENATE(GOOGLETRANSLATE(C296, ""en"", ""zh-cn""))
"),"1/2/3 层壁挂式储物架木质吊绳架浮动架")</f>
        <v>1/2/3 层壁挂式储物架木质吊绳架浮动架</v>
      </c>
      <c r="E296" s="1" t="str">
        <f>IFERROR(__xludf.DUMMYFUNCTION("CONCATENATE(GOOGLETRANSLATE(C296, ""en"", ""ko""))
"),"1/2/3단 벽걸이형 스토리지 홀더 나무 걸이형 로프 선반 플로팅 랙")</f>
        <v>1/2/3단 벽걸이형 스토리지 홀더 나무 걸이형 로프 선반 플로팅 랙</v>
      </c>
      <c r="F296" s="1" t="str">
        <f>IFERROR(__xludf.DUMMYFUNCTION("CONCATENATE(GOOGLETRANSLATE(C296, ""en"", ""ja""))"),"1/2/3 段壁掛け収納ホルダー木製吊りロープ棚フローティングラック")</f>
        <v>1/2/3 段壁掛け収納ホルダー木製吊りロープ棚フローティングラック</v>
      </c>
    </row>
    <row r="297" ht="15.75" customHeight="1">
      <c r="A297" s="1">
        <v>1762.0</v>
      </c>
      <c r="B297" s="1" t="s">
        <v>15</v>
      </c>
      <c r="C297" s="1" t="s">
        <v>286</v>
      </c>
      <c r="D297" s="1" t="str">
        <f>IFERROR(__xludf.DUMMYFUNCTION("CONCATENATE(GOOGLETRANSLATE(C297, ""en"", ""zh-cn""))
"),"3 层储物架桌面化妆品收纳架浴室架香料化妆架")</f>
        <v>3 层储物架桌面化妆品收纳架浴室架香料化妆架</v>
      </c>
      <c r="E297" s="1" t="str">
        <f>IFERROR(__xludf.DUMMYFUNCTION("CONCATENATE(GOOGLETRANSLATE(C297, ""en"", ""ko""))
"),"3단 보관 선반 데스크탑 화장품 정리함 목욕 선반 스파이스 메이크업 랙")</f>
        <v>3단 보관 선반 데스크탑 화장품 정리함 목욕 선반 스파이스 메이크업 랙</v>
      </c>
      <c r="F297" s="1" t="str">
        <f>IFERROR(__xludf.DUMMYFUNCTION("CONCATENATE(GOOGLETRANSLATE(C297, ""en"", ""ja""))"),"3段収納棚デスクトップ化粧品オーガナイザーバス棚スパイス化粧ラック")</f>
        <v>3段収納棚デスクトップ化粧品オーガナイザーバス棚スパイス化粧ラック</v>
      </c>
    </row>
    <row r="298" ht="15.75" customHeight="1">
      <c r="A298" s="1">
        <v>1763.0</v>
      </c>
      <c r="B298" s="1" t="s">
        <v>15</v>
      </c>
      <c r="C298" s="1" t="s">
        <v>287</v>
      </c>
      <c r="D298" s="1" t="str">
        <f>IFERROR(__xludf.DUMMYFUNCTION("CONCATENATE(GOOGLETRANSLATE(C298, ""en"", ""zh-cn""))
"),"圣诞老人桌布椅套圣诞节 3D 打印桌布座椅保护套适用于派对宴会酒店厨房家庭办公家具装饰品")</f>
        <v>圣诞老人桌布椅套圣诞节 3D 打印桌布座椅保护套适用于派对宴会酒店厨房家庭办公家具装饰品</v>
      </c>
      <c r="E298" s="1" t="str">
        <f>IFERROR(__xludf.DUMMYFUNCTION("CONCATENATE(GOOGLETRANSLATE(C298, ""en"", ""ko""))
"),"산타 클로스 테이블 천으로 의자 커버 크리스마스 3D 인쇄 식탁보 좌석 보호대 파티 연회 호텔 주방 홈 오피스 가구 장식")</f>
        <v>산타 클로스 테이블 천으로 의자 커버 크리스마스 3D 인쇄 식탁보 좌석 보호대 파티 연회 호텔 주방 홈 오피스 가구 장식</v>
      </c>
      <c r="F298" s="1" t="str">
        <f>IFERROR(__xludf.DUMMYFUNCTION("CONCATENATE(GOOGLETRANSLATE(C298, ""en"", ""ja""))"),"サンタクロース テーブルクロス 椅子カバー クリスマス 3D プリント テーブルクロス シートプロテクター スリップカバー パーティー 宴会 ホテル キッチン ホーム オフィス 家具装飾用")</f>
        <v>サンタクロース テーブルクロス 椅子カバー クリスマス 3D プリント テーブルクロス シートプロテクター スリップカバー パーティー 宴会 ホテル キッチン ホーム オフィス 家具装飾用</v>
      </c>
    </row>
    <row r="299" ht="15.75" customHeight="1">
      <c r="A299" s="1">
        <v>1764.0</v>
      </c>
      <c r="B299" s="1" t="s">
        <v>15</v>
      </c>
      <c r="C299" s="1" t="s">
        <v>288</v>
      </c>
      <c r="D299" s="1" t="str">
        <f>IFERROR(__xludf.DUMMYFUNCTION("CONCATENATE(GOOGLETRANSLATE(C299, ""en"", ""zh-cn""))
"),"YIDUOLE 花盆架 80 厘米金属支架花卉展示架室内花园家居装饰")</f>
        <v>YIDUOLE 花盆架 80 厘米金属支架花卉展示架室内花园家居装饰</v>
      </c>
      <c r="E299" s="1" t="str">
        <f>IFERROR(__xludf.DUMMYFUNCTION("CONCATENATE(GOOGLETRANSLATE(C299, ""en"", ""ko""))
"),"YIDUOLE 식물 냄비 스탠드 80CM 금속 홀더 꽃 디스플레이 선반 실내 정원 홈 장식")</f>
        <v>YIDUOLE 식물 냄비 스탠드 80CM 금속 홀더 꽃 디스플레이 선반 실내 정원 홈 장식</v>
      </c>
      <c r="F299" s="1" t="str">
        <f>IFERROR(__xludf.DUMMYFUNCTION("CONCATENATE(GOOGLETRANSLATE(C299, ""en"", ""ja""))"),"YIDUOLE 植木鉢スタンド 80 センチメートル金属ホルダーフラワー陳列棚屋内庭の家の装飾")</f>
        <v>YIDUOLE 植木鉢スタンド 80 センチメートル金属ホルダーフラワー陳列棚屋内庭の家の装飾</v>
      </c>
    </row>
    <row r="300" ht="15.75" customHeight="1">
      <c r="A300" s="1">
        <v>1765.0</v>
      </c>
      <c r="B300" s="1" t="s">
        <v>15</v>
      </c>
      <c r="C300" s="1" t="s">
        <v>289</v>
      </c>
      <c r="D300" s="1" t="str">
        <f>IFERROR(__xludf.DUMMYFUNCTION("CONCATENATE(GOOGLETRANSLATE(C300, ""en"", ""zh-cn""))
"),"椅垫簇绒软甲板躺椅垫户外露台泳池躺椅 18*61")</f>
        <v>椅垫簇绒软甲板躺椅垫户外露台泳池躺椅 18*61</v>
      </c>
      <c r="E300" s="1" t="str">
        <f>IFERROR(__xludf.DUMMYFUNCTION("CONCATENATE(GOOGLETRANSLATE(C300, ""en"", ""ko""))
"),"의자 쿠션 터프트 소프트 데크 긴 의자 패딩 야외 테라스 수영장 안락의자 18*61")</f>
        <v>의자 쿠션 터프트 소프트 데크 긴 의자 패딩 야외 테라스 수영장 안락의자 18*61</v>
      </c>
      <c r="F300" s="1" t="str">
        <f>IFERROR(__xludf.DUMMYFUNCTION("CONCATENATE(GOOGLETRANSLATE(C300, ""en"", ""ja""))"),"椅子クッション房状ソフトデッキ長椅子パディング屋外パティオプールリクライニングチェア 18*61")</f>
        <v>椅子クッション房状ソフトデッキ長椅子パディング屋外パティオプールリクライニングチェア 18*61</v>
      </c>
    </row>
    <row r="301" ht="15.75" customHeight="1">
      <c r="A301" s="1">
        <v>1766.0</v>
      </c>
      <c r="B301" s="1" t="s">
        <v>15</v>
      </c>
      <c r="C301" s="1" t="s">
        <v>290</v>
      </c>
      <c r="D301" s="1" t="str">
        <f>IFERROR(__xludf.DUMMYFUNCTION("CONCATENATE(GOOGLETRANSLATE(C301, ""en"", ""zh-cn""))
"),"木制植物架室内/室外花园花盆花盆架架子 6 层")</f>
        <v>木制植物架室内/室外花园花盆花盆架架子 6 层</v>
      </c>
      <c r="E301" s="1" t="str">
        <f>IFERROR(__xludf.DUMMYFUNCTION("CONCATENATE(GOOGLETRANSLATE(C301, ""en"", ""ko""))
"),"나무 식물 스탠드 실내/야외 정원 화분 화분 스탠드 선반 6겹")</f>
        <v>나무 식물 스탠드 실내/야외 정원 화분 화분 스탠드 선반 6겹</v>
      </c>
      <c r="F301" s="1" t="str">
        <f>IFERROR(__xludf.DUMMYFUNCTION("CONCATENATE(GOOGLETRANSLATE(C301, ""en"", ""ja""))"),"木製植物スタンド/屋外庭プランター植木鉢スタンド棚 6 層")</f>
        <v>木製植物スタンド/屋外庭プランター植木鉢スタンド棚 6 層</v>
      </c>
    </row>
    <row r="302" ht="15.75" customHeight="1">
      <c r="A302" s="1">
        <v>1767.0</v>
      </c>
      <c r="B302" s="1" t="s">
        <v>15</v>
      </c>
      <c r="C302" s="1" t="s">
        <v>291</v>
      </c>
      <c r="D302" s="1" t="str">
        <f>IFERROR(__xludf.DUMMYFUNCTION("CONCATENATE(GOOGLETRANSLATE(C302, ""en"", ""zh-cn""))
"),"可折叠花篮海草编织腹花盆洗衣收纳盒")</f>
        <v>可折叠花篮海草编织腹花盆洗衣收纳盒</v>
      </c>
      <c r="E302" s="1" t="str">
        <f>IFERROR(__xludf.DUMMYFUNCTION("CONCATENATE(GOOGLETRANSLATE(C302, ""en"", ""ko""))
"),"접이식 꽃 바구니 해초로 짠 배꼽 화분 냄비 세탁 보관 상자")</f>
        <v>접이식 꽃 바구니 해초로 짠 배꼽 화분 냄비 세탁 보관 상자</v>
      </c>
      <c r="F302" s="1" t="str">
        <f>IFERROR(__xludf.DUMMYFUNCTION("CONCATENATE(GOOGLETRANSLATE(C302, ""en"", ""ja""))"),"折りたたみ式フラワーバスケット シーグラス織ベリープランターポット ランドリー収納スケップボックス")</f>
        <v>折りたたみ式フラワーバスケット シーグラス織ベリープランターポット ランドリー収納スケップボックス</v>
      </c>
    </row>
    <row r="303" ht="15.75" customHeight="1">
      <c r="A303" s="1">
        <v>1768.0</v>
      </c>
      <c r="B303" s="1" t="s">
        <v>15</v>
      </c>
      <c r="C303" s="1" t="s">
        <v>292</v>
      </c>
      <c r="D303" s="1" t="str">
        <f>IFERROR(__xludf.DUMMYFUNCTION("CONCATENATE(GOOGLETRANSLATE(C303, ""en"", ""zh-cn""))
"),"花盆架架式阳台铁艺悬挂式家用")</f>
        <v>花盆架架式阳台铁艺悬挂式家用</v>
      </c>
      <c r="E303" s="1" t="str">
        <f>IFERROR(__xludf.DUMMYFUNCTION("CONCATENATE(GOOGLETRANSLATE(C303, ""en"", ""ko""))
"),"가정용 꽃 냄비 스탠드 랙 장착형 발코니 단철 걸이")</f>
        <v>가정용 꽃 냄비 스탠드 랙 장착형 발코니 단철 걸이</v>
      </c>
      <c r="F303" s="1" t="str">
        <f>IFERROR(__xludf.DUMMYFUNCTION("CONCATENATE(GOOGLETRANSLATE(C303, ""en"", ""ja""))"),"植木鉢スタンドラックマウントバルコニー錬鉄製家庭用吊り下げ")</f>
        <v>植木鉢スタンドラックマウントバルコニー錬鉄製家庭用吊り下げ</v>
      </c>
    </row>
    <row r="304" ht="15.75" customHeight="1">
      <c r="A304" s="1">
        <v>1769.0</v>
      </c>
      <c r="B304" s="1" t="s">
        <v>15</v>
      </c>
      <c r="C304" s="1" t="s">
        <v>293</v>
      </c>
      <c r="D304" s="1" t="str">
        <f>IFERROR(__xludf.DUMMYFUNCTION("CONCATENATE(GOOGLETRANSLATE(C304, ""en"", ""zh-cn""))
"),"厨房三层带板不锈钢沥水架晾菜架")</f>
        <v>厨房三层带板不锈钢沥水架晾菜架</v>
      </c>
      <c r="E304" s="1" t="str">
        <f>IFERROR(__xludf.DUMMYFUNCTION("CONCATENATE(GOOGLETRANSLATE(C304, ""en"", ""ko""))
"),"부엌을 위한 널 스테인리스 배수구 선반을 가진 3개의 층 건조용 접시 선반")</f>
        <v>부엌을 위한 널 스테인리스 배수구 선반을 가진 3개의 층 건조용 접시 선반</v>
      </c>
      <c r="F304" s="1" t="str">
        <f>IFERROR(__xludf.DUMMYFUNCTION("CONCATENATE(GOOGLETRANSLATE(C304, ""en"", ""ja""))"),"3 層乾燥ディッシュラック ボード付きステンレス鋼水切り棚キッチン用")</f>
        <v>3 層乾燥ディッシュラック ボード付きステンレス鋼水切り棚キッチン用</v>
      </c>
    </row>
    <row r="305" ht="15.75" customHeight="1">
      <c r="A305" s="1">
        <v>1770.0</v>
      </c>
      <c r="B305" s="1" t="s">
        <v>15</v>
      </c>
      <c r="C305" s="1" t="s">
        <v>294</v>
      </c>
      <c r="D305" s="1" t="str">
        <f>IFERROR(__xludf.DUMMYFUNCTION("CONCATENATE(GOOGLETRANSLATE(C305, ""en"", ""zh-cn""))
"),"1/2 层干燥碗碟架餐具盘沥水架带滴水盘厨房")</f>
        <v>1/2 层干燥碗碟架餐具盘沥水架带滴水盘厨房</v>
      </c>
      <c r="E305" s="1" t="str">
        <f>IFERROR(__xludf.DUMMYFUNCTION("CONCATENATE(GOOGLETRANSLATE(C305, ""en"", ""ko""))
"),"1/2단 건조 접시 랙 칼붙이 접시 배수구 선반(물받이 트레이 포함) 주방")</f>
        <v>1/2단 건조 접시 랙 칼붙이 접시 배수구 선반(물받이 트레이 포함) 주방</v>
      </c>
      <c r="F305" s="1" t="str">
        <f>IFERROR(__xludf.DUMMYFUNCTION("CONCATENATE(GOOGLETRANSLATE(C305, ""en"", ""ja""))"),"1/2 段乾燥ディッシュラックカトラリープレート水切り棚ドリップトレイキッチン")</f>
        <v>1/2 段乾燥ディッシュラックカトラリープレート水切り棚ドリップトレイキッチン</v>
      </c>
    </row>
    <row r="306" ht="15.75" customHeight="1">
      <c r="A306" s="1">
        <v>1771.0</v>
      </c>
      <c r="B306" s="1" t="s">
        <v>15</v>
      </c>
      <c r="C306" s="1" t="s">
        <v>295</v>
      </c>
      <c r="D306" s="1" t="str">
        <f>IFERROR(__xludf.DUMMYFUNCTION("CONCATENATE(GOOGLETRANSLATE(C306, ""en"", ""zh-cn""))
"),"4 层铁艺花架盆栽植物展示架花园家居装饰")</f>
        <v>4 层铁艺花架盆栽植物展示架花园家居装饰</v>
      </c>
      <c r="E306" s="1" t="str">
        <f>IFERROR(__xludf.DUMMYFUNCTION("CONCATENATE(GOOGLETRANSLATE(C306, ""en"", ""ko""))
"),"4겹 철제 꽃 스탠드 화분 식물 디스플레이 선반 랙 정원 홈 인테리어")</f>
        <v>4겹 철제 꽃 스탠드 화분 식물 디스플레이 선반 랙 정원 홈 인테리어</v>
      </c>
      <c r="F306" s="1" t="str">
        <f>IFERROR(__xludf.DUMMYFUNCTION("CONCATENATE(GOOGLETRANSLATE(C306, ""en"", ""ja""))"),"4 層鉄フラワースタンドポット植物ディスプレイ棚ラック庭の家の装飾")</f>
        <v>4 層鉄フラワースタンドポット植物ディスプレイ棚ラック庭の家の装飾</v>
      </c>
    </row>
    <row r="307" ht="15.75" customHeight="1">
      <c r="A307" s="1">
        <v>1772.0</v>
      </c>
      <c r="B307" s="1" t="s">
        <v>15</v>
      </c>
      <c r="C307" s="1" t="s">
        <v>296</v>
      </c>
      <c r="D307" s="1" t="str">
        <f>IFERROR(__xludf.DUMMYFUNCTION("CONCATENATE(GOOGLETRANSLATE(C307, ""en"", ""zh-cn""))
"),"冬季躺椅坐垫椅子摇椅座垫榻榻米防滑垫沙发办公椅加厚坐垫")</f>
        <v>冬季躺椅坐垫椅子摇椅座垫榻榻米防滑垫沙发办公椅加厚坐垫</v>
      </c>
      <c r="E307" s="1" t="str">
        <f>IFERROR(__xludf.DUMMYFUNCTION("CONCATENATE(GOOGLETRANSLATE(C307, ""en"", ""ko""))
"),"겨울 안락 의자 쿠션 의자 흔들 의자 좌석 매트 다다미 매트 미끄럼 방지 쿠션 소파 사무실 의자 두꺼운 쿠션")</f>
        <v>겨울 안락 의자 쿠션 의자 흔들 의자 좌석 매트 다다미 매트 미끄럼 방지 쿠션 소파 사무실 의자 두꺼운 쿠션</v>
      </c>
      <c r="F307" s="1" t="str">
        <f>IFERROR(__xludf.DUMMYFUNCTION("CONCATENATE(GOOGLETRANSLATE(C307, ""en"", ""ja""))"),"冬リクライニングクッションチェアロッキングチェアシートマット畳マット滑り止めクッションソファオフィスチェア厚みのあるクッション")</f>
        <v>冬リクライニングクッションチェアロッキングチェアシートマット畳マット滑り止めクッションソファオフィスチェア厚みのあるクッション</v>
      </c>
    </row>
    <row r="308" ht="15.75" customHeight="1">
      <c r="A308" s="1">
        <v>1773.0</v>
      </c>
      <c r="B308" s="1" t="s">
        <v>15</v>
      </c>
      <c r="C308" s="1" t="s">
        <v>297</v>
      </c>
      <c r="D308" s="1" t="str">
        <f>IFERROR(__xludf.DUMMYFUNCTION("CONCATENATE(GOOGLETRANSLATE(C308, ""en"", ""zh-cn""))
"),"HONGPAI 冰箱架厨房酒吧收纳架侧架侧壁支架家用")</f>
        <v>HONGPAI 冰箱架厨房酒吧收纳架侧架侧壁支架家用</v>
      </c>
      <c r="E308" s="1" t="str">
        <f>IFERROR(__xludf.DUMMYFUNCTION("CONCATENATE(GOOGLETRANSLATE(C308, ""en"", ""ko""))
"),"HONGPAI 냉장고 랙 주방 바 주최자 측면 선반 측벽 홀더 가구")</f>
        <v>HONGPAI 냉장고 랙 주방 바 주최자 측면 선반 측벽 홀더 가구</v>
      </c>
      <c r="F308" s="1" t="str">
        <f>IFERROR(__xludf.DUMMYFUNCTION("CONCATENATE(GOOGLETRANSLATE(C308, ""en"", ""ja""))"),"HONGPAI 冷蔵庫ラック キッチン バー オーガナイザー サイドシェルフ 側壁ホルダー 家庭用")</f>
        <v>HONGPAI 冷蔵庫ラック キッチン バー オーガナイザー サイドシェルフ 側壁ホルダー 家庭用</v>
      </c>
    </row>
    <row r="309" ht="15.75" customHeight="1">
      <c r="A309" s="1">
        <v>1774.0</v>
      </c>
      <c r="B309" s="1" t="s">
        <v>15</v>
      </c>
      <c r="C309" s="1" t="s">
        <v>298</v>
      </c>
      <c r="D309" s="1" t="str">
        <f>IFERROR(__xludf.DUMMYFUNCTION("CONCATENATE(GOOGLETRANSLATE(C309, ""en"", ""zh-cn""))
"),"木质桌面收纳架可调节储物架双 H 型书架适合家庭办公室")</f>
        <v>木质桌面收纳架可调节储物架双 H 型书架适合家庭办公室</v>
      </c>
      <c r="E309" s="1" t="str">
        <f>IFERROR(__xludf.DUMMYFUNCTION("CONCATENATE(GOOGLETRANSLATE(C309, ""en"", ""ko""))
"),"홈 오피스용 목재 데스크탑 정리함 조정 가능한 스토리지 랙 더블 H 스타일 책장")</f>
        <v>홈 오피스용 목재 데스크탑 정리함 조정 가능한 스토리지 랙 더블 H 스타일 책장</v>
      </c>
      <c r="F309" s="1" t="str">
        <f>IFERROR(__xludf.DUMMYFUNCTION("CONCATENATE(GOOGLETRANSLATE(C309, ""en"", ""ja""))"),"木製デスクトップオーガナイザー調節可能な収納ラックダブルHスタイル本棚ホームオフィス用")</f>
        <v>木製デスクトップオーガナイザー調節可能な収納ラックダブルHスタイル本棚ホームオフィス用</v>
      </c>
    </row>
    <row r="310" ht="15.75" customHeight="1">
      <c r="A310" s="1">
        <v>1775.0</v>
      </c>
      <c r="B310" s="1" t="s">
        <v>15</v>
      </c>
      <c r="C310" s="1" t="s">
        <v>299</v>
      </c>
      <c r="D310" s="1" t="str">
        <f>IFERROR(__xludf.DUMMYFUNCTION("CONCATENATE(GOOGLETRANSLATE(C310, ""en"", ""zh-cn""))
"),"4 层储物架复古铁艺落地式家用厨房收纳架")</f>
        <v>4 层储物架复古铁艺落地式家用厨房收纳架</v>
      </c>
      <c r="E310" s="1" t="str">
        <f>IFERROR(__xludf.DUMMYFUNCTION("CONCATENATE(GOOGLETRANSLATE(C310, ""en"", ""ko""))
"),"4겹 스토리지 랙 복고풍 철 바닥 스탠딩 홈 주방 정리 스탠드")</f>
        <v>4겹 스토리지 랙 복고풍 철 바닥 스탠딩 홈 주방 정리 스탠드</v>
      </c>
      <c r="F310" s="1" t="str">
        <f>IFERROR(__xludf.DUMMYFUNCTION("CONCATENATE(GOOGLETRANSLATE(C310, ""en"", ""ja""))"),"4層収納ラックレトロアイアンフロアスタンディングホームキッチンオーガナイザースタンド")</f>
        <v>4層収納ラックレトロアイアンフロアスタンディングホームキッチンオーガナイザースタンド</v>
      </c>
    </row>
    <row r="311" ht="15.75" customHeight="1">
      <c r="A311" s="1">
        <v>1776.0</v>
      </c>
      <c r="B311" s="1" t="s">
        <v>15</v>
      </c>
      <c r="C311" s="1" t="s">
        <v>300</v>
      </c>
      <c r="D311" s="1" t="str">
        <f>IFERROR(__xludf.DUMMYFUNCTION("CONCATENATE(GOOGLETRANSLATE(C311, ""en"", ""zh-cn""))
"),"多功能衣帽架衣包收纳衣架鞋架凳子架")</f>
        <v>多功能衣帽架衣包收纳衣架鞋架凳子架</v>
      </c>
      <c r="E311" s="1" t="str">
        <f>IFERROR(__xludf.DUMMYFUNCTION("CONCATENATE(GOOGLETRANSLATE(C311, ""en"", ""ko""))
"),"다기능 코트 랙 옷 가방 보관 걸이 신발 홀더 의자 선반")</f>
        <v>다기능 코트 랙 옷 가방 보관 걸이 신발 홀더 의자 선반</v>
      </c>
      <c r="F311" s="1" t="str">
        <f>IFERROR(__xludf.DUMMYFUNCTION("CONCATENATE(GOOGLETRANSLATE(C311, ""en"", ""ja""))"),"多機能コートラック衣類バッグ収納ハンガーシューズホルダースツール棚")</f>
        <v>多機能コートラック衣類バッグ収納ハンガーシューズホルダースツール棚</v>
      </c>
    </row>
    <row r="312" ht="15.75" customHeight="1">
      <c r="A312" s="1">
        <v>1777.0</v>
      </c>
      <c r="B312" s="1" t="s">
        <v>15</v>
      </c>
      <c r="C312" s="1" t="s">
        <v>301</v>
      </c>
      <c r="D312" s="1" t="str">
        <f>IFERROR(__xludf.DUMMYFUNCTION("CONCATENATE(GOOGLETRANSLATE(C312, ""en"", ""zh-cn""))
"),"可折叠笔记本电脑桌便携式高度可调节电脑支架竹制茶托盘床餐桌笔记本电脑桌")</f>
        <v>可折叠笔记本电脑桌便携式高度可调节电脑支架竹制茶托盘床餐桌笔记本电脑桌</v>
      </c>
      <c r="E312" s="1" t="str">
        <f>IFERROR(__xludf.DUMMYFUNCTION("CONCATENATE(GOOGLETRANSLATE(C312, ""en"", ""ko""))
"),"접이식 노트북 책상 휴대용 높이 조절 컴퓨터 스탠드 대나무 차 서빙 트레이 침대 식탁 노트북 노트북 테이블")</f>
        <v>접이식 노트북 책상 휴대용 높이 조절 컴퓨터 스탠드 대나무 차 서빙 트레이 침대 식탁 노트북 노트북 테이블</v>
      </c>
      <c r="F312" s="1" t="str">
        <f>IFERROR(__xludf.DUMMYFUNCTION("CONCATENATE(GOOGLETRANSLATE(C312, ""en"", ""ja""))"),"折りたたみ式ラップトップデスクポータブル高さ調節可能なコンピュータスタンド竹茶サービングトレイベッドダイニングテーブルラップトップノートブックテーブル")</f>
        <v>折りたたみ式ラップトップデスクポータブル高さ調節可能なコンピュータスタンド竹茶サービングトレイベッドダイニングテーブルラップトップノートブックテーブル</v>
      </c>
    </row>
    <row r="313" ht="15.75" customHeight="1">
      <c r="A313" s="1">
        <v>1778.0</v>
      </c>
      <c r="B313" s="1" t="s">
        <v>15</v>
      </c>
      <c r="C313" s="1" t="s">
        <v>302</v>
      </c>
      <c r="D313" s="1" t="str">
        <f>IFERROR(__xludf.DUMMYFUNCTION("CONCATENATE(GOOGLETRANSLATE(C313, ""en"", ""zh-cn""))
"),"弹性餐椅套办公电脑椅保护弹力座椅套家用办公家具装饰")</f>
        <v>弹性餐椅套办公电脑椅保护弹力座椅套家用办公家具装饰</v>
      </c>
      <c r="E313" s="1" t="str">
        <f>IFERROR(__xludf.DUMMYFUNCTION("CONCATENATE(GOOGLETRANSLATE(C313, ""en"", ""ko""))
"),"탄성 식당 의자 커버 사무실 컴퓨터 의자 보호대 스트레치 좌석 슬리퍼 홈 오피스 가구 장식")</f>
        <v>탄성 식당 의자 커버 사무실 컴퓨터 의자 보호대 스트레치 좌석 슬리퍼 홈 오피스 가구 장식</v>
      </c>
      <c r="F313" s="1" t="str">
        <f>IFERROR(__xludf.DUMMYFUNCTION("CONCATENATE(GOOGLETRANSLATE(C313, ""en"", ""ja""))"),"弾性ダイニングチェアカバーオフィスコンピュータチェアプロテクターストレッチシートスリップカバーホームオフィス家具装飾")</f>
        <v>弾性ダイニングチェアカバーオフィスコンピュータチェアプロテクターストレッチシートスリップカバーホームオフィス家具装飾</v>
      </c>
    </row>
    <row r="314" ht="15.75" customHeight="1">
      <c r="A314" s="1">
        <v>1779.0</v>
      </c>
      <c r="B314" s="1" t="s">
        <v>15</v>
      </c>
      <c r="C314" s="1" t="s">
        <v>303</v>
      </c>
      <c r="D314" s="1" t="str">
        <f>IFERROR(__xludf.DUMMYFUNCTION("CONCATENATE(GOOGLETRANSLATE(C314, ""en"", ""zh-cn""))
"),"弹性脚凳套脚凳保护弹力储物凳椅子座椅套家用办公家具装饰")</f>
        <v>弹性脚凳套脚凳保护弹力储物凳椅子座椅套家用办公家具装饰</v>
      </c>
      <c r="E314" s="1" t="str">
        <f>IFERROR(__xludf.DUMMYFUNCTION("CONCATENATE(GOOGLETRANSLATE(C314, ""en"", ""ko""))
"),"탄성 오토만 커버 발판 보호대 스트레치 스토리지 의자 의자 좌석 슬립 커버 홈 오피스 가구 장식")</f>
        <v>탄성 오토만 커버 발판 보호대 스트레치 스토리지 의자 의자 좌석 슬립 커버 홈 오피스 가구 장식</v>
      </c>
      <c r="F314" s="1" t="str">
        <f>IFERROR(__xludf.DUMMYFUNCTION("CONCATENATE(GOOGLETRANSLATE(C314, ""en"", ""ja""))"),"弾性オットマンカバーフットスツールプロテクターストレッチ収納スツール椅子シート本カバーホームオフィス家具装飾")</f>
        <v>弾性オットマンカバーフットスツールプロテクターストレッチ収納スツール椅子シート本カバーホームオフィス家具装飾</v>
      </c>
    </row>
    <row r="315" ht="15.75" customHeight="1">
      <c r="A315" s="1">
        <v>1780.0</v>
      </c>
      <c r="B315" s="1" t="s">
        <v>15</v>
      </c>
      <c r="C315" s="1" t="s">
        <v>304</v>
      </c>
      <c r="D315" s="1" t="str">
        <f>IFERROR(__xludf.DUMMYFUNCTION("CONCATENATE(GOOGLETRANSLATE(C315, ""en"", ""zh-cn""))
"),"弹性餐椅套弹力涤纶椅子座椅套办公室电脑椅保护器家庭办公家具装饰")</f>
        <v>弹性餐椅套弹力涤纶椅子座椅套办公室电脑椅保护器家庭办公家具装饰</v>
      </c>
      <c r="E315" s="1" t="str">
        <f>IFERROR(__xludf.DUMMYFUNCTION("CONCATENATE(GOOGLETRANSLATE(C315, ""en"", ""ko""))
"),"탄성 다이닝 의자 커버 스트레치 폴리 에스터 의자 좌석 커버 사무실 컴퓨터 의자 보호대 홈 오피스 가구 장식")</f>
        <v>탄성 다이닝 의자 커버 스트레치 폴리 에스터 의자 좌석 커버 사무실 컴퓨터 의자 보호대 홈 오피스 가구 장식</v>
      </c>
      <c r="F315" s="1" t="str">
        <f>IFERROR(__xludf.DUMMYFUNCTION("CONCATENATE(GOOGLETRANSLATE(C315, ""en"", ""ja""))"),"弾性ダイニングチェアカバーストレッチポリエステル椅子シート本カバーオフィスコンピュータ椅子プロテクターホームオフィス家具装飾")</f>
        <v>弾性ダイニングチェアカバーストレッチポリエステル椅子シート本カバーオフィスコンピュータ椅子プロテクターホームオフィス家具装飾</v>
      </c>
    </row>
    <row r="316" ht="15.75" customHeight="1">
      <c r="A316" s="1">
        <v>1781.0</v>
      </c>
      <c r="B316" s="1" t="s">
        <v>15</v>
      </c>
      <c r="C316" s="1" t="s">
        <v>305</v>
      </c>
      <c r="D316" s="1" t="str">
        <f>IFERROR(__xludf.DUMMYFUNCTION("CONCATENATE(GOOGLETRANSLATE(C316, ""en"", ""zh-cn""))
"),"弹性餐椅套印花弹力涤纶椅子座椅套办公室电脑椅保护套家用办公家具装饰")</f>
        <v>弹性餐椅套印花弹力涤纶椅子座椅套办公室电脑椅保护套家用办公家具装饰</v>
      </c>
      <c r="E316" s="1" t="str">
        <f>IFERROR(__xludf.DUMMYFUNCTION("CONCATENATE(GOOGLETRANSLATE(C316, ""en"", ""ko""))
"),"탄성 다이닝 의자 커버 인쇄 스트레치 폴리 에스터 의자 좌석 커버 사무실 컴퓨터 의자 보호대 홈 오피스 가구 장식")</f>
        <v>탄성 다이닝 의자 커버 인쇄 스트레치 폴리 에스터 의자 좌석 커버 사무실 컴퓨터 의자 보호대 홈 오피스 가구 장식</v>
      </c>
      <c r="F316" s="1" t="str">
        <f>IFERROR(__xludf.DUMMYFUNCTION("CONCATENATE(GOOGLETRANSLATE(C316, ""en"", ""ja""))"),"弾性ダイニングチェアカバー印刷ストレッチポリエステル椅子シート本カバーオフィスコンピュータ椅子プロテクターホームオフィス家具装飾")</f>
        <v>弾性ダイニングチェアカバー印刷ストレッチポリエステル椅子シート本カバーオフィスコンピュータ椅子プロテクターホームオフィス家具装飾</v>
      </c>
    </row>
    <row r="317" ht="15.75" customHeight="1">
      <c r="A317" s="1">
        <v>1782.0</v>
      </c>
      <c r="B317" s="1" t="s">
        <v>15</v>
      </c>
      <c r="C317" s="1" t="s">
        <v>306</v>
      </c>
      <c r="D317" s="1" t="str">
        <f>IFERROR(__xludf.DUMMYFUNCTION("CONCATENATE(GOOGLETRANSLATE(C317, ""en"", ""zh-cn""))
"),"纸杯蛋糕架蛋糕架婚礼派对展示 LED 灯串 3/4/5 层")</f>
        <v>纸杯蛋糕架蛋糕架婚礼派对展示 LED 灯串 3/4/5 层</v>
      </c>
      <c r="E317" s="1" t="str">
        <f>IFERROR(__xludf.DUMMYFUNCTION("CONCATENATE(GOOGLETRANSLATE(C317, ""en"", ""ko""))
"),"컵케이크 스탠드 케이크 홀더 웨딩 파티 디스플레이 LED 스트링 조명 3/4/5단")</f>
        <v>컵케이크 스탠드 케이크 홀더 웨딩 파티 디스플레이 LED 스트링 조명 3/4/5단</v>
      </c>
      <c r="F317" s="1" t="str">
        <f>IFERROR(__xludf.DUMMYFUNCTION("CONCATENATE(GOOGLETRANSLATE(C317, ""en"", ""ja""))"),"カップケーキスタンド ケーキホルダー ウェディングパーティーディスプレイ LEDストリングライト 3/4/5段")</f>
        <v>カップケーキスタンド ケーキホルダー ウェディングパーティーディスプレイ LEDストリングライト 3/4/5段</v>
      </c>
    </row>
    <row r="318" ht="15.75" customHeight="1">
      <c r="A318" s="1">
        <v>1783.0</v>
      </c>
      <c r="B318" s="1" t="s">
        <v>15</v>
      </c>
      <c r="C318" s="1" t="s">
        <v>307</v>
      </c>
      <c r="D318" s="1" t="str">
        <f>IFERROR(__xludf.DUMMYFUNCTION("CONCATENATE(GOOGLETRANSLATE(C318, ""en"", ""zh-cn""))
"),"便携式电动洗衣架衣架折叠晾衣旅行110V/220V")</f>
        <v>便携式电动洗衣架衣架折叠晾衣旅行110V/220V</v>
      </c>
      <c r="E318" s="1" t="str">
        <f>IFERROR(__xludf.DUMMYFUNCTION("CONCATENATE(GOOGLETRANSLATE(C318, ""en"", ""ko""))
"),"휴대용 전기 세탁 선반 걸이 접이식 건조 옷 여행 110V/220V")</f>
        <v>휴대용 전기 세탁 선반 걸이 접이식 건조 옷 여행 110V/220V</v>
      </c>
      <c r="F318" s="1" t="str">
        <f>IFERROR(__xludf.DUMMYFUNCTION("CONCATENATE(GOOGLETRANSLATE(C318, ""en"", ""ja""))"),"ポータブル電気ランドリーラックハンガー折りたたみ乾燥衣類旅行 110 V/220 V")</f>
        <v>ポータブル電気ランドリーラックハンガー折りたたみ乾燥衣類旅行 110 V/220 V</v>
      </c>
    </row>
    <row r="319" ht="15.75" customHeight="1">
      <c r="A319" s="1">
        <v>1784.0</v>
      </c>
      <c r="B319" s="1" t="s">
        <v>15</v>
      </c>
      <c r="C319" s="1" t="s">
        <v>308</v>
      </c>
      <c r="D319" s="1" t="str">
        <f>IFERROR(__xludf.DUMMYFUNCTION("CONCATENATE(GOOGLETRANSLATE(C319, ""en"", ""zh-cn""))
"),"ZHUYUWAN 筷子架壁挂式厨房餐具勺子收纳盒")</f>
        <v>ZHUYUWAN 筷子架壁挂式厨房餐具勺子收纳盒</v>
      </c>
      <c r="E319" s="1" t="str">
        <f>IFERROR(__xludf.DUMMYFUNCTION("CONCATENATE(GOOGLETRANSLATE(C319, ""en"", ""ko""))
"),"ZHUYUWAN 젓가락 홀더 벽걸이형 주방 식기 스푼 보관함")</f>
        <v>ZHUYUWAN 젓가락 홀더 벽걸이형 주방 식기 스푼 보관함</v>
      </c>
      <c r="F319" s="1" t="str">
        <f>IFERROR(__xludf.DUMMYFUNCTION("CONCATENATE(GOOGLETRANSLATE(C319, ""en"", ""ja""))"),"ZHUYUWAN 箸ホルダー 壁掛けキッチン食器スプーン収納ボックス")</f>
        <v>ZHUYUWAN 箸ホルダー 壁掛けキッチン食器スプーン収納ボックス</v>
      </c>
    </row>
    <row r="320" ht="15.75" customHeight="1">
      <c r="A320" s="1">
        <v>1785.0</v>
      </c>
      <c r="B320" s="1" t="s">
        <v>15</v>
      </c>
      <c r="C320" s="1" t="s">
        <v>309</v>
      </c>
      <c r="D320" s="1" t="str">
        <f>IFERROR(__xludf.DUMMYFUNCTION("CONCATENATE(GOOGLETRANSLATE(C320, ""en"", ""zh-cn""))
"),"腰部支撑垫/按摩枕便携式充气家用旅行办公汽车")</f>
        <v>腰部支撑垫/按摩枕便携式充气家用旅行办公汽车</v>
      </c>
      <c r="E320" s="1" t="str">
        <f>IFERROR(__xludf.DUMMYFUNCTION("CONCATENATE(GOOGLETRANSLATE(C320, ""en"", ""ko""))
"),"요추 지지 쿠션/ 마사지 베개 휴대용 공기주입식 가정용 여행 사무실 차량용")</f>
        <v>요추 지지 쿠션/ 마사지 베개 휴대용 공기주입식 가정용 여행 사무실 차량용</v>
      </c>
      <c r="F320" s="1" t="str">
        <f>IFERROR(__xludf.DUMMYFUNCTION("CONCATENATE(GOOGLETRANSLATE(C320, ""en"", ""ja""))"),"ランバーサポートクッション/マッサージ枕ポータブルインフレータブル家庭旅行オフィス車用")</f>
        <v>ランバーサポートクッション/マッサージ枕ポータブルインフレータブル家庭旅行オフィス車用</v>
      </c>
    </row>
    <row r="321" ht="15.75" customHeight="1">
      <c r="A321" s="1">
        <v>1786.0</v>
      </c>
      <c r="B321" s="1" t="s">
        <v>15</v>
      </c>
      <c r="C321" s="1" t="s">
        <v>310</v>
      </c>
      <c r="D321" s="1" t="str">
        <f>IFERROR(__xludf.DUMMYFUNCTION("CONCATENATE(GOOGLETRANSLATE(C321, ""en"", ""zh-cn""))
"),"衣服洗衣篮大号牛津布篮储物收纳袋可折叠")</f>
        <v>衣服洗衣篮大号牛津布篮储物收纳袋可折叠</v>
      </c>
      <c r="E321" s="1" t="str">
        <f>IFERROR(__xludf.DUMMYFUNCTION("CONCATENATE(GOOGLETRANSLATE(C321, ""en"", ""ko""))
"),"옷 세탁 바구니 대형 옥스퍼드 천 바구니 수납 정리함 가방 접이식")</f>
        <v>옷 세탁 바구니 대형 옥스퍼드 천 바구니 수납 정리함 가방 접이식</v>
      </c>
      <c r="F321" s="1" t="str">
        <f>IFERROR(__xludf.DUMMYFUNCTION("CONCATENATE(GOOGLETRANSLATE(C321, ""en"", ""ja""))"),"衣類ランドリーバスケット大型オックスフォード布かご収納オーガナイザーバッグ折りたたみ式")</f>
        <v>衣類ランドリーバスケット大型オックスフォード布かご収納オーガナイザーバッグ折りたたみ式</v>
      </c>
    </row>
    <row r="322" ht="15.75" customHeight="1">
      <c r="A322" s="1">
        <v>1787.0</v>
      </c>
      <c r="B322" s="1" t="s">
        <v>15</v>
      </c>
      <c r="C322" s="1" t="s">
        <v>311</v>
      </c>
      <c r="D322" s="1" t="str">
        <f>IFERROR(__xludf.DUMMYFUNCTION("CONCATENATE(GOOGLETRANSLATE(C322, ""en"", ""zh-cn""))
"),"室内室外花园露台家用厨房办公椅座椅软垫垫")</f>
        <v>室内室外花园露台家用厨房办公椅座椅软垫垫</v>
      </c>
      <c r="E322" s="1" t="str">
        <f>IFERROR(__xludf.DUMMYFUNCTION("CONCATENATE(GOOGLETRANSLATE(C322, ""en"", ""ko""))
"),"실내 옥외 정원 테라스 가정 부엌 사무실 의자 좌석 소프트 쿠션 패드")</f>
        <v>실내 옥외 정원 테라스 가정 부엌 사무실 의자 좌석 소프트 쿠션 패드</v>
      </c>
      <c r="F322" s="1" t="str">
        <f>IFERROR(__xludf.DUMMYFUNCTION("CONCATENATE(GOOGLETRANSLATE(C322, ""en"", ""ja""))"),"屋内屋外ガーデンパティオホームキッチンオフィスチェアシートソフトクッションパッド")</f>
        <v>屋内屋外ガーデンパティオホームキッチンオフィスチェアシートソフトクッションパッド</v>
      </c>
    </row>
    <row r="323" ht="15.75" customHeight="1">
      <c r="A323" s="1">
        <v>1788.0</v>
      </c>
      <c r="B323" s="1" t="s">
        <v>15</v>
      </c>
      <c r="C323" s="1" t="s">
        <v>312</v>
      </c>
      <c r="D323" s="1" t="str">
        <f>IFERROR(__xludf.DUMMYFUNCTION("CONCATENATE(GOOGLETRANSLATE(C323, ""en"", ""zh-cn""))
"),"躺椅躺椅座垫替换棉垫套太阳沙发花园椅垫")</f>
        <v>躺椅躺椅座垫替换棉垫套太阳沙发花园椅垫</v>
      </c>
      <c r="E323" s="1" t="str">
        <f>IFERROR(__xludf.DUMMYFUNCTION("CONCATENATE(GOOGLETRANSLATE(C323, ""en"", ""ko""))
"),"라운저 안락 의자 좌석 패드 교체용 면 쿠션 커버 태양 소파 정원 의자 매트")</f>
        <v>라운저 안락 의자 좌석 패드 교체용 면 쿠션 커버 태양 소파 정원 의자 매트</v>
      </c>
      <c r="F323" s="1" t="str">
        <f>IFERROR(__xludf.DUMMYFUNCTION("CONCATENATE(GOOGLETRANSLATE(C323, ""en"", ""ja""))"),"ラウンジャーリクライニングシートパッド交換用コットンクッションカバーサンソファガーデンチェアマット")</f>
        <v>ラウンジャーリクライニングシートパッド交換用コットンクッションカバーサンソファガーデンチェアマット</v>
      </c>
    </row>
    <row r="324" ht="15.75" customHeight="1">
      <c r="A324" s="1">
        <v>1789.0</v>
      </c>
      <c r="B324" s="1" t="s">
        <v>15</v>
      </c>
      <c r="C324" s="1" t="s">
        <v>313</v>
      </c>
      <c r="D324" s="1" t="str">
        <f>IFERROR(__xludf.DUMMYFUNCTION("CONCATENATE(GOOGLETRANSLATE(C324, ""en"", ""zh-cn""))
"),"椅套座椅椅套餐厅婚礼办公室宴会装饰")</f>
        <v>椅套座椅椅套餐厅婚礼办公室宴会装饰</v>
      </c>
      <c r="E324" s="1" t="str">
        <f>IFERROR(__xludf.DUMMYFUNCTION("CONCATENATE(GOOGLETRANSLATE(C324, ""en"", ""ko""))
"),"의자 커버 좌석 의자 커버 다이닝룸 결혼식 사무실 연회 장식용")</f>
        <v>의자 커버 좌석 의자 커버 다이닝룸 결혼식 사무실 연회 장식용</v>
      </c>
      <c r="F324" s="1" t="str">
        <f>IFERROR(__xludf.DUMMYFUNCTION("CONCATENATE(GOOGLETRANSLATE(C324, ""en"", ""ja""))"),"椅子カバーシートチェアスリップカバーダイニングルーム結婚式オフィス宴会装飾用")</f>
        <v>椅子カバーシートチェアスリップカバーダイニングルーム結婚式オフィス宴会装飾用</v>
      </c>
    </row>
    <row r="325" ht="15.75" customHeight="1">
      <c r="A325" s="1">
        <v>1790.0</v>
      </c>
      <c r="B325" s="1" t="s">
        <v>15</v>
      </c>
      <c r="C325" s="1" t="s">
        <v>314</v>
      </c>
      <c r="D325" s="1" t="str">
        <f>IFERROR(__xludf.DUMMYFUNCTION("CONCATENATE(GOOGLETRANSLATE(C325, ""en"", ""zh-cn""))
"),"6瓶可折叠木瓶架-自然架子展示")</f>
        <v>6瓶可折叠木瓶架-自然架子展示</v>
      </c>
      <c r="E325" s="1" t="str">
        <f>IFERROR(__xludf.DUMMYFUNCTION("CONCATENATE(GOOGLETRANSLATE(C325, ""en"", ""ko""))
"),"6병 접이식 나무 병 홀더 - 천연 선반 디스플레이")</f>
        <v>6병 접이식 나무 병 홀더 - 천연 선반 디스플레이</v>
      </c>
      <c r="F325" s="1" t="str">
        <f>IFERROR(__xludf.DUMMYFUNCTION("CONCATENATE(GOOGLETRANSLATE(C325, ""en"", ""ja""))"),"6ボトル折りたたみ式木製ボトルホルダー - ナチュラルシェルフディスプレイ")</f>
        <v>6ボトル折りたたみ式木製ボトルホルダー - ナチュラルシェルフディスプレイ</v>
      </c>
    </row>
    <row r="326" ht="15.75" customHeight="1">
      <c r="A326" s="1">
        <v>1791.0</v>
      </c>
      <c r="B326" s="1" t="s">
        <v>15</v>
      </c>
      <c r="C326" s="1" t="s">
        <v>315</v>
      </c>
      <c r="D326" s="1" t="str">
        <f>IFERROR(__xludf.DUMMYFUNCTION("CONCATENATE(GOOGLETRANSLATE(C326, ""en"", ""zh-cn""))
"),"长凳储物凳鞋木鞋架竹架椅子收纳架")</f>
        <v>长凳储物凳鞋木鞋架竹架椅子收纳架</v>
      </c>
      <c r="E326" s="1" t="str">
        <f>IFERROR(__xludf.DUMMYFUNCTION("CONCATENATE(GOOGLETRANSLATE(C326, ""en"", ""ko""))
"),"벤치 보관 의자 신발 나무 신발 랙 대나무 스탠드 의자 정리함")</f>
        <v>벤치 보관 의자 신발 나무 신발 랙 대나무 스탠드 의자 정리함</v>
      </c>
      <c r="F326" s="1" t="str">
        <f>IFERROR(__xludf.DUMMYFUNCTION("CONCATENATE(GOOGLETRANSLATE(C326, ""en"", ""ja""))"),"ベンチ収納スツール靴木製シューズラック竹スタンドチェアオーガナイザー")</f>
        <v>ベンチ収納スツール靴木製シューズラック竹スタンドチェアオーガナイザー</v>
      </c>
    </row>
    <row r="327" ht="15.75" customHeight="1">
      <c r="A327" s="1">
        <v>1792.0</v>
      </c>
      <c r="B327" s="1" t="s">
        <v>15</v>
      </c>
      <c r="C327" s="1" t="s">
        <v>316</v>
      </c>
      <c r="D327" s="1" t="str">
        <f>IFERROR(__xludf.DUMMYFUNCTION("CONCATENATE(GOOGLETRANSLATE(C327, ""en"", ""zh-cn""))
"),"4 件装 28 英寸桌腿金属发夹腿家具腿支架脚家用办公家具配件带地板保护垫")</f>
        <v>4 件装 28 英寸桌腿金属发夹腿家具腿支架脚家用办公家具配件带地板保护垫</v>
      </c>
      <c r="E327" s="1" t="str">
        <f>IFERROR(__xludf.DUMMYFUNCTION("CONCATENATE(GOOGLETRANSLATE(C327, ""en"", ""ko""))
"),"4pcs 28 인치 테이블 책상 다리 금속 머리핀 다리 가구 다리 스탠드 피트 바닥 보호 매트와 홈 오피스 가구 액세서리")</f>
        <v>4pcs 28 인치 테이블 책상 다리 금속 머리핀 다리 가구 다리 스탠드 피트 바닥 보호 매트와 홈 오피스 가구 액세서리</v>
      </c>
      <c r="F327" s="1" t="str">
        <f>IFERROR(__xludf.DUMMYFUNCTION("CONCATENATE(GOOGLETRANSLATE(C327, ""en"", ""ja""))"),"4 個 28 インチテーブルデスク脚金属ヘアピン脚家具脚スタンド足ホームオフィス家具アクセサリー床保護マット付き")</f>
        <v>4 個 28 インチテーブルデスク脚金属ヘアピン脚家具脚スタンド足ホームオフィス家具アクセサリー床保護マット付き</v>
      </c>
    </row>
    <row r="328" ht="15.75" customHeight="1">
      <c r="A328" s="1">
        <v>1793.0</v>
      </c>
      <c r="B328" s="1" t="s">
        <v>15</v>
      </c>
      <c r="C328" s="1" t="s">
        <v>317</v>
      </c>
      <c r="D328" s="1" t="str">
        <f>IFERROR(__xludf.DUMMYFUNCTION("CONCATENATE(GOOGLETRANSLATE(C328, ""en"", ""zh-cn""))
"),"4 件装桌腿 16 英寸/41 厘米金属发夹腿家具腿支架脚家庭办公家具配件")</f>
        <v>4 件装桌腿 16 英寸/41 厘米金属发夹腿家具腿支架脚家庭办公家具配件</v>
      </c>
      <c r="E328" s="1" t="str">
        <f>IFERROR(__xludf.DUMMYFUNCTION("CONCATENATE(GOOGLETRANSLATE(C328, ""en"", ""ko""))
"),"4pcs 테이블 책상 다리 16 ""/41cm 금속 머리핀 다리 가구 다리 스탠드 피트 홈 오피스 가구 액세서리")</f>
        <v>4pcs 테이블 책상 다리 16 "/41cm 금속 머리핀 다리 가구 다리 스탠드 피트 홈 오피스 가구 액세서리</v>
      </c>
      <c r="F328" s="1" t="str">
        <f>IFERROR(__xludf.DUMMYFUNCTION("CONCATENATE(GOOGLETRANSLATE(C328, ""en"", ""ja""))"),"4 個テーブルデスク脚 16 ""/41 センチメートル金属ヘアピン脚家具の脚スタンド足ホームオフィス家具アクセサリー")</f>
        <v>4 個テーブルデスク脚 16 "/41 センチメートル金属ヘアピン脚家具の脚スタンド足ホームオフィス家具アクセサリー</v>
      </c>
    </row>
    <row r="329" ht="15.75" customHeight="1">
      <c r="A329" s="1">
        <v>1794.0</v>
      </c>
      <c r="B329" s="1" t="s">
        <v>15</v>
      </c>
      <c r="C329" s="1" t="s">
        <v>318</v>
      </c>
      <c r="D329" s="1" t="str">
        <f>IFERROR(__xludf.DUMMYFUNCTION("CONCATENATE(GOOGLETRANSLATE(C329, ""en"", ""zh-cn""))
"),"椅套加厚弹力躺椅翼形沙发保护套懒人可水洗面料")</f>
        <v>椅套加厚弹力躺椅翼形沙发保护套懒人可水洗面料</v>
      </c>
      <c r="E329" s="1" t="str">
        <f>IFERROR(__xludf.DUMMYFUNCTION("CONCATENATE(GOOGLETRANSLATE(C329, ""en"", ""ko""))
"),"의자 커버 두꺼운 스트레치 안락 의자 날개 소파 보호대 게으른 세탁 가능 직물")</f>
        <v>의자 커버 두꺼운 스트레치 안락 의자 날개 소파 보호대 게으른 세탁 가능 직물</v>
      </c>
      <c r="F329" s="1" t="str">
        <f>IFERROR(__xludf.DUMMYFUNCTION("CONCATENATE(GOOGLETRANSLATE(C329, ""en"", ""ja""))"),"椅子カバー厚手ストレッチリクライニングウィングソファプロテクター怠惰な洗える生地")</f>
        <v>椅子カバー厚手ストレッチリクライニングウィングソファプロテクター怠惰な洗える生地</v>
      </c>
    </row>
    <row r="330" ht="15.75" customHeight="1">
      <c r="A330" s="1">
        <v>1795.0</v>
      </c>
      <c r="B330" s="1" t="s">
        <v>15</v>
      </c>
      <c r="C330" s="1" t="s">
        <v>319</v>
      </c>
      <c r="D330" s="1" t="str">
        <f>IFERROR(__xludf.DUMMYFUNCTION("CONCATENATE(GOOGLETRANSLATE(C330, ""en"", ""zh-cn""))
"),"LN塑料迷你桌子可折叠笔记本电脑书桌床懒人桌学生宿舍书桌写字桌")</f>
        <v>LN塑料迷你桌子可折叠笔记本电脑书桌床懒人桌学生宿舍书桌写字桌</v>
      </c>
      <c r="E330" s="1" t="str">
        <f>IFERROR(__xludf.DUMMYFUNCTION("CONCATENATE(GOOGLETRANSLATE(C330, ""en"", ""ko""))
"),"LN 플라스틱 미니 테이블 접이식 노트북 책상 침대 게으른 테이블 학생 기숙사 책상 쓰기 테이블")</f>
        <v>LN 플라스틱 미니 테이블 접이식 노트북 책상 침대 게으른 테이블 학생 기숙사 책상 쓰기 테이블</v>
      </c>
      <c r="F330" s="1" t="str">
        <f>IFERROR(__xludf.DUMMYFUNCTION("CONCATENATE(GOOGLETRANSLATE(C330, ""en"", ""ja""))"),"LN プラスチックミニテーブル折りたたみ式ラップトップデスクベッド怠惰なテーブル学生寮デスクライティングテーブル")</f>
        <v>LN プラスチックミニテーブル折りたたみ式ラップトップデスクベッド怠惰なテーブル学生寮デスクライティングテーブル</v>
      </c>
    </row>
    <row r="331" ht="15.75" customHeight="1">
      <c r="A331" s="1">
        <v>1796.0</v>
      </c>
      <c r="B331" s="1" t="s">
        <v>15</v>
      </c>
      <c r="C331" s="1" t="s">
        <v>320</v>
      </c>
      <c r="D331" s="1" t="str">
        <f>IFERROR(__xludf.DUMMYFUNCTION("CONCATENATE(GOOGLETRANSLATE(C331, ""en"", ""zh-cn""))
"),"浴室马桶柜储物柜架纸巾收纳架")</f>
        <v>浴室马桶柜储物柜架纸巾收纳架</v>
      </c>
      <c r="E331" s="1" t="str">
        <f>IFERROR(__xludf.DUMMYFUNCTION("CONCATENATE(GOOGLETRANSLATE(C331, ""en"", ""ko""))
"),"욕실 화장실 캐비닛 보관 찬장 랙 조직 정리 선반")</f>
        <v>욕실 화장실 캐비닛 보관 찬장 랙 조직 정리 선반</v>
      </c>
      <c r="F331" s="1" t="str">
        <f>IFERROR(__xludf.DUMMYFUNCTION("CONCATENATE(GOOGLETRANSLATE(C331, ""en"", ""ja""))"),"バスルーム トイレ キャビネット 収納食器棚ラック ティッシュ オーガナイザー シェルフ")</f>
        <v>バスルーム トイレ キャビネット 収納食器棚ラック ティッシュ オーガナイザー シェルフ</v>
      </c>
    </row>
    <row r="332" ht="15.75" customHeight="1">
      <c r="A332" s="1">
        <v>1797.0</v>
      </c>
      <c r="B332" s="1" t="s">
        <v>15</v>
      </c>
      <c r="C332" s="1" t="s">
        <v>321</v>
      </c>
      <c r="D332" s="1" t="str">
        <f>IFERROR(__xludf.DUMMYFUNCTION("CONCATENATE(GOOGLETRANSLATE(C332, ""en"", ""zh-cn""))
"),"2 件套咖啡桌腿工业金属电脑笔记本电脑办公桌餐桌钢基脚家用办公家具配件")</f>
        <v>2 件套咖啡桌腿工业金属电脑笔记本电脑办公桌餐桌钢基脚家用办公家具配件</v>
      </c>
      <c r="E332" s="1" t="str">
        <f>IFERROR(__xludf.DUMMYFUNCTION("CONCATENATE(GOOGLETRANSLATE(C332, ""en"", ""ko""))
"),"2Pcs 커피 테이블 다리 산업용 금속 컴퓨터 노트북 책상 식탁 철강 기본 피트 홈 오피스 가구 액세서리")</f>
        <v>2Pcs 커피 테이블 다리 산업용 금속 컴퓨터 노트북 책상 식탁 철강 기본 피트 홈 오피스 가구 액세서리</v>
      </c>
      <c r="F332" s="1" t="str">
        <f>IFERROR(__xludf.DUMMYFUNCTION("CONCATENATE(GOOGLETRANSLATE(C332, ""en"", ""ja""))"),"2 個コーヒーテーブル脚工業用金属コンピュータラップトップデスクダイニングテーブルスチールベース足ホームオフィス家具アクセサリー")</f>
        <v>2 個コーヒーテーブル脚工業用金属コンピュータラップトップデスクダイニングテーブルスチールベース足ホームオフィス家具アクセサリー</v>
      </c>
    </row>
    <row r="333" ht="15.75" customHeight="1">
      <c r="A333" s="1">
        <v>1798.0</v>
      </c>
      <c r="B333" s="1" t="s">
        <v>15</v>
      </c>
      <c r="C333" s="1" t="s">
        <v>322</v>
      </c>
      <c r="D333" s="1" t="str">
        <f>IFERROR(__xludf.DUMMYFUNCTION("CONCATENATE(GOOGLETRANSLATE(C333, ""en"", ""zh-cn""))
"),"工业梯架 4 层书架植物花架储物架多用途收纳架金属框架适合家庭办公室")</f>
        <v>工业梯架 4 层书架植物花架储物架多用途收纳架金属框架适合家庭办公室</v>
      </c>
      <c r="E333" s="1" t="str">
        <f>IFERROR(__xludf.DUMMYFUNCTION("CONCATENATE(GOOGLETRANSLATE(C333, ""en"", ""ko""))
"),"산업용 사다리 선반 4 계층 책장 식물 꽃 스탠드 스토리지 랙 다목적 주최자 선반 홈 오피스 용 금속 프레임")</f>
        <v>산업용 사다리 선반 4 계층 책장 식물 꽃 스탠드 스토리지 랙 다목적 주최자 선반 홈 오피스 용 금속 프레임</v>
      </c>
      <c r="F333" s="1" t="str">
        <f>IFERROR(__xludf.DUMMYFUNCTION("CONCATENATE(GOOGLETRANSLATE(C333, ""en"", ""ja""))"),"工業用ラダーシェルフ 4 段本棚植物フラワースタンド収納ラック多目的オーガナイザー棚ホームオフィス用金属フレーム")</f>
        <v>工業用ラダーシェルフ 4 段本棚植物フラワースタンド収納ラック多目的オーガナイザー棚ホームオフィス用金属フレーム</v>
      </c>
    </row>
    <row r="334" ht="15.75" customHeight="1">
      <c r="A334" s="1">
        <v>1799.0</v>
      </c>
      <c r="B334" s="1" t="s">
        <v>15</v>
      </c>
      <c r="C334" s="1" t="s">
        <v>323</v>
      </c>
      <c r="D334" s="1" t="str">
        <f>IFERROR(__xludf.DUMMYFUNCTION("CONCATENATE(GOOGLETRANSLATE(C334, ""en"", ""zh-cn""))
"),"可调节靠垫枕头楔形腰靠颈背枕头支撑汽车座椅椅子沙发垫儿童儿童")</f>
        <v>可调节靠垫枕头楔形腰靠颈背枕头支撑汽车座椅椅子沙发垫儿童儿童</v>
      </c>
      <c r="E334" s="1" t="str">
        <f>IFERROR(__xludf.DUMMYFUNCTION("CONCATENATE(GOOGLETRANSLATE(C334, ""en"", ""ko""))
"),"조정 가능한 쿠션 베개 웨지 허리 받침대 목 뒤로 베개 지원 어린이를위한 자동차 좌석 의자 소파 쿠션 어린이")</f>
        <v>조정 가능한 쿠션 베개 웨지 허리 받침대 목 뒤로 베개 지원 어린이를위한 자동차 좌석 의자 소파 쿠션 어린이</v>
      </c>
      <c r="F334" s="1" t="str">
        <f>IFERROR(__xludf.DUMMYFUNCTION("CONCATENATE(GOOGLETRANSLATE(C334, ""en"", ""ja""))"),"調節可能なクッション枕ウェッジウエストレストネックバック枕サポートカーシート椅子ソファクッション子供用")</f>
        <v>調節可能なクッション枕ウェッジウエストレストネックバック枕サポートカーシート椅子ソファクッション子供用</v>
      </c>
    </row>
    <row r="335" ht="15.75" customHeight="1">
      <c r="A335" s="1">
        <v>1800.0</v>
      </c>
      <c r="B335" s="1" t="s">
        <v>15</v>
      </c>
      <c r="C335" s="1" t="s">
        <v>324</v>
      </c>
      <c r="D335" s="1" t="str">
        <f>IFERROR(__xludf.DUMMYFUNCTION("CONCATENATE(GOOGLETRANSLATE(C335, ""en"", ""zh-cn""))
"),"10 件/1 套耐用塑料家用双层鞋存放架鞋架收纳架节省空间")</f>
        <v>10 件/1 套耐用塑料家用双层鞋存放架鞋架收纳架节省空间</v>
      </c>
      <c r="E335" s="1" t="str">
        <f>IFERROR(__xludf.DUMMYFUNCTION("CONCATENATE(GOOGLETRANSLATE(C335, ""en"", ""ko""))
"),"10Pcs/1Set 내구성 플라스틱 홈 더블 레이어 신발 보관 랙 신발 선반 홀더 주최자 공간 절약")</f>
        <v>10Pcs/1Set 내구성 플라스틱 홈 더블 레이어 신발 보관 랙 신발 선반 홀더 주최자 공간 절약</v>
      </c>
      <c r="F335" s="1" t="str">
        <f>IFERROR(__xludf.DUMMYFUNCTION("CONCATENATE(GOOGLETRANSLATE(C335, ""en"", ""ja""))"),"10 ピース/1 セット耐久性のあるプラスチックホーム二重層靴収納ラック靴棚ホルダーオーガナイザー省スペース")</f>
        <v>10 ピース/1 セット耐久性のあるプラスチックホーム二重層靴収納ラック靴棚ホルダーオーガナイザー省スペース</v>
      </c>
    </row>
    <row r="336" ht="15.75" customHeight="1">
      <c r="A336" s="1">
        <v>1801.0</v>
      </c>
      <c r="B336" s="1" t="s">
        <v>15</v>
      </c>
      <c r="C336" s="1" t="s">
        <v>325</v>
      </c>
      <c r="D336" s="1" t="str">
        <f>IFERROR(__xludf.DUMMYFUNCTION("CONCATENATE(GOOGLETRANSLATE(C336, ""en"", ""zh-cn""))
"),"90Kg/198Lbs 铰接夹夹持能力水平板")</f>
        <v>90Kg/198Lbs 铰接夹夹持能力水平板</v>
      </c>
      <c r="E336" s="1" t="str">
        <f>IFERROR(__xludf.DUMMYFUNCTION("CONCATENATE(GOOGLETRANSLATE(C336, ""en"", ""ko""))
"),"90Kg/ 198Lbs 토글 클램프 보유 용량 수평 플레이트")</f>
        <v>90Kg/ 198Lbs 토글 클램프 보유 용량 수평 플레이트</v>
      </c>
      <c r="F336" s="1" t="str">
        <f>IFERROR(__xludf.DUMMYFUNCTION("CONCATENATE(GOOGLETRANSLATE(C336, ""en"", ""ja""))"),"90Kg/198ポンドのトグルクランプ保持能力水平プレート")</f>
        <v>90Kg/198ポンドのトグルクランプ保持能力水平プレート</v>
      </c>
    </row>
    <row r="337" ht="15.75" customHeight="1">
      <c r="A337" s="1">
        <v>1802.0</v>
      </c>
      <c r="B337" s="1" t="s">
        <v>15</v>
      </c>
      <c r="C337" s="1" t="s">
        <v>326</v>
      </c>
      <c r="D337" s="1" t="str">
        <f>IFERROR(__xludf.DUMMYFUNCTION("CONCATENATE(GOOGLETRANSLATE(C337, ""en"", ""zh-cn""))
"),"6 件/套硅胶弹力吸盘盖厨房盖锅碗塞盖")</f>
        <v>6 件/套硅胶弹力吸盘盖厨房盖锅碗塞盖</v>
      </c>
      <c r="E337" s="1" t="str">
        <f>IFERROR(__xludf.DUMMYFUNCTION("CONCATENATE(GOOGLETRANSLATE(C337, ""en"", ""ko""))
"),"6개/대 실리콘 스트레치 흡입 냄비 뚜껑 주방 커버 팬 그릇 스토퍼 캡")</f>
        <v>6개/대 실리콘 스트레치 흡입 냄비 뚜껑 주방 커버 팬 그릇 스토퍼 캡</v>
      </c>
      <c r="F337" s="1" t="str">
        <f>IFERROR(__xludf.DUMMYFUNCTION("CONCATENATE(GOOGLETRANSLATE(C337, ""en"", ""ja""))"),"6 ピース/セットシリコンストレッチ吸引ポット蓋キッチンカバーパンボウルストッパーキャップ")</f>
        <v>6 ピース/セットシリコンストレッチ吸引ポット蓋キッチンカバーパンボウルストッパーキャップ</v>
      </c>
    </row>
    <row r="338" ht="15.75" customHeight="1">
      <c r="A338" s="1">
        <v>1803.0</v>
      </c>
      <c r="B338" s="1" t="s">
        <v>15</v>
      </c>
      <c r="C338" s="1" t="s">
        <v>327</v>
      </c>
      <c r="D338" s="1" t="str">
        <f>IFERROR(__xludf.DUMMYFUNCTION("CONCATENATE(GOOGLETRANSLATE(C338, ""en"", ""zh-cn""))
"),"35 厘米/45 厘米单层木绳挂墙架复古浮动储物架壁挂式书架家居装饰品架")</f>
        <v>35 厘米/45 厘米单层木绳挂墙架复古浮动储物架壁挂式书架家居装饰品架</v>
      </c>
      <c r="E338" s="1" t="str">
        <f>IFERROR(__xludf.DUMMYFUNCTION("CONCATENATE(GOOGLETRANSLATE(C338, ""en"", ""ko""))
"),"35cm/45cm 단일 레이어 나무 밧줄 매달려 벽 선반 빈티지 플로팅 스토리지 랙 벽 마운트 책장 홈 장식 스탠드")</f>
        <v>35cm/45cm 단일 레이어 나무 밧줄 매달려 벽 선반 빈티지 플로팅 스토리지 랙 벽 마운트 책장 홈 장식 스탠드</v>
      </c>
      <c r="F338" s="1" t="str">
        <f>IFERROR(__xludf.DUMMYFUNCTION("CONCATENATE(GOOGLETRANSLATE(C338, ""en"", ""ja""))"),"35 センチメートル/45 センチメートル単層木製ロープ吊り壁棚ヴィンテージフローティング収納ラックウォールマウント本棚家の装飾スタンド")</f>
        <v>35 センチメートル/45 センチメートル単層木製ロープ吊り壁棚ヴィンテージフローティング収納ラックウォールマウント本棚家の装飾スタンド</v>
      </c>
    </row>
    <row r="339" ht="15.75" customHeight="1">
      <c r="A339" s="1">
        <v>1804.0</v>
      </c>
      <c r="B339" s="1" t="s">
        <v>15</v>
      </c>
      <c r="C339" s="1" t="s">
        <v>328</v>
      </c>
      <c r="D339" s="1" t="str">
        <f>IFERROR(__xludf.DUMMYFUNCTION("CONCATENATE(GOOGLETRANSLATE(C339, ""en"", ""zh-cn""))
"),"12.08 英寸 100 张 LP 黑胶唱片防静电塑料封面内套 LD")</f>
        <v>12.08 英寸 100 张 LP 黑胶唱片防静电塑料封面内套 LD</v>
      </c>
      <c r="E339" s="1" t="str">
        <f>IFERROR(__xludf.DUMMYFUNCTION("CONCATENATE(GOOGLETRANSLATE(C339, ""en"", ""ko""))
"),"12.08인치 100개 LP 비닐 레코드 정전기 방지 플라스틱 커버 내부 슬리브 LD")</f>
        <v>12.08인치 100개 LP 비닐 레코드 정전기 방지 플라스틱 커버 내부 슬리브 LD</v>
      </c>
      <c r="F339" s="1" t="str">
        <f>IFERROR(__xludf.DUMMYFUNCTION("CONCATENATE(GOOGLETRANSLATE(C339, ""en"", ""ja""))"),"12.08インチ 100枚 LPビニールレコード 帯電防止プラスチックカバー インナースリーブ LD")</f>
        <v>12.08インチ 100枚 LPビニールレコード 帯電防止プラスチックカバー インナースリーブ LD</v>
      </c>
    </row>
    <row r="340" ht="15.75" customHeight="1">
      <c r="A340" s="1">
        <v>1805.0</v>
      </c>
      <c r="B340" s="1" t="s">
        <v>15</v>
      </c>
      <c r="C340" s="1" t="s">
        <v>329</v>
      </c>
      <c r="D340" s="1" t="str">
        <f>IFERROR(__xludf.DUMMYFUNCTION("CONCATENATE(GOOGLETRANSLATE(C340, ""en"", ""zh-cn""))
"),"木质多肉花盆置物架多层实木地板室内生活")</f>
        <v>木质多肉花盆置物架多层实木地板室内生活</v>
      </c>
      <c r="E340" s="1" t="str">
        <f>IFERROR(__xludf.DUMMYFUNCTION("CONCATENATE(GOOGLETRANSLATE(C340, ""en"", ""ko""))
"),"나무로 된 즙이 많은 화분 선반 랙 다층 단단한 나무 바닥 실내 생활")</f>
        <v>나무로 된 즙이 많은 화분 선반 랙 다층 단단한 나무 바닥 실내 생활</v>
      </c>
      <c r="F340" s="1" t="str">
        <f>IFERROR(__xludf.DUMMYFUNCTION("CONCATENATE(GOOGLETRANSLATE(C340, ""en"", ""ja""))"),"木製多肉植物植木鉢棚ラック多層無垢材床屋内リビング")</f>
        <v>木製多肉植物植木鉢棚ラック多層無垢材床屋内リビング</v>
      </c>
    </row>
    <row r="341" ht="15.75" customHeight="1">
      <c r="A341" s="1">
        <v>1806.0</v>
      </c>
      <c r="B341" s="1" t="s">
        <v>15</v>
      </c>
      <c r="C341" s="1" t="s">
        <v>330</v>
      </c>
      <c r="D341" s="1" t="str">
        <f>IFERROR(__xludf.DUMMYFUNCTION("CONCATENATE(GOOGLETRANSLATE(C341, ""en"", ""zh-cn""))
"),"防水胶带厨房浴室卫生间水槽墙角PVC密封条")</f>
        <v>防水胶带厨房浴室卫生间水槽墙角PVC密封条</v>
      </c>
      <c r="E341" s="1" t="str">
        <f>IFERROR(__xludf.DUMMYFUNCTION("CONCATENATE(GOOGLETRANSLATE(C341, ""en"", ""ko""))
"),"방수 테이프 주방 욕실 화장실 싱크 벽 코너 PVC 씰링 스트립")</f>
        <v>방수 테이프 주방 욕실 화장실 싱크 벽 코너 PVC 씰링 스트립</v>
      </c>
      <c r="F341" s="1" t="str">
        <f>IFERROR(__xludf.DUMMYFUNCTION("CONCATENATE(GOOGLETRANSLATE(C341, ""en"", ""ja""))"),"防水テープキッチン浴室トイレシンク壁コーナー PVC シールストリップ")</f>
        <v>防水テープキッチン浴室トイレシンク壁コーナー PVC シールストリップ</v>
      </c>
    </row>
    <row r="342" ht="15.75" customHeight="1">
      <c r="A342" s="1">
        <v>1807.0</v>
      </c>
      <c r="B342" s="1" t="s">
        <v>15</v>
      </c>
      <c r="C342" s="1" t="s">
        <v>331</v>
      </c>
      <c r="D342" s="1" t="str">
        <f>IFERROR(__xludf.DUMMYFUNCTION("CONCATENATE(GOOGLETRANSLATE(C342, ""en"", ""zh-cn""))
"),"SUBMARINE 不锈钢盆和厕所柔性水暖波纹软管 G1/2 英寸冷热管浴室加热器管 20-60 厘米 ")</f>
        <v>SUBMARINE 不锈钢盆和厕所柔性水暖波纹软管 G1/2 英寸冷热管浴室加热器管 20-60 厘米 </v>
      </c>
      <c r="E342" s="1" t="str">
        <f>IFERROR(__xludf.DUMMYFUNCTION("CONCATENATE(GOOGLETRANSLATE(C342, ""en"", ""ko""))
"),"잠수함 스테인레스 스틸 분지 및 화장실 유연한 배관 물 골판지 호스 G1/2 ""온수 및 냉수 튜브 욕실 히터 파이프 20-60cm from ")</f>
        <v>잠수함 스테인레스 스틸 분지 및 화장실 유연한 배관 물 골판지 호스 G1/2 "온수 및 냉수 튜브 욕실 히터 파이프 20-60cm from </v>
      </c>
      <c r="F342" s="1" t="str">
        <f>IFERROR(__xludf.DUMMYFUNCTION("CONCATENATE(GOOGLETRANSLATE(C342, ""en"", ""ja""))"),"SUBMARINE ステンレス鋼洗面器 &amp; トイレフレキシブル配管水波形ホース G1/2 ""ホット &amp; コールドチューブ浴室ヒーターパイプ 20-60 センチメートルから ")</f>
        <v>SUBMARINE ステンレス鋼洗面器 &amp; トイレフレキシブル配管水波形ホース G1/2 "ホット &amp; コールドチューブ浴室ヒーターパイプ 20-60 センチメートルから </v>
      </c>
    </row>
    <row r="343" ht="15.75" customHeight="1">
      <c r="A343" s="1">
        <v>1808.0</v>
      </c>
      <c r="B343" s="1" t="s">
        <v>15</v>
      </c>
      <c r="C343" s="1" t="s">
        <v>332</v>
      </c>
      <c r="D343" s="1" t="str">
        <f>IFERROR(__xludf.DUMMYFUNCTION("CONCATENATE(GOOGLETRANSLATE(C343, ""en"", ""zh-cn""))
"),"北欧风几何置物架家用书架厨房塑料食品收纳盒干果零食盒家居装饰品")</f>
        <v>北欧风几何置物架家用书架厨房塑料食品收纳盒干果零食盒家居装饰品</v>
      </c>
      <c r="E343" s="1" t="str">
        <f>IFERROR(__xludf.DUMMYFUNCTION("CONCATENATE(GOOGLETRANSLATE(C343, ""en"", ""ko""))
"),"북유럽 바람 기하학 선반 가정용 책장 주방 플라스틱 식품 보관 케이스 말린 과일 스낵 상자 홈 장식")</f>
        <v>북유럽 바람 기하학 선반 가정용 책장 주방 플라스틱 식품 보관 케이스 말린 과일 스낵 상자 홈 장식</v>
      </c>
      <c r="F343" s="1" t="str">
        <f>IFERROR(__xludf.DUMMYFUNCTION("CONCATENATE(GOOGLETRANSLATE(C343, ""en"", ""ja""))"),"北欧風の幾何学的な棚家庭用本棚キッチンプラスチック食品収納ケースドライフルーツスナックボックス家の装飾")</f>
        <v>北欧風の幾何学的な棚家庭用本棚キッチンプラスチック食品収納ケースドライフルーツスナックボックス家の装飾</v>
      </c>
    </row>
    <row r="344" ht="15.75" customHeight="1">
      <c r="A344" s="1">
        <v>1809.0</v>
      </c>
      <c r="B344" s="1" t="s">
        <v>15</v>
      </c>
      <c r="C344" s="1" t="s">
        <v>333</v>
      </c>
      <c r="D344" s="1" t="str">
        <f>IFERROR(__xludf.DUMMYFUNCTION("CONCATENATE(GOOGLETRANSLATE(C344, ""en"", ""zh-cn""))
"),"150x30cm PVC 黑色/白色超级固定强力防水胶带管道修复胶带自固定胶带止漏密封绝缘胶带")</f>
        <v>150x30cm PVC 黑色/白色超级固定强力防水胶带管道修复胶带自固定胶带止漏密封绝缘胶带</v>
      </c>
      <c r="E344" s="1" t="str">
        <f>IFERROR(__xludf.DUMMYFUNCTION("CONCATENATE(GOOGLETRANSLATE(C344, ""en"", ""ko""))
"),"150x30cm PVC 블랙/화이트 슈퍼 수정 강력한 방수 접착 테이프 파이프 수리 테이프 자체 고정 테이프 중지 누출 씰 절연 테이프")</f>
        <v>150x30cm PVC 블랙/화이트 슈퍼 수정 강력한 방수 접착 테이프 파이프 수리 테이프 자체 고정 테이프 중지 누출 씰 절연 테이프</v>
      </c>
      <c r="F344" s="1" t="str">
        <f>IFERROR(__xludf.DUMMYFUNCTION("CONCATENATE(GOOGLETRANSLATE(C344, ""en"", ""ja""))"),"150 × 30 センチメートル PVC ブラック/ホワイトスーパーフィックス強力な防水粘着テープパイプ修理テープ自己固定可能テープストップリークシール絶縁テープ")</f>
        <v>150 × 30 センチメートル PVC ブラック/ホワイトスーパーフィックス強力な防水粘着テープパイプ修理テープ自己固定可能テープストップリークシール絶縁テープ</v>
      </c>
    </row>
    <row r="345" ht="15.75" customHeight="1">
      <c r="A345" s="1">
        <v>1810.0</v>
      </c>
      <c r="B345" s="1" t="s">
        <v>15</v>
      </c>
      <c r="C345" s="1" t="s">
        <v>334</v>
      </c>
      <c r="D345" s="1" t="str">
        <f>IFERROR(__xludf.DUMMYFUNCTION("CONCATENATE(GOOGLETRANSLATE(C345, ""en"", ""zh-cn""))
"),"多功能可移动床头笔记本电脑桌电脑桌学习桌电脑支架带 2 层储物架书架")</f>
        <v>多功能可移动床头笔记本电脑桌电脑桌学习桌电脑支架带 2 层储物架书架</v>
      </c>
      <c r="E345" s="1" t="str">
        <f>IFERROR(__xludf.DUMMYFUNCTION("CONCATENATE(GOOGLETRANSLATE(C345, ""en"", ""ko""))
"),"다기능 이동식 침대 옆 노트북 책상 컴퓨터 테이블 연구 테이블 컴퓨터 스탠드 2 계층 스토리지 선반 책장")</f>
        <v>다기능 이동식 침대 옆 노트북 책상 컴퓨터 테이블 연구 테이블 컴퓨터 스탠드 2 계층 스토리지 선반 책장</v>
      </c>
      <c r="F345" s="1" t="str">
        <f>IFERROR(__xludf.DUMMYFUNCTION("CONCATENATE(GOOGLETRANSLATE(C345, ""en"", ""ja""))"),"多機能可動ベッドサイドラップトップデスクコンピュータテーブル学習テーブルコンピュータスタンド2段収納棚本棚")</f>
        <v>多機能可動ベッドサイドラップトップデスクコンピュータテーブル学習テーブルコンピュータスタンド2段収納棚本棚</v>
      </c>
    </row>
    <row r="346" ht="15.75" customHeight="1">
      <c r="A346" s="1">
        <v>1811.0</v>
      </c>
      <c r="B346" s="1" t="s">
        <v>15</v>
      </c>
      <c r="C346" s="1" t="s">
        <v>335</v>
      </c>
      <c r="D346" s="1" t="str">
        <f>IFERROR(__xludf.DUMMYFUNCTION("CONCATENATE(GOOGLETRANSLATE(C346, ""en"", ""zh-cn""))
"),"3300W 电热水器水龙头 LED 环境光温度显示即热水龙头")</f>
        <v>3300W 电热水器水龙头 LED 环境光温度显示即热水龙头</v>
      </c>
      <c r="E346" s="1" t="str">
        <f>IFERROR(__xludf.DUMMYFUNCTION("CONCATENATE(GOOGLETRANSLATE(C346, ""en"", ""ko""))
"),"3300W 전기 온수기 수도꼭지 LED 주변 광 온도 표시 순간 가열 탭 수도꼭지")</f>
        <v>3300W 전기 온수기 수도꼭지 LED 주변 광 온도 표시 순간 가열 탭 수도꼭지</v>
      </c>
      <c r="F346" s="1" t="str">
        <f>IFERROR(__xludf.DUMMYFUNCTION("CONCATENATE(GOOGLETRANSLATE(C346, ""en"", ""ja""))"),"3300 ワット電気温水ヒーター蛇口 LED 周囲光温度表示インスタント加熱タップ蛇口")</f>
        <v>3300 ワット電気温水ヒーター蛇口 LED 周囲光温度表示インスタント加熱タップ蛇口</v>
      </c>
    </row>
    <row r="347" ht="15.75" customHeight="1">
      <c r="A347" s="1">
        <v>1812.0</v>
      </c>
      <c r="B347" s="1" t="s">
        <v>15</v>
      </c>
      <c r="C347" s="1" t="s">
        <v>336</v>
      </c>
      <c r="D347" s="1" t="str">
        <f>IFERROR(__xludf.DUMMYFUNCTION("CONCATENATE(GOOGLETRANSLATE(C347, ""en"", ""zh-cn""))
"),"2.5cmx3m 防水硅胶胶带管道修复胶带自固定胶带止漏密封绝缘胶带粘合救援胶带 ")</f>
        <v>2.5cmx3m 防水硅胶胶带管道修复胶带自固定胶带止漏密封绝缘胶带粘合救援胶带 </v>
      </c>
      <c r="E347" s="1" t="str">
        <f>IFERROR(__xludf.DUMMYFUNCTION("CONCATENATE(GOOGLETRANSLATE(C347, ""en"", ""ko""))
"),"2.5cmx3m 방수 실리콘 접착 테이프 파이프 수리 테이프 자체 고정 테이프 중지 누출 씰 절연 테이프 Boding 구조 테이프 ")</f>
        <v>2.5cmx3m 방수 실리콘 접착 테이프 파이프 수리 테이프 자체 고정 테이프 중지 누출 씰 절연 테이프 Boding 구조 테이프 </v>
      </c>
      <c r="F347" s="1" t="str">
        <f>IFERROR(__xludf.DUMMYFUNCTION("CONCATENATE(GOOGLETRANSLATE(C347, ""en"", ""ja""))"),"2.5 センチメートル x 3 メートル防水シリコーン粘着テープパイプ修理テープ自己固定可能テープ停止リークシール絶縁テープ結合レスキューテープ ")</f>
        <v>2.5 センチメートル x 3 メートル防水シリコーン粘着テープパイプ修理テープ自己固定可能テープ停止リークシール絶縁テープ結合レスキューテープ </v>
      </c>
    </row>
    <row r="348" ht="15.75" customHeight="1">
      <c r="A348" s="1">
        <v>1813.0</v>
      </c>
      <c r="B348" s="1" t="s">
        <v>15</v>
      </c>
      <c r="C348" s="1" t="s">
        <v>337</v>
      </c>
      <c r="D348" s="1" t="str">
        <f>IFERROR(__xludf.DUMMYFUNCTION("CONCATENATE(GOOGLETRANSLATE(C348, ""en"", ""zh-cn""))
"),"可扩展厨房储物架浴室鞋室内植物收纳架 ")</f>
        <v>可扩展厨房储物架浴室鞋室内植物收纳架 </v>
      </c>
      <c r="E348" s="1" t="str">
        <f>IFERROR(__xludf.DUMMYFUNCTION("CONCATENATE(GOOGLETRANSLATE(C348, ""en"", ""ko""))
"),"확장 가능한 주방 보관 선반 욕실 신발 관엽 식물 정리함 랙 홀더 ")</f>
        <v>확장 가능한 주방 보관 선반 욕실 신발 관엽 식물 정리함 랙 홀더 </v>
      </c>
      <c r="F348" s="1" t="str">
        <f>IFERROR(__xludf.DUMMYFUNCTION("CONCATENATE(GOOGLETRANSLATE(C348, ""en"", ""ja""))"),"拡張可能なキッチン収納棚バスルームシューズ観葉植物オーガナイザーラックホルダー ")</f>
        <v>拡張可能なキッチン収納棚バスルームシューズ観葉植物オーガナイザーラックホルダー </v>
      </c>
    </row>
    <row r="349" ht="15.75" customHeight="1">
      <c r="A349" s="1">
        <v>1814.0</v>
      </c>
      <c r="B349" s="1" t="s">
        <v>15</v>
      </c>
      <c r="C349" s="1" t="s">
        <v>338</v>
      </c>
      <c r="D349" s="1" t="str">
        <f>IFERROR(__xludf.DUMMYFUNCTION("CONCATENATE(GOOGLETRANSLATE(C349, ""en"", ""zh-cn""))
"),"防尘鞋架家用收纳简易鞋架整理器鞋撑")</f>
        <v>防尘鞋架家用收纳简易鞋架整理器鞋撑</v>
      </c>
      <c r="E349" s="1" t="str">
        <f>IFERROR(__xludf.DUMMYFUNCTION("CONCATENATE(GOOGLETRANSLATE(C349, ""en"", ""ko""))
"),"먼지 방지 신발 랙 가구는 간단한 신발 브래킷 주최자 신발 지원을 받습니다.")</f>
        <v>먼지 방지 신발 랙 가구는 간단한 신발 브래킷 주최자 신발 지원을 받습니다.</v>
      </c>
      <c r="F349" s="1" t="str">
        <f>IFERROR(__xludf.DUMMYFUNCTION("CONCATENATE(GOOGLETRANSLATE(C349, ""en"", ""ja""))"),"防塵靴ラック家庭用シンプルな靴ブラケットオーガナイザー履物サポート")</f>
        <v>防塵靴ラック家庭用シンプルな靴ブラケットオーガナイザー履物サポート</v>
      </c>
    </row>
    <row r="350" ht="15.75" customHeight="1">
      <c r="A350" s="1">
        <v>1815.0</v>
      </c>
      <c r="B350" s="1" t="s">
        <v>15</v>
      </c>
      <c r="C350" s="1" t="s">
        <v>339</v>
      </c>
      <c r="D350" s="1" t="str">
        <f>IFERROR(__xludf.DUMMYFUNCTION("CONCATENATE(GOOGLETRANSLATE(C350, ""en"", ""zh-cn""))
"),"Lusimo 工业茶几金属边桌笔记本电脑桌圆形沙发桌带储物架易于组装带金属框架的木质家具 ULET57X")</f>
        <v>Lusimo 工业茶几金属边桌笔记本电脑桌圆形沙发桌带储物架易于组装带金属框架的木质家具 ULET57X</v>
      </c>
      <c r="E350" s="1" t="str">
        <f>IFERROR(__xludf.DUMMYFUNCTION("CONCATENATE(GOOGLETRANSLATE(C350, ""en"", ""ko""))
"),"Lusimo 산업용 엔드 테이블 금속 사이드 테이블 노트북 책상 스토리지 랙이 있는 둥근 소파 테이블 쉬운 조립 금속 프레임 ULET57X가 있는 나무 악센트 가구")</f>
        <v>Lusimo 산업용 엔드 테이블 금속 사이드 테이블 노트북 책상 스토리지 랙이 있는 둥근 소파 테이블 쉬운 조립 금속 프레임 ULET57X가 있는 나무 악센트 가구</v>
      </c>
      <c r="F350" s="1" t="str">
        <f>IFERROR(__xludf.DUMMYFUNCTION("CONCATENATE(GOOGLETRANSLATE(C350, ""en"", ""ja""))"),"Lusimo 工業用エンドテーブル メタルサイドテーブル ラップトップデスク ラウンドソファテーブル 収納ラック付き 組み立て簡単 木製アクセント家具 金属フレーム付き ULET57X")</f>
        <v>Lusimo 工業用エンドテーブル メタルサイドテーブル ラップトップデスク ラウンドソファテーブル 収納ラック付き 組み立て簡単 木製アクセント家具 金属フレーム付き ULET57X</v>
      </c>
    </row>
    <row r="351" ht="15.75" customHeight="1">
      <c r="A351" s="1">
        <v>1816.0</v>
      </c>
      <c r="B351" s="1" t="s">
        <v>15</v>
      </c>
      <c r="C351" s="1" t="s">
        <v>340</v>
      </c>
      <c r="D351" s="1" t="str">
        <f>IFERROR(__xludf.DUMMYFUNCTION("CONCATENATE(GOOGLETRANSLATE(C351, ""en"", ""zh-cn""))
"),"3/4 网格调味品储存容器厨房壁挂调味品香料架")</f>
        <v>3/4 网格调味品储存容器厨房壁挂调味品香料架</v>
      </c>
      <c r="E351" s="1" t="str">
        <f>IFERROR(__xludf.DUMMYFUNCTION("CONCATENATE(GOOGLETRANSLATE(C351, ""en"", ""ko""))
"),"3/4 그리드 조미료 보관 용기 주방 벽걸이 조미료 양념 홀더")</f>
        <v>3/4 그리드 조미료 보관 용기 주방 벽걸이 조미료 양념 홀더</v>
      </c>
      <c r="F351" s="1" t="str">
        <f>IFERROR(__xludf.DUMMYFUNCTION("CONCATENATE(GOOGLETRANSLATE(C351, ""en"", ""ja""))"),"3/4 グリッド調味料保存容器キッチン壁掛け調味料スパイスホルダー")</f>
        <v>3/4 グリッド調味料保存容器キッチン壁掛け調味料スパイスホルダー</v>
      </c>
    </row>
    <row r="352" ht="15.75" customHeight="1">
      <c r="A352" s="1">
        <v>1817.0</v>
      </c>
      <c r="B352" s="1" t="s">
        <v>15</v>
      </c>
      <c r="C352" s="1" t="s">
        <v>341</v>
      </c>
      <c r="D352" s="1" t="str">
        <f>IFERROR(__xludf.DUMMYFUNCTION("CONCATENATE(GOOGLETRANSLATE(C352, ""en"", ""zh-cn""))
"),"4 件/套实木圆锥角家具腿套件沙发桌椅凳子零件腿支撑")</f>
        <v>4 件/套实木圆锥角家具腿套件沙发桌椅凳子零件腿支撑</v>
      </c>
      <c r="E352" s="1" t="str">
        <f>IFERROR(__xludf.DUMMYFUNCTION("CONCATENATE(GOOGLETRANSLATE(C352, ""en"", ""ko""))
"),"4 개/대 단단한 나무 콘 각도 가구 다리 키트 소파 테이블 의자 의자 부품 다리 지원")</f>
        <v>4 개/대 단단한 나무 콘 각도 가구 다리 키트 소파 테이블 의자 의자 부품 다리 지원</v>
      </c>
      <c r="F352" s="1" t="str">
        <f>IFERROR(__xludf.DUMMYFUNCTION("CONCATENATE(GOOGLETRANSLATE(C352, ""en"", ""ja""))"),"4 ピース/セット木製コーン角度家具脚キットソファテーブル椅子スツール部分脚サポート")</f>
        <v>4 ピース/セット木製コーン角度家具脚キットソファテーブル椅子スツール部分脚サポート</v>
      </c>
    </row>
    <row r="353" ht="15.75" customHeight="1">
      <c r="A353" s="1">
        <v>1818.0</v>
      </c>
      <c r="B353" s="1" t="s">
        <v>15</v>
      </c>
      <c r="C353" s="1" t="s">
        <v>342</v>
      </c>
      <c r="D353" s="1" t="str">
        <f>IFERROR(__xludf.DUMMYFUNCTION("CONCATENATE(GOOGLETRANSLATE(C353, ""en"", ""zh-cn""))
"),"浴室置物架纸巾卸妆棉棒面膜护肤品架子免打孔")</f>
        <v>浴室置物架纸巾卸妆棉棒面膜护肤品架子免打孔</v>
      </c>
      <c r="E353" s="1" t="str">
        <f>IFERROR(__xludf.DUMMYFUNCTION("CONCATENATE(GOOGLETRANSLATE(C353, ""en"", ""ko""))
"),"욕실 랙 티슈 방전 메이크업 면봉 마스크 스킨 케어 제품 선반 드릴링 없음")</f>
        <v>욕실 랙 티슈 방전 메이크업 면봉 마스크 스킨 케어 제품 선반 드릴링 없음</v>
      </c>
      <c r="F353" s="1" t="str">
        <f>IFERROR(__xludf.DUMMYFUNCTION("CONCATENATE(GOOGLETRANSLATE(C353, ""en"", ""ja""))"),"バスルームラックティッシュ排出メイクアップ綿棒マスクスキンケア製品棚穴あけなし")</f>
        <v>バスルームラックティッシュ排出メイクアップ綿棒マスクスキンケア製品棚穴あけなし</v>
      </c>
    </row>
    <row r="354" ht="15.75" customHeight="1">
      <c r="A354" s="1">
        <v>1819.0</v>
      </c>
      <c r="B354" s="1" t="s">
        <v>15</v>
      </c>
      <c r="C354" s="1" t="s">
        <v>343</v>
      </c>
      <c r="D354" s="1" t="str">
        <f>IFERROR(__xludf.DUMMYFUNCTION("CONCATENATE(GOOGLETRANSLATE(C354, ""en"", ""zh-cn""))
"),"实用耐用的浴缸盖和升级版舒适易拆卸的坐垫")</f>
        <v>实用耐用的浴缸盖和升级版舒适易拆卸的坐垫</v>
      </c>
      <c r="E354" s="1" t="str">
        <f>IFERROR(__xludf.DUMMYFUNCTION("CONCATENATE(GOOGLETRANSLATE(C354, ""en"", ""ko""))
"),"실용적이고 튼튼한 욕조 커버와 업그레이드된 편안하고 쉽게 탈착 가능한 쿠션")</f>
        <v>실용적이고 튼튼한 욕조 커버와 업그레이드된 편안하고 쉽게 탈착 가능한 쿠션</v>
      </c>
      <c r="F354" s="1" t="str">
        <f>IFERROR(__xludf.DUMMYFUNCTION("CONCATENATE(GOOGLETRANSLATE(C354, ""en"", ""ja""))"),"実用的で耐久性のある浴槽カバーとアップグレードされた快適で取り外しが簡単なクッション")</f>
        <v>実用的で耐久性のある浴槽カバーとアップグレードされた快適で取り外しが簡単なクッション</v>
      </c>
    </row>
    <row r="355" ht="15.75" customHeight="1">
      <c r="A355" s="1">
        <v>1820.0</v>
      </c>
      <c r="B355" s="1" t="s">
        <v>15</v>
      </c>
      <c r="C355" s="1" t="s">
        <v>344</v>
      </c>
      <c r="D355" s="1" t="str">
        <f>IFERROR(__xludf.DUMMYFUNCTION("CONCATENATE(GOOGLETRANSLATE(C355, ""en"", ""zh-cn""))
"),"沙发椅套家用弹性弹力沙发套保护套长沙发 1/2/3/4 座")</f>
        <v>沙发椅套家用弹性弹力沙发套保护套长沙发 1/2/3/4 座</v>
      </c>
      <c r="E355" s="1" t="str">
        <f>IFERROR(__xludf.DUMMYFUNCTION("CONCATENATE(GOOGLETRANSLATE(C355, ""en"", ""ko""))
"),"소파 의자 커버 가정용 신축성 있는 신축성 있는 커버 보호 긴 의자 1/2/3/4인용")</f>
        <v>소파 의자 커버 가정용 신축성 있는 신축성 있는 커버 보호 긴 의자 1/2/3/4인용</v>
      </c>
      <c r="F355" s="1" t="str">
        <f>IFERROR(__xludf.DUMMYFUNCTION("CONCATENATE(GOOGLETRANSLATE(C355, ""en"", ""ja""))"),"ソファ椅子カバーホーム弾性ストレッチスリップカバープロテクター長椅子 1/2/3/4 人乗り")</f>
        <v>ソファ椅子カバーホーム弾性ストレッチスリップカバープロテクター長椅子 1/2/3/4 人乗り</v>
      </c>
    </row>
    <row r="356" ht="15.75" customHeight="1">
      <c r="A356" s="1">
        <v>1821.0</v>
      </c>
      <c r="B356" s="1" t="s">
        <v>15</v>
      </c>
      <c r="C356" s="1" t="s">
        <v>345</v>
      </c>
      <c r="D356" s="1" t="str">
        <f>IFERROR(__xludf.DUMMYFUNCTION("CONCATENATE(GOOGLETRANSLATE(C356, ""en"", ""zh-cn""))
"),"2/3 层厨房架收纳盒不锈钢台面香料罐瓶套件")</f>
        <v>2/3 层厨房架收纳盒不锈钢台面香料罐瓶套件</v>
      </c>
      <c r="E356" s="1" t="str">
        <f>IFERROR(__xludf.DUMMYFUNCTION("CONCATENATE(GOOGLETRANSLATE(C356, ""en"", ""ko""))
"),"2/3단 주방 선반 정리함 스테인레스 스틸 조리대 양념통 병 키트")</f>
        <v>2/3단 주방 선반 정리함 스테인레스 스틸 조리대 양념통 병 키트</v>
      </c>
      <c r="F356" s="1" t="str">
        <f>IFERROR(__xludf.DUMMYFUNCTION("CONCATENATE(GOOGLETRANSLATE(C356, ""en"", ""ja""))"),"2/3段キッチンラックオーガナイザーステンレススチールカウンタートップスパイスジャーボトルキット")</f>
        <v>2/3段キッチンラックオーガナイザーステンレススチールカウンタートップスパイスジャーボトルキット</v>
      </c>
    </row>
    <row r="357" ht="15.75" customHeight="1">
      <c r="A357" s="1">
        <v>1822.0</v>
      </c>
      <c r="B357" s="1" t="s">
        <v>15</v>
      </c>
      <c r="C357" s="1" t="s">
        <v>346</v>
      </c>
      <c r="D357" s="1" t="str">
        <f>IFERROR(__xludf.DUMMYFUNCTION("CONCATENATE(GOOGLETRANSLATE(C357, ""en"", ""zh-cn""))
"),"沙发套 1/2/3/4 座休闲沙发躺椅椅弹力沙发套保护")</f>
        <v>沙发套 1/2/3/4 座休闲沙发躺椅椅弹力沙发套保护</v>
      </c>
      <c r="E357" s="1" t="str">
        <f>IFERROR(__xludf.DUMMYFUNCTION("CONCATENATE(GOOGLETRANSLATE(C357, ""en"", ""ko""))
"),"소파 커버 1/2/3/4인용 라운지 소파 안락의자 의자 신축성 커버 보호")</f>
        <v>소파 커버 1/2/3/4인용 라운지 소파 안락의자 의자 신축성 커버 보호</v>
      </c>
      <c r="F357" s="1" t="str">
        <f>IFERROR(__xludf.DUMMYFUNCTION("CONCATENATE(GOOGLETRANSLATE(C357, ""en"", ""ja""))"),"ソファカバー 1/2/3/4 人掛けラウンジソファリクライニングチェアストレッチスリップカバー保護")</f>
        <v>ソファカバー 1/2/3/4 人掛けラウンジソファリクライニングチェアストレッチスリップカバー保護</v>
      </c>
    </row>
    <row r="358" ht="15.75" customHeight="1">
      <c r="A358" s="1">
        <v>1823.0</v>
      </c>
      <c r="B358" s="1" t="s">
        <v>15</v>
      </c>
      <c r="C358" s="1" t="s">
        <v>347</v>
      </c>
      <c r="D358" s="1" t="str">
        <f>IFERROR(__xludf.DUMMYFUNCTION("CONCATENATE(GOOGLETRANSLATE(C358, ""en"", ""zh-cn""))
"),"5 层植物架风车花盆架室内室外花园花盆架储物架带轮")</f>
        <v>5 层植物架风车花盆架室内室外花园花盆架储物架带轮</v>
      </c>
      <c r="E358" s="1" t="str">
        <f>IFERROR(__xludf.DUMMYFUNCTION("CONCATENATE(GOOGLETRANSLATE(C358, ""en"", ""ko""))
"),"5 레이어 식물 스탠드 풍차 꽃 냄비 선반 실내 야외 정원 재배자 선반 바퀴가있는 스토리지 랙")</f>
        <v>5 레이어 식물 스탠드 풍차 꽃 냄비 선반 실내 야외 정원 재배자 선반 바퀴가있는 스토리지 랙</v>
      </c>
      <c r="F358" s="1" t="str">
        <f>IFERROR(__xludf.DUMMYFUNCTION("CONCATENATE(GOOGLETRANSLATE(C358, ""en"", ""ja""))"),"5 層植物スタンド風車植木鉢棚屋内屋外ガーデンプランター棚収納ラック車輪付き")</f>
        <v>5 層植物スタンド風車植木鉢棚屋内屋外ガーデンプランター棚収納ラック車輪付き</v>
      </c>
    </row>
    <row r="359" ht="15.75" customHeight="1">
      <c r="A359" s="1">
        <v>1824.0</v>
      </c>
      <c r="B359" s="1" t="s">
        <v>15</v>
      </c>
      <c r="C359" s="1" t="s">
        <v>348</v>
      </c>
      <c r="D359" s="1" t="str">
        <f>IFERROR(__xludf.DUMMYFUNCTION("CONCATENATE(GOOGLETRANSLATE(C359, ""en"", ""zh-cn""))
"),"2 层植物架花盆架室内室外花园家庭办公室花盆架储物架")</f>
        <v>2 层植物架花盆架室内室外花园家庭办公室花盆架储物架</v>
      </c>
      <c r="E359" s="1" t="str">
        <f>IFERROR(__xludf.DUMMYFUNCTION("CONCATENATE(GOOGLETRANSLATE(C359, ""en"", ""ko""))
"),"2 레이어 식물 스탠드 꽃 냄비 선반 실내 야외 정원 홈 오피스 화분 선반 스토리지 랙")</f>
        <v>2 레이어 식물 스탠드 꽃 냄비 선반 실내 야외 정원 홈 오피스 화분 선반 스토리지 랙</v>
      </c>
      <c r="F359" s="1" t="str">
        <f>IFERROR(__xludf.DUMMYFUNCTION("CONCATENATE(GOOGLETRANSLATE(C359, ""en"", ""ja""))"),"2 層植物スタンド植木鉢棚屋内屋外庭ホームオフィスプランター棚収納ラック")</f>
        <v>2 層植物スタンド植木鉢棚屋内屋外庭ホームオフィスプランター棚収納ラック</v>
      </c>
    </row>
    <row r="360" ht="15.75" customHeight="1">
      <c r="A360" s="1">
        <v>1825.0</v>
      </c>
      <c r="B360" s="1" t="s">
        <v>15</v>
      </c>
      <c r="C360" s="1" t="s">
        <v>349</v>
      </c>
      <c r="D360" s="1" t="str">
        <f>IFERROR(__xludf.DUMMYFUNCTION("CONCATENATE(GOOGLETRANSLATE(C360, ""en"", ""zh-cn""))
"),"哑光黑色铝门锁机械室内门把手锁芯锁杆门锁家用安全静音储物柜带钥匙新家居配件")</f>
        <v>哑光黑色铝门锁机械室内门把手锁芯锁杆门锁家用安全静音储物柜带钥匙新家居配件</v>
      </c>
      <c r="E360" s="1" t="str">
        <f>IFERROR(__xludf.DUMMYFUNCTION("CONCATENATE(GOOGLETRANSLATE(C360, ""en"", ""ko""))
"),"매트 블랙 알루미늄 도어 잠금 기계 내부 도어 핸들 실린더 잠금 레버 래치 홈 보안 음소거 사물함 키 새로운 홈 액세서리")</f>
        <v>매트 블랙 알루미늄 도어 잠금 기계 내부 도어 핸들 실린더 잠금 레버 래치 홈 보안 음소거 사물함 키 새로운 홈 액세서리</v>
      </c>
      <c r="F360" s="1" t="str">
        <f>IFERROR(__xludf.DUMMYFUNCTION("CONCATENATE(GOOGLETRANSLATE(C360, ""en"", ""ja""))"),"マットブラックアルミドアロック機械式インテリアドアハンドルシリンダーロックレバーラッチホームセキュリティミュートロッカーキー付き新しいホームアクセサリー")</f>
        <v>マットブラックアルミドアロック機械式インテリアドアハンドルシリンダーロックレバーラッチホームセキュリティミュートロッカーキー付き新しいホームアクセサリー</v>
      </c>
    </row>
    <row r="361" ht="15.75" customHeight="1">
      <c r="A361" s="1">
        <v>1826.0</v>
      </c>
      <c r="B361" s="1" t="s">
        <v>15</v>
      </c>
      <c r="C361" s="1" t="s">
        <v>350</v>
      </c>
      <c r="D361" s="1" t="str">
        <f>IFERROR(__xludf.DUMMYFUNCTION("CONCATENATE(GOOGLETRANSLATE(C361, ""en"", ""zh-cn""))
"),"圣诞桌布椅套 3D 打印礼品盒桌布座椅保护套适用于派对宴会酒店厨房家庭办公室")</f>
        <v>圣诞桌布椅套 3D 打印礼品盒桌布座椅保护套适用于派对宴会酒店厨房家庭办公室</v>
      </c>
      <c r="E361" s="1" t="str">
        <f>IFERROR(__xludf.DUMMYFUNCTION("CONCATENATE(GOOGLETRANSLATE(C361, ""en"", ""ko""))
"),"크리스마스 식탁보 의자 커버 3D 인쇄 선물 상자 테이블 천으로 좌석 보호대 슬리퍼 파티 연회 호텔 주방 홈 오피스")</f>
        <v>크리스마스 식탁보 의자 커버 3D 인쇄 선물 상자 테이블 천으로 좌석 보호대 슬리퍼 파티 연회 호텔 주방 홈 오피스</v>
      </c>
      <c r="F361" s="1" t="str">
        <f>IFERROR(__xludf.DUMMYFUNCTION("CONCATENATE(GOOGLETRANSLATE(C361, ""en"", ""ja""))"),"クリスマス テーブルクロス 椅子カバー 3D プリント ギフトボックス テーブルクロス シートプロテクター スリップカバー パーティー 宴会 ホテル キッチン ホーム オフィス用")</f>
        <v>クリスマス テーブルクロス 椅子カバー 3D プリント ギフトボックス テーブルクロス シートプロテクター スリップカバー パーティー 宴会 ホテル キッチン ホーム オフィス用</v>
      </c>
    </row>
    <row r="362" ht="15.75" customHeight="1">
      <c r="A362" s="1">
        <v>1827.0</v>
      </c>
      <c r="B362" s="1" t="s">
        <v>15</v>
      </c>
      <c r="C362" s="1" t="s">
        <v>351</v>
      </c>
      <c r="D362" s="1" t="str">
        <f>IFERROR(__xludf.DUMMYFUNCTION("CONCATENATE(GOOGLETRANSLATE(C362, ""en"", ""zh-cn""))
"),"JIAHUA 衣帽架壁挂式铁衣架收纳架搁板支架黑色")</f>
        <v>JIAHUA 衣帽架壁挂式铁衣架收纳架搁板支架黑色</v>
      </c>
      <c r="E362" s="1" t="str">
        <f>IFERROR(__xludf.DUMMYFUNCTION("CONCATENATE(GOOGLETRANSLATE(C362, ""en"", ""ko""))
"),"JIAHUA 코트 랙 벽 걸이 철 걸이 정리함 선반 브래킷 블랙")</f>
        <v>JIAHUA 코트 랙 벽 걸이 철 걸이 정리함 선반 브래킷 블랙</v>
      </c>
      <c r="F362" s="1" t="str">
        <f>IFERROR(__xludf.DUMMYFUNCTION("CONCATENATE(GOOGLETRANSLATE(C362, ""en"", ""ja""))"),"JIAHUA コートラック 壁掛け アイアンハンガー オーガナイザー 棚ブラケット ブラック")</f>
        <v>JIAHUA コートラック 壁掛け アイアンハンガー オーガナイザー 棚ブラケット ブラック</v>
      </c>
    </row>
    <row r="363" ht="15.75" customHeight="1">
      <c r="A363" s="1">
        <v>1828.0</v>
      </c>
      <c r="B363" s="1" t="s">
        <v>15</v>
      </c>
      <c r="C363" s="1" t="s">
        <v>352</v>
      </c>
      <c r="D363" s="1" t="str">
        <f>IFERROR(__xludf.DUMMYFUNCTION("CONCATENATE(GOOGLETRANSLATE(C363, ""en"", ""zh-cn""))
"),"2 层植物花架架金属落地架家居阳台装饰")</f>
        <v>2 层植物花架架金属落地架家居阳台装饰</v>
      </c>
      <c r="E363" s="1" t="str">
        <f>IFERROR(__xludf.DUMMYFUNCTION("CONCATENATE(GOOGLETRANSLATE(C363, ""en"", ""ko""))
"),"2겹 식물 꽃 스탠드 랙 금속 바닥 선반 홈 발코니 장식")</f>
        <v>2겹 식물 꽃 스탠드 랙 금속 바닥 선반 홈 발코니 장식</v>
      </c>
      <c r="F363" s="1" t="str">
        <f>IFERROR(__xludf.DUMMYFUNCTION("CONCATENATE(GOOGLETRANSLATE(C363, ""en"", ""ja""))"),"2層植物フラワースタンドラック金属床棚家のバルコニーの装飾")</f>
        <v>2層植物フラワースタンドラック金属床棚家のバルコニーの装飾</v>
      </c>
    </row>
    <row r="364" ht="15.75" customHeight="1">
      <c r="A364" s="1">
        <v>1829.0</v>
      </c>
      <c r="B364" s="1" t="s">
        <v>15</v>
      </c>
      <c r="C364" s="1" t="s">
        <v>353</v>
      </c>
      <c r="D364" s="1" t="str">
        <f>IFERROR(__xludf.DUMMYFUNCTION("CONCATENATE(GOOGLETRANSLATE(C364, ""en"", ""zh-cn""))
"),"BNBS 2/3 层浴室储物架厕所架节省空间收纳架家用")</f>
        <v>BNBS 2/3 层浴室储物架厕所架节省空间收纳架家用</v>
      </c>
      <c r="E364" s="1" t="str">
        <f>IFERROR(__xludf.DUMMYFUNCTION("CONCATENATE(GOOGLETRANSLATE(C364, ""en"", ""ko""))
"),"BNBS 2/3단 욕실 수납 선반 홀더 화장실 선반 공간 절약형 정리함 홈")</f>
        <v>BNBS 2/3단 욕실 수납 선반 홀더 화장실 선반 공간 절약형 정리함 홈</v>
      </c>
      <c r="F364" s="1" t="str">
        <f>IFERROR(__xludf.DUMMYFUNCTION("CONCATENATE(GOOGLETRANSLATE(C364, ""en"", ""ja""))"),"BNBS 2/3 段バスルーム収納棚ホルダートイレラックスペースセーバーオーガナイザーホーム")</f>
        <v>BNBS 2/3 段バスルーム収納棚ホルダートイレラックスペースセーバーオーガナイザーホーム</v>
      </c>
    </row>
    <row r="365" ht="15.75" customHeight="1">
      <c r="A365" s="1">
        <v>1830.0</v>
      </c>
      <c r="B365" s="1" t="s">
        <v>15</v>
      </c>
      <c r="C365" s="1" t="s">
        <v>354</v>
      </c>
      <c r="D365" s="1" t="str">
        <f>IFERROR(__xludf.DUMMYFUNCTION("CONCATENATE(GOOGLETRANSLATE(C365, ""en"", ""zh-cn""))
"),"20 件/套 M12 x 1.5 车轮螺母 19 毫米六角锁紧螺母印迹")</f>
        <v>20 件/套 M12 x 1.5 车轮螺母 19 毫米六角锁紧螺母印迹</v>
      </c>
      <c r="E365" s="1" t="str">
        <f>IFERROR(__xludf.DUMMYFUNCTION("CONCATENATE(GOOGLETRANSLATE(C365, ""en"", ""ko""))
"),"20개/세트 M12 x 1.5 휠 너트 19mm 육각 잠금 너트 블롯")</f>
        <v>20개/세트 M12 x 1.5 휠 너트 19mm 육각 잠금 너트 블롯</v>
      </c>
      <c r="F365" s="1" t="str">
        <f>IFERROR(__xludf.DUMMYFUNCTION("CONCATENATE(GOOGLETRANSLATE(C365, ""en"", ""ja""))"),"20 個/セット M12 x 1.5 ホイールナット 19mm 六角ロックナットブロット")</f>
        <v>20 個/セット M12 x 1.5 ホイールナット 19mm 六角ロックナットブロット</v>
      </c>
    </row>
    <row r="366" ht="15.75" customHeight="1">
      <c r="A366" s="1">
        <v>1831.0</v>
      </c>
      <c r="B366" s="1" t="s">
        <v>15</v>
      </c>
      <c r="C366" s="1" t="s">
        <v>355</v>
      </c>
      <c r="D366" s="1" t="str">
        <f>IFERROR(__xludf.DUMMYFUNCTION("CONCATENATE(GOOGLETRANSLATE(C366, ""en"", ""zh-cn""))
"),"Suleve MXNP2 270 件白色/黑色 M2-M5 塑料尼龙十字螺丝圆头六角螺母分类套件")</f>
        <v>Suleve MXNP2 270 件白色/黑色 M2-M5 塑料尼龙十字螺丝圆头六角螺母分类套件</v>
      </c>
      <c r="E366" s="1" t="str">
        <f>IFERROR(__xludf.DUMMYFUNCTION("CONCATENATE(GOOGLETRANSLATE(C366, ""en"", ""ko""))
"),"Suleve MXNP2 270Pcs 흰색/검정색 M2-M5 플라스틱 나일론 필립스 나사 둥근 머리 육각 너트 모음 키트")</f>
        <v>Suleve MXNP2 270Pcs 흰색/검정색 M2-M5 플라스틱 나일론 필립스 나사 둥근 머리 육각 너트 모음 키트</v>
      </c>
      <c r="F366" s="1" t="str">
        <f>IFERROR(__xludf.DUMMYFUNCTION("CONCATENATE(GOOGLETRANSLATE(C366, ""en"", ""ja""))"),"Suleve MXNP2 270 個ホワイト/ブラック M2-M5 プラスチックナイロンプラスネジ丸頭六角ナット詰め合わせキット")</f>
        <v>Suleve MXNP2 270 個ホワイト/ブラック M2-M5 プラスチックナイロンプラスネジ丸頭六角ナット詰め合わせキット</v>
      </c>
    </row>
    <row r="367" ht="15.75" customHeight="1">
      <c r="A367" s="1">
        <v>1832.0</v>
      </c>
      <c r="B367" s="1" t="s">
        <v>15</v>
      </c>
      <c r="C367" s="1" t="s">
        <v>356</v>
      </c>
      <c r="D367" s="1" t="str">
        <f>IFERROR(__xludf.DUMMYFUNCTION("CONCATENATE(GOOGLETRANSLATE(C367, ""en"", ""zh-cn""))
"),"61 英寸躺椅垫躺椅衬垫室内/室外躺椅露台花园办公室")</f>
        <v>61 英寸躺椅垫躺椅衬垫室内/室外躺椅露台花园办公室</v>
      </c>
      <c r="E367" s="1" t="str">
        <f>IFERROR(__xludf.DUMMYFUNCTION("CONCATENATE(GOOGLETRANSLATE(C367, ""en"", ""ko""))
"),"61인치 데크 의자 쿠션 라운지 긴 의자 패딩 내부/실외 안락의자 파티오 가든 사무실")</f>
        <v>61인치 데크 의자 쿠션 라운지 긴 의자 패딩 내부/실외 안락의자 파티오 가든 사무실</v>
      </c>
      <c r="F367" s="1" t="str">
        <f>IFERROR(__xludf.DUMMYFUNCTION("CONCATENATE(GOOGLETRANSLATE(C367, ""en"", ""ja""))"),"61インチ デッキチェアクッション ラウンジ長椅子パッド 屋内/屋外リクライニングチェア パティオ ガーデンオフィス")</f>
        <v>61インチ デッキチェアクッション ラウンジ長椅子パッド 屋内/屋外リクライニングチェア パティオ ガーデンオフィス</v>
      </c>
    </row>
    <row r="368" ht="15.75" customHeight="1">
      <c r="A368" s="1">
        <v>1833.0</v>
      </c>
      <c r="B368" s="1" t="s">
        <v>15</v>
      </c>
      <c r="C368" s="1" t="s">
        <v>357</v>
      </c>
      <c r="D368" s="1" t="str">
        <f>IFERROR(__xludf.DUMMYFUNCTION("CONCATENATE(GOOGLETRANSLATE(C368, ""en"", ""zh-cn""))
"),"170 厘米太阳躺椅垫躺椅躺椅垫带防滑背弹性套适用于花园户外/室内/沙发/榻榻米/汽车座椅")</f>
        <v>170 厘米太阳躺椅垫躺椅躺椅垫带防滑背弹性套适用于花园户外/室内/沙发/榻榻米/汽车座椅</v>
      </c>
      <c r="E368" s="1" t="str">
        <f>IFERROR(__xludf.DUMMYFUNCTION("CONCATENATE(GOOGLETRANSLATE(C368, ""en"", ""ko""))
"),"170CM Sun Lounger 의자 쿠션 정원 야외/실내/소파/다다미/자동차 좌석 용 미끄럼 방지 백 탄성 슬리브가있는 라운지 Chaise 안락 의자 의자 쿠션")</f>
        <v>170CM Sun Lounger 의자 쿠션 정원 야외/실내/소파/다다미/자동차 좌석 용 미끄럼 방지 백 탄성 슬리브가있는 라운지 Chaise 안락 의자 의자 쿠션</v>
      </c>
      <c r="F368" s="1" t="str">
        <f>IFERROR(__xludf.DUMMYFUNCTION("CONCATENATE(GOOGLETRANSLATE(C368, ""en"", ""ja""))"),"170CM サンラウンジャーチェアクッション ラウンジ長椅子 リクライニングチェアクッション 滑り止めバック弾性スリーブ付き 庭用 屋外/屋内/ソファ/畳/カーシート用")</f>
        <v>170CM サンラウンジャーチェアクッション ラウンジ長椅子 リクライニングチェアクッション 滑り止めバック弾性スリーブ付き 庭用 屋外/屋内/ソファ/畳/カーシート用</v>
      </c>
    </row>
    <row r="369" ht="15.75" customHeight="1">
      <c r="A369" s="1">
        <v>1834.0</v>
      </c>
      <c r="B369" s="1" t="s">
        <v>15</v>
      </c>
      <c r="C369" s="1" t="s">
        <v>358</v>
      </c>
      <c r="D369" s="1" t="str">
        <f>IFERROR(__xludf.DUMMYFUNCTION("CONCATENATE(GOOGLETRANSLATE(C369, ""en"", ""zh-cn""))
"),"可折叠懒人沙发单人床电脑椅落地宿舍小沙发阳台飘窗靠背椅用品")</f>
        <v>可折叠懒人沙发单人床电脑椅落地宿舍小沙发阳台飘窗靠背椅用品</v>
      </c>
      <c r="E369" s="1" t="str">
        <f>IFERROR(__xludf.DUMMYFUNCTION("CONCATENATE(GOOGLETRANSLATE(C369, ""en"", ""ko""))
"),"접이식 게으른 소파 싱글 침대 컴퓨터 의자 바닥 기숙사 발코니 베이 창 뒤 의자 용품을위한 작은 소파")</f>
        <v>접이식 게으른 소파 싱글 침대 컴퓨터 의자 바닥 기숙사 발코니 베이 창 뒤 의자 용품을위한 작은 소파</v>
      </c>
      <c r="F369" s="1" t="str">
        <f>IFERROR(__xludf.DUMMYFUNCTION("CONCATENATE(GOOGLETRANSLATE(C369, ""en"", ""ja""))"),"折りたたみ怠惰なソファシングルベッドコンピュータチェア床寮小さなソファバルコニー出窓バックチェア用品")</f>
        <v>折りたたみ怠惰なソファシングルベッドコンピュータチェア床寮小さなソファバルコニー出窓バックチェア用品</v>
      </c>
    </row>
    <row r="370" ht="15.75" customHeight="1">
      <c r="A370" s="1">
        <v>1835.0</v>
      </c>
      <c r="B370" s="1" t="s">
        <v>15</v>
      </c>
      <c r="C370" s="1" t="s">
        <v>359</v>
      </c>
      <c r="D370" s="1" t="str">
        <f>IFERROR(__xludf.DUMMYFUNCTION("CONCATENATE(GOOGLETRANSLATE(C370, ""en"", ""zh-cn""))
"),"实心重型锌合金加长磁性门吸隐藏式脚踏板落地式门锁免打孔门夹  ")</f>
        <v>实心重型锌合金加长磁性门吸隐藏式脚踏板落地式门锁免打孔门夹  </v>
      </c>
      <c r="E370" s="1" t="str">
        <f>IFERROR(__xludf.DUMMYFUNCTION("CONCATENATE(GOOGLETRANSLATE(C370, ""en"", ""ko""))
"),"솔리드 헤비 듀티 아연 합금 확장 마그네틱 도어 스톱퍼 숨겨진 풋 페달 플로어 마운트 도어 캐치 프리 펀칭 도어 홀더  ")</f>
        <v>솔리드 헤비 듀티 아연 합금 확장 마그네틱 도어 스톱퍼 숨겨진 풋 페달 플로어 마운트 도어 캐치 프리 펀칭 도어 홀더  </v>
      </c>
      <c r="F370" s="1" t="str">
        <f>IFERROR(__xludf.DUMMYFUNCTION("CONCATENATE(GOOGLETRANSLATE(C370, ""en"", ""ja""))"),"固体高耐久亜鉛合金拡張磁気ドアストッパー隠しフットペダルフロアマウントドアキャッチフリーパンチングドアホルダー  ")</f>
        <v>固体高耐久亜鉛合金拡張磁気ドアストッパー隠しフットペダルフロアマウントドアキャッチフリーパンチングドアホルダー  </v>
      </c>
    </row>
    <row r="371" ht="15.75" customHeight="1">
      <c r="A371" s="1">
        <v>1836.0</v>
      </c>
      <c r="B371" s="1" t="s">
        <v>15</v>
      </c>
      <c r="C371" s="1" t="s">
        <v>360</v>
      </c>
      <c r="D371" s="1" t="str">
        <f>IFERROR(__xludf.DUMMYFUNCTION("CONCATENATE(GOOGLETRANSLATE(C371, ""en"", ""zh-cn""))
"),"碗碟晾干架收纳架家用厨房水槽水槽不锈钢沥干63/73/83CM")</f>
        <v>碗碟晾干架收纳架家用厨房水槽水槽不锈钢沥干63/73/83CM</v>
      </c>
      <c r="E371" s="1" t="str">
        <f>IFERROR(__xludf.DUMMYFUNCTION("CONCATENATE(GOOGLETRANSLATE(C371, ""en"", ""ko""))
"),"접시 건조대 정리함 가정용 주방 싱크대 스테인레스 스틸 63/73/83CM 배수")</f>
        <v>접시 건조대 정리함 가정용 주방 싱크대 스테인레스 스틸 63/73/83CM 배수</v>
      </c>
      <c r="F371" s="1" t="str">
        <f>IFERROR(__xludf.DUMMYFUNCTION("CONCATENATE(GOOGLETRANSLATE(C371, ""en"", ""ja""))"),"食器乾燥ラックオーガナイザーホームキッチンシンク上水切りステンレス鋼 63/73/83 センチメートル")</f>
        <v>食器乾燥ラックオーガナイザーホームキッチンシンク上水切りステンレス鋼 63/73/83 センチメートル</v>
      </c>
    </row>
    <row r="372" ht="15.75" customHeight="1">
      <c r="A372" s="1">
        <v>1837.0</v>
      </c>
      <c r="B372" s="1" t="s">
        <v>15</v>
      </c>
      <c r="C372" s="1" t="s">
        <v>361</v>
      </c>
      <c r="D372" s="1" t="str">
        <f>IFERROR(__xludf.DUMMYFUNCTION("CONCATENATE(GOOGLETRANSLATE(C372, ""en"", ""zh-cn""))
"),"可移动笔记本电脑桌家用床懒人桌床头柜学生宿舍卧室学习桌书桌家庭办公室书房卧室")</f>
        <v>可移动笔记本电脑桌家用床懒人桌床头柜学生宿舍卧室学习桌书桌家庭办公室书房卧室</v>
      </c>
      <c r="E372" s="1" t="str">
        <f>IFERROR(__xludf.DUMMYFUNCTION("CONCATENATE(GOOGLETRANSLATE(C372, ""en"", ""ko""))
"),"이동식 노트북 책상 홈 침대 게으른 테이블 침대 옆 테이블 학생 기숙사 침실 연구 테이블 책상 홈 오피스 Stydy 침실")</f>
        <v>이동식 노트북 책상 홈 침대 게으른 테이블 침대 옆 테이블 학생 기숙사 침실 연구 테이블 책상 홈 오피스 Stydy 침실</v>
      </c>
      <c r="F372" s="1" t="str">
        <f>IFERROR(__xludf.DUMMYFUNCTION("CONCATENATE(GOOGLETRANSLATE(C372, ""en"", ""ja""))"),"移動可能なラップトップデスクホームベッド怠惰なテーブルベッドサイドテーブル学生寮の寝室学習テーブルデスクホームオフィス Stydy 寝室")</f>
        <v>移動可能なラップトップデスクホームベッド怠惰なテーブルベッドサイドテーブル学生寮の寝室学習テーブルデスクホームオフィス Stydy 寝室</v>
      </c>
    </row>
    <row r="373" ht="15.75" customHeight="1">
      <c r="A373" s="1">
        <v>1838.0</v>
      </c>
      <c r="B373" s="1" t="s">
        <v>15</v>
      </c>
      <c r="C373" s="1" t="s">
        <v>362</v>
      </c>
      <c r="D373" s="1" t="str">
        <f>IFERROR(__xludf.DUMMYFUNCTION("CONCATENATE(GOOGLETRANSLATE(C373, ""en"", ""zh-cn""))
"),"1/2/3/4 座弹性沙发套通用椅子座椅保护套弹力套沙发套家庭办公家具装饰")</f>
        <v>1/2/3/4 座弹性沙发套通用椅子座椅保护套弹力套沙发套家庭办公家具装饰</v>
      </c>
      <c r="E373" s="1" t="str">
        <f>IFERROR(__xludf.DUMMYFUNCTION("CONCATENATE(GOOGLETRANSLATE(C373, ""en"", ""ko""))
"),"1/2/3/4 Seaters 탄성 소파 커버 범용 의자 좌석 보호대 스트레치 슬립 커버 소파 케이스 홈 오피스 가구 장식")</f>
        <v>1/2/3/4 Seaters 탄성 소파 커버 범용 의자 좌석 보호대 스트레치 슬립 커버 소파 케이스 홈 오피스 가구 장식</v>
      </c>
      <c r="F373" s="1" t="str">
        <f>IFERROR(__xludf.DUMMYFUNCTION("CONCATENATE(GOOGLETRANSLATE(C373, ""en"", ""ja""))"),"1/2/3/4 人乗り弾性ソファカバーユニバーサル椅子シートプロテクターストレッチ本カバーソファケースホームオフィス家具装飾")</f>
        <v>1/2/3/4 人乗り弾性ソファカバーユニバーサル椅子シートプロテクターストレッチ本カバーソファケースホームオフィス家具装飾</v>
      </c>
    </row>
    <row r="374" ht="15.75" customHeight="1">
      <c r="A374" s="1">
        <v>1839.0</v>
      </c>
      <c r="B374" s="1" t="s">
        <v>15</v>
      </c>
      <c r="C374" s="1" t="s">
        <v>363</v>
      </c>
      <c r="D374" s="1" t="str">
        <f>IFERROR(__xludf.DUMMYFUNCTION("CONCATENATE(GOOGLETRANSLATE(C374, ""en"", ""zh-cn""))
"),"8L家用客厅卧室垃圾桶磨砂ABS袋")</f>
        <v>8L家用客厅卧室垃圾桶磨砂ABS袋</v>
      </c>
      <c r="E374" s="1" t="str">
        <f>IFERROR(__xludf.DUMMYFUNCTION("CONCATENATE(GOOGLETRANSLATE(C374, ""en"", ""ko""))
"),"8L 가정 거실 침실 쓰레기통 젖빛 ABS 가방")</f>
        <v>8L 가정 거실 침실 쓰레기통 젖빛 ABS 가방</v>
      </c>
      <c r="F374" s="1" t="str">
        <f>IFERROR(__xludf.DUMMYFUNCTION("CONCATENATE(GOOGLETRANSLATE(C374, ""en"", ""ja""))"),"8L ホーム リビング ルーム ベッドルーム ゴミ箱 つや消し ABS バッグ")</f>
        <v>8L ホーム リビング ルーム ベッドルーム ゴミ箱 つや消し ABS バッグ</v>
      </c>
    </row>
    <row r="375" ht="15.75" customHeight="1">
      <c r="A375" s="1">
        <v>1840.0</v>
      </c>
      <c r="B375" s="1" t="s">
        <v>15</v>
      </c>
      <c r="C375" s="1" t="s">
        <v>364</v>
      </c>
      <c r="D375" s="1" t="str">
        <f>IFERROR(__xludf.DUMMYFUNCTION("CONCATENATE(GOOGLETRANSLATE(C375, ""en"", ""zh-cn""))
"),"铝合金黑色家具拉手橱柜拉手厨房拉手抽屉拉手橱柜拉手橱柜拉手旋钮")</f>
        <v>铝合金黑色家具拉手橱柜拉手厨房拉手抽屉拉手橱柜拉手橱柜拉手旋钮</v>
      </c>
      <c r="E375" s="1" t="str">
        <f>IFERROR(__xludf.DUMMYFUNCTION("CONCATENATE(GOOGLETRANSLATE(C375, ""en"", ""ko""))
"),"가구 내각 손잡이 및 손잡이를 위한 알루미늄 합금 검정 손잡이 부엌 손잡이 서랍 손잡이 내각은 찬장 손잡이 손잡이를 당깁니다")</f>
        <v>가구 내각 손잡이 및 손잡이를 위한 알루미늄 합금 검정 손잡이 부엌 손잡이 서랍 손잡이 내각은 찬장 손잡이 손잡이를 당깁니다</v>
      </c>
      <c r="F375" s="1" t="str">
        <f>IFERROR(__xludf.DUMMYFUNCTION("CONCATENATE(GOOGLETRANSLATE(C375, ""en"", ""ja""))"),"アルミ合金黒ハンドル家具キャビネットノブとハンドルキッチンハンドル引き出しノブキャビネット取手食器棚ハンドルノブ")</f>
        <v>アルミ合金黒ハンドル家具キャビネットノブとハンドルキッチンハンドル引き出しノブキャビネット取手食器棚ハンドルノブ</v>
      </c>
    </row>
    <row r="376" ht="15.75" customHeight="1">
      <c r="A376" s="1">
        <v>1841.0</v>
      </c>
      <c r="B376" s="1" t="s">
        <v>15</v>
      </c>
      <c r="C376" s="1" t="s">
        <v>365</v>
      </c>
      <c r="D376" s="1" t="str">
        <f>IFERROR(__xludf.DUMMYFUNCTION("CONCATENATE(GOOGLETRANSLATE(C376, ""en"", ""zh-cn""))
"),"书架展示架DIY管架仿古支架浮动架子墙壁支架")</f>
        <v>书架展示架DIY管架仿古支架浮动架子墙壁支架</v>
      </c>
      <c r="E376" s="1" t="str">
        <f>IFERROR(__xludf.DUMMYFUNCTION("CONCATENATE(GOOGLETRANSLATE(C376, ""en"", ""ko""))
"),"책장 디스플레이 선반 DIY 파이프 선반 소박한 브래킷 부동 선반 벽 브래킷")</f>
        <v>책장 디스플레이 선반 DIY 파이프 선반 소박한 브래킷 부동 선반 벽 브래킷</v>
      </c>
      <c r="F376" s="1" t="str">
        <f>IFERROR(__xludf.DUMMYFUNCTION("CONCATENATE(GOOGLETRANSLATE(C376, ""en"", ""ja""))"),"本棚陳列棚 DIY パイプ棚 素朴なブラケット フローティング棚 壁ブラケット")</f>
        <v>本棚陳列棚 DIY パイプ棚 素朴なブラケット フローティング棚 壁ブラケット</v>
      </c>
    </row>
    <row r="377" ht="15.75" customHeight="1">
      <c r="A377" s="1">
        <v>1842.0</v>
      </c>
      <c r="B377" s="1" t="s">
        <v>15</v>
      </c>
      <c r="C377" s="1" t="s">
        <v>366</v>
      </c>
      <c r="D377" s="1" t="str">
        <f>IFERROR(__xludf.DUMMYFUNCTION("CONCATENATE(GOOGLETRANSLATE(C377, ""en"", ""zh-cn""))
"),"80厘米多功能散热器晾衣架晾衣机散热器阳台浴缸晾衣架")</f>
        <v>80厘米多功能散热器晾衣架晾衣机散热器阳台浴缸晾衣架</v>
      </c>
      <c r="E377" s="1" t="str">
        <f>IFERROR(__xludf.DUMMYFUNCTION("CONCATENATE(GOOGLETRANSLATE(C377, ""en"", ""ko""))
"),"80cm 다기능 라디에이터 건조 랙 의류 건조기 라디에이터 발코니 욕조 옷 랙")</f>
        <v>80cm 다기능 라디에이터 건조 랙 의류 건조기 라디에이터 발코니 욕조 옷 랙</v>
      </c>
      <c r="F377" s="1" t="str">
        <f>IFERROR(__xludf.DUMMYFUNCTION("CONCATENATE(GOOGLETRANSLATE(C377, ""en"", ""ja""))"),"80 センチメートル多機能ラジエーター乾燥ラック衣類乾燥機ラジエーターバルコニー浴槽洋服ラック")</f>
        <v>80 センチメートル多機能ラジエーター乾燥ラック衣類乾燥機ラジエーターバルコニー浴槽洋服ラック</v>
      </c>
    </row>
    <row r="378" ht="15.75" customHeight="1">
      <c r="A378" s="1">
        <v>1843.0</v>
      </c>
      <c r="B378" s="1" t="s">
        <v>15</v>
      </c>
      <c r="C378" s="1" t="s">
        <v>367</v>
      </c>
      <c r="D378" s="1" t="str">
        <f>IFERROR(__xludf.DUMMYFUNCTION("CONCATENATE(GOOGLETRANSLATE(C378, ""en"", ""zh-cn""))
"),"复古格子抱枕套垫套 18 英寸 x 18 英寸枕头保护套适用于卧室沙发沙发床露台椅子家居汽车装饰")</f>
        <v>复古格子抱枕套垫套 18 英寸 x 18 英寸枕头保护套适用于卧室沙发沙发床露台椅子家居汽车装饰</v>
      </c>
      <c r="E378" s="1" t="str">
        <f>IFERROR(__xludf.DUMMYFUNCTION("CONCATENATE(GOOGLETRANSLATE(C378, ""en"", ""ko""))
"),"레트로 격자 무늬 던져 베개 케이스 쿠션 커버 18''x18'' 침실 소파 소파 침대 파티오 의자 홈 자동차 장식에 대한 베개 보호대")</f>
        <v>레트로 격자 무늬 던져 베개 케이스 쿠션 커버 18''x18'' 침실 소파 소파 침대 파티오 의자 홈 자동차 장식에 대한 베개 보호대</v>
      </c>
      <c r="F378" s="1" t="str">
        <f>IFERROR(__xludf.DUMMYFUNCTION("CONCATENATE(GOOGLETRANSLATE(C378, ""en"", ""ja""))"),"レトロチェック柄スローピローケースクッションカバー 18 インチ x 18 インチ枕プロテクター寝室のカウチソファベッドパティオチェア家の車の装飾")</f>
        <v>レトロチェック柄スローピローケースクッションカバー 18 インチ x 18 インチ枕プロテクター寝室のカウチソファベッドパティオチェア家の車の装飾</v>
      </c>
    </row>
    <row r="379" ht="15.75" customHeight="1">
      <c r="A379" s="1">
        <v>1844.0</v>
      </c>
      <c r="B379" s="1" t="s">
        <v>15</v>
      </c>
      <c r="C379" s="1" t="s">
        <v>368</v>
      </c>
      <c r="D379" s="1" t="str">
        <f>IFERROR(__xludf.DUMMYFUNCTION("CONCATENATE(GOOGLETRANSLATE(C379, ""en"", ""zh-cn""))
"),"多功能壁挂架壁挂储物架厨房/浴室")</f>
        <v>多功能壁挂架壁挂储物架厨房/浴室</v>
      </c>
      <c r="E379" s="1" t="str">
        <f>IFERROR(__xludf.DUMMYFUNCTION("CONCATENATE(GOOGLETRANSLATE(C379, ""en"", ""ko""))
"),"다기능 벽걸이 스탠드 월 행잉 스토리지 랙 주방/욕실")</f>
        <v>다기능 벽걸이 스탠드 월 행잉 스토리지 랙 주방/욕실</v>
      </c>
      <c r="F379" s="1" t="str">
        <f>IFERROR(__xludf.DUMMYFUNCTION("CONCATENATE(GOOGLETRANSLATE(C379, ""en"", ""ja""))"),"多機能壁掛けスタンド壁掛け収納ラックキッチン/バスルーム")</f>
        <v>多機能壁掛けスタンド壁掛け収納ラックキッチン/バスルーム</v>
      </c>
    </row>
    <row r="380" ht="15.75" customHeight="1">
      <c r="A380" s="1">
        <v>1845.0</v>
      </c>
      <c r="B380" s="1" t="s">
        <v>15</v>
      </c>
      <c r="C380" s="1" t="s">
        <v>369</v>
      </c>
      <c r="D380" s="1" t="str">
        <f>IFERROR(__xludf.DUMMYFUNCTION("CONCATENATE(GOOGLETRANSLATE(C380, ""en"", ""zh-cn""))
"),"创意壁挂置物架日式铁艺壁挂式收纳篮置物架免打孔置物架书架家用办公室装饰品置物架")</f>
        <v>创意壁挂置物架日式铁艺壁挂式收纳篮置物架免打孔置物架书架家用办公室装饰品置物架</v>
      </c>
      <c r="E380" s="1" t="str">
        <f>IFERROR(__xludf.DUMMYFUNCTION("CONCATENATE(GOOGLETRANSLATE(C380, ""en"", ""ko""))
"),"크리 에이 티브 벽 교수형 선반 일본식 철 벽 마운트 스토리지 바구니 랙 무료 펀치 랙 책장 홈 오피스 장식 스탠드")</f>
        <v>크리 에이 티브 벽 교수형 선반 일본식 철 벽 마운트 스토리지 바구니 랙 무료 펀치 랙 책장 홈 오피스 장식 스탠드</v>
      </c>
      <c r="F380" s="1" t="str">
        <f>IFERROR(__xludf.DUMMYFUNCTION("CONCATENATE(GOOGLETRANSLATE(C380, ""en"", ""ja""))"),"クリエイティブ壁掛け棚和風アイアン壁掛け収納バスケットラックフリーパンチラック本棚ホームオフィス装飾スタンド")</f>
        <v>クリエイティブ壁掛け棚和風アイアン壁掛け収納バスケットラックフリーパンチラック本棚ホームオフィス装飾スタンド</v>
      </c>
    </row>
    <row r="381" ht="15.75" customHeight="1">
      <c r="A381" s="1">
        <v>1846.0</v>
      </c>
      <c r="B381" s="1" t="s">
        <v>15</v>
      </c>
      <c r="C381" s="1" t="s">
        <v>370</v>
      </c>
      <c r="D381" s="1" t="str">
        <f>IFERROR(__xludf.DUMMYFUNCTION("CONCATENATE(GOOGLETRANSLATE(C381, ""en"", ""zh-cn""))
"),"多功能壁挂式储物架家用浴室收纳架架子 ")</f>
        <v>多功能壁挂式储物架家用浴室收纳架架子 </v>
      </c>
      <c r="E381" s="1" t="str">
        <f>IFERROR(__xludf.DUMMYFUNCTION("CONCATENATE(GOOGLETRANSLATE(C381, ""en"", ""ko""))
"),"다기능 벽걸이형 스토리지 랙 홈 목욕 정리함 선반 홀더 ")</f>
        <v>다기능 벽걸이형 스토리지 랙 홈 목욕 정리함 선반 홀더 </v>
      </c>
      <c r="F381" s="1" t="str">
        <f>IFERROR(__xludf.DUMMYFUNCTION("CONCATENATE(GOOGLETRANSLATE(C381, ""en"", ""ja""))"),"多機能壁掛け収納ラックホームバスオーガナイザー棚ホルダー ")</f>
        <v>多機能壁掛け収納ラックホームバスオーガナイザー棚ホルダー </v>
      </c>
    </row>
    <row r="382" ht="15.75" customHeight="1">
      <c r="A382" s="1">
        <v>1847.0</v>
      </c>
      <c r="B382" s="1" t="s">
        <v>15</v>
      </c>
      <c r="C382" s="1" t="s">
        <v>371</v>
      </c>
      <c r="D382" s="1" t="str">
        <f>IFERROR(__xludf.DUMMYFUNCTION("CONCATENATE(GOOGLETRANSLATE(C382, ""en"", ""zh-cn""))
"),"12 英寸 DIY 瓷砖贴纸 3D 砖墙自粘贴纸浴室厨房")</f>
        <v>12 英寸 DIY 瓷砖贴纸 3D 砖墙自粘贴纸浴室厨房</v>
      </c>
      <c r="E382" s="1" t="str">
        <f>IFERROR(__xludf.DUMMYFUNCTION("CONCATENATE(GOOGLETRANSLATE(C382, ""en"", ""ko""))
"),"12인치 DIY 타일 스티커 3D 벽돌 벽 자체 접착 스티커 욕실 주방")</f>
        <v>12인치 DIY 타일 스티커 3D 벽돌 벽 자체 접착 스티커 욕실 주방</v>
      </c>
      <c r="F382" s="1" t="str">
        <f>IFERROR(__xludf.DUMMYFUNCTION("CONCATENATE(GOOGLETRANSLATE(C382, ""en"", ""ja""))"),"12 インチ DIY タイルステッカー 3D レンガ壁自己粘着ステッカー浴室キッチン")</f>
        <v>12 インチ DIY タイルステッカー 3D レンガ壁自己粘着ステッカー浴室キッチン</v>
      </c>
    </row>
    <row r="383" ht="15.75" customHeight="1">
      <c r="A383" s="1">
        <v>1848.0</v>
      </c>
      <c r="B383" s="1" t="s">
        <v>15</v>
      </c>
      <c r="C383" s="1" t="s">
        <v>372</v>
      </c>
      <c r="D383" s="1" t="str">
        <f>IFERROR(__xludf.DUMMYFUNCTION("CONCATENATE(GOOGLETRANSLATE(C383, ""en"", ""zh-cn""))
"),"水槽龙头感应水龙头镀铬黄铜自动免提红外线面盆水龙头")</f>
        <v>水槽龙头感应水龙头镀铬黄铜自动免提红外线面盆水龙头</v>
      </c>
      <c r="E383" s="1" t="str">
        <f>IFERROR(__xludf.DUMMYFUNCTION("CONCATENATE(GOOGLETRANSLATE(C383, ""en"", ""ko""))
"),"싱크 믹서 센서 탭 크롬 황동 자동 핸즈프리 적외선 세면대 수도꼭지")</f>
        <v>싱크 믹서 센서 탭 크롬 황동 자동 핸즈프리 적외선 세면대 수도꼭지</v>
      </c>
      <c r="F383" s="1" t="str">
        <f>IFERROR(__xludf.DUMMYFUNCTION("CONCATENATE(GOOGLETRANSLATE(C383, ""en"", ""ja""))"),"シンクミキサーセンサータップクローム真鍮自動ハンズフリー赤外線洗面器の蛇口")</f>
        <v>シンクミキサーセンサータップクローム真鍮自動ハンズフリー赤外線洗面器の蛇口</v>
      </c>
    </row>
    <row r="384" ht="15.75" customHeight="1">
      <c r="A384" s="1">
        <v>1849.0</v>
      </c>
      <c r="B384" s="1" t="s">
        <v>15</v>
      </c>
      <c r="C384" s="1" t="s">
        <v>373</v>
      </c>
      <c r="D384" s="1" t="str">
        <f>IFERROR(__xludf.DUMMYFUNCTION("CONCATENATE(GOOGLETRANSLATE(C384, ""en"", ""zh-cn""))
"),"三合一厨房储物架海绵抹布架沥水盘不锈钢收纳架")</f>
        <v>三合一厨房储物架海绵抹布架沥水盘不锈钢收纳架</v>
      </c>
      <c r="E384" s="1" t="str">
        <f>IFERROR(__xludf.DUMMYFUNCTION("CONCATENATE(GOOGLETRANSLATE(C384, ""en"", ""ko""))
"),"3-IN-1 주방 보관함 스폰지 걸레 홀더 배수 트레이 스테인레스 스틸 정리함 보관함")</f>
        <v>3-IN-1 주방 보관함 스폰지 걸레 홀더 배수 트레이 스테인레스 스틸 정리함 보관함</v>
      </c>
      <c r="F384" s="1" t="str">
        <f>IFERROR(__xludf.DUMMYFUNCTION("CONCATENATE(GOOGLETRANSLATE(C384, ""en"", ""ja""))"),"3-IN-1 キッチン収納ラック スポンジラグホルダー 排水トレイ ステンレススチール オーガナイザーホールド")</f>
        <v>3-IN-1 キッチン収納ラック スポンジラグホルダー 排水トレイ ステンレススチール オーガナイザーホールド</v>
      </c>
    </row>
    <row r="385" ht="15.75" customHeight="1">
      <c r="A385" s="1">
        <v>1850.0</v>
      </c>
      <c r="B385" s="1" t="s">
        <v>15</v>
      </c>
      <c r="C385" s="1" t="s">
        <v>374</v>
      </c>
      <c r="D385" s="1" t="str">
        <f>IFERROR(__xludf.DUMMYFUNCTION("CONCATENATE(GOOGLETRANSLATE(C385, ""en"", ""zh-cn""))
"),"RONGWO自动红外线水槽龙头非接触式感应水龙头免提节水感应电热冷面盆龙头")</f>
        <v>RONGWO自动红外线水槽龙头非接触式感应水龙头免提节水感应电热冷面盆龙头</v>
      </c>
      <c r="E385" s="1" t="str">
        <f>IFERROR(__xludf.DUMMYFUNCTION("CONCATENATE(GOOGLETRANSLATE(C385, ""en"", ""ko""))
"),"ROGWO 자동 적외선 싱크 수도꼭지 터치리스 프리 센서 수도꼭지 핸즈프리 물 절약 유도 전기 핫 콜드 분지의 수도꼭지")</f>
        <v>ROGWO 자동 적외선 싱크 수도꼭지 터치리스 프리 센서 수도꼭지 핸즈프리 물 절약 유도 전기 핫 콜드 분지의 수도꼭지</v>
      </c>
      <c r="F385" s="1" t="str">
        <f>IFERROR(__xludf.DUMMYFUNCTION("CONCATENATE(GOOGLETRANSLATE(C385, ""en"", ""ja""))"),"RONGWO 自動赤外線シンクの蛇口タッチレスフリーセンサー蛇口ハンズフリー節水誘導電気ホットコールド洗面器の蛇口")</f>
        <v>RONGWO 自動赤外線シンクの蛇口タッチレスフリーセンサー蛇口ハンズフリー節水誘導電気ホットコールド洗面器の蛇口</v>
      </c>
    </row>
    <row r="386" ht="15.75" customHeight="1">
      <c r="A386" s="1">
        <v>1851.0</v>
      </c>
      <c r="B386" s="1" t="s">
        <v>15</v>
      </c>
      <c r="C386" s="1" t="s">
        <v>375</v>
      </c>
      <c r="D386" s="1" t="str">
        <f>IFERROR(__xludf.DUMMYFUNCTION("CONCATENATE(GOOGLETRANSLATE(C386, ""en"", ""zh-cn""))
"),"Geepro 12 件吸音板瓷砖工作室隔音隔热泡沫")</f>
        <v>Geepro 12 件吸音板瓷砖工作室隔音隔热泡沫</v>
      </c>
      <c r="E386" s="1" t="str">
        <f>IFERROR(__xludf.DUMMYFUNCTION("CONCATENATE(GOOGLETRANSLATE(C386, ""en"", ""ko""))
"),"Geepro 12Pcs 음향 패널 타일 스튜디오 방음 절연 폼")</f>
        <v>Geepro 12Pcs 음향 패널 타일 스튜디오 방음 절연 폼</v>
      </c>
      <c r="F386" s="1" t="str">
        <f>IFERROR(__xludf.DUMMYFUNCTION("CONCATENATE(GOOGLETRANSLATE(C386, ""en"", ""ja""))"),"Geepro 12 個音響パネルタイルスタジオ防音断熱フォーム")</f>
        <v>Geepro 12 個音響パネルタイルスタジオ防音断熱フォーム</v>
      </c>
    </row>
    <row r="387" ht="15.75" customHeight="1">
      <c r="A387" s="1">
        <v>1852.0</v>
      </c>
      <c r="B387" s="1" t="s">
        <v>15</v>
      </c>
      <c r="C387" s="1" t="s">
        <v>376</v>
      </c>
      <c r="D387" s="1" t="str">
        <f>IFERROR(__xludf.DUMMYFUNCTION("CONCATENATE(GOOGLETRANSLATE(C387, ""en"", ""zh-cn""))
"),"Geepro 6 块泡沫板吸音宽带工作室处理吸音泡沫墙板")</f>
        <v>Geepro 6 块泡沫板吸音宽带工作室处理吸音泡沫墙板</v>
      </c>
      <c r="E387" s="1" t="str">
        <f>IFERROR(__xludf.DUMMYFUNCTION("CONCATENATE(GOOGLETRANSLATE(C387, ""en"", ""ko""))
"),"Geepro 6Pcs 폼 패널 흡음 광대역 스튜디오 처리 음향 폼 벽 타일")</f>
        <v>Geepro 6Pcs 폼 패널 흡음 광대역 스튜디오 처리 음향 폼 벽 타일</v>
      </c>
      <c r="F387" s="1" t="str">
        <f>IFERROR(__xludf.DUMMYFUNCTION("CONCATENATE(GOOGLETRANSLATE(C387, ""en"", ""ja""))"),"Geepro 6 個フォームパネル吸音ブロードバンドスタジオ治療音響フォーム壁タイル")</f>
        <v>Geepro 6 個フォームパネル吸音ブロードバンドスタジオ治療音響フォーム壁タイル</v>
      </c>
    </row>
    <row r="388" ht="15.75" customHeight="1">
      <c r="A388" s="1">
        <v>1853.0</v>
      </c>
      <c r="B388" s="1" t="s">
        <v>15</v>
      </c>
      <c r="C388" s="1" t="s">
        <v>377</v>
      </c>
      <c r="D388" s="1" t="str">
        <f>IFERROR(__xludf.DUMMYFUNCTION("CONCATENATE(GOOGLETRANSLATE(C388, ""en"", ""zh-cn""))
"),"壁挂式挂钩架可折叠挂钩衣架家用衣服外套收纳架")</f>
        <v>壁挂式挂钩架可折叠挂钩衣架家用衣服外套收纳架</v>
      </c>
      <c r="E388" s="1" t="str">
        <f>IFERROR(__xludf.DUMMYFUNCTION("CONCATENATE(GOOGLETRANSLATE(C388, ""en"", ""ko""))
"),"벽걸이형 후크 랙 접이식 후크 행거 홈 의류 코트 정리함 랙")</f>
        <v>벽걸이형 후크 랙 접이식 후크 행거 홈 의류 코트 정리함 랙</v>
      </c>
      <c r="F388" s="1" t="str">
        <f>IFERROR(__xludf.DUMMYFUNCTION("CONCATENATE(GOOGLETRANSLATE(C388, ""en"", ""ja""))"),"壁掛けフックラック折りたたみフックハンガー家庭用衣類コートオーガナイザーラック")</f>
        <v>壁掛けフックラック折りたたみフックハンガー家庭用衣類コートオーガナイザーラック</v>
      </c>
    </row>
    <row r="389" ht="15.75" customHeight="1">
      <c r="A389" s="1">
        <v>1854.0</v>
      </c>
      <c r="B389" s="1" t="s">
        <v>15</v>
      </c>
      <c r="C389" s="1" t="s">
        <v>378</v>
      </c>
      <c r="D389" s="1" t="str">
        <f>IFERROR(__xludf.DUMMYFUNCTION("CONCATENATE(GOOGLETRANSLATE(C389, ""en"", ""zh-cn""))
"),"加厚实心小拉手欧式橱柜拉手简约衣柜拉手抽屉单孔合金拉手")</f>
        <v>加厚实心小拉手欧式橱柜拉手简约衣柜拉手抽屉单孔合金拉手</v>
      </c>
      <c r="E389" s="1" t="str">
        <f>IFERROR(__xludf.DUMMYFUNCTION("CONCATENATE(GOOGLETRANSLATE(C389, ""en"", ""ko""))
"),"두꺼운 단단한 작은 손잡이 유럽 스타일의 캐비닛 손잡이 간단한 옷장 손잡이 서랍 단일 구멍 합금 손잡이")</f>
        <v>두꺼운 단단한 작은 손잡이 유럽 스타일의 캐비닛 손잡이 간단한 옷장 손잡이 서랍 단일 구멍 합금 손잡이</v>
      </c>
      <c r="F389" s="1" t="str">
        <f>IFERROR(__xludf.DUMMYFUNCTION("CONCATENATE(GOOGLETRANSLATE(C389, ""en"", ""ja""))"),"肥厚固体小さなハンドルヨーロピアンスタイルキャビネットハンドルシンプルなワードローブハンドル引き出し単穴合金ハンドル")</f>
        <v>肥厚固体小さなハンドルヨーロピアンスタイルキャビネットハンドルシンプルなワードローブハンドル引き出し単穴合金ハンドル</v>
      </c>
    </row>
    <row r="390" ht="15.75" customHeight="1">
      <c r="A390" s="1">
        <v>1855.0</v>
      </c>
      <c r="B390" s="1" t="s">
        <v>15</v>
      </c>
      <c r="C390" s="1" t="s">
        <v>379</v>
      </c>
      <c r="D390" s="1" t="str">
        <f>IFERROR(__xludf.DUMMYFUNCTION("CONCATENATE(GOOGLETRANSLATE(C390, ""en"", ""zh-cn""))
"),"免触摸按键笔电梯快递柜开门器银行ATM机取款免触摸按键笔")</f>
        <v>免触摸按键笔电梯快递柜开门器银行ATM机取款免触摸按键笔</v>
      </c>
      <c r="E390" s="1" t="str">
        <f>IFERROR(__xludf.DUMMYFUNCTION("CONCATENATE(GOOGLETRANSLATE(C390, ""en"", ""ko""))
"),"터치 프리 키 펜 엘리베이터 익스프레스 캐비닛 도어 오프너 은행 ATM 기계 인출 무료 터치 키 펜")</f>
        <v>터치 프리 키 펜 엘리베이터 익스프레스 캐비닛 도어 오프너 은행 ATM 기계 인출 무료 터치 키 펜</v>
      </c>
      <c r="F390" s="1" t="str">
        <f>IFERROR(__xludf.DUMMYFUNCTION("CONCATENATE(GOOGLETRANSLATE(C390, ""en"", ""ja""))"),"タッチフリーキーペンエレベーターエクスプレスキャビネットドアオープナー銀行ATM機引き出しフリータッチキーペン")</f>
        <v>タッチフリーキーペンエレベーターエクスプレスキャビネットドアオープナー銀行ATM機引き出しフリータッチキーペン</v>
      </c>
    </row>
    <row r="391" ht="15.75" customHeight="1">
      <c r="A391" s="1">
        <v>1856.0</v>
      </c>
      <c r="B391" s="1" t="s">
        <v>15</v>
      </c>
      <c r="C391" s="1" t="s">
        <v>380</v>
      </c>
      <c r="D391" s="1" t="str">
        <f>IFERROR(__xludf.DUMMYFUNCTION("CONCATENATE(GOOGLETRANSLATE(C391, ""en"", ""zh-cn""))
"),"多功能墙壁装饰油漆滚筒角刷手柄工具 DIY 家用绘画刷套件")</f>
        <v>多功能墙壁装饰油漆滚筒角刷手柄工具 DIY 家用绘画刷套件</v>
      </c>
      <c r="E391" s="1" t="str">
        <f>IFERROR(__xludf.DUMMYFUNCTION("CONCATENATE(GOOGLETRANSLATE(C391, ""en"", ""ko""))
"),"다기능 벽 장식 페인트 롤러 코너 브러시 핸들 도구 DIY 가정용 그림 브러쉬 키트")</f>
        <v>다기능 벽 장식 페인트 롤러 코너 브러시 핸들 도구 DIY 가정용 그림 브러쉬 키트</v>
      </c>
      <c r="F391" s="1" t="str">
        <f>IFERROR(__xludf.DUMMYFUNCTION("CONCATENATE(GOOGLETRANSLATE(C391, ""en"", ""ja""))"),"多機能壁装飾ペイントローラーコーナーブラシハンドルツール DIY 家庭用絵画ブラシキット")</f>
        <v>多機能壁装飾ペイントローラーコーナーブラシハンドルツール DIY 家庭用絵画ブラシキット</v>
      </c>
    </row>
    <row r="392" ht="15.75" customHeight="1">
      <c r="A392" s="1">
        <v>1857.0</v>
      </c>
      <c r="B392" s="1" t="s">
        <v>381</v>
      </c>
      <c r="C392" s="1" t="s">
        <v>382</v>
      </c>
      <c r="D392" s="1" t="str">
        <f>IFERROR(__xludf.DUMMYFUNCTION("CONCATENATE(GOOGLETRANSLATE(C392, ""en"", ""zh-cn""))
"),"男式民族图案抽绳袋鼠口袋长袖连帽衫")</f>
        <v>男式民族图案抽绳袋鼠口袋长袖连帽衫</v>
      </c>
      <c r="E392" s="1" t="str">
        <f>IFERROR(__xludf.DUMMYFUNCTION("CONCATENATE(GOOGLETRANSLATE(C392, ""en"", ""ko""))
"),"남성용 에스닉 패턴 졸라매는 끈 캥거루 포켓 긴 소매 후드티")</f>
        <v>남성용 에스닉 패턴 졸라매는 끈 캥거루 포켓 긴 소매 후드티</v>
      </c>
      <c r="F392" s="1" t="str">
        <f>IFERROR(__xludf.DUMMYFUNCTION("CONCATENATE(GOOGLETRANSLATE(C392, ""en"", ""ja""))"),"メンズエスニックパターン巾着カンガルーポケット長袖パーカー")</f>
        <v>メンズエスニックパターン巾着カンガルーポケット長袖パーカー</v>
      </c>
    </row>
    <row r="393" ht="15.75" customHeight="1">
      <c r="A393" s="1">
        <v>1858.0</v>
      </c>
      <c r="B393" s="1" t="s">
        <v>381</v>
      </c>
      <c r="C393" s="1" t="s">
        <v>383</v>
      </c>
      <c r="D393" s="1" t="str">
        <f>IFERROR(__xludf.DUMMYFUNCTION("CONCATENATE(GOOGLETRANSLATE(C393, ""en"", ""zh-cn""))
"),"男式卡通猫图案袋鼠口袋抽绳连帽衫")</f>
        <v>男式卡通猫图案袋鼠口袋抽绳连帽衫</v>
      </c>
      <c r="E393" s="1" t="str">
        <f>IFERROR(__xludf.DUMMYFUNCTION("CONCATENATE(GOOGLETRANSLATE(C393, ""en"", ""ko""))
"),"남성용 만화 고양이 그래픽 캥거루 포켓 드로스트링 후드티")</f>
        <v>남성용 만화 고양이 그래픽 캥거루 포켓 드로스트링 후드티</v>
      </c>
      <c r="F393" s="1" t="str">
        <f>IFERROR(__xludf.DUMMYFUNCTION("CONCATENATE(GOOGLETRANSLATE(C393, ""en"", ""ja""))"),"メンズ漫画猫グラフィックカンガルーポケット巾着パーカー")</f>
        <v>メンズ漫画猫グラフィックカンガルーポケット巾着パーカー</v>
      </c>
    </row>
    <row r="394" ht="15.75" customHeight="1">
      <c r="A394" s="1">
        <v>1859.0</v>
      </c>
      <c r="B394" s="1" t="s">
        <v>381</v>
      </c>
      <c r="C394" s="1" t="s">
        <v>384</v>
      </c>
      <c r="D394" s="1" t="str">
        <f>IFERROR(__xludf.DUMMYFUNCTION("CONCATENATE(GOOGLETRANSLATE(C394, ""en"", ""zh-cn""))
"),"男式玫瑰日式渐变色印花袋鼠口袋抽绳连帽衫")</f>
        <v>男式玫瑰日式渐变色印花袋鼠口袋抽绳连帽衫</v>
      </c>
      <c r="E394" s="1" t="str">
        <f>IFERROR(__xludf.DUMMYFUNCTION("CONCATENATE(GOOGLETRANSLATE(C394, ""en"", ""ko""))
"),"남성용 로즈 일본식 옴브레 프린트 캥거루 포켓 드로스트링 후드티")</f>
        <v>남성용 로즈 일본식 옴브레 프린트 캥거루 포켓 드로스트링 후드티</v>
      </c>
      <c r="F394" s="1" t="str">
        <f>IFERROR(__xludf.DUMMYFUNCTION("CONCATENATE(GOOGLETRANSLATE(C394, ""en"", ""ja""))"),"メンズローズ日本語オンブルプリントカンガルーポケット巾着パーカー")</f>
        <v>メンズローズ日本語オンブルプリントカンガルーポケット巾着パーカー</v>
      </c>
    </row>
    <row r="395" ht="15.75" customHeight="1">
      <c r="A395" s="1">
        <v>1868.0</v>
      </c>
      <c r="B395" s="1" t="s">
        <v>381</v>
      </c>
      <c r="C395" s="1" t="s">
        <v>385</v>
      </c>
      <c r="D395" s="1" t="str">
        <f>IFERROR(__xludf.DUMMYFUNCTION("CONCATENATE(GOOGLETRANSLATE(C395, ""en"", ""zh-cn""))
"),"男式万圣节南瓜印花圆领套头运动衫")</f>
        <v>男式万圣节南瓜印花圆领套头运动衫</v>
      </c>
      <c r="E395" s="1" t="str">
        <f>IFERROR(__xludf.DUMMYFUNCTION("CONCATENATE(GOOGLETRANSLATE(C395, ""en"", ""ko""))
"),"남성용 할로윈 호박 프린트 크루넥 풀오버 스웨트셔츠")</f>
        <v>남성용 할로윈 호박 프린트 크루넥 풀오버 스웨트셔츠</v>
      </c>
      <c r="F395" s="1" t="str">
        <f>IFERROR(__xludf.DUMMYFUNCTION("CONCATENATE(GOOGLETRANSLATE(C395, ""en"", ""ja""))"),"メンズ ハロウィン パンプキン プリント クルーネック プルオーバー スウェットシャツ")</f>
        <v>メンズ ハロウィン パンプキン プリント クルーネック プルオーバー スウェットシャツ</v>
      </c>
    </row>
    <row r="396" ht="15.75" customHeight="1">
      <c r="A396" s="1">
        <v>1869.0</v>
      </c>
      <c r="B396" s="1" t="s">
        <v>381</v>
      </c>
      <c r="C396" s="1" t="s">
        <v>386</v>
      </c>
      <c r="D396" s="1" t="str">
        <f>IFERROR(__xludf.DUMMYFUNCTION("CONCATENATE(GOOGLETRANSLATE(C396, ""en"", ""zh-cn""))
"),"男式日本印花拼布圆领套头运动衫")</f>
        <v>男式日本印花拼布圆领套头运动衫</v>
      </c>
      <c r="E396" s="1" t="str">
        <f>IFERROR(__xludf.DUMMYFUNCTION("CONCATENATE(GOOGLETRANSLATE(C396, ""en"", ""ko""))
"),"남성용 일본식 프린트 패치워크 크루넥 풀오버 스웨트셔츠")</f>
        <v>남성용 일본식 프린트 패치워크 크루넥 풀오버 스웨트셔츠</v>
      </c>
      <c r="F396" s="1" t="str">
        <f>IFERROR(__xludf.DUMMYFUNCTION("CONCATENATE(GOOGLETRANSLATE(C396, ""en"", ""ja""))"),"メンズ日本のプリントパッチワーククルーネックプルオーバースウェットシャツ")</f>
        <v>メンズ日本のプリントパッチワーククルーネックプルオーバースウェットシャツ</v>
      </c>
    </row>
    <row r="397" ht="15.75" customHeight="1">
      <c r="A397" s="1">
        <v>1870.0</v>
      </c>
      <c r="B397" s="1" t="s">
        <v>381</v>
      </c>
      <c r="C397" s="1" t="s">
        <v>387</v>
      </c>
      <c r="D397" s="1" t="str">
        <f>IFERROR(__xludf.DUMMYFUNCTION("CONCATENATE(GOOGLETRANSLATE(C397, ""en"", ""zh-cn""))
"),"男式日本波浪红太阳印花袋鼠口袋连帽衫")</f>
        <v>男式日本波浪红太阳印花袋鼠口袋连帽衫</v>
      </c>
      <c r="E397" s="1" t="str">
        <f>IFERROR(__xludf.DUMMYFUNCTION("CONCATENATE(GOOGLETRANSLATE(C397, ""en"", ""ko""))
"),"남성용 일본식 웨이브 레드 썬 프린트 캥거루 포켓 후드티")</f>
        <v>남성용 일본식 웨이브 레드 썬 프린트 캥거루 포켓 후드티</v>
      </c>
      <c r="F397" s="1" t="str">
        <f>IFERROR(__xludf.DUMMYFUNCTION("CONCATENATE(GOOGLETRANSLATE(C397, ""en"", ""ja""))"),"メンズ ジャパニーズ ウェーブ レッド サン プリント カンガルー ポケット パーカー")</f>
        <v>メンズ ジャパニーズ ウェーブ レッド サン プリント カンガルー ポケット パーカー</v>
      </c>
    </row>
    <row r="398" ht="15.75" customHeight="1">
      <c r="A398" s="1">
        <v>1871.0</v>
      </c>
      <c r="B398" s="1" t="s">
        <v>381</v>
      </c>
      <c r="C398" s="1" t="s">
        <v>388</v>
      </c>
      <c r="D398" s="1" t="str">
        <f>IFERROR(__xludf.DUMMYFUNCTION("CONCATENATE(GOOGLETRANSLATE(C398, ""en"", ""zh-cn""))
"),"男士色块拼布刺绣圆领套头运动衫")</f>
        <v>男士色块拼布刺绣圆领套头运动衫</v>
      </c>
      <c r="E398" s="1" t="str">
        <f>IFERROR(__xludf.DUMMYFUNCTION("CONCATENATE(GOOGLETRANSLATE(C398, ""en"", ""ko""))
"),"남성용 컬러 블록 패치워크 자수 크루넥 풀오버 스웨트셔츠")</f>
        <v>남성용 컬러 블록 패치워크 자수 크루넥 풀오버 스웨트셔츠</v>
      </c>
      <c r="F398" s="1" t="str">
        <f>IFERROR(__xludf.DUMMYFUNCTION("CONCATENATE(GOOGLETRANSLATE(C398, ""en"", ""ja""))"),"メンズカラーブロックパッチワーク刺繍クルーネックプルオーバースウェットシャツ")</f>
        <v>メンズカラーブロックパッチワーク刺繍クルーネックプルオーバースウェットシャツ</v>
      </c>
    </row>
    <row r="399" ht="15.75" customHeight="1">
      <c r="A399" s="1">
        <v>1872.0</v>
      </c>
      <c r="B399" s="1" t="s">
        <v>381</v>
      </c>
      <c r="C399" s="1" t="s">
        <v>389</v>
      </c>
      <c r="D399" s="1" t="str">
        <f>IFERROR(__xludf.DUMMYFUNCTION("CONCATENATE(GOOGLETRANSLATE(C399, ""en"", ""zh-cn""))
"),"男式拼色袋鼠口袋抽绳连帽衫")</f>
        <v>男式拼色袋鼠口袋抽绳连帽衫</v>
      </c>
      <c r="E399" s="1" t="str">
        <f>IFERROR(__xludf.DUMMYFUNCTION("CONCATENATE(GOOGLETRANSLATE(C399, ""en"", ""ko""))
"),"남성용 컬러 블록 패치워크 캥거루 포켓 드로스트링 후드티")</f>
        <v>남성용 컬러 블록 패치워크 캥거루 포켓 드로스트링 후드티</v>
      </c>
      <c r="F399" s="1" t="str">
        <f>IFERROR(__xludf.DUMMYFUNCTION("CONCATENATE(GOOGLETRANSLATE(C399, ""en"", ""ja""))"),"メンズカラーブロックパッチワークカンガルーポケット巾着パーカー")</f>
        <v>メンズカラーブロックパッチワークカンガルーポケット巾着パーカー</v>
      </c>
    </row>
    <row r="400" ht="15.75" customHeight="1">
      <c r="A400" s="1">
        <v>1873.0</v>
      </c>
      <c r="B400" s="1" t="s">
        <v>381</v>
      </c>
      <c r="C400" s="1" t="s">
        <v>390</v>
      </c>
      <c r="D400" s="1" t="str">
        <f>IFERROR(__xludf.DUMMYFUNCTION("CONCATENATE(GOOGLETRANSLATE(C400, ""en"", ""zh-cn""))
"),"男式通体民族几何印花长袖抽绳连帽衫")</f>
        <v>男式通体民族几何印花长袖抽绳连帽衫</v>
      </c>
      <c r="E400" s="1" t="str">
        <f>IFERROR(__xludf.DUMMYFUNCTION("CONCATENATE(GOOGLETRANSLATE(C400, ""en"", ""ko""))
"),"남성용 올오버 에스닉 기하학 프린트 긴 소매 드로스트링 후드티")</f>
        <v>남성용 올오버 에스닉 기하학 프린트 긴 소매 드로스트링 후드티</v>
      </c>
      <c r="F400" s="1" t="str">
        <f>IFERROR(__xludf.DUMMYFUNCTION("CONCATENATE(GOOGLETRANSLATE(C400, ""en"", ""ja""))"),"メンズ総柄エスニック幾何学プリント長袖巾着パーカー")</f>
        <v>メンズ総柄エスニック幾何学プリント長袖巾着パーカー</v>
      </c>
    </row>
    <row r="401" ht="15.75" customHeight="1">
      <c r="A401" s="1">
        <v>1874.0</v>
      </c>
      <c r="B401" s="1" t="s">
        <v>381</v>
      </c>
      <c r="C401" s="1" t="s">
        <v>391</v>
      </c>
      <c r="D401" s="1" t="str">
        <f>IFERROR(__xludf.DUMMYFUNCTION("CONCATENATE(GOOGLETRANSLATE(C401, ""en"", ""zh-cn""))
"),"男式日本樱花印花拼布袋鼠口袋连帽衫")</f>
        <v>男式日本樱花印花拼布袋鼠口袋连帽衫</v>
      </c>
      <c r="E401" s="1" t="str">
        <f>IFERROR(__xludf.DUMMYFUNCTION("CONCATENATE(GOOGLETRANSLATE(C401, ""en"", ""ko""))
"),"남성용 일본 벚꽃 프린트 패치워크 캥거루 포켓 후드티")</f>
        <v>남성용 일본 벚꽃 프린트 패치워크 캥거루 포켓 후드티</v>
      </c>
      <c r="F401" s="1" t="str">
        <f>IFERROR(__xludf.DUMMYFUNCTION("CONCATENATE(GOOGLETRANSLATE(C401, ""en"", ""ja""))"),"メンズ日本の桜プリント パッチワーク カンガルー ポケット パーカー")</f>
        <v>メンズ日本の桜プリント パッチワーク カンガルー ポケット パーカー</v>
      </c>
    </row>
    <row r="402" ht="15.75" customHeight="1">
      <c r="A402" s="1">
        <v>1875.0</v>
      </c>
      <c r="B402" s="1" t="s">
        <v>381</v>
      </c>
      <c r="C402" s="1" t="s">
        <v>392</v>
      </c>
      <c r="D402" s="1" t="str">
        <f>IFERROR(__xludf.DUMMYFUNCTION("CONCATENATE(GOOGLETRANSLATE(C402, ""en"", ""zh-cn""))
"),"男士拼色圆领休闲套头运动衫")</f>
        <v>男士拼色圆领休闲套头运动衫</v>
      </c>
      <c r="E402" s="1" t="str">
        <f>IFERROR(__xludf.DUMMYFUNCTION("CONCATENATE(GOOGLETRANSLATE(C402, ""en"", ""ko""))
"),"남성용 컬러 블록 패치워크 크루넥 캐주얼 풀오버 스웨트셔츠")</f>
        <v>남성용 컬러 블록 패치워크 크루넥 캐주얼 풀오버 스웨트셔츠</v>
      </c>
      <c r="F402" s="1" t="str">
        <f>IFERROR(__xludf.DUMMYFUNCTION("CONCATENATE(GOOGLETRANSLATE(C402, ""en"", ""ja""))"),"メンズ カラーブロック パッチワーク クルーネック カジュアル プルオーバー スウェットシャツ")</f>
        <v>メンズ カラーブロック パッチワーク クルーネック カジュアル プルオーバー スウェットシャツ</v>
      </c>
    </row>
    <row r="403" ht="15.75" customHeight="1">
      <c r="A403" s="1">
        <v>1876.0</v>
      </c>
      <c r="B403" s="1" t="s">
        <v>381</v>
      </c>
      <c r="C403" s="1" t="s">
        <v>393</v>
      </c>
      <c r="D403" s="1" t="str">
        <f>IFERROR(__xludf.DUMMYFUNCTION("CONCATENATE(GOOGLETRANSLATE(C403, ""en"", ""zh-cn""))
"),"男式民族部落几何印花拼布抽绳连帽衫")</f>
        <v>男式民族部落几何印花拼布抽绳连帽衫</v>
      </c>
      <c r="E403" s="1" t="str">
        <f>IFERROR(__xludf.DUMMYFUNCTION("CONCATENATE(GOOGLETRANSLATE(C403, ""en"", ""ko""))
"),"남성용 민족 부족 기하학적 프린트 패치워크 드로스트링 후드티")</f>
        <v>남성용 민족 부족 기하학적 프린트 패치워크 드로스트링 후드티</v>
      </c>
      <c r="F403" s="1" t="str">
        <f>IFERROR(__xludf.DUMMYFUNCTION("CONCATENATE(GOOGLETRANSLATE(C403, ""en"", ""ja""))"),"メンズエスニックトライバル幾何学プリントパッチワーク巾着パーカー")</f>
        <v>メンズエスニックトライバル幾何学プリントパッチワーク巾着パーカー</v>
      </c>
    </row>
    <row r="404" ht="15.75" customHeight="1">
      <c r="A404" s="1">
        <v>1877.0</v>
      </c>
      <c r="B404" s="1" t="s">
        <v>381</v>
      </c>
      <c r="C404" s="1" t="s">
        <v>394</v>
      </c>
      <c r="D404" s="1" t="str">
        <f>IFERROR(__xludf.DUMMYFUNCTION("CONCATENATE(GOOGLETRANSLATE(C404, ""en"", ""zh-cn""))
"),"男式日本印花拼色抽绳连帽衫")</f>
        <v>男式日本印花拼色抽绳连帽衫</v>
      </c>
      <c r="E404" s="1" t="str">
        <f>IFERROR(__xludf.DUMMYFUNCTION("CONCATENATE(GOOGLETRANSLATE(C404, ""en"", ""ko""))
"),"남성용 일본식 프린트 컬러 블록 패치워크 드로스트링 후드티")</f>
        <v>남성용 일본식 프린트 컬러 블록 패치워크 드로스트링 후드티</v>
      </c>
      <c r="F404" s="1" t="str">
        <f>IFERROR(__xludf.DUMMYFUNCTION("CONCATENATE(GOOGLETRANSLATE(C404, ""en"", ""ja""))"),"メンズ日本のプリントカラーブロックパッチワーク巾着パーカー")</f>
        <v>メンズ日本のプリントカラーブロックパッチワーク巾着パーカー</v>
      </c>
    </row>
    <row r="405" ht="15.75" customHeight="1">
      <c r="A405" s="1">
        <v>1878.0</v>
      </c>
      <c r="B405" s="1" t="s">
        <v>381</v>
      </c>
      <c r="C405" s="1" t="s">
        <v>395</v>
      </c>
      <c r="D405" s="1" t="str">
        <f>IFERROR(__xludf.DUMMYFUNCTION("CONCATENATE(GOOGLETRANSLATE(C405, ""en"", ""zh-cn""))
"),"男式日本猫印花拼布人造两件套连帽衫")</f>
        <v>男式日本猫印花拼布人造两件套连帽衫</v>
      </c>
      <c r="E405" s="1" t="str">
        <f>IFERROR(__xludf.DUMMYFUNCTION("CONCATENATE(GOOGLETRANSLATE(C405, ""en"", ""ko""))
"),"남성용 일본 고양이 프린트 패치워크 인조 후드 2피스")</f>
        <v>남성용 일본 고양이 프린트 패치워크 인조 후드 2피스</v>
      </c>
      <c r="F405" s="1" t="str">
        <f>IFERROR(__xludf.DUMMYFUNCTION("CONCATENATE(GOOGLETRANSLATE(C405, ""en"", ""ja""))"),"メンズ日本の猫プリントパッチワークフェイクツーピースパーカー")</f>
        <v>メンズ日本の猫プリントパッチワークフェイクツーピースパーカー</v>
      </c>
    </row>
    <row r="406" ht="15.75" customHeight="1">
      <c r="A406" s="1">
        <v>1879.0</v>
      </c>
      <c r="B406" s="1" t="s">
        <v>381</v>
      </c>
      <c r="C406" s="1" t="s">
        <v>396</v>
      </c>
      <c r="D406" s="1" t="str">
        <f>IFERROR(__xludf.DUMMYFUNCTION("CONCATENATE(GOOGLETRANSLATE(C406, ""en"", ""zh-cn""))
"),"男式不规则拼色拼布袋鼠口袋连帽衫")</f>
        <v>男式不规则拼色拼布袋鼠口袋连帽衫</v>
      </c>
      <c r="E406" s="1" t="str">
        <f>IFERROR(__xludf.DUMMYFUNCTION("CONCATENATE(GOOGLETRANSLATE(C406, ""en"", ""ko""))
"),"남성용 불규칙 컬러 블록 패치워크 캥거루 포켓 후드티")</f>
        <v>남성용 불규칙 컬러 블록 패치워크 캥거루 포켓 후드티</v>
      </c>
      <c r="F406" s="1" t="str">
        <f>IFERROR(__xludf.DUMMYFUNCTION("CONCATENATE(GOOGLETRANSLATE(C406, ""en"", ""ja""))"),"メンズ不規則なカラーブロックパッチワークカンガルーポケットパーカー")</f>
        <v>メンズ不規則なカラーブロックパッチワークカンガルーポケットパーカー</v>
      </c>
    </row>
    <row r="407" ht="15.75" customHeight="1">
      <c r="A407" s="1">
        <v>1880.0</v>
      </c>
      <c r="B407" s="1" t="s">
        <v>381</v>
      </c>
      <c r="C407" s="1" t="s">
        <v>397</v>
      </c>
      <c r="D407" s="1" t="str">
        <f>IFERROR(__xludf.DUMMYFUNCTION("CONCATENATE(GOOGLETRANSLATE(C407, ""en"", ""zh-cn""))
"),"男士微笑印花拼色袋鼠口袋连帽衫")</f>
        <v>男士微笑印花拼色袋鼠口袋连帽衫</v>
      </c>
      <c r="E407" s="1" t="str">
        <f>IFERROR(__xludf.DUMMYFUNCTION("CONCATENATE(GOOGLETRANSLATE(C407, ""en"", ""ko""))
"),"남성용 스마일 프린트 컬러 블록 패치워크 캥거루 포켓 후드티")</f>
        <v>남성용 스마일 프린트 컬러 블록 패치워크 캥거루 포켓 후드티</v>
      </c>
      <c r="F407" s="1" t="str">
        <f>IFERROR(__xludf.DUMMYFUNCTION("CONCATENATE(GOOGLETRANSLATE(C407, ""en"", ""ja""))"),"メンズスマイルプリントカラーブロックパッチワークカンガルーポケットパーカー")</f>
        <v>メンズスマイルプリントカラーブロックパッチワークカンガルーポケットパーカー</v>
      </c>
    </row>
    <row r="408" ht="15.75" customHeight="1">
      <c r="A408" s="1">
        <v>1881.0</v>
      </c>
      <c r="B408" s="1" t="s">
        <v>381</v>
      </c>
      <c r="C408" s="1" t="s">
        <v>398</v>
      </c>
      <c r="D408" s="1" t="str">
        <f>IFERROR(__xludf.DUMMYFUNCTION("CONCATENATE(GOOGLETRANSLATE(C408, ""en"", ""zh-cn""))
"),"男式日本波浪猫印花圆领套头运动衫")</f>
        <v>男式日本波浪猫印花圆领套头运动衫</v>
      </c>
      <c r="E408" s="1" t="str">
        <f>IFERROR(__xludf.DUMMYFUNCTION("CONCATENATE(GOOGLETRANSLATE(C408, ""en"", ""ko""))
"),"남성용 일본식 웨이브 고양이 프린트 크루넥 풀오버 스웨트셔츠")</f>
        <v>남성용 일본식 웨이브 고양이 프린트 크루넥 풀오버 스웨트셔츠</v>
      </c>
      <c r="F408" s="1" t="str">
        <f>IFERROR(__xludf.DUMMYFUNCTION("CONCATENATE(GOOGLETRANSLATE(C408, ""en"", ""ja""))"),"メンズ ジャパニーズ ウェーブ キャット プリント クルーネック プルオーバー スウェットシャツ")</f>
        <v>メンズ ジャパニーズ ウェーブ キャット プリント クルーネック プルオーバー スウェットシャツ</v>
      </c>
    </row>
    <row r="409" ht="15.75" customHeight="1">
      <c r="A409" s="1">
        <v>1882.0</v>
      </c>
      <c r="B409" s="1" t="s">
        <v>381</v>
      </c>
      <c r="C409" s="1" t="s">
        <v>399</v>
      </c>
      <c r="D409" s="1" t="str">
        <f>IFERROR(__xludf.DUMMYFUNCTION("CONCATENATE(GOOGLETRANSLATE(C409, ""en"", ""zh-cn""))
"),"男式民族图案拼布插肩袖套头运动衫")</f>
        <v>男式民族图案拼布插肩袖套头运动衫</v>
      </c>
      <c r="E409" s="1" t="str">
        <f>IFERROR(__xludf.DUMMYFUNCTION("CONCATENATE(GOOGLETRANSLATE(C409, ""en"", ""ko""))
"),"남성용 에스닉 패턴 패치워크 라글란 슬리브 풀오버 스웨트셔츠")</f>
        <v>남성용 에스닉 패턴 패치워크 라글란 슬리브 풀오버 스웨트셔츠</v>
      </c>
      <c r="F409" s="1" t="str">
        <f>IFERROR(__xludf.DUMMYFUNCTION("CONCATENATE(GOOGLETRANSLATE(C409, ""en"", ""ja""))"),"メンズエスニックパターンパッチワークラグランスリーブプルオーバースウェットシャツ")</f>
        <v>メンズエスニックパターンパッチワークラグランスリーブプルオーバースウェットシャツ</v>
      </c>
    </row>
    <row r="410" ht="15.75" customHeight="1">
      <c r="A410" s="1">
        <v>1883.0</v>
      </c>
      <c r="B410" s="1" t="s">
        <v>381</v>
      </c>
      <c r="C410" s="1" t="s">
        <v>400</v>
      </c>
      <c r="D410" s="1" t="str">
        <f>IFERROR(__xludf.DUMMYFUNCTION("CONCATENATE(GOOGLETRANSLATE(C410, ""en"", ""zh-cn""))
"),"男式民族微笑印花拼色袋鼠口袋连帽衫")</f>
        <v>男式民族微笑印花拼色袋鼠口袋连帽衫</v>
      </c>
      <c r="E410" s="1" t="str">
        <f>IFERROR(__xludf.DUMMYFUNCTION("CONCATENATE(GOOGLETRANSLATE(C410, ""en"", ""ko""))
"),"남성용 에스닉 스마일 프린트 컬러 블록 패치워크 캥거루 포켓 후드티")</f>
        <v>남성용 에스닉 스마일 프린트 컬러 블록 패치워크 캥거루 포켓 후드티</v>
      </c>
      <c r="F410" s="1" t="str">
        <f>IFERROR(__xludf.DUMMYFUNCTION("CONCATENATE(GOOGLETRANSLATE(C410, ""en"", ""ja""))"),"メンズエスニックスマイルプリントカラーブロックパッチワークカンガルーポケットパーカー")</f>
        <v>メンズエスニックスマイルプリントカラーブロックパッチワークカンガルーポケットパーカー</v>
      </c>
    </row>
    <row r="411" ht="15.75" customHeight="1">
      <c r="A411" s="1">
        <v>1884.0</v>
      </c>
      <c r="B411" s="1" t="s">
        <v>381</v>
      </c>
      <c r="C411" s="1" t="s">
        <v>401</v>
      </c>
      <c r="D411" s="1" t="str">
        <f>IFERROR(__xludf.DUMMYFUNCTION("CONCATENATE(GOOGLETRANSLATE(C411, ""en"", ""zh-cn""))
"),"男士圣诞帽猫印花圆领套头运动衫")</f>
        <v>男士圣诞帽猫印花圆领套头运动衫</v>
      </c>
      <c r="E411" s="1" t="str">
        <f>IFERROR(__xludf.DUMMYFUNCTION("CONCATENATE(GOOGLETRANSLATE(C411, ""en"", ""ko""))
"),"남성용 크리스마스 모자 고양이 프린트 크루넥 풀오버 스웨트셔츠")</f>
        <v>남성용 크리스마스 모자 고양이 프린트 크루넥 풀오버 스웨트셔츠</v>
      </c>
      <c r="F411" s="1" t="str">
        <f>IFERROR(__xludf.DUMMYFUNCTION("CONCATENATE(GOOGLETRANSLATE(C411, ""en"", ""ja""))"),"メンズ クリスマス ハット キャット プリント クルーネック プルオーバー スウェットシャツ")</f>
        <v>メンズ クリスマス ハット キャット プリント クルーネック プルオーバー スウェットシャツ</v>
      </c>
    </row>
    <row r="412" ht="15.75" customHeight="1">
      <c r="A412" s="1">
        <v>1885.0</v>
      </c>
      <c r="B412" s="1" t="s">
        <v>381</v>
      </c>
      <c r="C412" s="1" t="s">
        <v>402</v>
      </c>
      <c r="D412" s="1" t="str">
        <f>IFERROR(__xludf.DUMMYFUNCTION("CONCATENATE(GOOGLETRANSLATE(C412, ""en"", ""zh-cn""))
"),"男士日式波浪印花长袖宽松抽绳连帽衫")</f>
        <v>男士日式波浪印花长袖宽松抽绳连帽衫</v>
      </c>
      <c r="E412" s="1" t="str">
        <f>IFERROR(__xludf.DUMMYFUNCTION("CONCATENATE(GOOGLETRANSLATE(C412, ""en"", ""ko""))
"),"남성용 일본식 웨이브 프린트 긴 소매 루즈 드로스트링 후드티")</f>
        <v>남성용 일본식 웨이브 프린트 긴 소매 루즈 드로스트링 후드티</v>
      </c>
      <c r="F412" s="1" t="str">
        <f>IFERROR(__xludf.DUMMYFUNCTION("CONCATENATE(GOOGLETRANSLATE(C412, ""en"", ""ja""))"),"メンズ日本の波プリント長袖ルーズ巾着パーカー")</f>
        <v>メンズ日本の波プリント長袖ルーズ巾着パーカー</v>
      </c>
    </row>
    <row r="413" ht="15.75" customHeight="1">
      <c r="A413" s="1">
        <v>1886.0</v>
      </c>
      <c r="B413" s="1" t="s">
        <v>381</v>
      </c>
      <c r="C413" s="1" t="s">
        <v>403</v>
      </c>
      <c r="D413" s="1" t="str">
        <f>IFERROR(__xludf.DUMMYFUNCTION("CONCATENATE(GOOGLETRANSLATE(C413, ""en"", ""zh-cn""))
"),"男式民族几何印花胸袋毛绒衬里抽绳连帽衫")</f>
        <v>男式民族几何印花胸袋毛绒衬里抽绳连帽衫</v>
      </c>
      <c r="E413" s="1" t="str">
        <f>IFERROR(__xludf.DUMMYFUNCTION("CONCATENATE(GOOGLETRANSLATE(C413, ""en"", ""ko""))
"),"남성용 에스닉 기하학적 프린트 가슴 주머니 봉제 안감 조임끈 후드티")</f>
        <v>남성용 에스닉 기하학적 프린트 가슴 주머니 봉제 안감 조임끈 후드티</v>
      </c>
      <c r="F413" s="1" t="str">
        <f>IFERROR(__xludf.DUMMYFUNCTION("CONCATENATE(GOOGLETRANSLATE(C413, ""en"", ""ja""))"),"メンズエスニック幾何学プリント胸ポケットぬいぐるみ裏地巾着パーカー")</f>
        <v>メンズエスニック幾何学プリント胸ポケットぬいぐるみ裏地巾着パーカー</v>
      </c>
    </row>
    <row r="414" ht="15.75" customHeight="1">
      <c r="A414" s="1">
        <v>1887.0</v>
      </c>
      <c r="B414" s="1" t="s">
        <v>381</v>
      </c>
      <c r="C414" s="1" t="s">
        <v>404</v>
      </c>
      <c r="D414" s="1" t="str">
        <f>IFERROR(__xludf.DUMMYFUNCTION("CONCATENATE(GOOGLETRANSLATE(C414, ""en"", ""zh-cn""))
"),"男式拼色袋鼠口袋灯芯绒抽绳连帽衫")</f>
        <v>男式拼色袋鼠口袋灯芯绒抽绳连帽衫</v>
      </c>
      <c r="E414" s="1" t="str">
        <f>IFERROR(__xludf.DUMMYFUNCTION("CONCATENATE(GOOGLETRANSLATE(C414, ""en"", ""ko""))
"),"남성용 컬러 블록 패치워크 캥거루 포켓 코듀로이 드로스트링 후드티")</f>
        <v>남성용 컬러 블록 패치워크 캥거루 포켓 코듀로이 드로스트링 후드티</v>
      </c>
      <c r="F414" s="1" t="str">
        <f>IFERROR(__xludf.DUMMYFUNCTION("CONCATENATE(GOOGLETRANSLATE(C414, ""en"", ""ja""))"),"メンズ カラー ブロック パッチワーク カンガルー ポケット コーデュロイ ドローストリング パーカー")</f>
        <v>メンズ カラー ブロック パッチワーク カンガルー ポケット コーデュロイ ドローストリング パーカー</v>
      </c>
    </row>
    <row r="415" ht="15.75" customHeight="1">
      <c r="A415" s="1">
        <v>1888.0</v>
      </c>
      <c r="B415" s="1" t="s">
        <v>381</v>
      </c>
      <c r="C415" s="1" t="s">
        <v>405</v>
      </c>
      <c r="D415" s="1" t="str">
        <f>IFERROR(__xludf.DUMMYFUNCTION("CONCATENATE(GOOGLETRANSLATE(C415, ""en"", ""zh-cn""))
"),"男式笑脸印花拼接休闲宽松抽绳连帽衫")</f>
        <v>男式笑脸印花拼接休闲宽松抽绳连帽衫</v>
      </c>
      <c r="E415" s="1" t="str">
        <f>IFERROR(__xludf.DUMMYFUNCTION("CONCATENATE(GOOGLETRANSLATE(C415, ""en"", ""ko""))
"),"남성용 스마일 페이스 프린트 패치워크 캐주얼 루즈 드로스트링 후드티")</f>
        <v>남성용 스마일 페이스 프린트 패치워크 캐주얼 루즈 드로스트링 후드티</v>
      </c>
      <c r="F415" s="1" t="str">
        <f>IFERROR(__xludf.DUMMYFUNCTION("CONCATENATE(GOOGLETRANSLATE(C415, ""en"", ""ja""))"),"メンズスマイルフェイスプリントパッチワークカジュアルルーズ巾着パーカー")</f>
        <v>メンズスマイルフェイスプリントパッチワークカジュアルルーズ巾着パーカー</v>
      </c>
    </row>
    <row r="416" ht="15.75" customHeight="1">
      <c r="A416" s="1">
        <v>1889.0</v>
      </c>
      <c r="B416" s="1" t="s">
        <v>381</v>
      </c>
      <c r="C416" s="1" t="s">
        <v>406</v>
      </c>
      <c r="D416" s="1" t="str">
        <f>IFERROR(__xludf.DUMMYFUNCTION("CONCATENATE(GOOGLETRANSLATE(C416, ""en"", ""zh-cn""))
"),"男士圣诞树麋鹿印花长袖抽绳连帽衫")</f>
        <v>男士圣诞树麋鹿印花长袖抽绳连帽衫</v>
      </c>
      <c r="E416" s="1" t="str">
        <f>IFERROR(__xludf.DUMMYFUNCTION("CONCATENATE(GOOGLETRANSLATE(C416, ""en"", ""ko""))
"),"남성용 크리스마스 트리 엘크 프린트 긴 소매 드로스트링 후드티")</f>
        <v>남성용 크리스마스 트리 엘크 프린트 긴 소매 드로스트링 후드티</v>
      </c>
      <c r="F416" s="1" t="str">
        <f>IFERROR(__xludf.DUMMYFUNCTION("CONCATENATE(GOOGLETRANSLATE(C416, ""en"", ""ja""))"),"メンズクリスマスツリーヘラジカプリント長袖巾着パーカー")</f>
        <v>メンズクリスマスツリーヘラジカプリント長袖巾着パーカー</v>
      </c>
    </row>
    <row r="417" ht="15.75" customHeight="1">
      <c r="A417" s="1">
        <v>1890.0</v>
      </c>
      <c r="B417" s="1" t="s">
        <v>381</v>
      </c>
      <c r="C417" s="1" t="s">
        <v>407</v>
      </c>
      <c r="D417" s="1" t="str">
        <f>IFERROR(__xludf.DUMMYFUNCTION("CONCATENATE(GOOGLETRANSLATE(C417, ""en"", ""zh-cn""))
"),"男士条纹四分之一纽扣长袖休闲抽绳连帽衫")</f>
        <v>男士条纹四分之一纽扣长袖休闲抽绳连帽衫</v>
      </c>
      <c r="E417" s="1" t="str">
        <f>IFERROR(__xludf.DUMMYFUNCTION("CONCATENATE(GOOGLETRANSLATE(C417, ""en"", ""ko""))
"),"남성 스트라이프 쿼터 버튼 긴 소매 캐주얼 드로스트링 후드티")</f>
        <v>남성 스트라이프 쿼터 버튼 긴 소매 캐주얼 드로스트링 후드티</v>
      </c>
      <c r="F417" s="1" t="str">
        <f>IFERROR(__xludf.DUMMYFUNCTION("CONCATENATE(GOOGLETRANSLATE(C417, ""en"", ""ja""))"),"メンズストライプクォーターボタン長袖カジュアル巾着パーカー")</f>
        <v>メンズストライプクォーターボタン長袖カジュアル巾着パーカー</v>
      </c>
    </row>
    <row r="418" ht="15.75" customHeight="1">
      <c r="A418" s="1">
        <v>1891.0</v>
      </c>
      <c r="B418" s="1" t="s">
        <v>381</v>
      </c>
      <c r="C418" s="1" t="s">
        <v>408</v>
      </c>
      <c r="D418" s="1" t="str">
        <f>IFERROR(__xludf.DUMMYFUNCTION("CONCATENATE(GOOGLETRANSLATE(C418, ""en"", ""zh-cn""))
"),"男式笑脸印花撞色拼布圆领套头运动衫")</f>
        <v>男式笑脸印花撞色拼布圆领套头运动衫</v>
      </c>
      <c r="E418" s="1" t="str">
        <f>IFERROR(__xludf.DUMMYFUNCTION("CONCATENATE(GOOGLETRANSLATE(C418, ""en"", ""ko""))
"),"남성용 스마일 페이스 프린트 대비 패치워크 크루넥 풀오버 스웨트셔츠")</f>
        <v>남성용 스마일 페이스 프린트 대비 패치워크 크루넥 풀오버 스웨트셔츠</v>
      </c>
      <c r="F418" s="1" t="str">
        <f>IFERROR(__xludf.DUMMYFUNCTION("CONCATENATE(GOOGLETRANSLATE(C418, ""en"", ""ja""))"),"メンズスマイルフェイスプリントコントラストパッチワーククルーネックプルオーバースウェットシャツ")</f>
        <v>メンズスマイルフェイスプリントコントラストパッチワーククルーネックプルオーバースウェットシャツ</v>
      </c>
    </row>
    <row r="419" ht="15.75" customHeight="1">
      <c r="A419" s="1">
        <v>1892.0</v>
      </c>
      <c r="B419" s="1" t="s">
        <v>381</v>
      </c>
      <c r="C419" s="1" t="s">
        <v>409</v>
      </c>
      <c r="D419" s="1" t="str">
        <f>IFERROR(__xludf.DUMMYFUNCTION("CONCATENATE(GOOGLETRANSLATE(C419, ""en"", ""zh-cn""))
"),"男式日本波浪印花圆领长袖套头运动衫")</f>
        <v>男式日本波浪印花圆领长袖套头运动衫</v>
      </c>
      <c r="E419" s="1" t="str">
        <f>IFERROR(__xludf.DUMMYFUNCTION("CONCATENATE(GOOGLETRANSLATE(C419, ""en"", ""ko""))
"),"남성용 일본식 웨이브 프린트 크루넥 긴 소매 풀오버 스웨트셔츠")</f>
        <v>남성용 일본식 웨이브 프린트 크루넥 긴 소매 풀오버 스웨트셔츠</v>
      </c>
      <c r="F419" s="1" t="str">
        <f>IFERROR(__xludf.DUMMYFUNCTION("CONCATENATE(GOOGLETRANSLATE(C419, ""en"", ""ja""))"),"メンズ日本の波プリントクルーネック長袖プルオーバースウェットシャツ")</f>
        <v>メンズ日本の波プリントクルーネック長袖プルオーバースウェットシャツ</v>
      </c>
    </row>
    <row r="420" ht="15.75" customHeight="1">
      <c r="A420" s="1">
        <v>1893.0</v>
      </c>
      <c r="B420" s="1" t="s">
        <v>381</v>
      </c>
      <c r="C420" s="1" t="s">
        <v>410</v>
      </c>
      <c r="D420" s="1" t="str">
        <f>IFERROR(__xludf.DUMMYFUNCTION("CONCATENATE(GOOGLETRANSLATE(C420, ""en"", ""zh-cn""))
"),"男士拼色圆领宽松套头运动衫")</f>
        <v>男士拼色圆领宽松套头运动衫</v>
      </c>
      <c r="E420" s="1" t="str">
        <f>IFERROR(__xludf.DUMMYFUNCTION("CONCATENATE(GOOGLETRANSLATE(C420, ""en"", ""ko""))
"),"남성용 컬러 블록 패치워크 크루넥 루즈 풀오버 스웨트셔츠")</f>
        <v>남성용 컬러 블록 패치워크 크루넥 루즈 풀오버 스웨트셔츠</v>
      </c>
      <c r="F420" s="1" t="str">
        <f>IFERROR(__xludf.DUMMYFUNCTION("CONCATENATE(GOOGLETRANSLATE(C420, ""en"", ""ja""))"),"メンズカラーブロックパッチワーククルーネックルーズプルオーバースウェットシャツ")</f>
        <v>メンズカラーブロックパッチワーククルーネックルーズプルオーバースウェットシャツ</v>
      </c>
    </row>
    <row r="421" ht="15.75" customHeight="1">
      <c r="A421" s="1">
        <v>1894.0</v>
      </c>
      <c r="B421" s="1" t="s">
        <v>381</v>
      </c>
      <c r="C421" s="1" t="s">
        <v>411</v>
      </c>
      <c r="D421" s="1" t="str">
        <f>IFERROR(__xludf.DUMMYFUNCTION("CONCATENATE(GOOGLETRANSLATE(C421, ""en"", ""zh-cn""))
"),"男式两色拼布立领灯芯绒套头运动衫")</f>
        <v>男式两色拼布立领灯芯绒套头运动衫</v>
      </c>
      <c r="E421" s="1" t="str">
        <f>IFERROR(__xludf.DUMMYFUNCTION("CONCATENATE(GOOGLETRANSLATE(C421, ""en"", ""ko""))
"),"남성용 투톤 패치워크 스탠드 칼라 코듀로이 풀오버 스웨트셔츠")</f>
        <v>남성용 투톤 패치워크 스탠드 칼라 코듀로이 풀오버 스웨트셔츠</v>
      </c>
      <c r="F421" s="1" t="str">
        <f>IFERROR(__xludf.DUMMYFUNCTION("CONCATENATE(GOOGLETRANSLATE(C421, ""en"", ""ja""))"),"メンズ ツートーン パッチワーク スタンドカラー コーデュロイ プルオーバー スウェットシャツ")</f>
        <v>メンズ ツートーン パッチワーク スタンドカラー コーデュロイ プルオーバー スウェットシャツ</v>
      </c>
    </row>
    <row r="422" ht="15.75" customHeight="1">
      <c r="A422" s="1">
        <v>1895.0</v>
      </c>
      <c r="B422" s="1" t="s">
        <v>381</v>
      </c>
      <c r="C422" s="1" t="s">
        <v>412</v>
      </c>
      <c r="D422" s="1" t="str">
        <f>IFERROR(__xludf.DUMMYFUNCTION("CONCATENATE(GOOGLETRANSLATE(C422, ""en"", ""zh-cn""))
"),"男式撞色拼布立领抓绒休闲套头运动衫")</f>
        <v>男式撞色拼布立领抓绒休闲套头运动衫</v>
      </c>
      <c r="E422" s="1" t="str">
        <f>IFERROR(__xludf.DUMMYFUNCTION("CONCATENATE(GOOGLETRANSLATE(C422, ""en"", ""ko""))
"),"남성용 대비 패치워크 스탠드 칼라 플리스 캐주얼 풀오버 스웨트셔츠")</f>
        <v>남성용 대비 패치워크 스탠드 칼라 플리스 캐주얼 풀오버 스웨트셔츠</v>
      </c>
      <c r="F422" s="1" t="str">
        <f>IFERROR(__xludf.DUMMYFUNCTION("CONCATENATE(GOOGLETRANSLATE(C422, ""en"", ""ja""))"),"メンズコントラストパッチワークスタンドカラーフリースカジュアルプルオーバースウェットシャツ")</f>
        <v>メンズコントラストパッチワークスタンドカラーフリースカジュアルプルオーバースウェットシャツ</v>
      </c>
    </row>
    <row r="423" ht="15.75" customHeight="1">
      <c r="A423" s="1">
        <v>1896.0</v>
      </c>
      <c r="B423" s="1" t="s">
        <v>381</v>
      </c>
      <c r="C423" s="1" t="s">
        <v>413</v>
      </c>
      <c r="D423" s="1" t="str">
        <f>IFERROR(__xludf.DUMMYFUNCTION("CONCATENATE(GOOGLETRANSLATE(C423, ""en"", ""zh-cn""))
"),"男士撞色拼布圆领休闲宽松套头运动衫")</f>
        <v>男士撞色拼布圆领休闲宽松套头运动衫</v>
      </c>
      <c r="E423" s="1" t="str">
        <f>IFERROR(__xludf.DUMMYFUNCTION("CONCATENATE(GOOGLETRANSLATE(C423, ""en"", ""ko""))
"),"남성용 대비 패치워크 크루넥 캐주얼 루즈 풀오버 스웨트셔츠")</f>
        <v>남성용 대비 패치워크 크루넥 캐주얼 루즈 풀오버 스웨트셔츠</v>
      </c>
      <c r="F423" s="1" t="str">
        <f>IFERROR(__xludf.DUMMYFUNCTION("CONCATENATE(GOOGLETRANSLATE(C423, ""en"", ""ja""))"),"メンズコントラストパッチワーククルーネックカジュアルルーズプルオーバースウェットシャツ")</f>
        <v>メンズコントラストパッチワーククルーネックカジュアルルーズプルオーバースウェットシャツ</v>
      </c>
    </row>
    <row r="424" ht="15.75" customHeight="1">
      <c r="A424" s="1">
        <v>1897.0</v>
      </c>
      <c r="B424" s="1" t="s">
        <v>381</v>
      </c>
      <c r="C424" s="1" t="s">
        <v>414</v>
      </c>
      <c r="D424" s="1" t="str">
        <f>IFERROR(__xludf.DUMMYFUNCTION("CONCATENATE(GOOGLETRANSLATE(C424, ""en"", ""zh-cn""))
"),"男式纯色半拉链袋鼠口袋休闲抽绳连帽衫")</f>
        <v>男式纯色半拉链袋鼠口袋休闲抽绳连帽衫</v>
      </c>
      <c r="E424" s="1" t="str">
        <f>IFERROR(__xludf.DUMMYFUNCTION("CONCATENATE(GOOGLETRANSLATE(C424, ""en"", ""ko""))
"),"남성용 솔리드 하프 지퍼 캥거루 포켓 캐주얼 드로스트링 후드티")</f>
        <v>남성용 솔리드 하프 지퍼 캥거루 포켓 캐주얼 드로스트링 후드티</v>
      </c>
      <c r="F424" s="1" t="str">
        <f>IFERROR(__xludf.DUMMYFUNCTION("CONCATENATE(GOOGLETRANSLATE(C424, ""en"", ""ja""))"),"メンズソリッドハーフジップカンガルーポケットカジュアル巾着パーカー")</f>
        <v>メンズソリッドハーフジップカンガルーポケットカジュアル巾着パーカー</v>
      </c>
    </row>
    <row r="425" ht="15.75" customHeight="1">
      <c r="A425" s="1">
        <v>1898.0</v>
      </c>
      <c r="B425" s="1" t="s">
        <v>381</v>
      </c>
      <c r="C425" s="1" t="s">
        <v>415</v>
      </c>
      <c r="D425" s="1" t="str">
        <f>IFERROR(__xludf.DUMMYFUNCTION("CONCATENATE(GOOGLETRANSLATE(C425, ""en"", ""zh-cn""))
"),"男士笑脸印花拼接半拉链抽绳连帽衫")</f>
        <v>男士笑脸印花拼接半拉链抽绳连帽衫</v>
      </c>
      <c r="E425" s="1" t="str">
        <f>IFERROR(__xludf.DUMMYFUNCTION("CONCATENATE(GOOGLETRANSLATE(C425, ""en"", ""ko""))
"),"남성용 스마일 페이스 프린트 패치워크 하프 지퍼 드로스트링 후드티")</f>
        <v>남성용 스마일 페이스 프린트 패치워크 하프 지퍼 드로스트링 후드티</v>
      </c>
      <c r="F425" s="1" t="str">
        <f>IFERROR(__xludf.DUMMYFUNCTION("CONCATENATE(GOOGLETRANSLATE(C425, ""en"", ""ja""))"),"メンズスマイルフェイスプリントパッチワークハーフジップ巾着パーカー")</f>
        <v>メンズスマイルフェイスプリントパッチワークハーフジップ巾着パーカー</v>
      </c>
    </row>
    <row r="426" ht="15.75" customHeight="1">
      <c r="A426" s="1">
        <v>1899.0</v>
      </c>
      <c r="B426" s="1" t="s">
        <v>381</v>
      </c>
      <c r="C426" s="1" t="s">
        <v>416</v>
      </c>
      <c r="D426" s="1" t="str">
        <f>IFERROR(__xludf.DUMMYFUNCTION("CONCATENATE(GOOGLETRANSLATE(C426, ""en"", ""zh-cn""))
"),"男式笑脸印花袋鼠口袋休闲抽绳连帽衫")</f>
        <v>男式笑脸印花袋鼠口袋休闲抽绳连帽衫</v>
      </c>
      <c r="E426" s="1" t="str">
        <f>IFERROR(__xludf.DUMMYFUNCTION("CONCATENATE(GOOGLETRANSLATE(C426, ""en"", ""ko""))
"),"남성용 스마일 페이스 프린트 캥거루 포켓 캐주얼 드로스트링 후드티")</f>
        <v>남성용 스마일 페이스 프린트 캥거루 포켓 캐주얼 드로스트링 후드티</v>
      </c>
      <c r="F426" s="1" t="str">
        <f>IFERROR(__xludf.DUMMYFUNCTION("CONCATENATE(GOOGLETRANSLATE(C426, ""en"", ""ja""))"),"メンズスマイルフェイスプリントカンガルーポケットカジュアル巾着パーカー")</f>
        <v>メンズスマイルフェイスプリントカンガルーポケットカジュアル巾着パーカー</v>
      </c>
    </row>
    <row r="427" ht="15.75" customHeight="1">
      <c r="A427" s="1">
        <v>1900.0</v>
      </c>
      <c r="B427" s="1" t="s">
        <v>381</v>
      </c>
      <c r="C427" s="1" t="s">
        <v>417</v>
      </c>
      <c r="D427" s="1" t="str">
        <f>IFERROR(__xludf.DUMMYFUNCTION("CONCATENATE(GOOGLETRANSLATE(C427, ""en"", ""zh-cn""))
"),"男式微笑刺绣撞色拼布圆领套头运动衫")</f>
        <v>男式微笑刺绣撞色拼布圆领套头运动衫</v>
      </c>
      <c r="E427" s="1" t="str">
        <f>IFERROR(__xludf.DUMMYFUNCTION("CONCATENATE(GOOGLETRANSLATE(C427, ""en"", ""ko""))
"),"남성용 스마일 자수 대비 패치워크 크루넥 풀오버 스웨트셔츠")</f>
        <v>남성용 스마일 자수 대비 패치워크 크루넥 풀오버 스웨트셔츠</v>
      </c>
      <c r="F427" s="1" t="str">
        <f>IFERROR(__xludf.DUMMYFUNCTION("CONCATENATE(GOOGLETRANSLATE(C427, ""en"", ""ja""))"),"メンズスマイル刺繍コントラストパッチワーククルーネックプルオーバースウェットシャツ")</f>
        <v>メンズスマイル刺繍コントラストパッチワーククルーネックプルオーバースウェットシャツ</v>
      </c>
    </row>
    <row r="428" ht="15.75" customHeight="1">
      <c r="A428" s="1">
        <v>1901.0</v>
      </c>
      <c r="B428" s="1" t="s">
        <v>381</v>
      </c>
      <c r="C428" s="1" t="s">
        <v>418</v>
      </c>
      <c r="D428" s="1" t="str">
        <f>IFERROR(__xludf.DUMMYFUNCTION("CONCATENATE(GOOGLETRANSLATE(C428, ""en"", ""zh-cn""))
"),"男式菱形图案微笑刺绣拼布宽松抽绳连帽衫")</f>
        <v>男式菱形图案微笑刺绣拼布宽松抽绳连帽衫</v>
      </c>
      <c r="E428" s="1" t="str">
        <f>IFERROR(__xludf.DUMMYFUNCTION("CONCATENATE(GOOGLETRANSLATE(C428, ""en"", ""ko""))
"),"남성용 아가일 패턴 스마일 자수 패치워크 루즈한 드로스트링 후드티")</f>
        <v>남성용 아가일 패턴 스마일 자수 패치워크 루즈한 드로스트링 후드티</v>
      </c>
      <c r="F428" s="1" t="str">
        <f>IFERROR(__xludf.DUMMYFUNCTION("CONCATENATE(GOOGLETRANSLATE(C428, ""en"", ""ja""))"),"メンズアーガイル柄スマイル刺繍パッチワークルーズ巾着パーカー")</f>
        <v>メンズアーガイル柄スマイル刺繍パッチワークルーズ巾着パーカー</v>
      </c>
    </row>
    <row r="429" ht="15.75" customHeight="1">
      <c r="A429" s="1">
        <v>1902.0</v>
      </c>
      <c r="B429" s="1" t="s">
        <v>381</v>
      </c>
      <c r="C429" s="1" t="s">
        <v>419</v>
      </c>
      <c r="D429" s="1" t="str">
        <f>IFERROR(__xludf.DUMMYFUNCTION("CONCATENATE(GOOGLETRANSLATE(C429, ""en"", ""zh-cn""))
"),"男式复古民族几何图案圆领套头运动衫")</f>
        <v>男式复古民族几何图案圆领套头运动衫</v>
      </c>
      <c r="E429" s="1" t="str">
        <f>IFERROR(__xludf.DUMMYFUNCTION("CONCATENATE(GOOGLETRANSLATE(C429, ""en"", ""ko""))
"),"남성용 빈티지 에스닉 기하학적 패턴 크루넥 풀오버 스웨트셔츠")</f>
        <v>남성용 빈티지 에스닉 기하학적 패턴 크루넥 풀오버 스웨트셔츠</v>
      </c>
      <c r="F429" s="1" t="str">
        <f>IFERROR(__xludf.DUMMYFUNCTION("CONCATENATE(GOOGLETRANSLATE(C429, ""en"", ""ja""))"),"メンズヴィンテージエスニック幾何学模様クルーネックプルオーバースウェットシャツ")</f>
        <v>メンズヴィンテージエスニック幾何学模様クルーネックプルオーバースウェットシャツ</v>
      </c>
    </row>
    <row r="430" ht="15.75" customHeight="1">
      <c r="A430" s="1">
        <v>1903.0</v>
      </c>
      <c r="B430" s="1" t="s">
        <v>381</v>
      </c>
      <c r="C430" s="1" t="s">
        <v>420</v>
      </c>
      <c r="D430" s="1" t="str">
        <f>IFERROR(__xludf.DUMMYFUNCTION("CONCATENATE(GOOGLETRANSLATE(C430, ""en"", ""zh-cn""))
"),"男式民族佩斯利印花拼布纹理圆领套头运动衫")</f>
        <v>男式民族佩斯利印花拼布纹理圆领套头运动衫</v>
      </c>
      <c r="E430" s="1" t="str">
        <f>IFERROR(__xludf.DUMMYFUNCTION("CONCATENATE(GOOGLETRANSLATE(C430, ""en"", ""ko""))
"),"남성용 에스닉 페이즐리 프린트 패치워크 텍스처 크루넥 풀오버 스웨트셔츠")</f>
        <v>남성용 에스닉 페이즐리 프린트 패치워크 텍스처 크루넥 풀오버 스웨트셔츠</v>
      </c>
      <c r="F430" s="1" t="str">
        <f>IFERROR(__xludf.DUMMYFUNCTION("CONCATENATE(GOOGLETRANSLATE(C430, ""en"", ""ja""))"),"メンズエスニックペイズリープリントパッチワークテクスチャークルーネックプルオーバースウェットシャツ")</f>
        <v>メンズエスニックペイズリープリントパッチワークテクスチャークルーネックプルオーバースウェットシャツ</v>
      </c>
    </row>
    <row r="431" ht="15.75" customHeight="1">
      <c r="A431" s="1">
        <v>1904.0</v>
      </c>
      <c r="B431" s="1" t="s">
        <v>381</v>
      </c>
      <c r="C431" s="1" t="s">
        <v>421</v>
      </c>
      <c r="D431" s="1" t="str">
        <f>IFERROR(__xludf.DUMMYFUNCTION("CONCATENATE(GOOGLETRANSLATE(C431, ""en"", ""zh-cn""))
"),"男式民族部落字母印花拼布圆领套头运动衫")</f>
        <v>男式民族部落字母印花拼布圆领套头运动衫</v>
      </c>
      <c r="E431" s="1" t="str">
        <f>IFERROR(__xludf.DUMMYFUNCTION("CONCATENATE(GOOGLETRANSLATE(C431, ""en"", ""ko""))
"),"남성용 민족 부족 문자 인쇄 패치워크 크루넥 풀오버 스웨트셔츠")</f>
        <v>남성용 민족 부족 문자 인쇄 패치워크 크루넥 풀오버 스웨트셔츠</v>
      </c>
      <c r="F431" s="1" t="str">
        <f>IFERROR(__xludf.DUMMYFUNCTION("CONCATENATE(GOOGLETRANSLATE(C431, ""en"", ""ja""))"),"メンズエスニックトライバルレタープリントパッチワーククルーネックプルオーバースウェットシャツ")</f>
        <v>メンズエスニックトライバルレタープリントパッチワーククルーネックプルオーバースウェットシャツ</v>
      </c>
    </row>
    <row r="432" ht="15.75" customHeight="1">
      <c r="A432" s="1">
        <v>1905.0</v>
      </c>
      <c r="B432" s="1" t="s">
        <v>381</v>
      </c>
      <c r="C432" s="1" t="s">
        <v>422</v>
      </c>
      <c r="D432" s="1" t="str">
        <f>IFERROR(__xludf.DUMMYFUNCTION("CONCATENATE(GOOGLETRANSLATE(C432, ""en"", ""zh-cn""))
"),"男式民族几何印花拼布圆领套头运动衫")</f>
        <v>男式民族几何印花拼布圆领套头运动衫</v>
      </c>
      <c r="E432" s="1" t="str">
        <f>IFERROR(__xludf.DUMMYFUNCTION("CONCATENATE(GOOGLETRANSLATE(C432, ""en"", ""ko""))
"),"남성용 에스닉 기하학적 프린트 패치워크 크루넥 풀오버 스웨트셔츠")</f>
        <v>남성용 에스닉 기하학적 프린트 패치워크 크루넥 풀오버 스웨트셔츠</v>
      </c>
      <c r="F432" s="1" t="str">
        <f>IFERROR(__xludf.DUMMYFUNCTION("CONCATENATE(GOOGLETRANSLATE(C432, ""en"", ""ja""))"),"メンズエスニック幾何学プリントパッチワーククルーネックプルオーバースウェットシャツ")</f>
        <v>メンズエスニック幾何学プリントパッチワーククルーネックプルオーバースウェットシャツ</v>
      </c>
    </row>
    <row r="433" ht="15.75" customHeight="1">
      <c r="A433" s="1">
        <v>1906.0</v>
      </c>
      <c r="B433" s="1" t="s">
        <v>381</v>
      </c>
      <c r="C433" s="1" t="s">
        <v>423</v>
      </c>
      <c r="D433" s="1" t="str">
        <f>IFERROR(__xludf.DUMMYFUNCTION("CONCATENATE(GOOGLETRANSLATE(C433, ""en"", ""zh-cn""))
"),"男士中国风花卉印花圆领套头卫衣")</f>
        <v>男士中国风花卉印花圆领套头卫衣</v>
      </c>
      <c r="E433" s="1" t="str">
        <f>IFERROR(__xludf.DUMMYFUNCTION("CONCATENATE(GOOGLETRANSLATE(C433, ""en"", ""ko""))
"),"남성용 중국 스타일 꽃무늬 크루넥 풀오버 스웨트셔츠")</f>
        <v>남성용 중국 스타일 꽃무늬 크루넥 풀오버 스웨트셔츠</v>
      </c>
      <c r="F433" s="1" t="str">
        <f>IFERROR(__xludf.DUMMYFUNCTION("CONCATENATE(GOOGLETRANSLATE(C433, ""en"", ""ja""))"),"メンズ中国風花柄クルーネックプルオーバースウェットシャツ")</f>
        <v>メンズ中国風花柄クルーネックプルオーバースウェットシャツ</v>
      </c>
    </row>
    <row r="434" ht="15.75" customHeight="1">
      <c r="A434" s="1">
        <v>1907.0</v>
      </c>
      <c r="B434" s="1" t="s">
        <v>381</v>
      </c>
      <c r="C434" s="1" t="s">
        <v>424</v>
      </c>
      <c r="D434" s="1" t="str">
        <f>IFERROR(__xludf.DUMMYFUNCTION("CONCATENATE(GOOGLETRANSLATE(C434, ""en"", ""zh-cn""))
"),"男式中国人物山水印花拼布抽绳连帽衫")</f>
        <v>男式中国人物山水印花拼布抽绳连帽衫</v>
      </c>
      <c r="E434" s="1" t="str">
        <f>IFERROR(__xludf.DUMMYFUNCTION("CONCATENATE(GOOGLETRANSLATE(C434, ""en"", ""ko""))
"),"남성용 중국 그림 풍경화 프린트 패치워크 드로스트링 후드티")</f>
        <v>남성용 중국 그림 풍경화 프린트 패치워크 드로스트링 후드티</v>
      </c>
      <c r="F434" s="1" t="str">
        <f>IFERROR(__xludf.DUMMYFUNCTION("CONCATENATE(GOOGLETRANSLATE(C434, ""en"", ""ja""))"),"メンズ中国図風景プリントパッチワーク巾着パーカー")</f>
        <v>メンズ中国図風景プリントパッチワーク巾着パーカー</v>
      </c>
    </row>
    <row r="435" ht="15.75" customHeight="1">
      <c r="A435" s="1">
        <v>1908.0</v>
      </c>
      <c r="B435" s="1" t="s">
        <v>381</v>
      </c>
      <c r="C435" s="1" t="s">
        <v>425</v>
      </c>
      <c r="D435" s="1" t="str">
        <f>IFERROR(__xludf.DUMMYFUNCTION("CONCATENATE(GOOGLETRANSLATE(C435, ""en"", ""zh-cn""))
"),"男士字母印花拼色圆领休闲套头运动衫")</f>
        <v>男士字母印花拼色圆领休闲套头运动衫</v>
      </c>
      <c r="E435" s="1" t="str">
        <f>IFERROR(__xludf.DUMMYFUNCTION("CONCATENATE(GOOGLETRANSLATE(C435, ""en"", ""ko""))
"),"남성용 레터 프린트 컬러 블록 패치워크 크루넥 캐주얼 풀오버 스웨트셔츠")</f>
        <v>남성용 레터 프린트 컬러 블록 패치워크 크루넥 캐주얼 풀오버 스웨트셔츠</v>
      </c>
      <c r="F435" s="1" t="str">
        <f>IFERROR(__xludf.DUMMYFUNCTION("CONCATENATE(GOOGLETRANSLATE(C435, ""en"", ""ja""))"),"メンズレタープリントカラーブロックパッチワーククルーネックカジュアルプルオーバースウェットシャツ")</f>
        <v>メンズレタープリントカラーブロックパッチワーククルーネックカジュアルプルオーバースウェットシャツ</v>
      </c>
    </row>
    <row r="436" ht="15.75" customHeight="1">
      <c r="A436" s="1">
        <v>1909.0</v>
      </c>
      <c r="B436" s="1" t="s">
        <v>381</v>
      </c>
      <c r="C436" s="1" t="s">
        <v>426</v>
      </c>
      <c r="D436" s="1" t="str">
        <f>IFERROR(__xludf.DUMMYFUNCTION("CONCATENATE(GOOGLETRANSLATE(C436, ""en"", ""zh-cn""))
"),"男式撞色拼布日本印花宽松圆领套头运动衫")</f>
        <v>男式撞色拼布日本印花宽松圆领套头运动衫</v>
      </c>
      <c r="E436" s="1" t="str">
        <f>IFERROR(__xludf.DUMMYFUNCTION("CONCATENATE(GOOGLETRANSLATE(C436, ""en"", ""ko""))
"),"남성용 대비 패치워크 일본식 프린트 루즈한 크루넥 풀오버 스웨트셔츠")</f>
        <v>남성용 대비 패치워크 일본식 프린트 루즈한 크루넥 풀오버 스웨트셔츠</v>
      </c>
      <c r="F436" s="1" t="str">
        <f>IFERROR(__xludf.DUMMYFUNCTION("CONCATENATE(GOOGLETRANSLATE(C436, ""en"", ""ja""))"),"メンズコントラストパッチワーク日本のプリントルーズクルーネックプルオーバースウェットシャツ")</f>
        <v>メンズコントラストパッチワーク日本のプリントルーズクルーネックプルオーバースウェットシャツ</v>
      </c>
    </row>
    <row r="437" ht="15.75" customHeight="1">
      <c r="A437" s="1">
        <v>1910.0</v>
      </c>
      <c r="B437" s="1" t="s">
        <v>381</v>
      </c>
      <c r="C437" s="1" t="s">
        <v>427</v>
      </c>
      <c r="D437" s="1" t="str">
        <f>IFERROR(__xludf.DUMMYFUNCTION("CONCATENATE(GOOGLETRANSLATE(C437, ""en"", ""zh-cn""))
"),"男式两色拼布袋鼠口袋休闲抽绳连帽衫")</f>
        <v>男式两色拼布袋鼠口袋休闲抽绳连帽衫</v>
      </c>
      <c r="E437" s="1" t="str">
        <f>IFERROR(__xludf.DUMMYFUNCTION("CONCATENATE(GOOGLETRANSLATE(C437, ""en"", ""ko""))
"),"남성용 투톤 패치워크 캥거루 포켓 캐주얼 드로스트링 후드티")</f>
        <v>남성용 투톤 패치워크 캥거루 포켓 캐주얼 드로스트링 후드티</v>
      </c>
      <c r="F437" s="1" t="str">
        <f>IFERROR(__xludf.DUMMYFUNCTION("CONCATENATE(GOOGLETRANSLATE(C437, ""en"", ""ja""))"),"メンズツートーンパッチワークカンガルーポケットカジュアル巾着パーカー")</f>
        <v>メンズツートーンパッチワークカンガルーポケットカジュアル巾着パーカー</v>
      </c>
    </row>
    <row r="438" ht="15.75" customHeight="1">
      <c r="A438" s="1">
        <v>1911.0</v>
      </c>
      <c r="B438" s="1" t="s">
        <v>381</v>
      </c>
      <c r="C438" s="1" t="s">
        <v>428</v>
      </c>
      <c r="D438" s="1" t="str">
        <f>IFERROR(__xludf.DUMMYFUNCTION("CONCATENATE(GOOGLETRANSLATE(C438, ""en"", ""zh-cn""))
"),"男式复古几何印花圆领套头运动衫")</f>
        <v>男式复古几何印花圆领套头运动衫</v>
      </c>
      <c r="E438" s="1" t="str">
        <f>IFERROR(__xludf.DUMMYFUNCTION("CONCATENATE(GOOGLETRANSLATE(C438, ""en"", ""ko""))
"),"남성용 빈티지 기하학적 프린트 크루넥 풀오버 스웨트셔츠")</f>
        <v>남성용 빈티지 기하학적 프린트 크루넥 풀오버 스웨트셔츠</v>
      </c>
      <c r="F438" s="1" t="str">
        <f>IFERROR(__xludf.DUMMYFUNCTION("CONCATENATE(GOOGLETRANSLATE(C438, ""en"", ""ja""))"),"メンズヴィンテージ幾何学プリントクルーネックプルオーバースウェットシャツ")</f>
        <v>メンズヴィンテージ幾何学プリントクルーネックプルオーバースウェットシャツ</v>
      </c>
    </row>
    <row r="439" ht="15.75" customHeight="1">
      <c r="A439" s="1">
        <v>1912.0</v>
      </c>
      <c r="B439" s="1" t="s">
        <v>381</v>
      </c>
      <c r="C439" s="1" t="s">
        <v>429</v>
      </c>
      <c r="D439" s="1" t="str">
        <f>IFERROR(__xludf.DUMMYFUNCTION("CONCATENATE(GOOGLETRANSLATE(C439, ""en"", ""zh-cn""))
"),"男士拼色袋鼠口袋宽松抽绳连帽衫")</f>
        <v>男士拼色袋鼠口袋宽松抽绳连帽衫</v>
      </c>
      <c r="E439" s="1" t="str">
        <f>IFERROR(__xludf.DUMMYFUNCTION("CONCATENATE(GOOGLETRANSLATE(C439, ""en"", ""ko""))
"),"남성용 컬러 블록 캥거루 포켓 루즈 드로스트링 후드티")</f>
        <v>남성용 컬러 블록 캥거루 포켓 루즈 드로스트링 후드티</v>
      </c>
      <c r="F439" s="1" t="str">
        <f>IFERROR(__xludf.DUMMYFUNCTION("CONCATENATE(GOOGLETRANSLATE(C439, ""en"", ""ja""))"),"メンズカラーブロックカンガルーポケットルーズドローストリングパーカー")</f>
        <v>メンズカラーブロックカンガルーポケットルーズドローストリングパーカー</v>
      </c>
    </row>
    <row r="440" ht="15.75" customHeight="1">
      <c r="A440" s="1">
        <v>1913.0</v>
      </c>
      <c r="B440" s="1" t="s">
        <v>381</v>
      </c>
      <c r="C440" s="1" t="s">
        <v>430</v>
      </c>
      <c r="D440" s="1" t="str">
        <f>IFERROR(__xludf.DUMMYFUNCTION("CONCATENATE(GOOGLETRANSLATE(C440, ""en"", ""zh-cn""))
"),"男式撞色拼布半拉链华夫格针织套头运动衫")</f>
        <v>男式撞色拼布半拉链华夫格针织套头运动衫</v>
      </c>
      <c r="E440" s="1" t="str">
        <f>IFERROR(__xludf.DUMMYFUNCTION("CONCATENATE(GOOGLETRANSLATE(C440, ""en"", ""ko""))
"),"남성용 콘트라스트 패치워크 하프 지퍼 와플 니트 풀오버 스웨트셔츠")</f>
        <v>남성용 콘트라스트 패치워크 하프 지퍼 와플 니트 풀오버 스웨트셔츠</v>
      </c>
      <c r="F440" s="1" t="str">
        <f>IFERROR(__xludf.DUMMYFUNCTION("CONCATENATE(GOOGLETRANSLATE(C440, ""en"", ""ja""))"),"メンズコントラストパッチワークハーフジップワッフルニットプルオーバースウェットシャツ")</f>
        <v>メンズコントラストパッチワークハーフジップワッフルニットプルオーバースウェットシャツ</v>
      </c>
    </row>
    <row r="441" ht="15.75" customHeight="1">
      <c r="A441" s="1">
        <v>1914.0</v>
      </c>
      <c r="B441" s="1" t="s">
        <v>381</v>
      </c>
      <c r="C441" s="1" t="s">
        <v>431</v>
      </c>
      <c r="D441" s="1" t="str">
        <f>IFERROR(__xludf.DUMMYFUNCTION("CONCATENATE(GOOGLETRANSLATE(C441, ""en"", ""zh-cn""))
"),"男士字母印花翻盖休闲抽绳连帽衫")</f>
        <v>男士字母印花翻盖休闲抽绳连帽衫</v>
      </c>
      <c r="E441" s="1" t="str">
        <f>IFERROR(__xludf.DUMMYFUNCTION("CONCATENATE(GOOGLETRANSLATE(C441, ""en"", ""ko""))
"),"남성용 레터 프린트 플랩 포켓 캐주얼 드로스트링 후드티")</f>
        <v>남성용 레터 프린트 플랩 포켓 캐주얼 드로스트링 후드티</v>
      </c>
      <c r="F441" s="1" t="str">
        <f>IFERROR(__xludf.DUMMYFUNCTION("CONCATENATE(GOOGLETRANSLATE(C441, ""en"", ""ja""))"),"メンズレタープリントフラップポケットカジュアル巾着パーカー")</f>
        <v>メンズレタープリントフラップポケットカジュアル巾着パーカー</v>
      </c>
    </row>
    <row r="442" ht="15.75" customHeight="1">
      <c r="A442" s="1">
        <v>1915.0</v>
      </c>
      <c r="B442" s="1" t="s">
        <v>381</v>
      </c>
      <c r="C442" s="1" t="s">
        <v>432</v>
      </c>
      <c r="D442" s="1" t="str">
        <f>IFERROR(__xludf.DUMMYFUNCTION("CONCATENATE(GOOGLETRANSLATE(C442, ""en"", ""zh-cn""))
"),"男士撞色胸袋圆领休闲套头运动衫")</f>
        <v>男士撞色胸袋圆领休闲套头运动衫</v>
      </c>
      <c r="E442" s="1" t="str">
        <f>IFERROR(__xludf.DUMMYFUNCTION("CONCATENATE(GOOGLETRANSLATE(C442, ""en"", ""ko""))
"),"남성용 대비 가슴 포켓 크루넥 캐주얼 풀오버 스웨트셔츠")</f>
        <v>남성용 대비 가슴 포켓 크루넥 캐주얼 풀오버 스웨트셔츠</v>
      </c>
      <c r="F442" s="1" t="str">
        <f>IFERROR(__xludf.DUMMYFUNCTION("CONCATENATE(GOOGLETRANSLATE(C442, ""en"", ""ja""))"),"メンズコントラスト胸ポケットクルーネックカジュアルプルオーバースウェットシャツ")</f>
        <v>メンズコントラスト胸ポケットクルーネックカジュアルプルオーバースウェットシャツ</v>
      </c>
    </row>
    <row r="443" ht="15.75" customHeight="1">
      <c r="A443" s="1">
        <v>1916.0</v>
      </c>
      <c r="B443" s="1" t="s">
        <v>381</v>
      </c>
      <c r="C443" s="1" t="s">
        <v>433</v>
      </c>
      <c r="D443" s="1" t="str">
        <f>IFERROR(__xludf.DUMMYFUNCTION("CONCATENATE(GOOGLETRANSLATE(C443, ""en"", ""zh-cn""))
"),"男式微笑民族几何印花拼布圆领套头运动衫")</f>
        <v>男式微笑民族几何印花拼布圆领套头运动衫</v>
      </c>
      <c r="E443" s="1" t="str">
        <f>IFERROR(__xludf.DUMMYFUNCTION("CONCATENATE(GOOGLETRANSLATE(C443, ""en"", ""ko""))
"),"남성용 스마일 에스닉 기하학 프린트 패치워크 크루넥 풀오버 스웨트셔츠")</f>
        <v>남성용 스마일 에스닉 기하학 프린트 패치워크 크루넥 풀오버 스웨트셔츠</v>
      </c>
      <c r="F443" s="1" t="str">
        <f>IFERROR(__xludf.DUMMYFUNCTION("CONCATENATE(GOOGLETRANSLATE(C443, ""en"", ""ja""))"),"メンズスマイルエスニック幾何学プリントパッチワーククルーネックプルオーバースウェットシャツ")</f>
        <v>メンズスマイルエスニック幾何学プリントパッチワーククルーネックプルオーバースウェットシャツ</v>
      </c>
    </row>
    <row r="444" ht="15.75" customHeight="1">
      <c r="A444" s="1">
        <v>1917.0</v>
      </c>
      <c r="B444" s="1" t="s">
        <v>381</v>
      </c>
      <c r="C444" s="1" t="s">
        <v>434</v>
      </c>
      <c r="D444" s="1" t="str">
        <f>IFERROR(__xludf.DUMMYFUNCTION("CONCATENATE(GOOGLETRANSLATE(C444, ""en"", ""zh-cn""))
"),"男式日本樱花印花撞色拼布抽绳连帽衫")</f>
        <v>男式日本樱花印花撞色拼布抽绳连帽衫</v>
      </c>
      <c r="E444" s="1" t="str">
        <f>IFERROR(__xludf.DUMMYFUNCTION("CONCATENATE(GOOGLETRANSLATE(C444, ""en"", ""ko""))
"),"남성용 일본 벚꽃 프린트 대비 패치워크 드로스트링 후드티")</f>
        <v>남성용 일본 벚꽃 프린트 대비 패치워크 드로스트링 후드티</v>
      </c>
      <c r="F444" s="1" t="str">
        <f>IFERROR(__xludf.DUMMYFUNCTION("CONCATENATE(GOOGLETRANSLATE(C444, ""en"", ""ja""))"),"メンズ日本の桜プリントコントラストパッチワーク巾着パーカー")</f>
        <v>メンズ日本の桜プリントコントラストパッチワーク巾着パーカー</v>
      </c>
    </row>
    <row r="445" ht="15.75" customHeight="1">
      <c r="A445" s="1">
        <v>1918.0</v>
      </c>
      <c r="B445" s="1" t="s">
        <v>381</v>
      </c>
      <c r="C445" s="1" t="s">
        <v>435</v>
      </c>
      <c r="D445" s="1" t="str">
        <f>IFERROR(__xludf.DUMMYFUNCTION("CONCATENATE(GOOGLETRANSLATE(C445, ""en"", ""zh-cn""))
"),"男式卡通动物印花拼布休闲抽绳连帽衫")</f>
        <v>男式卡通动物印花拼布休闲抽绳连帽衫</v>
      </c>
      <c r="E445" s="1" t="str">
        <f>IFERROR(__xludf.DUMMYFUNCTION("CONCATENATE(GOOGLETRANSLATE(C445, ""en"", ""ko""))
"),"남성용 만화 동물 프린트 패치워크 캐주얼 드로스트링 후드티")</f>
        <v>남성용 만화 동물 프린트 패치워크 캐주얼 드로스트링 후드티</v>
      </c>
      <c r="F445" s="1" t="str">
        <f>IFERROR(__xludf.DUMMYFUNCTION("CONCATENATE(GOOGLETRANSLATE(C445, ""en"", ""ja""))"),"メンズ漫画アニマルプリントパッチワークカジュアル巾着パーカー")</f>
        <v>メンズ漫画アニマルプリントパッチワークカジュアル巾着パーカー</v>
      </c>
    </row>
    <row r="446" ht="15.75" customHeight="1">
      <c r="A446" s="1">
        <v>1919.0</v>
      </c>
      <c r="B446" s="1" t="s">
        <v>381</v>
      </c>
      <c r="C446" s="1" t="s">
        <v>436</v>
      </c>
      <c r="D446" s="1" t="str">
        <f>IFERROR(__xludf.DUMMYFUNCTION("CONCATENATE(GOOGLETRANSLATE(C446, ""en"", ""zh-cn""))
"),"男式纹理撞色拼布半拉链套头运动衫")</f>
        <v>男式纹理撞色拼布半拉链套头运动衫</v>
      </c>
      <c r="E446" s="1" t="str">
        <f>IFERROR(__xludf.DUMMYFUNCTION("CONCATENATE(GOOGLETRANSLATE(C446, ""en"", ""ko""))
"),"남성용 텍스처 대비 패치워크 하프 지퍼 풀오버 ​​스웨트셔츠")</f>
        <v>남성용 텍스처 대비 패치워크 하프 지퍼 풀오버 ​​스웨트셔츠</v>
      </c>
      <c r="F446" s="1" t="str">
        <f>IFERROR(__xludf.DUMMYFUNCTION("CONCATENATE(GOOGLETRANSLATE(C446, ""en"", ""ja""))"),"メンズテクスチャコントラストパッチワークハーフジッププルオーバースウェットシャツ")</f>
        <v>メンズテクスチャコントラストパッチワークハーフジッププルオーバースウェットシャツ</v>
      </c>
    </row>
    <row r="447" ht="15.75" customHeight="1">
      <c r="A447" s="1">
        <v>1920.0</v>
      </c>
      <c r="B447" s="1" t="s">
        <v>381</v>
      </c>
      <c r="C447" s="1" t="s">
        <v>437</v>
      </c>
      <c r="D447" s="1" t="str">
        <f>IFERROR(__xludf.DUMMYFUNCTION("CONCATENATE(GOOGLETRANSLATE(C447, ""en"", ""zh-cn""))
"),"男式纯色袋鼠口袋撞色抽绳休闲连帽衫")</f>
        <v>男式纯色袋鼠口袋撞色抽绳休闲连帽衫</v>
      </c>
      <c r="E447" s="1" t="str">
        <f>IFERROR(__xludf.DUMMYFUNCTION("CONCATENATE(GOOGLETRANSLATE(C447, ""en"", ""ko""))
"),"남성용 솔리드 캥거루 포켓 대비색 드로스트링 캐주얼 후드티")</f>
        <v>남성용 솔리드 캥거루 포켓 대비색 드로스트링 캐주얼 후드티</v>
      </c>
      <c r="F447" s="1" t="str">
        <f>IFERROR(__xludf.DUMMYFUNCTION("CONCATENATE(GOOGLETRANSLATE(C447, ""en"", ""ja""))"),"メンズソリッドカンガルーポケットコントラスト巾着カジュアルパーカー")</f>
        <v>メンズソリッドカンガルーポケットコントラスト巾着カジュアルパーカー</v>
      </c>
    </row>
    <row r="448" ht="15.75" customHeight="1">
      <c r="A448" s="1">
        <v>1921.0</v>
      </c>
      <c r="B448" s="1" t="s">
        <v>381</v>
      </c>
      <c r="C448" s="1" t="s">
        <v>438</v>
      </c>
      <c r="D448" s="1" t="str">
        <f>IFERROR(__xludf.DUMMYFUNCTION("CONCATENATE(GOOGLETRANSLATE(C448, ""en"", ""zh-cn""))
"),"男式民族几何印花拼布撞色袋鼠口袋连帽衫")</f>
        <v>男式民族几何印花拼布撞色袋鼠口袋连帽衫</v>
      </c>
      <c r="E448" s="1" t="str">
        <f>IFERROR(__xludf.DUMMYFUNCTION("CONCATENATE(GOOGLETRANSLATE(C448, ""en"", ""ko""))
"),"남성용 에스닉 기하학 프린트 패치워크 대비 캥거루 포켓 후드티")</f>
        <v>남성용 에스닉 기하학 프린트 패치워크 대비 캥거루 포켓 후드티</v>
      </c>
      <c r="F448" s="1" t="str">
        <f>IFERROR(__xludf.DUMMYFUNCTION("CONCATENATE(GOOGLETRANSLATE(C448, ""en"", ""ja""))"),"メンズエスニック幾何学プリントパッチワークコントラストカンガルーポケットパーカー")</f>
        <v>メンズエスニック幾何学プリントパッチワークコントラストカンガルーポケットパーカー</v>
      </c>
    </row>
    <row r="449" ht="15.75" customHeight="1">
      <c r="A449" s="1">
        <v>1922.0</v>
      </c>
      <c r="B449" s="1" t="s">
        <v>381</v>
      </c>
      <c r="C449" s="1" t="s">
        <v>439</v>
      </c>
      <c r="D449" s="1" t="str">
        <f>IFERROR(__xludf.DUMMYFUNCTION("CONCATENATE(GOOGLETRANSLATE(C449, ""en"", ""zh-cn""))
"),"男士报纸印花拼布圆领套头运动衫")</f>
        <v>男士报纸印花拼布圆领套头运动衫</v>
      </c>
      <c r="E449" s="1" t="str">
        <f>IFERROR(__xludf.DUMMYFUNCTION("CONCATENATE(GOOGLETRANSLATE(C449, ""en"", ""ko""))
"),"남성용 신문 프린트 패치워크 크루넥 풀오버 스웨트셔츠")</f>
        <v>남성용 신문 프린트 패치워크 크루넥 풀오버 스웨트셔츠</v>
      </c>
      <c r="F449" s="1" t="str">
        <f>IFERROR(__xludf.DUMMYFUNCTION("CONCATENATE(GOOGLETRANSLATE(C449, ""en"", ""ja""))"),"メンズ新聞プリント パッチワーク クルーネック プルオーバー スウェットシャツ")</f>
        <v>メンズ新聞プリント パッチワーク クルーネック プルオーバー スウェットシャツ</v>
      </c>
    </row>
    <row r="450" ht="15.75" customHeight="1">
      <c r="A450" s="1">
        <v>1923.0</v>
      </c>
      <c r="B450" s="1" t="s">
        <v>381</v>
      </c>
      <c r="C450" s="1" t="s">
        <v>440</v>
      </c>
      <c r="D450" s="1" t="str">
        <f>IFERROR(__xludf.DUMMYFUNCTION("CONCATENATE(GOOGLETRANSLATE(C450, ""en"", ""zh-cn""))
"),"男式彩色渐变条纹圆领套头运动衫")</f>
        <v>男式彩色渐变条纹圆领套头运动衫</v>
      </c>
      <c r="E450" s="1" t="str">
        <f>IFERROR(__xludf.DUMMYFUNCTION("CONCATENATE(GOOGLETRANSLATE(C450, ""en"", ""ko""))
"),"남성용 컬러풀 옴브레 스트라이프 크루넥 풀오버 스웨트셔츠")</f>
        <v>남성용 컬러풀 옴브레 스트라이프 크루넥 풀오버 스웨트셔츠</v>
      </c>
      <c r="F450" s="1" t="str">
        <f>IFERROR(__xludf.DUMMYFUNCTION("CONCATENATE(GOOGLETRANSLATE(C450, ""en"", ""ja""))"),"メンズカラフルなオンブルストライプクルーネックプルオーバースウェットシャツ")</f>
        <v>メンズカラフルなオンブルストライプクルーネックプルオーバースウェットシャツ</v>
      </c>
    </row>
    <row r="451" ht="15.75" customHeight="1">
      <c r="A451" s="1">
        <v>1924.0</v>
      </c>
      <c r="B451" s="1" t="s">
        <v>381</v>
      </c>
      <c r="C451" s="1" t="s">
        <v>441</v>
      </c>
      <c r="D451" s="1" t="str">
        <f>IFERROR(__xludf.DUMMYFUNCTION("CONCATENATE(GOOGLETRANSLATE(C451, ""en"", ""zh-cn""))
"),"男士微笑印花两色拼布套头运动衫")</f>
        <v>男士微笑印花两色拼布套头运动衫</v>
      </c>
      <c r="E451" s="1" t="str">
        <f>IFERROR(__xludf.DUMMYFUNCTION("CONCATENATE(GOOGLETRANSLATE(C451, ""en"", ""ko""))
"),"남성용 스마일 프린트 투톤 패치워크 풀오버 스웨트셔츠")</f>
        <v>남성용 스마일 프린트 투톤 패치워크 풀오버 스웨트셔츠</v>
      </c>
      <c r="F451" s="1" t="str">
        <f>IFERROR(__xludf.DUMMYFUNCTION("CONCATENATE(GOOGLETRANSLATE(C451, ""en"", ""ja""))"),"メンズスマイルプリントツートーンパッチワークプルオーバースウェットシャツ")</f>
        <v>メンズスマイルプリントツートーンパッチワークプルオーバースウェットシャツ</v>
      </c>
    </row>
    <row r="452" ht="15.75" customHeight="1">
      <c r="A452" s="1">
        <v>1925.0</v>
      </c>
      <c r="B452" s="1" t="s">
        <v>381</v>
      </c>
      <c r="C452" s="1" t="s">
        <v>442</v>
      </c>
      <c r="D452" s="1" t="str">
        <f>IFERROR(__xludf.DUMMYFUNCTION("CONCATENATE(GOOGLETRANSLATE(C452, ""en"", ""zh-cn""))
"),"男式笑脸刺绣拼布袋鼠口袋抽绳连帽衫")</f>
        <v>男式笑脸刺绣拼布袋鼠口袋抽绳连帽衫</v>
      </c>
      <c r="E452" s="1" t="str">
        <f>IFERROR(__xludf.DUMMYFUNCTION("CONCATENATE(GOOGLETRANSLATE(C452, ""en"", ""ko""))
"),"남성용 스마일 페이스 자수 패치워크 캥거루 포켓 드로스트링 후드티")</f>
        <v>남성용 스마일 페이스 자수 패치워크 캥거루 포켓 드로스트링 후드티</v>
      </c>
      <c r="F452" s="1" t="str">
        <f>IFERROR(__xludf.DUMMYFUNCTION("CONCATENATE(GOOGLETRANSLATE(C452, ""en"", ""ja""))"),"メンズスマイルフェイス刺繍パッチワークカンガルーポケット巾着パーカー")</f>
        <v>メンズスマイルフェイス刺繍パッチワークカンガルーポケット巾着パーカー</v>
      </c>
    </row>
    <row r="453" ht="15.75" customHeight="1">
      <c r="A453" s="1">
        <v>1926.0</v>
      </c>
      <c r="B453" s="1" t="s">
        <v>381</v>
      </c>
      <c r="C453" s="1" t="s">
        <v>443</v>
      </c>
      <c r="D453" s="1" t="str">
        <f>IFERROR(__xludf.DUMMYFUNCTION("CONCATENATE(GOOGLETRANSLATE(C453, ""en"", ""zh-cn""))
"),"男式微笑民族部落图案拼布套头运动衫")</f>
        <v>男式微笑民族部落图案拼布套头运动衫</v>
      </c>
      <c r="E453" s="1" t="str">
        <f>IFERROR(__xludf.DUMMYFUNCTION("CONCATENATE(GOOGLETRANSLATE(C453, ""en"", ""ko""))
"),"남성용 스마일 에스닉 트라이벌 패턴 패치워크 풀오버 스웨트셔츠")</f>
        <v>남성용 스마일 에스닉 트라이벌 패턴 패치워크 풀오버 스웨트셔츠</v>
      </c>
      <c r="F453" s="1" t="str">
        <f>IFERROR(__xludf.DUMMYFUNCTION("CONCATENATE(GOOGLETRANSLATE(C453, ""en"", ""ja""))"),"メンズスマイルエスニックトライバルパターンパッチワークプルオーバースウェットシャツ")</f>
        <v>メンズスマイルエスニックトライバルパターンパッチワークプルオーバースウェットシャツ</v>
      </c>
    </row>
    <row r="454" ht="15.75" customHeight="1">
      <c r="A454" s="1">
        <v>1927.0</v>
      </c>
      <c r="B454" s="1" t="s">
        <v>381</v>
      </c>
      <c r="C454" s="1" t="s">
        <v>444</v>
      </c>
      <c r="D454" s="1" t="str">
        <f>IFERROR(__xludf.DUMMYFUNCTION("CONCATENATE(GOOGLETRANSLATE(C454, ""en"", ""zh-cn""))
"),"男式侧条纹拼布半拉链灯芯绒套头运动衫")</f>
        <v>男式侧条纹拼布半拉链灯芯绒套头运动衫</v>
      </c>
      <c r="E454" s="1" t="str">
        <f>IFERROR(__xludf.DUMMYFUNCTION("CONCATENATE(GOOGLETRANSLATE(C454, ""en"", ""ko""))
"),"남성용 사이드 스트라이프 패치워크 하프 지퍼 코듀로이 풀오버 스웨트셔츠")</f>
        <v>남성용 사이드 스트라이프 패치워크 하프 지퍼 코듀로이 풀오버 스웨트셔츠</v>
      </c>
      <c r="F454" s="1" t="str">
        <f>IFERROR(__xludf.DUMMYFUNCTION("CONCATENATE(GOOGLETRANSLATE(C454, ""en"", ""ja""))"),"メンズサイドストライプパッチワークハーフジップコーデュロイプルオーバースウェットシャツ")</f>
        <v>メンズサイドストライプパッチワークハーフジップコーデュロイプルオーバースウェットシャツ</v>
      </c>
    </row>
    <row r="455" ht="15.75" customHeight="1">
      <c r="A455" s="1">
        <v>1928.0</v>
      </c>
      <c r="B455" s="1" t="s">
        <v>381</v>
      </c>
      <c r="C455" s="1" t="s">
        <v>445</v>
      </c>
      <c r="D455" s="1" t="str">
        <f>IFERROR(__xludf.DUMMYFUNCTION("CONCATENATE(GOOGLETRANSLATE(C455, ""en"", ""zh-cn""))
"),"男式中国书法竹子印花拼布抽绳连帽衫")</f>
        <v>男式中国书法竹子印花拼布抽绳连帽衫</v>
      </c>
      <c r="E455" s="1" t="str">
        <f>IFERROR(__xludf.DUMMYFUNCTION("CONCATENATE(GOOGLETRANSLATE(C455, ""en"", ""ko""))
"),"남성용 중국 서예 대나무 프린트 패치워크 졸라매는 끈 후드티")</f>
        <v>남성용 중국 서예 대나무 프린트 패치워크 졸라매는 끈 후드티</v>
      </c>
      <c r="F455" s="1" t="str">
        <f>IFERROR(__xludf.DUMMYFUNCTION("CONCATENATE(GOOGLETRANSLATE(C455, ""en"", ""ja""))"),"メンズ中国書道竹プリントパッチワーク巾着パーカー")</f>
        <v>メンズ中国書道竹プリントパッチワーク巾着パーカー</v>
      </c>
    </row>
    <row r="456" ht="15.75" customHeight="1">
      <c r="A456" s="1">
        <v>1929.0</v>
      </c>
      <c r="B456" s="1" t="s">
        <v>381</v>
      </c>
      <c r="C456" s="1" t="s">
        <v>446</v>
      </c>
      <c r="D456" s="1" t="str">
        <f>IFERROR(__xludf.DUMMYFUNCTION("CONCATENATE(GOOGLETRANSLATE(C456, ""en"", ""zh-cn""))
"),"男士撞色袋鼠口袋宽松休闲抽绳连帽衫")</f>
        <v>男士撞色袋鼠口袋宽松休闲抽绳连帽衫</v>
      </c>
      <c r="E456" s="1" t="str">
        <f>IFERROR(__xludf.DUMMYFUNCTION("CONCATENATE(GOOGLETRANSLATE(C456, ""en"", ""ko""))
"),"남성용 대비 캥거루 포켓 루즈 캐주얼 드로스트링 후드티")</f>
        <v>남성용 대비 캥거루 포켓 루즈 캐주얼 드로스트링 후드티</v>
      </c>
      <c r="F456" s="1" t="str">
        <f>IFERROR(__xludf.DUMMYFUNCTION("CONCATENATE(GOOGLETRANSLATE(C456, ""en"", ""ja""))"),"メンズコントラストカンガルーポケットルーズカジュアル巾着パーカー")</f>
        <v>メンズコントラストカンガルーポケットルーズカジュアル巾着パーカー</v>
      </c>
    </row>
    <row r="457" ht="15.75" customHeight="1">
      <c r="A457" s="1">
        <v>1930.0</v>
      </c>
      <c r="B457" s="1" t="s">
        <v>381</v>
      </c>
      <c r="C457" s="1" t="s">
        <v>447</v>
      </c>
      <c r="D457" s="1" t="str">
        <f>IFERROR(__xludf.DUMMYFUNCTION("CONCATENATE(GOOGLETRANSLATE(C457, ""en"", ""zh-cn""))
"),"男式日本人物印花拼布圆领套头运动衫")</f>
        <v>男式日本人物印花拼布圆领套头运动衫</v>
      </c>
      <c r="E457" s="1" t="str">
        <f>IFERROR(__xludf.DUMMYFUNCTION("CONCATENATE(GOOGLETRANSLATE(C457, ""en"", ""ko""))
"),"남성용 일본어 캐릭터 프린트 패치워크 크루넥 풀오버 스웨트셔츠")</f>
        <v>남성용 일본어 캐릭터 프린트 패치워크 크루넥 풀오버 스웨트셔츠</v>
      </c>
      <c r="F457" s="1" t="str">
        <f>IFERROR(__xludf.DUMMYFUNCTION("CONCATENATE(GOOGLETRANSLATE(C457, ""en"", ""ja""))"),"メンズ日本語文字プリントパッチワーククルーネックプルオーバースウェットシャツ")</f>
        <v>メンズ日本語文字プリントパッチワーククルーネックプルオーバースウェットシャツ</v>
      </c>
    </row>
    <row r="458" ht="15.75" customHeight="1">
      <c r="A458" s="1">
        <v>1931.0</v>
      </c>
      <c r="B458" s="1" t="s">
        <v>381</v>
      </c>
      <c r="C458" s="1" t="s">
        <v>448</v>
      </c>
      <c r="D458" s="1" t="str">
        <f>IFERROR(__xludf.DUMMYFUNCTION("CONCATENATE(GOOGLETRANSLATE(C458, ""en"", ""zh-cn""))
"),"男式日本印花色块拼布套头运动衫")</f>
        <v>男式日本印花色块拼布套头运动衫</v>
      </c>
      <c r="E458" s="1" t="str">
        <f>IFERROR(__xludf.DUMMYFUNCTION("CONCATENATE(GOOGLETRANSLATE(C458, ""en"", ""ko""))
"),"남성용 일본식 프린트 컬러 블록 패치워크 풀오버 스웨트셔츠")</f>
        <v>남성용 일본식 프린트 컬러 블록 패치워크 풀오버 스웨트셔츠</v>
      </c>
      <c r="F458" s="1" t="str">
        <f>IFERROR(__xludf.DUMMYFUNCTION("CONCATENATE(GOOGLETRANSLATE(C458, ""en"", ""ja""))"),"メンズ日本のプリントカラーブロックパッチワークプルオーバースウェットシャツ")</f>
        <v>メンズ日本のプリントカラーブロックパッチワークプルオーバースウェットシャツ</v>
      </c>
    </row>
    <row r="459" ht="15.75" customHeight="1">
      <c r="A459" s="1">
        <v>1932.0</v>
      </c>
      <c r="B459" s="1" t="s">
        <v>381</v>
      </c>
      <c r="C459" s="1" t="s">
        <v>449</v>
      </c>
      <c r="D459" s="1" t="str">
        <f>IFERROR(__xludf.DUMMYFUNCTION("CONCATENATE(GOOGLETRANSLATE(C459, ""en"", ""zh-cn""))
"),"男式拼色袋鼠口袋休闲抽绳连帽衫")</f>
        <v>男式拼色袋鼠口袋休闲抽绳连帽衫</v>
      </c>
      <c r="E459" s="1" t="str">
        <f>IFERROR(__xludf.DUMMYFUNCTION("CONCATENATE(GOOGLETRANSLATE(C459, ""en"", ""ko""))
"),"남성용 컬러 블록 패치워크 캥거루 포켓 캐주얼 드로스트링 후드티")</f>
        <v>남성용 컬러 블록 패치워크 캥거루 포켓 캐주얼 드로스트링 후드티</v>
      </c>
      <c r="F459" s="1" t="str">
        <f>IFERROR(__xludf.DUMMYFUNCTION("CONCATENATE(GOOGLETRANSLATE(C459, ""en"", ""ja""))"),"メンズカラーブロックパッチワークカンガルーポケットカジュアル巾着パーカー")</f>
        <v>メンズカラーブロックパッチワークカンガルーポケットカジュアル巾着パーカー</v>
      </c>
    </row>
    <row r="460" ht="15.75" customHeight="1">
      <c r="A460" s="1">
        <v>1933.0</v>
      </c>
      <c r="B460" s="1" t="s">
        <v>381</v>
      </c>
      <c r="C460" s="1" t="s">
        <v>450</v>
      </c>
      <c r="D460" s="1" t="str">
        <f>IFERROR(__xludf.DUMMYFUNCTION("CONCATENATE(GOOGLETRANSLATE(C460, ""en"", ""zh-cn""))
"),"男士中国风山水印花圆领套头卫衣")</f>
        <v>男士中国风山水印花圆领套头卫衣</v>
      </c>
      <c r="E460" s="1" t="str">
        <f>IFERROR(__xludf.DUMMYFUNCTION("CONCATENATE(GOOGLETRANSLATE(C460, ""en"", ""ko""))
"),"남성용 중국 스타일 풍경 프린트 크루넥 풀오버 스웨트셔츠")</f>
        <v>남성용 중국 스타일 풍경 프린트 크루넥 풀오버 스웨트셔츠</v>
      </c>
      <c r="F460" s="1" t="str">
        <f>IFERROR(__xludf.DUMMYFUNCTION("CONCATENATE(GOOGLETRANSLATE(C460, ""en"", ""ja""))"),"メンズ中国風の風景プリントクルーネックプルオーバースウェットシャツ")</f>
        <v>メンズ中国風の風景プリントクルーネックプルオーバースウェットシャツ</v>
      </c>
    </row>
    <row r="461" ht="15.75" customHeight="1">
      <c r="A461" s="1">
        <v>1934.0</v>
      </c>
      <c r="B461" s="1" t="s">
        <v>381</v>
      </c>
      <c r="C461" s="1" t="s">
        <v>451</v>
      </c>
      <c r="D461" s="1" t="str">
        <f>IFERROR(__xludf.DUMMYFUNCTION("CONCATENATE(GOOGLETRANSLATE(C461, ""en"", ""zh-cn""))
"),"男士水墨山水印花圆领套头运动衫")</f>
        <v>男士水墨山水印花圆领套头运动衫</v>
      </c>
      <c r="E461" s="1" t="str">
        <f>IFERROR(__xludf.DUMMYFUNCTION("CONCATENATE(GOOGLETRANSLATE(C461, ""en"", ""ko""))
"),"남성용 중국어 잉크 풍경 프린트 크루넥 풀오버 스웨트셔츠")</f>
        <v>남성용 중국어 잉크 풍경 프린트 크루넥 풀오버 스웨트셔츠</v>
      </c>
      <c r="F461" s="1" t="str">
        <f>IFERROR(__xludf.DUMMYFUNCTION("CONCATENATE(GOOGLETRANSLATE(C461, ""en"", ""ja""))"),"メンズ中国水墨風景プリント クルーネック プルオーバー スウェットシャツ")</f>
        <v>メンズ中国水墨風景プリント クルーネック プルオーバー スウェットシャツ</v>
      </c>
    </row>
    <row r="462" ht="15.75" customHeight="1">
      <c r="A462" s="1">
        <v>1935.0</v>
      </c>
      <c r="B462" s="1" t="s">
        <v>381</v>
      </c>
      <c r="C462" s="1" t="s">
        <v>452</v>
      </c>
      <c r="D462" s="1" t="str">
        <f>IFERROR(__xludf.DUMMYFUNCTION("CONCATENATE(GOOGLETRANSLATE(C462, ""en"", ""zh-cn""))
"),"男式纯色灯芯绒袋鼠口袋休闲抽绳连帽衫")</f>
        <v>男式纯色灯芯绒袋鼠口袋休闲抽绳连帽衫</v>
      </c>
      <c r="E462" s="1" t="str">
        <f>IFERROR(__xludf.DUMMYFUNCTION("CONCATENATE(GOOGLETRANSLATE(C462, ""en"", ""ko""))
"),"남성용 솔리드 코듀로이 캥거루 포켓 캐주얼 드로스트링 후드티")</f>
        <v>남성용 솔리드 코듀로이 캥거루 포켓 캐주얼 드로스트링 후드티</v>
      </c>
      <c r="F462" s="1" t="str">
        <f>IFERROR(__xludf.DUMMYFUNCTION("CONCATENATE(GOOGLETRANSLATE(C462, ""en"", ""ja""))"),"メンズソリッドコーデュロイカンガルーポケットカジュアル巾着パーカー")</f>
        <v>メンズソリッドコーデュロイカンガルーポケットカジュアル巾着パーカー</v>
      </c>
    </row>
    <row r="463" ht="15.75" customHeight="1">
      <c r="A463" s="1">
        <v>1936.0</v>
      </c>
      <c r="B463" s="1" t="s">
        <v>381</v>
      </c>
      <c r="C463" s="1" t="s">
        <v>410</v>
      </c>
      <c r="D463" s="1" t="str">
        <f>IFERROR(__xludf.DUMMYFUNCTION("CONCATENATE(GOOGLETRANSLATE(C463, ""en"", ""zh-cn""))
"),"男士拼色圆领宽松套头运动衫")</f>
        <v>男士拼色圆领宽松套头运动衫</v>
      </c>
      <c r="E463" s="1" t="str">
        <f>IFERROR(__xludf.DUMMYFUNCTION("CONCATENATE(GOOGLETRANSLATE(C463, ""en"", ""ko""))
"),"남성용 컬러 블록 패치워크 크루넥 루즈 풀오버 스웨트셔츠")</f>
        <v>남성용 컬러 블록 패치워크 크루넥 루즈 풀오버 스웨트셔츠</v>
      </c>
      <c r="F463" s="1" t="str">
        <f>IFERROR(__xludf.DUMMYFUNCTION("CONCATENATE(GOOGLETRANSLATE(C463, ""en"", ""ja""))"),"メンズカラーブロックパッチワーククルーネックルーズプルオーバースウェットシャツ")</f>
        <v>メンズカラーブロックパッチワーククルーネックルーズプルオーバースウェットシャツ</v>
      </c>
    </row>
    <row r="464" ht="15.75" customHeight="1">
      <c r="A464" s="1">
        <v>1937.0</v>
      </c>
      <c r="B464" s="1" t="s">
        <v>381</v>
      </c>
      <c r="C464" s="1" t="s">
        <v>453</v>
      </c>
      <c r="D464" s="1" t="str">
        <f>IFERROR(__xludf.DUMMYFUNCTION("CONCATENATE(GOOGLETRANSLATE(C464, ""en"", ""zh-cn""))
"),"男式日本波浪浮世绘印花圆领套头运动衫")</f>
        <v>男式日本波浪浮世绘印花圆领套头运动衫</v>
      </c>
      <c r="E464" s="1" t="str">
        <f>IFERROR(__xludf.DUMMYFUNCTION("CONCATENATE(GOOGLETRANSLATE(C464, ""en"", ""ko""))
"),"남성용 일본식 웨이브 우키요에 프린트 크루넥 풀오버 스웨트셔츠")</f>
        <v>남성용 일본식 웨이브 우키요에 프린트 크루넥 풀오버 스웨트셔츠</v>
      </c>
      <c r="F464" s="1" t="str">
        <f>IFERROR(__xludf.DUMMYFUNCTION("CONCATENATE(GOOGLETRANSLATE(C464, ""en"", ""ja""))"),"メンズ日本の波浮世絵プリント クルーネック プルオーバー スウェットシャツ")</f>
        <v>メンズ日本の波浮世絵プリント クルーネック プルオーバー スウェットシャツ</v>
      </c>
    </row>
    <row r="465" ht="15.75" customHeight="1">
      <c r="A465" s="1">
        <v>1938.0</v>
      </c>
      <c r="B465" s="1" t="s">
        <v>381</v>
      </c>
      <c r="C465" s="1" t="s">
        <v>454</v>
      </c>
      <c r="D465" s="1" t="str">
        <f>IFERROR(__xludf.DUMMYFUNCTION("CONCATENATE(GOOGLETRANSLATE(C465, ""en"", ""zh-cn""))
"),"男士纯色圆领休闲宽松套头运动衫")</f>
        <v>男士纯色圆领休闲宽松套头运动衫</v>
      </c>
      <c r="E465" s="1" t="str">
        <f>IFERROR(__xludf.DUMMYFUNCTION("CONCATENATE(GOOGLETRANSLATE(C465, ""en"", ""ko""))
"),"남성용 솔리드 크루넥 캐주얼 루즈 풀오버 스웨트셔츠")</f>
        <v>남성용 솔리드 크루넥 캐주얼 루즈 풀오버 스웨트셔츠</v>
      </c>
      <c r="F465" s="1" t="str">
        <f>IFERROR(__xludf.DUMMYFUNCTION("CONCATENATE(GOOGLETRANSLATE(C465, ""en"", ""ja""))"),"メンズソリッドクルーネックカジュアルルーズプルオーバースウェットシャツ")</f>
        <v>メンズソリッドクルーネックカジュアルルーズプルオーバースウェットシャツ</v>
      </c>
    </row>
    <row r="466" ht="15.75" customHeight="1">
      <c r="A466" s="1">
        <v>1939.0</v>
      </c>
      <c r="B466" s="1" t="s">
        <v>381</v>
      </c>
      <c r="C466" s="1" t="s">
        <v>455</v>
      </c>
      <c r="D466" s="1" t="str">
        <f>IFERROR(__xludf.DUMMYFUNCTION("CONCATENATE(GOOGLETRANSLATE(C466, ""en"", ""zh-cn""))
"),"男式日本猫印花撞色拼布抽绳连帽衫")</f>
        <v>男式日本猫印花撞色拼布抽绳连帽衫</v>
      </c>
      <c r="E466" s="1" t="str">
        <f>IFERROR(__xludf.DUMMYFUNCTION("CONCATENATE(GOOGLETRANSLATE(C466, ""en"", ""ko""))
"),"남성용 일본 고양이 프린트 대비 패치워크 드로스트링 후드")</f>
        <v>남성용 일본 고양이 프린트 대비 패치워크 드로스트링 후드</v>
      </c>
      <c r="F466" s="1" t="str">
        <f>IFERROR(__xludf.DUMMYFUNCTION("CONCATENATE(GOOGLETRANSLATE(C466, ""en"", ""ja""))"),"メンズ日本の猫プリントコントラストパッチワーク巾着パーカー")</f>
        <v>メンズ日本の猫プリントコントラストパッチワーク巾着パーカー</v>
      </c>
    </row>
    <row r="467" ht="15.75" customHeight="1">
      <c r="A467" s="1">
        <v>1940.0</v>
      </c>
      <c r="B467" s="1" t="s">
        <v>381</v>
      </c>
      <c r="C467" s="1" t="s">
        <v>456</v>
      </c>
      <c r="D467" s="1" t="str">
        <f>IFERROR(__xludf.DUMMYFUNCTION("CONCATENATE(GOOGLETRANSLATE(C467, ""en"", ""zh-cn""))
"),"男式卡通猫印花拼布宽松抽绳连帽衫")</f>
        <v>男式卡通猫印花拼布宽松抽绳连帽衫</v>
      </c>
      <c r="E467" s="1" t="str">
        <f>IFERROR(__xludf.DUMMYFUNCTION("CONCATENATE(GOOGLETRANSLATE(C467, ""en"", ""ko""))
"),"남성용 카툰 고양이 프린트 패치워크 루즈한 드로스트링 후드티")</f>
        <v>남성용 카툰 고양이 프린트 패치워크 루즈한 드로스트링 후드티</v>
      </c>
      <c r="F467" s="1" t="str">
        <f>IFERROR(__xludf.DUMMYFUNCTION("CONCATENATE(GOOGLETRANSLATE(C467, ""en"", ""ja""))"),"メンズ漫画猫プリントパッチワークルーズ巾着パーカー")</f>
        <v>メンズ漫画猫プリントパッチワークルーズ巾着パーカー</v>
      </c>
    </row>
    <row r="468" ht="15.75" customHeight="1">
      <c r="A468" s="1">
        <v>1941.0</v>
      </c>
      <c r="B468" s="1" t="s">
        <v>381</v>
      </c>
      <c r="C468" s="1" t="s">
        <v>410</v>
      </c>
      <c r="D468" s="1" t="str">
        <f>IFERROR(__xludf.DUMMYFUNCTION("CONCATENATE(GOOGLETRANSLATE(C468, ""en"", ""zh-cn""))
"),"男士拼色圆领宽松套头运动衫")</f>
        <v>男士拼色圆领宽松套头运动衫</v>
      </c>
      <c r="E468" s="1" t="str">
        <f>IFERROR(__xludf.DUMMYFUNCTION("CONCATENATE(GOOGLETRANSLATE(C468, ""en"", ""ko""))
"),"남성용 컬러 블록 패치워크 크루넥 루즈 풀오버 스웨트셔츠")</f>
        <v>남성용 컬러 블록 패치워크 크루넥 루즈 풀오버 스웨트셔츠</v>
      </c>
      <c r="F468" s="1" t="str">
        <f>IFERROR(__xludf.DUMMYFUNCTION("CONCATENATE(GOOGLETRANSLATE(C468, ""en"", ""ja""))"),"メンズカラーブロックパッチワーククルーネックルーズプルオーバースウェットシャツ")</f>
        <v>メンズカラーブロックパッチワーククルーネックルーズプルオーバースウェットシャツ</v>
      </c>
    </row>
    <row r="469" ht="15.75" customHeight="1">
      <c r="A469" s="1">
        <v>1942.0</v>
      </c>
      <c r="B469" s="1" t="s">
        <v>381</v>
      </c>
      <c r="C469" s="1" t="s">
        <v>457</v>
      </c>
      <c r="D469" s="1" t="str">
        <f>IFERROR(__xludf.DUMMYFUNCTION("CONCATENATE(GOOGLETRANSLATE(C469, ""en"", ""zh-cn""))
"),"男士笑脸印花拼接圆领套头运动衫")</f>
        <v>男士笑脸印花拼接圆领套头运动衫</v>
      </c>
      <c r="E469" s="1" t="str">
        <f>IFERROR(__xludf.DUMMYFUNCTION("CONCATENATE(GOOGLETRANSLATE(C469, ""en"", ""ko""))
"),"남성용 스마일 페이스 프린트 패치워크 크루넥 풀오버 스웨트셔츠")</f>
        <v>남성용 스마일 페이스 프린트 패치워크 크루넥 풀오버 스웨트셔츠</v>
      </c>
      <c r="F469" s="1" t="str">
        <f>IFERROR(__xludf.DUMMYFUNCTION("CONCATENATE(GOOGLETRANSLATE(C469, ""en"", ""ja""))"),"メンズスマイルフェイスプリントパッチワーククルーネックプルオーバースウェットシャツ")</f>
        <v>メンズスマイルフェイスプリントパッチワーククルーネックプルオーバースウェットシャツ</v>
      </c>
    </row>
    <row r="470" ht="15.75" customHeight="1">
      <c r="A470" s="1">
        <v>1943.0</v>
      </c>
      <c r="B470" s="1" t="s">
        <v>381</v>
      </c>
      <c r="C470" s="1" t="s">
        <v>458</v>
      </c>
      <c r="D470" s="1" t="str">
        <f>IFERROR(__xludf.DUMMYFUNCTION("CONCATENATE(GOOGLETRANSLATE(C470, ""en"", ""zh-cn""))
"),"男式拼色抓绒宽松抽绳连帽衫")</f>
        <v>男式拼色抓绒宽松抽绳连帽衫</v>
      </c>
      <c r="E470" s="1" t="str">
        <f>IFERROR(__xludf.DUMMYFUNCTION("CONCATENATE(GOOGLETRANSLATE(C470, ""en"", ""ko""))
"),"남성용 컬러 블록 패치워크 플리스 루즈 드로스트링 후드티")</f>
        <v>남성용 컬러 블록 패치워크 플리스 루즈 드로스트링 후드티</v>
      </c>
      <c r="F470" s="1" t="str">
        <f>IFERROR(__xludf.DUMMYFUNCTION("CONCATENATE(GOOGLETRANSLATE(C470, ""en"", ""ja""))"),"メンズ カラーブロック パッチワーク フリース ルーズ ドローストリング パーカー")</f>
        <v>メンズ カラーブロック パッチワーク フリース ルーズ ドローストリング パーカー</v>
      </c>
    </row>
    <row r="471" ht="15.75" customHeight="1">
      <c r="A471" s="1">
        <v>1944.0</v>
      </c>
      <c r="B471" s="1" t="s">
        <v>381</v>
      </c>
      <c r="C471" s="1" t="s">
        <v>459</v>
      </c>
      <c r="D471" s="1" t="str">
        <f>IFERROR(__xludf.DUMMYFUNCTION("CONCATENATE(GOOGLETRANSLATE(C471, ""en"", ""zh-cn""))
"),"男士笑脸印花拼色套头运动衫")</f>
        <v>男士笑脸印花拼色套头运动衫</v>
      </c>
      <c r="E471" s="1" t="str">
        <f>IFERROR(__xludf.DUMMYFUNCTION("CONCATENATE(GOOGLETRANSLATE(C471, ""en"", ""ko""))
"),"남성용 스마일 페이스 프린트 컬러 블록 패치워크 풀오버 스웨트셔츠")</f>
        <v>남성용 스마일 페이스 프린트 컬러 블록 패치워크 풀오버 스웨트셔츠</v>
      </c>
      <c r="F471" s="1" t="str">
        <f>IFERROR(__xludf.DUMMYFUNCTION("CONCATENATE(GOOGLETRANSLATE(C471, ""en"", ""ja""))"),"メンズスマイルフェイスプリントカラーブロックパッチワークプルオーバースウェットシャツ")</f>
        <v>メンズスマイルフェイスプリントカラーブロックパッチワークプルオーバースウェットシャツ</v>
      </c>
    </row>
    <row r="472" ht="15.75" customHeight="1">
      <c r="A472" s="1">
        <v>1945.0</v>
      </c>
      <c r="B472" s="1" t="s">
        <v>381</v>
      </c>
      <c r="C472" s="1" t="s">
        <v>460</v>
      </c>
      <c r="D472" s="1" t="str">
        <f>IFERROR(__xludf.DUMMYFUNCTION("CONCATENATE(GOOGLETRANSLATE(C472, ""en"", ""zh-cn""))
"),"男式笑脸印花拼接斜口袋抽绳连帽衫")</f>
        <v>男式笑脸印花拼接斜口袋抽绳连帽衫</v>
      </c>
      <c r="E472" s="1" t="str">
        <f>IFERROR(__xludf.DUMMYFUNCTION("CONCATENATE(GOOGLETRANSLATE(C472, ""en"", ""ko""))
"),"남성용 스마일 페이스 프린트 패치워크 슬랜트 포켓 드로스트링 후드티")</f>
        <v>남성용 스마일 페이스 프린트 패치워크 슬랜트 포켓 드로스트링 후드티</v>
      </c>
      <c r="F472" s="1" t="str">
        <f>IFERROR(__xludf.DUMMYFUNCTION("CONCATENATE(GOOGLETRANSLATE(C472, ""en"", ""ja""))"),"メンズスマイルフェイスプリントパッチワークスラントポケット巾着パーカー")</f>
        <v>メンズスマイルフェイスプリントパッチワークスラントポケット巾着パーカー</v>
      </c>
    </row>
    <row r="473" ht="15.75" customHeight="1">
      <c r="A473" s="1">
        <v>1946.0</v>
      </c>
      <c r="B473" s="1" t="s">
        <v>381</v>
      </c>
      <c r="C473" s="1" t="s">
        <v>461</v>
      </c>
      <c r="D473" s="1" t="str">
        <f>IFERROR(__xludf.DUMMYFUNCTION("CONCATENATE(GOOGLETRANSLATE(C473, ""en"", ""zh-cn""))
"),"男士字母刺绣纹理袋鼠口袋休闲连帽衫")</f>
        <v>男士字母刺绣纹理袋鼠口袋休闲连帽衫</v>
      </c>
      <c r="E473" s="1" t="str">
        <f>IFERROR(__xludf.DUMMYFUNCTION("CONCATENATE(GOOGLETRANSLATE(C473, ""en"", ""ko""))
"),"남성용 편지 자수 질감 캥거루 포켓 캐주얼 후드티")</f>
        <v>남성용 편지 자수 질감 캥거루 포켓 캐주얼 후드티</v>
      </c>
      <c r="F473" s="1" t="str">
        <f>IFERROR(__xludf.DUMMYFUNCTION("CONCATENATE(GOOGLETRANSLATE(C473, ""en"", ""ja""))"),"メンズレター刺繍テクスチャーカンガルーポケットカジュアルパーカー")</f>
        <v>メンズレター刺繍テクスチャーカンガルーポケットカジュアルパーカー</v>
      </c>
    </row>
    <row r="474" ht="15.75" customHeight="1">
      <c r="A474" s="1">
        <v>1947.0</v>
      </c>
      <c r="B474" s="1" t="s">
        <v>381</v>
      </c>
      <c r="C474" s="1" t="s">
        <v>462</v>
      </c>
      <c r="D474" s="1" t="str">
        <f>IFERROR(__xludf.DUMMYFUNCTION("CONCATENATE(GOOGLETRANSLATE(C474, ""en"", ""zh-cn""))
"),"男士字母印花拼色休闲套头运动衫")</f>
        <v>男士字母印花拼色休闲套头运动衫</v>
      </c>
      <c r="E474" s="1" t="str">
        <f>IFERROR(__xludf.DUMMYFUNCTION("CONCATENATE(GOOGLETRANSLATE(C474, ""en"", ""ko""))
"),"남성용 레터 프린트 컬러 블록 패치워크 캐주얼 풀오버 스웨트셔츠")</f>
        <v>남성용 레터 프린트 컬러 블록 패치워크 캐주얼 풀오버 스웨트셔츠</v>
      </c>
      <c r="F474" s="1" t="str">
        <f>IFERROR(__xludf.DUMMYFUNCTION("CONCATENATE(GOOGLETRANSLATE(C474, ""en"", ""ja""))"),"メンズレタープリントカラーブロックパッチワークカジュアルプルオーバースウェットシャツ")</f>
        <v>メンズレタープリントカラーブロックパッチワークカジュアルプルオーバースウェットシャツ</v>
      </c>
    </row>
    <row r="475" ht="15.75" customHeight="1">
      <c r="A475" s="1">
        <v>1948.0</v>
      </c>
      <c r="B475" s="1" t="s">
        <v>381</v>
      </c>
      <c r="C475" s="1" t="s">
        <v>463</v>
      </c>
      <c r="D475" s="1" t="str">
        <f>IFERROR(__xludf.DUMMYFUNCTION("CONCATENATE(GOOGLETRANSLATE(C475, ""en"", ""zh-cn""))
"),"男式日本玫瑰印花撞色拼布抽绳连帽衫")</f>
        <v>男式日本玫瑰印花撞色拼布抽绳连帽衫</v>
      </c>
      <c r="E475" s="1" t="str">
        <f>IFERROR(__xludf.DUMMYFUNCTION("CONCATENATE(GOOGLETRANSLATE(C475, ""en"", ""ko""))
"),"남성용 일본식 로즈 프린트 대비 패치워크 드로스트링 후드티")</f>
        <v>남성용 일본식 로즈 프린트 대비 패치워크 드로스트링 후드티</v>
      </c>
      <c r="F475" s="1" t="str">
        <f>IFERROR(__xludf.DUMMYFUNCTION("CONCATENATE(GOOGLETRANSLATE(C475, ""en"", ""ja""))"),"メンズ日本のローズプリントコントラストパッチワーク巾着パーカー")</f>
        <v>メンズ日本のローズプリントコントラストパッチワーク巾着パーカー</v>
      </c>
    </row>
    <row r="476" ht="15.75" customHeight="1">
      <c r="A476" s="1">
        <v>1949.0</v>
      </c>
      <c r="B476" s="1" t="s">
        <v>381</v>
      </c>
      <c r="C476" s="1" t="s">
        <v>464</v>
      </c>
      <c r="D476" s="1" t="str">
        <f>IFERROR(__xludf.DUMMYFUNCTION("CONCATENATE(GOOGLETRANSLATE(C476, ""en"", ""zh-cn""))
"),"男士日本玫瑰印花袋鼠口袋抽绳连帽衫")</f>
        <v>男士日本玫瑰印花袋鼠口袋抽绳连帽衫</v>
      </c>
      <c r="E476" s="1" t="str">
        <f>IFERROR(__xludf.DUMMYFUNCTION("CONCATENATE(GOOGLETRANSLATE(C476, ""en"", ""ko""))
"),"남성용 일본식 로즈 프린트 캥거루 포켓 드로스트링 후드티")</f>
        <v>남성용 일본식 로즈 프린트 캥거루 포켓 드로스트링 후드티</v>
      </c>
      <c r="F476" s="1" t="str">
        <f>IFERROR(__xludf.DUMMYFUNCTION("CONCATENATE(GOOGLETRANSLATE(C476, ""en"", ""ja""))"),"メンズ日本のローズプリントカンガルーポケット巾着パーカー")</f>
        <v>メンズ日本のローズプリントカンガルーポケット巾着パーカー</v>
      </c>
    </row>
    <row r="477" ht="15.75" customHeight="1">
      <c r="A477" s="1">
        <v>1950.0</v>
      </c>
      <c r="B477" s="1" t="s">
        <v>381</v>
      </c>
      <c r="C477" s="1" t="s">
        <v>465</v>
      </c>
      <c r="D477" s="1" t="str">
        <f>IFERROR(__xludf.DUMMYFUNCTION("CONCATENATE(GOOGLETRANSLATE(C477, ""en"", ""zh-cn""))
"),"男式日本复古图案拼布圆领套头运动衫")</f>
        <v>男式日本复古图案拼布圆领套头运动衫</v>
      </c>
      <c r="E477" s="1" t="str">
        <f>IFERROR(__xludf.DUMMYFUNCTION("CONCATENATE(GOOGLETRANSLATE(C477, ""en"", ""ko""))
"),"남성용 일본식 빈티지 패턴 패치워크 크루넥 풀오버 스웨트셔츠")</f>
        <v>남성용 일본식 빈티지 패턴 패치워크 크루넥 풀오버 스웨트셔츠</v>
      </c>
      <c r="F477" s="1" t="str">
        <f>IFERROR(__xludf.DUMMYFUNCTION("CONCATENATE(GOOGLETRANSLATE(C477, ""en"", ""ja""))"),"メンズ日本のヴィンテージパターンパッチワーククルーネックプルオーバースウェットシャツ")</f>
        <v>メンズ日本のヴィンテージパターンパッチワーククルーネックプルオーバースウェットシャツ</v>
      </c>
    </row>
    <row r="478" ht="15.75" customHeight="1">
      <c r="A478" s="1">
        <v>1951.0</v>
      </c>
      <c r="B478" s="1" t="s">
        <v>381</v>
      </c>
      <c r="C478" s="1" t="s">
        <v>466</v>
      </c>
      <c r="D478" s="1" t="str">
        <f>IFERROR(__xludf.DUMMYFUNCTION("CONCATENATE(GOOGLETRANSLATE(C478, ""en"", ""zh-cn""))
"),"男式卡通熊猫日式印花圆领套头运动衫")</f>
        <v>男式卡通熊猫日式印花圆领套头运动衫</v>
      </c>
      <c r="E478" s="1" t="str">
        <f>IFERROR(__xludf.DUMMYFUNCTION("CONCATENATE(GOOGLETRANSLATE(C478, ""en"", ""ko""))
"),"남성용 카툰 팬더 일본 프린트 크루넥 풀오버 스웨트셔츠")</f>
        <v>남성용 카툰 팬더 일본 프린트 크루넥 풀오버 스웨트셔츠</v>
      </c>
      <c r="F478" s="1" t="str">
        <f>IFERROR(__xludf.DUMMYFUNCTION("CONCATENATE(GOOGLETRANSLATE(C478, ""en"", ""ja""))"),"メンズ漫画パンダ日本のプリントクルーネックプルオーバースウェットシャツ")</f>
        <v>メンズ漫画パンダ日本のプリントクルーネックプルオーバースウェットシャツ</v>
      </c>
    </row>
    <row r="479" ht="15.75" customHeight="1">
      <c r="A479" s="1">
        <v>1952.0</v>
      </c>
      <c r="B479" s="1" t="s">
        <v>381</v>
      </c>
      <c r="C479" s="1" t="s">
        <v>467</v>
      </c>
      <c r="D479" s="1" t="str">
        <f>IFERROR(__xludf.DUMMYFUNCTION("CONCATENATE(GOOGLETRANSLATE(C479, ""en"", ""zh-cn""))
"),"男式纯色四分之一纽扣棉质休闲抽绳连帽衫")</f>
        <v>男式纯色四分之一纽扣棉质休闲抽绳连帽衫</v>
      </c>
      <c r="E479" s="1" t="str">
        <f>IFERROR(__xludf.DUMMYFUNCTION("CONCATENATE(GOOGLETRANSLATE(C479, ""en"", ""ko""))
"),"남성용 솔리드 쿼터 버튼 코튼 캐주얼 드로스트링 후드티")</f>
        <v>남성용 솔리드 쿼터 버튼 코튼 캐주얼 드로스트링 후드티</v>
      </c>
      <c r="F479" s="1" t="str">
        <f>IFERROR(__xludf.DUMMYFUNCTION("CONCATENATE(GOOGLETRANSLATE(C479, ""en"", ""ja""))"),"メンズソリッドクォーターボタンコットンカジュアル巾着パーカー")</f>
        <v>メンズソリッドクォーターボタンコットンカジュアル巾着パーカー</v>
      </c>
    </row>
    <row r="480" ht="15.75" customHeight="1">
      <c r="A480" s="1">
        <v>1953.0</v>
      </c>
      <c r="B480" s="1" t="s">
        <v>381</v>
      </c>
      <c r="C480" s="1" t="s">
        <v>468</v>
      </c>
      <c r="D480" s="1" t="str">
        <f>IFERROR(__xludf.DUMMYFUNCTION("CONCATENATE(GOOGLETRANSLATE(C480, ""en"", ""zh-cn""))
"),"男士纯色圆领休闲套头运动衫")</f>
        <v>男士纯色圆领休闲套头运动衫</v>
      </c>
      <c r="E480" s="1" t="str">
        <f>IFERROR(__xludf.DUMMYFUNCTION("CONCATENATE(GOOGLETRANSLATE(C480, ""en"", ""ko""))
"),"남성용 솔리드 텍스처 크루넥 캐주얼 풀오버 스웨트셔츠")</f>
        <v>남성용 솔리드 텍스처 크루넥 캐주얼 풀오버 스웨트셔츠</v>
      </c>
      <c r="F480" s="1" t="str">
        <f>IFERROR(__xludf.DUMMYFUNCTION("CONCATENATE(GOOGLETRANSLATE(C480, ""en"", ""ja""))"),"メンズソリッドテクスチャークルーネックカジュアルプルオーバースウェットシャツ")</f>
        <v>メンズソリッドテクスチャークルーネックカジュアルプルオーバースウェットシャツ</v>
      </c>
    </row>
    <row r="481" ht="15.75" customHeight="1">
      <c r="A481" s="1">
        <v>1954.0</v>
      </c>
      <c r="B481" s="1" t="s">
        <v>381</v>
      </c>
      <c r="C481" s="1" t="s">
        <v>469</v>
      </c>
      <c r="D481" s="1" t="str">
        <f>IFERROR(__xludf.DUMMYFUNCTION("CONCATENATE(GOOGLETRANSLATE(C481, ""en"", ""zh-cn""))
"),"男式撞色拼布半拉链翻盖口袋抓绒套头运动衫")</f>
        <v>男式撞色拼布半拉链翻盖口袋抓绒套头运动衫</v>
      </c>
      <c r="E481" s="1" t="str">
        <f>IFERROR(__xludf.DUMMYFUNCTION("CONCATENATE(GOOGLETRANSLATE(C481, ""en"", ""ko""))
"),"남성용 대비 패치워크 하프 지퍼 플랩 포켓 플리스 풀오버 스웨트셔츠")</f>
        <v>남성용 대비 패치워크 하프 지퍼 플랩 포켓 플리스 풀오버 스웨트셔츠</v>
      </c>
      <c r="F481" s="1" t="str">
        <f>IFERROR(__xludf.DUMMYFUNCTION("CONCATENATE(GOOGLETRANSLATE(C481, ""en"", ""ja""))"),"メンズコントラストパッチワークハーフジップフラップポケットフリースプルオーバースウェットシャツ")</f>
        <v>メンズコントラストパッチワークハーフジップフラップポケットフリースプルオーバースウェットシャツ</v>
      </c>
    </row>
    <row r="482" ht="15.75" customHeight="1">
      <c r="A482" s="1">
        <v>1955.0</v>
      </c>
      <c r="B482" s="1" t="s">
        <v>381</v>
      </c>
      <c r="C482" s="1" t="s">
        <v>470</v>
      </c>
      <c r="D482" s="1" t="str">
        <f>IFERROR(__xludf.DUMMYFUNCTION("CONCATENATE(GOOGLETRANSLATE(C482, ""en"", ""zh-cn""))
"),"男式民族图案拼布袋鼠口袋抽绳连帽衫")</f>
        <v>男式民族图案拼布袋鼠口袋抽绳连帽衫</v>
      </c>
      <c r="E482" s="1" t="str">
        <f>IFERROR(__xludf.DUMMYFUNCTION("CONCATENATE(GOOGLETRANSLATE(C482, ""en"", ""ko""))
"),"남성용 에스닉 패턴 패치워크 캥거루 포켓 드로스트링 후드티")</f>
        <v>남성용 에스닉 패턴 패치워크 캥거루 포켓 드로스트링 후드티</v>
      </c>
      <c r="F482" s="1" t="str">
        <f>IFERROR(__xludf.DUMMYFUNCTION("CONCATENATE(GOOGLETRANSLATE(C482, ""en"", ""ja""))"),"メンズエスニックパターンパッチワークカンガルーポケット巾着パーカー")</f>
        <v>メンズエスニックパターンパッチワークカンガルーポケット巾着パーカー</v>
      </c>
    </row>
    <row r="483" ht="15.75" customHeight="1">
      <c r="A483" s="1">
        <v>1956.0</v>
      </c>
      <c r="B483" s="1" t="s">
        <v>381</v>
      </c>
      <c r="C483" s="1" t="s">
        <v>471</v>
      </c>
      <c r="D483" s="1" t="str">
        <f>IFERROR(__xludf.DUMMYFUNCTION("CONCATENATE(GOOGLETRANSLATE(C483, ""en"", ""zh-cn""))
"),"男式民族几何图案拼布半拉链套头运动衫")</f>
        <v>男式民族几何图案拼布半拉链套头运动衫</v>
      </c>
      <c r="E483" s="1" t="str">
        <f>IFERROR(__xludf.DUMMYFUNCTION("CONCATENATE(GOOGLETRANSLATE(C483, ""en"", ""ko""))
"),"남성용 에스닉 기하학적 패턴 패치워크 하프 지퍼 풀오버 ​​스웨트셔츠")</f>
        <v>남성용 에스닉 기하학적 패턴 패치워크 하프 지퍼 풀오버 ​​스웨트셔츠</v>
      </c>
      <c r="F483" s="1" t="str">
        <f>IFERROR(__xludf.DUMMYFUNCTION("CONCATENATE(GOOGLETRANSLATE(C483, ""en"", ""ja""))"),"メンズエスニック幾何学模様パッチワークハーフジッププルオーバースウェットシャツ")</f>
        <v>メンズエスニック幾何学模様パッチワークハーフジッププルオーバースウェットシャツ</v>
      </c>
    </row>
    <row r="484" ht="15.75" customHeight="1">
      <c r="A484" s="1">
        <v>1957.0</v>
      </c>
      <c r="B484" s="1" t="s">
        <v>381</v>
      </c>
      <c r="C484" s="1" t="s">
        <v>472</v>
      </c>
      <c r="D484" s="1" t="str">
        <f>IFERROR(__xludf.DUMMYFUNCTION("CONCATENATE(GOOGLETRANSLATE(C484, ""en"", ""zh-cn""))
"),"男式微笑民族几何印花拼色连帽衫")</f>
        <v>男式微笑民族几何印花拼色连帽衫</v>
      </c>
      <c r="E484" s="1" t="str">
        <f>IFERROR(__xludf.DUMMYFUNCTION("CONCATENATE(GOOGLETRANSLATE(C484, ""en"", ""ko""))
"),"남성용 스마일 에스닉 기하학 프린트 컬러 블록 패치워크 후드티")</f>
        <v>남성용 스마일 에스닉 기하학 프린트 컬러 블록 패치워크 후드티</v>
      </c>
      <c r="F484" s="1" t="str">
        <f>IFERROR(__xludf.DUMMYFUNCTION("CONCATENATE(GOOGLETRANSLATE(C484, ""en"", ""ja""))"),"メンズスマイルエスニック幾何学プリントカラーブロックパッチワークパーカー")</f>
        <v>メンズスマイルエスニック幾何学プリントカラーブロックパッチワークパーカー</v>
      </c>
    </row>
    <row r="485" ht="15.75" customHeight="1">
      <c r="A485" s="1">
        <v>1958.0</v>
      </c>
      <c r="B485" s="1" t="s">
        <v>381</v>
      </c>
      <c r="C485" s="1" t="s">
        <v>473</v>
      </c>
      <c r="D485" s="1" t="str">
        <f>IFERROR(__xludf.DUMMYFUNCTION("CONCATENATE(GOOGLETRANSLATE(C485, ""en"", ""zh-cn""))
"),"男式通体民族几何印花圆领套头运动衫")</f>
        <v>男式通体民族几何印花圆领套头运动衫</v>
      </c>
      <c r="E485" s="1" t="str">
        <f>IFERROR(__xludf.DUMMYFUNCTION("CONCATENATE(GOOGLETRANSLATE(C485, ""en"", ""ko""))
"),"남성용 올오버 에스닉 기하학 프린트 크루넥 풀오버 스웨트셔츠")</f>
        <v>남성용 올오버 에스닉 기하학 프린트 크루넥 풀오버 스웨트셔츠</v>
      </c>
      <c r="F485" s="1" t="str">
        <f>IFERROR(__xludf.DUMMYFUNCTION("CONCATENATE(GOOGLETRANSLATE(C485, ""en"", ""ja""))"),"メンズ総柄エスニック幾何学プリント クルーネック プルオーバー スウェットシャツ")</f>
        <v>メンズ総柄エスニック幾何学プリント クルーネック プルオーバー スウェットシャツ</v>
      </c>
    </row>
    <row r="486" ht="15.75" customHeight="1">
      <c r="A486" s="1">
        <v>1959.0</v>
      </c>
      <c r="B486" s="1" t="s">
        <v>381</v>
      </c>
      <c r="C486" s="1" t="s">
        <v>474</v>
      </c>
      <c r="D486" s="1" t="str">
        <f>IFERROR(__xludf.DUMMYFUNCTION("CONCATENATE(GOOGLETRANSLATE(C486, ""en"", ""zh-cn""))
"),"男式中国花卉水墨印花拼布抽绳连帽衫")</f>
        <v>男式中国花卉水墨印花拼布抽绳连帽衫</v>
      </c>
      <c r="E486" s="1" t="str">
        <f>IFERROR(__xludf.DUMMYFUNCTION("CONCATENATE(GOOGLETRANSLATE(C486, ""en"", ""ko""))
"),"남성용 중국 꽃무늬 잉크 프린트 패치워크 드로스트링 후드티")</f>
        <v>남성용 중국 꽃무늬 잉크 프린트 패치워크 드로스트링 후드티</v>
      </c>
      <c r="F486" s="1" t="str">
        <f>IFERROR(__xludf.DUMMYFUNCTION("CONCATENATE(GOOGLETRANSLATE(C486, ""en"", ""ja""))"),"メンズ中国花柄インクプリントパッチワーク巾着パーカー")</f>
        <v>メンズ中国花柄インクプリントパッチワーク巾着パーカー</v>
      </c>
    </row>
    <row r="487" ht="15.75" customHeight="1">
      <c r="A487" s="1">
        <v>1960.0</v>
      </c>
      <c r="B487" s="1" t="s">
        <v>381</v>
      </c>
      <c r="C487" s="1" t="s">
        <v>475</v>
      </c>
      <c r="D487" s="1" t="str">
        <f>IFERROR(__xludf.DUMMYFUNCTION("CONCATENATE(GOOGLETRANSLATE(C487, ""en"", ""zh-cn""))
"),"男式日本波浪龙浮世绘长袖连帽衫")</f>
        <v>男式日本波浪龙浮世绘长袖连帽衫</v>
      </c>
      <c r="E487" s="1" t="str">
        <f>IFERROR(__xludf.DUMMYFUNCTION("CONCATENATE(GOOGLETRANSLATE(C487, ""en"", ""ko""))
"),"남성용 일본식 웨이브 드래곤 우키요에 프린트 긴팔 후드티")</f>
        <v>남성용 일본식 웨이브 드래곤 우키요에 프린트 긴팔 후드티</v>
      </c>
      <c r="F487" s="1" t="str">
        <f>IFERROR(__xludf.DUMMYFUNCTION("CONCATENATE(GOOGLETRANSLATE(C487, ""en"", ""ja""))"),"メンズ和波ドラゴン浮世絵プリント長袖パーカー")</f>
        <v>メンズ和波ドラゴン浮世絵プリント長袖パーカー</v>
      </c>
    </row>
    <row r="488" ht="15.75" customHeight="1">
      <c r="A488" s="1">
        <v>1961.0</v>
      </c>
      <c r="B488" s="1" t="s">
        <v>381</v>
      </c>
      <c r="C488" s="1" t="s">
        <v>392</v>
      </c>
      <c r="D488" s="1" t="str">
        <f>IFERROR(__xludf.DUMMYFUNCTION("CONCATENATE(GOOGLETRANSLATE(C488, ""en"", ""zh-cn""))
"),"男士拼色圆领休闲套头运动衫")</f>
        <v>男士拼色圆领休闲套头运动衫</v>
      </c>
      <c r="E488" s="1" t="str">
        <f>IFERROR(__xludf.DUMMYFUNCTION("CONCATENATE(GOOGLETRANSLATE(C488, ""en"", ""ko""))
"),"남성용 컬러 블록 패치워크 크루넥 캐주얼 풀오버 스웨트셔츠")</f>
        <v>남성용 컬러 블록 패치워크 크루넥 캐주얼 풀오버 스웨트셔츠</v>
      </c>
      <c r="F488" s="1" t="str">
        <f>IFERROR(__xludf.DUMMYFUNCTION("CONCATENATE(GOOGLETRANSLATE(C488, ""en"", ""ja""))"),"メンズ カラーブロック パッチワーク クルーネック カジュアル プルオーバー スウェットシャツ")</f>
        <v>メンズ カラーブロック パッチワーク クルーネック カジュアル プルオーバー スウェットシャツ</v>
      </c>
    </row>
    <row r="489" ht="15.75" customHeight="1">
      <c r="A489" s="1">
        <v>1962.0</v>
      </c>
      <c r="B489" s="1" t="s">
        <v>381</v>
      </c>
      <c r="C489" s="1" t="s">
        <v>476</v>
      </c>
      <c r="D489" s="1" t="str">
        <f>IFERROR(__xludf.DUMMYFUNCTION("CONCATENATE(GOOGLETRANSLATE(C489, ""en"", ""zh-cn""))
"),"男士纯色立领半拉链抓绒休闲套头运动衫")</f>
        <v>男士纯色立领半拉链抓绒休闲套头运动衫</v>
      </c>
      <c r="E489" s="1" t="str">
        <f>IFERROR(__xludf.DUMMYFUNCTION("CONCATENATE(GOOGLETRANSLATE(C489, ""en"", ""ko""))
"),"남성용 솔리드 스탠드 칼라 하프 지퍼 플리스 캐주얼 풀오버 스웨트셔츠")</f>
        <v>남성용 솔리드 스탠드 칼라 하프 지퍼 플리스 캐주얼 풀오버 스웨트셔츠</v>
      </c>
      <c r="F489" s="1" t="str">
        <f>IFERROR(__xludf.DUMMYFUNCTION("CONCATENATE(GOOGLETRANSLATE(C489, ""en"", ""ja""))"),"メンズソリッドスタンドカラーハーフジップフリースカジュアルプルオーバースウェットシャツ")</f>
        <v>メンズソリッドスタンドカラーハーフジップフリースカジュアルプルオーバースウェットシャツ</v>
      </c>
    </row>
    <row r="490" ht="15.75" customHeight="1">
      <c r="A490" s="1">
        <v>1963.0</v>
      </c>
      <c r="B490" s="1" t="s">
        <v>381</v>
      </c>
      <c r="C490" s="1" t="s">
        <v>477</v>
      </c>
      <c r="D490" s="1" t="str">
        <f>IFERROR(__xludf.DUMMYFUNCTION("CONCATENATE(GOOGLETRANSLATE(C490, ""en"", ""zh-cn""))
"),"男式日本卡通猫印花撞色拼布抽绳连帽衫")</f>
        <v>男式日本卡通猫印花撞色拼布抽绳连帽衫</v>
      </c>
      <c r="E490" s="1" t="str">
        <f>IFERROR(__xludf.DUMMYFUNCTION("CONCATENATE(GOOGLETRANSLATE(C490, ""en"", ""ko""))
"),"남성용 일본 만화 고양이 프린트 대비 패치워크 드로스트링 후드티")</f>
        <v>남성용 일본 만화 고양이 프린트 대비 패치워크 드로스트링 후드티</v>
      </c>
      <c r="F490" s="1" t="str">
        <f>IFERROR(__xludf.DUMMYFUNCTION("CONCATENATE(GOOGLETRANSLATE(C490, ""en"", ""ja""))"),"メンズ日本の漫画猫プリントコントラストパッチワーク巾着パーカー")</f>
        <v>メンズ日本の漫画猫プリントコントラストパッチワーク巾着パーカー</v>
      </c>
    </row>
    <row r="491" ht="15.75" customHeight="1">
      <c r="A491" s="1">
        <v>1964.0</v>
      </c>
      <c r="B491" s="1" t="s">
        <v>381</v>
      </c>
      <c r="C491" s="1" t="s">
        <v>478</v>
      </c>
      <c r="D491" s="1" t="str">
        <f>IFERROR(__xludf.DUMMYFUNCTION("CONCATENATE(GOOGLETRANSLATE(C491, ""en"", ""zh-cn""))
"),"男式日本樱花印花拼布抽绳连帽衫")</f>
        <v>男式日本樱花印花拼布抽绳连帽衫</v>
      </c>
      <c r="E491" s="1" t="str">
        <f>IFERROR(__xludf.DUMMYFUNCTION("CONCATENATE(GOOGLETRANSLATE(C491, ""en"", ""ko""))
"),"남성용 일본 벚꽃 프린트 패치워크 드로스트링 후드티")</f>
        <v>남성용 일본 벚꽃 프린트 패치워크 드로스트링 후드티</v>
      </c>
      <c r="F491" s="1" t="str">
        <f>IFERROR(__xludf.DUMMYFUNCTION("CONCATENATE(GOOGLETRANSLATE(C491, ""en"", ""ja""))"),"メンズ日本の桜プリントパッチワーク巾着パーカー")</f>
        <v>メンズ日本の桜プリントパッチワーク巾着パーカー</v>
      </c>
    </row>
    <row r="492" ht="15.75" customHeight="1">
      <c r="A492" s="1">
        <v>1965.0</v>
      </c>
      <c r="B492" s="1" t="s">
        <v>381</v>
      </c>
      <c r="C492" s="1" t="s">
        <v>479</v>
      </c>
      <c r="D492" s="1" t="str">
        <f>IFERROR(__xludf.DUMMYFUNCTION("CONCATENATE(GOOGLETRANSLATE(C492, ""en"", ""zh-cn""))
"),"男式日本樱花条纹印花拼布抽绳连帽衫")</f>
        <v>男式日本樱花条纹印花拼布抽绳连帽衫</v>
      </c>
      <c r="E492" s="1" t="str">
        <f>IFERROR(__xludf.DUMMYFUNCTION("CONCATENATE(GOOGLETRANSLATE(C492, ""en"", ""ko""))
"),"남성용 일본 벚꽃 줄무늬 프린트 패치워크 드로스트링 후드티")</f>
        <v>남성용 일본 벚꽃 줄무늬 프린트 패치워크 드로스트링 후드티</v>
      </c>
      <c r="F492" s="1" t="str">
        <f>IFERROR(__xludf.DUMMYFUNCTION("CONCATENATE(GOOGLETRANSLATE(C492, ""en"", ""ja""))"),"メンズ日本の桜ストライププリントパッチワーク巾着パーカー")</f>
        <v>メンズ日本の桜ストライププリントパッチワーク巾着パーカー</v>
      </c>
    </row>
    <row r="493" ht="15.75" customHeight="1">
      <c r="A493" s="1">
        <v>1966.0</v>
      </c>
      <c r="B493" s="1" t="s">
        <v>381</v>
      </c>
      <c r="C493" s="1" t="s">
        <v>480</v>
      </c>
      <c r="D493" s="1" t="str">
        <f>IFERROR(__xludf.DUMMYFUNCTION("CONCATENATE(GOOGLETRANSLATE(C493, ""en"", ""zh-cn""))
"),"男士玫瑰手写字母印花袋鼠口袋撞色抽绳连帽衫")</f>
        <v>男士玫瑰手写字母印花袋鼠口袋撞色抽绳连帽衫</v>
      </c>
      <c r="E493" s="1" t="str">
        <f>IFERROR(__xludf.DUMMYFUNCTION("CONCATENATE(GOOGLETRANSLATE(C493, ""en"", ""ko""))
"),"남성용 로즈 핸드 레터 프린트 캥거루 포켓 대비 드로스트링 후드티")</f>
        <v>남성용 로즈 핸드 레터 프린트 캥거루 포켓 대비 드로스트링 후드티</v>
      </c>
      <c r="F493" s="1" t="str">
        <f>IFERROR(__xludf.DUMMYFUNCTION("CONCATENATE(GOOGLETRANSLATE(C493, ""en"", ""ja""))"),"メンズローズハンドレタープリントカンガルーポケットコントラスト巾着パーカー")</f>
        <v>メンズローズハンドレタープリントカンガルーポケットコントラスト巾着パーカー</v>
      </c>
    </row>
    <row r="494" ht="15.75" customHeight="1">
      <c r="A494" s="1">
        <v>1967.0</v>
      </c>
      <c r="B494" s="1" t="s">
        <v>381</v>
      </c>
      <c r="C494" s="1" t="s">
        <v>481</v>
      </c>
      <c r="D494" s="1" t="str">
        <f>IFERROR(__xludf.DUMMYFUNCTION("CONCATENATE(GOOGLETRANSLATE(C494, ""en"", ""zh-cn""))
"),"男式单色日本猫印花长袖抽绳连帽衫")</f>
        <v>男式单色日本猫印花长袖抽绳连帽衫</v>
      </c>
      <c r="E494" s="1" t="str">
        <f>IFERROR(__xludf.DUMMYFUNCTION("CONCATENATE(GOOGLETRANSLATE(C494, ""en"", ""ko""))
"),"남성용 단색 일본 고양이 프린트 긴 소매 드로스트링 후드티")</f>
        <v>남성용 단색 일본 고양이 프린트 긴 소매 드로스트링 후드티</v>
      </c>
      <c r="F494" s="1" t="str">
        <f>IFERROR(__xludf.DUMMYFUNCTION("CONCATENATE(GOOGLETRANSLATE(C494, ""en"", ""ja""))"),"メンズモノクロ日本の猫プリント長袖巾着パーカー")</f>
        <v>メンズモノクロ日本の猫プリント長袖巾着パーカー</v>
      </c>
    </row>
    <row r="495" ht="15.75" customHeight="1">
      <c r="A495" s="1">
        <v>1968.0</v>
      </c>
      <c r="B495" s="1" t="s">
        <v>381</v>
      </c>
      <c r="C495" s="1" t="s">
        <v>482</v>
      </c>
      <c r="D495" s="1" t="str">
        <f>IFERROR(__xludf.DUMMYFUNCTION("CONCATENATE(GOOGLETRANSLATE(C495, ""en"", ""zh-cn""))
"),"男式卡通宇航员猫印花拼布抽绳连帽衫")</f>
        <v>男式卡通宇航员猫印花拼布抽绳连帽衫</v>
      </c>
      <c r="E495" s="1" t="str">
        <f>IFERROR(__xludf.DUMMYFUNCTION("CONCATENATE(GOOGLETRANSLATE(C495, ""en"", ""ko""))
"),"남성용 만화 우주 비행사 고양이 프린트 패치워크 드로스트링 후드티")</f>
        <v>남성용 만화 우주 비행사 고양이 프린트 패치워크 드로스트링 후드티</v>
      </c>
      <c r="F495" s="1" t="str">
        <f>IFERROR(__xludf.DUMMYFUNCTION("CONCATENATE(GOOGLETRANSLATE(C495, ""en"", ""ja""))"),"メンズ漫画宇宙飛行士猫プリントパッチワーク巾着パーカー")</f>
        <v>メンズ漫画宇宙飛行士猫プリントパッチワーク巾着パーカー</v>
      </c>
    </row>
    <row r="496" ht="15.75" customHeight="1">
      <c r="A496" s="1">
        <v>1969.0</v>
      </c>
      <c r="B496" s="1" t="s">
        <v>381</v>
      </c>
      <c r="C496" s="1" t="s">
        <v>483</v>
      </c>
      <c r="D496" s="1" t="str">
        <f>IFERROR(__xludf.DUMMYFUNCTION("CONCATENATE(GOOGLETRANSLATE(C496, ""en"", ""zh-cn""))
"),"男式撞色卡通动物印花拼布袋鼠口袋抽绳连帽衫")</f>
        <v>男式撞色卡通动物印花拼布袋鼠口袋抽绳连帽衫</v>
      </c>
      <c r="E496" s="1" t="str">
        <f>IFERROR(__xludf.DUMMYFUNCTION("CONCATENATE(GOOGLETRANSLATE(C496, ""en"", ""ko""))
"),"남성용 대비 만화 동물 프린트 패치워크 캥거루 포켓 드로스트링 후드")</f>
        <v>남성용 대비 만화 동물 프린트 패치워크 캥거루 포켓 드로스트링 후드</v>
      </c>
      <c r="F496" s="1" t="str">
        <f>IFERROR(__xludf.DUMMYFUNCTION("CONCATENATE(GOOGLETRANSLATE(C496, ""en"", ""ja""))"),"メンズコントラスト漫画アニマルプリントパッチワークカンガルーポケット巾着パーカー")</f>
        <v>メンズコントラスト漫画アニマルプリントパッチワークカンガルーポケット巾着パーカー</v>
      </c>
    </row>
    <row r="497" ht="15.75" customHeight="1">
      <c r="A497" s="1">
        <v>1970.0</v>
      </c>
      <c r="B497" s="1" t="s">
        <v>381</v>
      </c>
      <c r="C497" s="1" t="s">
        <v>484</v>
      </c>
      <c r="D497" s="1" t="str">
        <f>IFERROR(__xludf.DUMMYFUNCTION("CONCATENATE(GOOGLETRANSLATE(C497, ""en"", ""zh-cn""))
"),"男士渐变色块圆领休闲套头运动衫")</f>
        <v>男士渐变色块圆领休闲套头运动衫</v>
      </c>
      <c r="E497" s="1" t="str">
        <f>IFERROR(__xludf.DUMMYFUNCTION("CONCATENATE(GOOGLETRANSLATE(C497, ""en"", ""ko""))
"),"남성용 옴브레 컬러 블록 크루넥 캐주얼 풀오버 스웨트셔츠")</f>
        <v>남성용 옴브레 컬러 블록 크루넥 캐주얼 풀오버 스웨트셔츠</v>
      </c>
      <c r="F497" s="1" t="str">
        <f>IFERROR(__xludf.DUMMYFUNCTION("CONCATENATE(GOOGLETRANSLATE(C497, ""en"", ""ja""))"),"メンズオンブルカラーブロッククルーネックカジュアルプルオーバースウェットシャツ")</f>
        <v>メンズオンブルカラーブロッククルーネックカジュアルプルオーバースウェットシャツ</v>
      </c>
    </row>
    <row r="498" ht="15.75" customHeight="1">
      <c r="A498" s="1">
        <v>1971.0</v>
      </c>
      <c r="B498" s="1" t="s">
        <v>381</v>
      </c>
      <c r="C498" s="1" t="s">
        <v>485</v>
      </c>
      <c r="D498" s="1" t="str">
        <f>IFERROR(__xludf.DUMMYFUNCTION("CONCATENATE(GOOGLETRANSLATE(C498, ""en"", ""zh-cn""))
"),"男式水墨龙花卉印花长袖抽绳连帽衫")</f>
        <v>男式水墨龙花卉印花长袖抽绳连帽衫</v>
      </c>
      <c r="E498" s="1" t="str">
        <f>IFERROR(__xludf.DUMMYFUNCTION("CONCATENATE(GOOGLETRANSLATE(C498, ""en"", ""ko""))
"),"남성용 중국어 잉크 드래곤 꽃무늬 긴 소매 졸라매는 끈 후드티")</f>
        <v>남성용 중국어 잉크 드래곤 꽃무늬 긴 소매 졸라매는 끈 후드티</v>
      </c>
      <c r="F498" s="1" t="str">
        <f>IFERROR(__xludf.DUMMYFUNCTION("CONCATENATE(GOOGLETRANSLATE(C498, ""en"", ""ja""))"),"メンズ墨龍花柄長袖巾着パーカー")</f>
        <v>メンズ墨龍花柄長袖巾着パーカー</v>
      </c>
    </row>
    <row r="499" ht="15.75" customHeight="1">
      <c r="A499" s="1">
        <v>1972.0</v>
      </c>
      <c r="B499" s="1" t="s">
        <v>381</v>
      </c>
      <c r="C499" s="1" t="s">
        <v>486</v>
      </c>
      <c r="D499" s="1" t="str">
        <f>IFERROR(__xludf.DUMMYFUNCTION("CONCATENATE(GOOGLETRANSLATE(C499, ""en"", ""zh-cn""))
"),"男式水墨梅花印花撞色抽绳连帽衫")</f>
        <v>男式水墨梅花印花撞色抽绳连帽衫</v>
      </c>
      <c r="E499" s="1" t="str">
        <f>IFERROR(__xludf.DUMMYFUNCTION("CONCATENATE(GOOGLETRANSLATE(C499, ""en"", ""ko""))
"),"남성용 중국 잉크 매화 보솜 프린트 대비 드로스트링 후드티")</f>
        <v>남성용 중국 잉크 매화 보솜 프린트 대비 드로스트링 후드티</v>
      </c>
      <c r="F499" s="1" t="str">
        <f>IFERROR(__xludf.DUMMYFUNCTION("CONCATENATE(GOOGLETRANSLATE(C499, ""en"", ""ja""))"),"メンズ中国墨梅ボッサムプリントコントラスト巾着パーカー")</f>
        <v>メンズ中国墨梅ボッサムプリントコントラスト巾着パーカー</v>
      </c>
    </row>
    <row r="500" ht="15.75" customHeight="1">
      <c r="A500" s="1">
        <v>1973.0</v>
      </c>
      <c r="B500" s="1" t="s">
        <v>381</v>
      </c>
      <c r="C500" s="1" t="s">
        <v>487</v>
      </c>
      <c r="D500" s="1" t="str">
        <f>IFERROR(__xludf.DUMMYFUNCTION("CONCATENATE(GOOGLETRANSLATE(C500, ""en"", ""zh-cn""))
"),"男式微笑民族花卉印花拼布袋鼠口袋抽绳连帽衫")</f>
        <v>男式微笑民族花卉印花拼布袋鼠口袋抽绳连帽衫</v>
      </c>
      <c r="E500" s="1" t="str">
        <f>IFERROR(__xludf.DUMMYFUNCTION("CONCATENATE(GOOGLETRANSLATE(C500, ""en"", ""ko""))
"),"남성용 스마일 에스닉 꽃무늬 패치워크 캥거루 포켓 드로스트링 후드티")</f>
        <v>남성용 스마일 에스닉 꽃무늬 패치워크 캥거루 포켓 드로스트링 후드티</v>
      </c>
      <c r="F500" s="1" t="str">
        <f>IFERROR(__xludf.DUMMYFUNCTION("CONCATENATE(GOOGLETRANSLATE(C500, ""en"", ""ja""))"),"メンズスマイルエスニックフローラルプリントパッチワークカンガルーポケット巾着パーカー")</f>
        <v>メンズスマイルエスニックフローラルプリントパッチワークカンガルーポケット巾着パーカー</v>
      </c>
    </row>
    <row r="501" ht="15.75" customHeight="1">
      <c r="A501" s="1">
        <v>1974.0</v>
      </c>
      <c r="B501" s="1" t="s">
        <v>381</v>
      </c>
      <c r="C501" s="1" t="s">
        <v>488</v>
      </c>
      <c r="D501" s="1" t="str">
        <f>IFERROR(__xludf.DUMMYFUNCTION("CONCATENATE(GOOGLETRANSLATE(C501, ""en"", ""zh-cn""))
"),"男士微笑拼色拼布袋鼠口袋抽绳连帽衫")</f>
        <v>男士微笑拼色拼布袋鼠口袋抽绳连帽衫</v>
      </c>
      <c r="E501" s="1" t="str">
        <f>IFERROR(__xludf.DUMMYFUNCTION("CONCATENATE(GOOGLETRANSLATE(C501, ""en"", ""ko""))
"),"남성용 스마일 컬러 블록 패치워크 캥거루 포켓 드로스트링 후드티")</f>
        <v>남성용 스마일 컬러 블록 패치워크 캥거루 포켓 드로스트링 후드티</v>
      </c>
      <c r="F501" s="1" t="str">
        <f>IFERROR(__xludf.DUMMYFUNCTION("CONCATENATE(GOOGLETRANSLATE(C501, ""en"", ""ja""))"),"メンズスマイルカラーブロックパッチワークカンガルーポケット巾着パーカー")</f>
        <v>メンズスマイルカラーブロックパッチワークカンガルーポケット巾着パーカー</v>
      </c>
    </row>
    <row r="502" ht="15.75" customHeight="1">
      <c r="A502" s="1">
        <v>1975.0</v>
      </c>
      <c r="B502" s="1" t="s">
        <v>381</v>
      </c>
      <c r="C502" s="1" t="s">
        <v>489</v>
      </c>
      <c r="D502" s="1" t="str">
        <f>IFERROR(__xludf.DUMMYFUNCTION("CONCATENATE(GOOGLETRANSLATE(C502, ""en"", ""zh-cn""))
"),"男士心形字母印花情人节抽绳连帽衫")</f>
        <v>男士心形字母印花情人节抽绳连帽衫</v>
      </c>
      <c r="E502" s="1" t="str">
        <f>IFERROR(__xludf.DUMMYFUNCTION("CONCATENATE(GOOGLETRANSLATE(C502, ""en"", ""ko""))
"),"남성용 하트 그림 문자 인쇄 발렌타인 데이 드로스트링 후드티")</f>
        <v>남성용 하트 그림 문자 인쇄 발렌타인 데이 드로스트링 후드티</v>
      </c>
      <c r="F502" s="1" t="str">
        <f>IFERROR(__xludf.DUMMYFUNCTION("CONCATENATE(GOOGLETRANSLATE(C502, ""en"", ""ja""))"),"メンズハートフィギュアレタープリントバレンタインデー巾着パーカー")</f>
        <v>メンズハートフィギュアレタープリントバレンタインデー巾着パーカー</v>
      </c>
    </row>
    <row r="503" ht="15.75" customHeight="1">
      <c r="A503" s="1">
        <v>1976.0</v>
      </c>
      <c r="B503" s="1" t="s">
        <v>381</v>
      </c>
      <c r="C503" s="1" t="s">
        <v>490</v>
      </c>
      <c r="D503" s="1" t="str">
        <f>IFERROR(__xludf.DUMMYFUNCTION("CONCATENATE(GOOGLETRANSLATE(C503, ""en"", ""zh-cn""))
"),"男式中国阴阳拼布袋鼠口袋抽绳连帽衫")</f>
        <v>男式中国阴阳拼布袋鼠口袋抽绳连帽衫</v>
      </c>
      <c r="E503" s="1" t="str">
        <f>IFERROR(__xludf.DUMMYFUNCTION("CONCATENATE(GOOGLETRANSLATE(C503, ""en"", ""ko""))
"),"남성용 중국 음양 패치워크 캥거루 포켓 드로스트링 후드티")</f>
        <v>남성용 중국 음양 패치워크 캥거루 포켓 드로스트링 후드티</v>
      </c>
      <c r="F503" s="1" t="str">
        <f>IFERROR(__xludf.DUMMYFUNCTION("CONCATENATE(GOOGLETRANSLATE(C503, ""en"", ""ja""))"),"メンズ中国陰陽パッチワークカンガルーポケット巾着パーカー")</f>
        <v>メンズ中国陰陽パッチワークカンガルーポケット巾着パーカー</v>
      </c>
    </row>
    <row r="504" ht="15.75" customHeight="1">
      <c r="A504" s="1">
        <v>1977.0</v>
      </c>
      <c r="B504" s="1" t="s">
        <v>381</v>
      </c>
      <c r="C504" s="1" t="s">
        <v>491</v>
      </c>
      <c r="D504" s="1" t="str">
        <f>IFERROR(__xludf.DUMMYFUNCTION("CONCATENATE(GOOGLETRANSLATE(C504, ""en"", ""zh-cn""))
"),"男士花卉印花度假长袖抽绳连帽衫")</f>
        <v>男士花卉印花度假长袖抽绳连帽衫</v>
      </c>
      <c r="E504" s="1" t="str">
        <f>IFERROR(__xludf.DUMMYFUNCTION("CONCATENATE(GOOGLETRANSLATE(C504, ""en"", ""ko""))
"),"남성용 꽃무늬 휴가 긴 소매 졸라매는 끈 후드티")</f>
        <v>남성용 꽃무늬 휴가 긴 소매 졸라매는 끈 후드티</v>
      </c>
      <c r="F504" s="1" t="str">
        <f>IFERROR(__xludf.DUMMYFUNCTION("CONCATENATE(GOOGLETRANSLATE(C504, ""en"", ""ja""))"),"メンズ花柄バケーション長袖巾着パーカー")</f>
        <v>メンズ花柄バケーション長袖巾着パーカー</v>
      </c>
    </row>
    <row r="505" ht="15.75" customHeight="1">
      <c r="A505" s="1">
        <v>1978.0</v>
      </c>
      <c r="B505" s="1" t="s">
        <v>381</v>
      </c>
      <c r="C505" s="1" t="s">
        <v>492</v>
      </c>
      <c r="D505" s="1" t="str">
        <f>IFERROR(__xludf.DUMMYFUNCTION("CONCATENATE(GOOGLETRANSLATE(C505, ""en"", ""zh-cn""))
"),"男式日本武士猫花卉背面印花长袖连帽衫")</f>
        <v>男式日本武士猫花卉背面印花长袖连帽衫</v>
      </c>
      <c r="E505" s="1" t="str">
        <f>IFERROR(__xludf.DUMMYFUNCTION("CONCATENATE(GOOGLETRANSLATE(C505, ""en"", ""ko""))
"),"남성용 일본 전사 고양이 꽃무늬 뒷면 프린트 긴 소매 후드티")</f>
        <v>남성용 일본 전사 고양이 꽃무늬 뒷면 프린트 긴 소매 후드티</v>
      </c>
      <c r="F505" s="1" t="str">
        <f>IFERROR(__xludf.DUMMYFUNCTION("CONCATENATE(GOOGLETRANSLATE(C505, ""en"", ""ja""))"),"メンズ日本戦士猫花柄バックプリント長袖パーカー")</f>
        <v>メンズ日本戦士猫花柄バックプリント長袖パーカー</v>
      </c>
    </row>
    <row r="506" ht="15.75" customHeight="1">
      <c r="A506" s="1">
        <v>1979.0</v>
      </c>
      <c r="B506" s="1" t="s">
        <v>381</v>
      </c>
      <c r="C506" s="1" t="s">
        <v>493</v>
      </c>
      <c r="D506" s="1" t="str">
        <f>IFERROR(__xludf.DUMMYFUNCTION("CONCATENATE(GOOGLETRANSLATE(C506, ""en"", ""zh-cn""))
"),"男式中国新年龙印花圆领套头运动衫")</f>
        <v>男式中国新年龙印花圆领套头运动衫</v>
      </c>
      <c r="E506" s="1" t="str">
        <f>IFERROR(__xludf.DUMMYFUNCTION("CONCATENATE(GOOGLETRANSLATE(C506, ""en"", ""ko""))
"),"남성용 구정 드래곤 프린트 크루넥 풀오버 스웨트셔츠")</f>
        <v>남성용 구정 드래곤 프린트 크루넥 풀오버 스웨트셔츠</v>
      </c>
      <c r="F506" s="1" t="str">
        <f>IFERROR(__xludf.DUMMYFUNCTION("CONCATENATE(GOOGLETRANSLATE(C506, ""en"", ""ja""))"),"メンズ旧正月ドラゴンプリントクルーネックプルオーバースウェットシャツ")</f>
        <v>メンズ旧正月ドラゴンプリントクルーネックプルオーバースウェットシャツ</v>
      </c>
    </row>
    <row r="507" ht="15.75" customHeight="1">
      <c r="A507" s="1">
        <v>1980.0</v>
      </c>
      <c r="B507" s="1" t="s">
        <v>381</v>
      </c>
      <c r="C507" s="1" t="s">
        <v>494</v>
      </c>
      <c r="D507" s="1" t="str">
        <f>IFERROR(__xludf.DUMMYFUNCTION("CONCATENATE(GOOGLETRANSLATE(C507, ""en"", ""zh-cn""))
"),"男士中国风水墨印花袋鼠口袋抽绳连帽衫")</f>
        <v>男士中国风水墨印花袋鼠口袋抽绳连帽衫</v>
      </c>
      <c r="E507" s="1" t="str">
        <f>IFERROR(__xludf.DUMMYFUNCTION("CONCATENATE(GOOGLETRANSLATE(C507, ""en"", ""ko""))
"),"남성용 중국 스타일 잉크 프린트 캥거루 포켓 졸라매는 끈 후드티")</f>
        <v>남성용 중국 스타일 잉크 프린트 캥거루 포켓 졸라매는 끈 후드티</v>
      </c>
      <c r="F507" s="1" t="str">
        <f>IFERROR(__xludf.DUMMYFUNCTION("CONCATENATE(GOOGLETRANSLATE(C507, ""en"", ""ja""))"),"メンズ中国風インクプリントカンガルーポケット巾着パーカー")</f>
        <v>メンズ中国風インクプリントカンガルーポケット巾着パーカー</v>
      </c>
    </row>
    <row r="508" ht="15.75" customHeight="1">
      <c r="A508" s="1">
        <v>1981.0</v>
      </c>
      <c r="B508" s="1" t="s">
        <v>381</v>
      </c>
      <c r="C508" s="1" t="s">
        <v>495</v>
      </c>
      <c r="D508" s="1" t="str">
        <f>IFERROR(__xludf.DUMMYFUNCTION("CONCATENATE(GOOGLETRANSLATE(C508, ""en"", ""zh-cn""))
"),"男式民族几何印花拼色抽绳连帽衫")</f>
        <v>男式民族几何印花拼色抽绳连帽衫</v>
      </c>
      <c r="E508" s="1" t="str">
        <f>IFERROR(__xludf.DUMMYFUNCTION("CONCATENATE(GOOGLETRANSLATE(C508, ""en"", ""ko""))
"),"남성용 에스닉 기하학적 프린트 컬러 블록 패치워크 드로스트링 후드티")</f>
        <v>남성용 에스닉 기하학적 프린트 컬러 블록 패치워크 드로스트링 후드티</v>
      </c>
      <c r="F508" s="1" t="str">
        <f>IFERROR(__xludf.DUMMYFUNCTION("CONCATENATE(GOOGLETRANSLATE(C508, ""en"", ""ja""))"),"メンズエスニック幾何学プリントカラーブロックパッチワーク巾着パーカー")</f>
        <v>メンズエスニック幾何学プリントカラーブロックパッチワーク巾着パーカー</v>
      </c>
    </row>
    <row r="509" ht="15.75" customHeight="1">
      <c r="A509" s="1">
        <v>1982.0</v>
      </c>
      <c r="B509" s="1" t="s">
        <v>381</v>
      </c>
      <c r="C509" s="1" t="s">
        <v>496</v>
      </c>
      <c r="D509" s="1" t="str">
        <f>IFERROR(__xludf.DUMMYFUNCTION("CONCATENATE(GOOGLETRANSLATE(C509, ""en"", ""zh-cn""))
"),"男式卡通猫印花长袖宽松抽绳连帽衫")</f>
        <v>男式卡通猫印花长袖宽松抽绳连帽衫</v>
      </c>
      <c r="E509" s="1" t="str">
        <f>IFERROR(__xludf.DUMMYFUNCTION("CONCATENATE(GOOGLETRANSLATE(C509, ""en"", ""ko""))
"),"남성용 만화 고양이 프린트 긴 소매 루즈한 드로스트링 후드티")</f>
        <v>남성용 만화 고양이 프린트 긴 소매 루즈한 드로스트링 후드티</v>
      </c>
      <c r="F509" s="1" t="str">
        <f>IFERROR(__xludf.DUMMYFUNCTION("CONCATENATE(GOOGLETRANSLATE(C509, ""en"", ""ja""))"),"メンズ漫画猫プリント長袖ルーズ巾着パーカー")</f>
        <v>メンズ漫画猫プリント長袖ルーズ巾着パーカー</v>
      </c>
    </row>
    <row r="510" ht="15.75" customHeight="1">
      <c r="A510" s="1">
        <v>1983.0</v>
      </c>
      <c r="B510" s="1" t="s">
        <v>381</v>
      </c>
      <c r="C510" s="1" t="s">
        <v>497</v>
      </c>
      <c r="D510" s="1" t="str">
        <f>IFERROR(__xludf.DUMMYFUNCTION("CONCATENATE(GOOGLETRANSLATE(C510, ""en"", ""zh-cn""))
"),"男式民族部落图案拼布袋鼠口袋抽绳连帽衫")</f>
        <v>男式民族部落图案拼布袋鼠口袋抽绳连帽衫</v>
      </c>
      <c r="E510" s="1" t="str">
        <f>IFERROR(__xludf.DUMMYFUNCTION("CONCATENATE(GOOGLETRANSLATE(C510, ""en"", ""ko""))
"),"남성용 민족 부족 패턴 패치워크 캥거루 포켓 졸라매는 끈 후드티")</f>
        <v>남성용 민족 부족 패턴 패치워크 캥거루 포켓 졸라매는 끈 후드티</v>
      </c>
      <c r="F510" s="1" t="str">
        <f>IFERROR(__xludf.DUMMYFUNCTION("CONCATENATE(GOOGLETRANSLATE(C510, ""en"", ""ja""))"),"メンズエスニックトライバルパターンパッチワークカンガルーポケット巾着パーカー")</f>
        <v>メンズエスニックトライバルパターンパッチワークカンガルーポケット巾着パーカー</v>
      </c>
    </row>
    <row r="511" ht="15.75" customHeight="1">
      <c r="A511" s="1">
        <v>1984.0</v>
      </c>
      <c r="B511" s="1" t="s">
        <v>381</v>
      </c>
      <c r="C511" s="1" t="s">
        <v>449</v>
      </c>
      <c r="D511" s="1" t="str">
        <f>IFERROR(__xludf.DUMMYFUNCTION("CONCATENATE(GOOGLETRANSLATE(C511, ""en"", ""zh-cn""))
"),"男式拼色袋鼠口袋休闲抽绳连帽衫")</f>
        <v>男式拼色袋鼠口袋休闲抽绳连帽衫</v>
      </c>
      <c r="E511" s="1" t="str">
        <f>IFERROR(__xludf.DUMMYFUNCTION("CONCATENATE(GOOGLETRANSLATE(C511, ""en"", ""ko""))
"),"남성용 컬러 블록 패치워크 캥거루 포켓 캐주얼 드로스트링 후드티")</f>
        <v>남성용 컬러 블록 패치워크 캥거루 포켓 캐주얼 드로스트링 후드티</v>
      </c>
      <c r="F511" s="1" t="str">
        <f>IFERROR(__xludf.DUMMYFUNCTION("CONCATENATE(GOOGLETRANSLATE(C511, ""en"", ""ja""))"),"メンズカラーブロックパッチワークカンガルーポケットカジュアル巾着パーカー")</f>
        <v>メンズカラーブロックパッチワークカンガルーポケットカジュアル巾着パーカー</v>
      </c>
    </row>
    <row r="512" ht="15.75" customHeight="1">
      <c r="A512" s="1">
        <v>1985.0</v>
      </c>
      <c r="B512" s="1" t="s">
        <v>381</v>
      </c>
      <c r="C512" s="1" t="s">
        <v>498</v>
      </c>
      <c r="D512" s="1" t="str">
        <f>IFERROR(__xludf.DUMMYFUNCTION("CONCATENATE(GOOGLETRANSLATE(C512, ""en"", ""zh-cn""))
"),"男式复古色块拼布宽松抽绳连帽衫")</f>
        <v>男式复古色块拼布宽松抽绳连帽衫</v>
      </c>
      <c r="E512" s="1" t="str">
        <f>IFERROR(__xludf.DUMMYFUNCTION("CONCATENATE(GOOGLETRANSLATE(C512, ""en"", ""ko""))
"),"남성용 빈티지 컬러 블록 패치워크 루즈한 드로스트링 후드티")</f>
        <v>남성용 빈티지 컬러 블록 패치워크 루즈한 드로스트링 후드티</v>
      </c>
      <c r="F512" s="1" t="str">
        <f>IFERROR(__xludf.DUMMYFUNCTION("CONCATENATE(GOOGLETRANSLATE(C512, ""en"", ""ja""))"),"メンズヴィンテージカラーブロックパッチワークルーズ巾着パーカー")</f>
        <v>メンズヴィンテージカラーブロックパッチワークルーズ巾着パーカー</v>
      </c>
    </row>
    <row r="513" ht="15.75" customHeight="1">
      <c r="A513" s="1">
        <v>1986.0</v>
      </c>
      <c r="B513" s="1" t="s">
        <v>381</v>
      </c>
      <c r="C513" s="1" t="s">
        <v>499</v>
      </c>
      <c r="D513" s="1" t="str">
        <f>IFERROR(__xludf.DUMMYFUNCTION("CONCATENATE(GOOGLETRANSLATE(C513, ""en"", ""zh-cn""))
"),"男式日本武士猫印花拼布抽绳连帽衫")</f>
        <v>男式日本武士猫印花拼布抽绳连帽衫</v>
      </c>
      <c r="E513" s="1" t="str">
        <f>IFERROR(__xludf.DUMMYFUNCTION("CONCATENATE(GOOGLETRANSLATE(C513, ""en"", ""ko""))
"),"남성용 일본 전사 고양이 프린트 패치워크 드로스트링 후드")</f>
        <v>남성용 일본 전사 고양이 프린트 패치워크 드로스트링 후드</v>
      </c>
      <c r="F513" s="1" t="str">
        <f>IFERROR(__xludf.DUMMYFUNCTION("CONCATENATE(GOOGLETRANSLATE(C513, ""en"", ""ja""))"),"メンズ日本の戦士猫プリントパッチワーク巾着パーカー")</f>
        <v>メンズ日本の戦士猫プリントパッチワーク巾着パーカー</v>
      </c>
    </row>
    <row r="514" ht="15.75" customHeight="1">
      <c r="A514" s="1">
        <v>1987.0</v>
      </c>
      <c r="B514" s="1" t="s">
        <v>381</v>
      </c>
      <c r="C514" s="1" t="s">
        <v>500</v>
      </c>
      <c r="D514" s="1" t="str">
        <f>IFERROR(__xludf.DUMMYFUNCTION("CONCATENATE(GOOGLETRANSLATE(C514, ""en"", ""zh-cn""))
"),"男式卡通恐龙日式袖印花日常抽绳连帽衫")</f>
        <v>男式卡通恐龙日式袖印花日常抽绳连帽衫</v>
      </c>
      <c r="E514" s="1" t="str">
        <f>IFERROR(__xludf.DUMMYFUNCTION("CONCATENATE(GOOGLETRANSLATE(C514, ""en"", ""ko""))
"),"남성용 만화 공룡 일본식 소매 프린트 일일 드로스트링 후드티")</f>
        <v>남성용 만화 공룡 일본식 소매 프린트 일일 드로스트링 후드티</v>
      </c>
      <c r="F514" s="1" t="str">
        <f>IFERROR(__xludf.DUMMYFUNCTION("CONCATENATE(GOOGLETRANSLATE(C514, ""en"", ""ja""))"),"メンズ漫画恐竜日本袖プリントデイリー巾着パーカー")</f>
        <v>メンズ漫画恐竜日本袖プリントデイリー巾着パーカー</v>
      </c>
    </row>
    <row r="515" ht="15.75" customHeight="1">
      <c r="A515" s="1">
        <v>1988.0</v>
      </c>
      <c r="B515" s="1" t="s">
        <v>381</v>
      </c>
      <c r="C515" s="1" t="s">
        <v>501</v>
      </c>
      <c r="D515" s="1" t="str">
        <f>IFERROR(__xludf.DUMMYFUNCTION("CONCATENATE(GOOGLETRANSLATE(C515, ""en"", ""zh-cn""))
"),"男式民族几何印花袋鼠口袋抽绳连帽衫")</f>
        <v>男式民族几何印花袋鼠口袋抽绳连帽衫</v>
      </c>
      <c r="E515" s="1" t="str">
        <f>IFERROR(__xludf.DUMMYFUNCTION("CONCATENATE(GOOGLETRANSLATE(C515, ""en"", ""ko""))
"),"남성용 에스닉 기하학 프린트 캥거루 포켓 드로스트링 후드티")</f>
        <v>남성용 에스닉 기하학 프린트 캥거루 포켓 드로스트링 후드티</v>
      </c>
      <c r="F515" s="1" t="str">
        <f>IFERROR(__xludf.DUMMYFUNCTION("CONCATENATE(GOOGLETRANSLATE(C515, ""en"", ""ja""))"),"メンズエスニック幾何学プリントカンガルーポケット巾着パーカー")</f>
        <v>メンズエスニック幾何学プリントカンガルーポケット巾着パーカー</v>
      </c>
    </row>
    <row r="516" ht="15.75" customHeight="1">
      <c r="A516" s="1">
        <v>1989.0</v>
      </c>
      <c r="B516" s="1" t="s">
        <v>381</v>
      </c>
      <c r="C516" s="1" t="s">
        <v>448</v>
      </c>
      <c r="D516" s="1" t="str">
        <f>IFERROR(__xludf.DUMMYFUNCTION("CONCATENATE(GOOGLETRANSLATE(C516, ""en"", ""zh-cn""))
"),"男式日本印花色块拼布套头运动衫")</f>
        <v>男式日本印花色块拼布套头运动衫</v>
      </c>
      <c r="E516" s="1" t="str">
        <f>IFERROR(__xludf.DUMMYFUNCTION("CONCATENATE(GOOGLETRANSLATE(C516, ""en"", ""ko""))
"),"남성용 일본식 프린트 컬러 블록 패치워크 풀오버 스웨트셔츠")</f>
        <v>남성용 일본식 프린트 컬러 블록 패치워크 풀오버 스웨트셔츠</v>
      </c>
      <c r="F516" s="1" t="str">
        <f>IFERROR(__xludf.DUMMYFUNCTION("CONCATENATE(GOOGLETRANSLATE(C516, ""en"", ""ja""))"),"メンズ日本のプリントカラーブロックパッチワークプルオーバースウェットシャツ")</f>
        <v>メンズ日本のプリントカラーブロックパッチワークプルオーバースウェットシャツ</v>
      </c>
    </row>
    <row r="517" ht="15.75" customHeight="1">
      <c r="A517" s="1">
        <v>1990.0</v>
      </c>
      <c r="B517" s="1" t="s">
        <v>381</v>
      </c>
      <c r="C517" s="1" t="s">
        <v>502</v>
      </c>
      <c r="D517" s="1" t="str">
        <f>IFERROR(__xludf.DUMMYFUNCTION("CONCATENATE(GOOGLETRANSLATE(C517, ""en"", ""zh-cn""))
"),"男式微笑民族几何印花拼布抽绳连帽衫")</f>
        <v>男式微笑民族几何印花拼布抽绳连帽衫</v>
      </c>
      <c r="E517" s="1" t="str">
        <f>IFERROR(__xludf.DUMMYFUNCTION("CONCATENATE(GOOGLETRANSLATE(C517, ""en"", ""ko""))
"),"남성용 스마일 에스닉 기하학 프린트 패치워크 드로스트링 후드티")</f>
        <v>남성용 스마일 에스닉 기하학 프린트 패치워크 드로스트링 후드티</v>
      </c>
      <c r="F517" s="1" t="str">
        <f>IFERROR(__xludf.DUMMYFUNCTION("CONCATENATE(GOOGLETRANSLATE(C517, ""en"", ""ja""))"),"メンズスマイルエスニック幾何学プリントパッチワーク巾着パーカー")</f>
        <v>メンズスマイルエスニック幾何学プリントパッチワーク巾着パーカー</v>
      </c>
    </row>
    <row r="518" ht="15.75" customHeight="1">
      <c r="A518" s="1">
        <v>1991.0</v>
      </c>
      <c r="B518" s="1" t="s">
        <v>381</v>
      </c>
      <c r="C518" s="1" t="s">
        <v>503</v>
      </c>
      <c r="D518" s="1" t="str">
        <f>IFERROR(__xludf.DUMMYFUNCTION("CONCATENATE(GOOGLETRANSLATE(C518, ""en"", ""zh-cn""))
"),"男士玫瑰字母渐变印花圆领套头运动衫")</f>
        <v>男士玫瑰字母渐变印花圆领套头运动衫</v>
      </c>
      <c r="E518" s="1" t="str">
        <f>IFERROR(__xludf.DUMMYFUNCTION("CONCATENATE(GOOGLETRANSLATE(C518, ""en"", ""ko""))
"),"남성용 로즈 레터 옴브레 프린트 크루넥 풀오버 스웨트셔츠")</f>
        <v>남성용 로즈 레터 옴브레 프린트 크루넥 풀오버 스웨트셔츠</v>
      </c>
      <c r="F518" s="1" t="str">
        <f>IFERROR(__xludf.DUMMYFUNCTION("CONCATENATE(GOOGLETRANSLATE(C518, ""en"", ""ja""))"),"メンズローズレターオンブルプリントクルーネックプルオーバースウェットシャツ")</f>
        <v>メンズローズレターオンブルプリントクルーネックプルオーバースウェットシャツ</v>
      </c>
    </row>
    <row r="519" ht="15.75" customHeight="1">
      <c r="A519" s="1">
        <v>1992.0</v>
      </c>
      <c r="B519" s="1" t="s">
        <v>381</v>
      </c>
      <c r="C519" s="1" t="s">
        <v>504</v>
      </c>
      <c r="D519" s="1" t="str">
        <f>IFERROR(__xludf.DUMMYFUNCTION("CONCATENATE(GOOGLETRANSLATE(C519, ""en"", ""zh-cn""))
"),"男士不规则拼色拼布圆领套头运动衫")</f>
        <v>男士不规则拼色拼布圆领套头运动衫</v>
      </c>
      <c r="E519" s="1" t="str">
        <f>IFERROR(__xludf.DUMMYFUNCTION("CONCATENATE(GOOGLETRANSLATE(C519, ""en"", ""ko""))
"),"남성용 불규칙 컬러 블록 패치워크 크루넥 풀오버 스웨트셔츠")</f>
        <v>남성용 불규칙 컬러 블록 패치워크 크루넥 풀오버 스웨트셔츠</v>
      </c>
      <c r="F519" s="1" t="str">
        <f>IFERROR(__xludf.DUMMYFUNCTION("CONCATENATE(GOOGLETRANSLATE(C519, ""en"", ""ja""))"),"メンズ不規則なカラーブロックパッチワーククルーネックプルオーバースウェットシャツ")</f>
        <v>メンズ不規則なカラーブロックパッチワーククルーネックプルオーバースウェットシャツ</v>
      </c>
    </row>
    <row r="520" ht="15.75" customHeight="1">
      <c r="A520" s="1">
        <v>1993.0</v>
      </c>
      <c r="B520" s="1" t="s">
        <v>381</v>
      </c>
      <c r="C520" s="1" t="s">
        <v>505</v>
      </c>
      <c r="D520" s="1" t="str">
        <f>IFERROR(__xludf.DUMMYFUNCTION("CONCATENATE(GOOGLETRANSLATE(C520, ""en"", ""zh-cn""))
"),"男士字母民族不对称印花短袖 O 领 T 恤")</f>
        <v>男士字母民族不对称印花短袖 O 领 T 恤</v>
      </c>
      <c r="E520" s="1" t="str">
        <f>IFERROR(__xludf.DUMMYFUNCTION("CONCATENATE(GOOGLETRANSLATE(C520, ""en"", ""ko""))
"),"남성용 레터 에스닉 비대칭 프린트 반소매 O 넥 티셔츠")</f>
        <v>남성용 레터 에스닉 비대칭 프린트 반소매 O 넥 티셔츠</v>
      </c>
      <c r="F520" s="1" t="str">
        <f>IFERROR(__xludf.DUMMYFUNCTION("CONCATENATE(GOOGLETRANSLATE(C520, ""en"", ""ja""))"),"メンズ レター エスニック 非対称プリント 半袖 O ネック T シャツ")</f>
        <v>メンズ レター エスニック 非対称プリント 半袖 O ネック T シャツ</v>
      </c>
    </row>
    <row r="521" ht="15.75" customHeight="1">
      <c r="A521" s="1">
        <v>1994.0</v>
      </c>
      <c r="B521" s="1" t="s">
        <v>381</v>
      </c>
      <c r="C521" s="1" t="s">
        <v>506</v>
      </c>
      <c r="D521" s="1" t="str">
        <f>IFERROR(__xludf.DUMMYFUNCTION("CONCATENATE(GOOGLETRANSLATE(C521, ""en"", ""zh-cn""))
"),"男士微笑胸口印花 O 领休闲宽松短袖 T 恤")</f>
        <v>男士微笑胸口印花 O 领休闲宽松短袖 T 恤</v>
      </c>
      <c r="E521" s="1" t="str">
        <f>IFERROR(__xludf.DUMMYFUNCTION("CONCATENATE(GOOGLETRANSLATE(C521, ""en"", ""ko""))
"),"남성 스마일 체스트 프린트 O 넥 캐주얼 루즈 반팔 티셔츠")</f>
        <v>남성 스마일 체스트 프린트 O 넥 캐주얼 루즈 반팔 티셔츠</v>
      </c>
      <c r="F521" s="1" t="str">
        <f>IFERROR(__xludf.DUMMYFUNCTION("CONCATENATE(GOOGLETRANSLATE(C521, ""en"", ""ja""))"),"メンズスマイル胸プリント O ネックカジュアルルーズ半袖 T シャツ")</f>
        <v>メンズスマイル胸プリント O ネックカジュアルルーズ半袖 T シャツ</v>
      </c>
    </row>
    <row r="522" ht="15.75" customHeight="1">
      <c r="A522" s="1">
        <v>1995.0</v>
      </c>
      <c r="B522" s="1" t="s">
        <v>381</v>
      </c>
      <c r="C522" s="1" t="s">
        <v>507</v>
      </c>
      <c r="D522" s="1" t="str">
        <f>IFERROR(__xludf.DUMMYFUNCTION("CONCATENATE(GOOGLETRANSLATE(C522, ""en"", ""zh-cn""))
"),"男士拼色纹理圆领休闲 T 恤")</f>
        <v>男士拼色纹理圆领休闲 T 恤</v>
      </c>
      <c r="E522" s="1" t="str">
        <f>IFERROR(__xludf.DUMMYFUNCTION("CONCATENATE(GOOGLETRANSLATE(C522, ""en"", ""ko""))
"),"남성용 컬러 블록 Veins 크루넥 캐주얼 티셔츠")</f>
        <v>남성용 컬러 블록 Veins 크루넥 캐주얼 티셔츠</v>
      </c>
      <c r="F522" s="1" t="str">
        <f>IFERROR(__xludf.DUMMYFUNCTION("CONCATENATE(GOOGLETRANSLATE(C522, ""en"", ""ja""))"),"メンズ カラーブロック ヴェインズ クルーネック カジュアル T シャツ")</f>
        <v>メンズ カラーブロック ヴェインズ クルーネック カジュアル T シャツ</v>
      </c>
    </row>
    <row r="523" ht="15.75" customHeight="1">
      <c r="A523" s="1">
        <v>1996.0</v>
      </c>
      <c r="B523" s="1" t="s">
        <v>381</v>
      </c>
      <c r="C523" s="1" t="s">
        <v>508</v>
      </c>
      <c r="D523" s="1" t="str">
        <f>IFERROR(__xludf.DUMMYFUNCTION("CONCATENATE(GOOGLETRANSLATE(C523, ""en"", ""zh-cn""))
"),"100% 棉男式卡通宇航员星球印花短袖搞笑 T 恤")</f>
        <v>100% 棉男式卡通宇航员星球印花短袖搞笑 T 恤</v>
      </c>
      <c r="E523" s="1" t="str">
        <f>IFERROR(__xludf.DUMMYFUNCTION("CONCATENATE(GOOGLETRANSLATE(C523, ""en"", ""ko""))
"),"100% 면 망 만화 우주 비행사 행성 인쇄 짧은 소매 재미 티셔츠")</f>
        <v>100% 면 망 만화 우주 비행사 행성 인쇄 짧은 소매 재미 티셔츠</v>
      </c>
      <c r="F523" s="1" t="str">
        <f>IFERROR(__xludf.DUMMYFUNCTION("CONCATENATE(GOOGLETRANSLATE(C523, ""en"", ""ja""))"),"綿 100% メンズ漫画宇宙飛行士惑星プリント半袖面白い T シャツ")</f>
        <v>綿 100% メンズ漫画宇宙飛行士惑星プリント半袖面白い T シャツ</v>
      </c>
    </row>
    <row r="524" ht="15.75" customHeight="1">
      <c r="A524" s="1">
        <v>1997.0</v>
      </c>
      <c r="B524" s="1" t="s">
        <v>381</v>
      </c>
      <c r="C524" s="1" t="s">
        <v>509</v>
      </c>
      <c r="D524" s="1" t="str">
        <f>IFERROR(__xludf.DUMMYFUNCTION("CONCATENATE(GOOGLETRANSLATE(C524, ""en"", ""zh-cn""))
"),"可爱卡通宇航员印花短袖 100*棉质透气 T 恤")</f>
        <v>可爱卡通宇航员印花短袖 100*棉质透气 T 恤</v>
      </c>
      <c r="E524" s="1" t="str">
        <f>IFERROR(__xludf.DUMMYFUNCTION("CONCATENATE(GOOGLETRANSLATE(C524, ""en"", ""ko""))
"),"귀여운 만화 우주 비행사 프린트 반팔 100*면 통기성 티셔츠")</f>
        <v>귀여운 만화 우주 비행사 프린트 반팔 100*면 통기성 티셔츠</v>
      </c>
      <c r="F524" s="1" t="str">
        <f>IFERROR(__xludf.DUMMYFUNCTION("CONCATENATE(GOOGLETRANSLATE(C524, ""en"", ""ja""))"),"かわいい漫画の宇宙飛行士プリント半袖綿 100 通気性 T シャツ")</f>
        <v>かわいい漫画の宇宙飛行士プリント半袖綿 100 通気性 T シャツ</v>
      </c>
    </row>
    <row r="525" ht="15.75" customHeight="1">
      <c r="A525" s="1">
        <v>1998.0</v>
      </c>
      <c r="B525" s="1" t="s">
        <v>381</v>
      </c>
      <c r="C525" s="1" t="s">
        <v>510</v>
      </c>
      <c r="D525" s="1" t="str">
        <f>IFERROR(__xludf.DUMMYFUNCTION("CONCATENATE(GOOGLETRANSLATE(C525, ""en"", ""zh-cn""))
"),"男士纯色针织华夫格短袖 T 恤")</f>
        <v>男士纯色针织华夫格短袖 T 恤</v>
      </c>
      <c r="E525" s="1" t="str">
        <f>IFERROR(__xludf.DUMMYFUNCTION("CONCATENATE(GOOGLETRANSLATE(C525, ""en"", ""ko""))
"),"남성 플레인 텍스처 니트 와플 반소매 티셔츠")</f>
        <v>남성 플레인 텍스처 니트 와플 반소매 티셔츠</v>
      </c>
      <c r="F525" s="1" t="str">
        <f>IFERROR(__xludf.DUMMYFUNCTION("CONCATENATE(GOOGLETRANSLATE(C525, ""en"", ""ja""))"),"メンズ プレーン テクスチャー ニット ワッフル 半袖 T シャツ")</f>
        <v>メンズ プレーン テクスチャー ニット ワッフル 半袖 T シャツ</v>
      </c>
    </row>
    <row r="526" ht="15.75" customHeight="1">
      <c r="A526" s="1">
        <v>1999.0</v>
      </c>
      <c r="B526" s="1" t="s">
        <v>381</v>
      </c>
      <c r="C526" s="1" t="s">
        <v>511</v>
      </c>
      <c r="D526" s="1" t="str">
        <f>IFERROR(__xludf.DUMMYFUNCTION("CONCATENATE(GOOGLETRANSLATE(C526, ""en"", ""zh-cn""))
"),"男士民族图案圆领休闲短袖 T 恤")</f>
        <v>男士民族图案圆领休闲短袖 T 恤</v>
      </c>
      <c r="E526" s="1" t="str">
        <f>IFERROR(__xludf.DUMMYFUNCTION("CONCATENATE(GOOGLETRANSLATE(C526, ""en"", ""ko""))
"),"남성용 에스닉 패턴 크루넥 캐주얼 반팔 티셔츠")</f>
        <v>남성용 에스닉 패턴 크루넥 캐주얼 반팔 티셔츠</v>
      </c>
      <c r="F526" s="1" t="str">
        <f>IFERROR(__xludf.DUMMYFUNCTION("CONCATENATE(GOOGLETRANSLATE(C526, ""en"", ""ja""))"),"メンズエスニック柄クルーネックカジュアル半袖Tシャツ")</f>
        <v>メンズエスニック柄クルーネックカジュアル半袖Tシャツ</v>
      </c>
    </row>
    <row r="527" ht="15.75" customHeight="1">
      <c r="A527" s="1">
        <v>2000.0</v>
      </c>
      <c r="B527" s="1" t="s">
        <v>381</v>
      </c>
      <c r="C527" s="1" t="s">
        <v>512</v>
      </c>
      <c r="D527" s="1" t="str">
        <f>IFERROR(__xludf.DUMMYFUNCTION("CONCATENATE(GOOGLETRANSLATE(C527, ""en"", ""zh-cn""))
"),"男士日式猫咪印花圆领棉质短袖 T 恤")</f>
        <v>男士日式猫咪印花圆领棉质短袖 T 恤</v>
      </c>
      <c r="E527" s="1" t="str">
        <f>IFERROR(__xludf.DUMMYFUNCTION("CONCATENATE(GOOGLETRANSLATE(C527, ""en"", ""ko""))
"),"남성 일본식 고양이 프린트 크루넥 코튼 반팔 티셔츠")</f>
        <v>남성 일본식 고양이 프린트 크루넥 코튼 반팔 티셔츠</v>
      </c>
      <c r="F527" s="1" t="str">
        <f>IFERROR(__xludf.DUMMYFUNCTION("CONCATENATE(GOOGLETRANSLATE(C527, ""en"", ""ja""))"),"メンズ和風猫プリントクルーネックコットン半袖 T シャツ")</f>
        <v>メンズ和風猫プリントクルーネックコットン半袖 T シャツ</v>
      </c>
    </row>
    <row r="528" ht="15.75" customHeight="1">
      <c r="A528" s="1">
        <v>2001.0</v>
      </c>
      <c r="B528" s="1" t="s">
        <v>381</v>
      </c>
      <c r="C528" s="1" t="s">
        <v>513</v>
      </c>
      <c r="D528" s="1" t="str">
        <f>IFERROR(__xludf.DUMMYFUNCTION("CONCATENATE(GOOGLETRANSLATE(C528, ""en"", ""zh-cn""))
"),"男士撞色网布拼布圆领短袖 T 恤")</f>
        <v>男士撞色网布拼布圆领短袖 T 恤</v>
      </c>
      <c r="E528" s="1" t="str">
        <f>IFERROR(__xludf.DUMMYFUNCTION("CONCATENATE(GOOGLETRANSLATE(C528, ""en"", ""ko""))
"),"남성 콘트라스트 메쉬 패치워크 크루넥 반팔 티셔츠")</f>
        <v>남성 콘트라스트 메쉬 패치워크 크루넥 반팔 티셔츠</v>
      </c>
      <c r="F528" s="1" t="str">
        <f>IFERROR(__xludf.DUMMYFUNCTION("CONCATENATE(GOOGLETRANSLATE(C528, ""en"", ""ja""))"),"メンズコントラストメッシュパッチワーククルーネック半袖Tシャツ")</f>
        <v>メンズコントラストメッシュパッチワーククルーネック半袖Tシャツ</v>
      </c>
    </row>
    <row r="529" ht="15.75" customHeight="1">
      <c r="A529" s="1">
        <v>2002.0</v>
      </c>
      <c r="B529" s="1" t="s">
        <v>381</v>
      </c>
      <c r="C529" s="1" t="s">
        <v>514</v>
      </c>
      <c r="D529" s="1" t="str">
        <f>IFERROR(__xludf.DUMMYFUNCTION("CONCATENATE(GOOGLETRANSLATE(C529, ""en"", ""zh-cn""))
"),"男士钩针针织镂空透视针织圆领 T 恤")</f>
        <v>男士钩针针织镂空透视针织圆领 T 恤</v>
      </c>
      <c r="E529" s="1" t="str">
        <f>IFERROR(__xludf.DUMMYFUNCTION("CONCATENATE(GOOGLETRANSLATE(C529, ""en"", ""ko""))
"),"남성 크로셰 니트 할로우 아웃 시스루 니트 라운드 넥 티셔츠")</f>
        <v>남성 크로셰 니트 할로우 아웃 시스루 니트 라운드 넥 티셔츠</v>
      </c>
      <c r="F529" s="1" t="str">
        <f>IFERROR(__xludf.DUMMYFUNCTION("CONCATENATE(GOOGLETRANSLATE(C529, ""en"", ""ja""))"),"メンズかぎ針編みニット中空シースルーニットラウンドネックTシャツ")</f>
        <v>メンズかぎ針編みニット中空シースルーニットラウンドネックTシャツ</v>
      </c>
    </row>
    <row r="530" ht="15.75" customHeight="1">
      <c r="A530" s="1">
        <v>2003.0</v>
      </c>
      <c r="B530" s="1" t="s">
        <v>381</v>
      </c>
      <c r="C530" s="1" t="s">
        <v>515</v>
      </c>
      <c r="D530" s="1" t="str">
        <f>IFERROR(__xludf.DUMMYFUNCTION("CONCATENATE(GOOGLETRANSLATE(C530, ""en"", ""zh-cn""))
"),"男士蕾丝透视圆领短袖 T 恤")</f>
        <v>男士蕾丝透视圆领短袖 T 恤</v>
      </c>
      <c r="E530" s="1" t="str">
        <f>IFERROR(__xludf.DUMMYFUNCTION("CONCATENATE(GOOGLETRANSLATE(C530, ""en"", ""ko""))
"),"남성 레이스 시스루 크루넥 반소매 티셔츠")</f>
        <v>남성 레이스 시스루 크루넥 반소매 티셔츠</v>
      </c>
      <c r="F530" s="1" t="str">
        <f>IFERROR(__xludf.DUMMYFUNCTION("CONCATENATE(GOOGLETRANSLATE(C530, ""en"", ""ja""))"),"メンズ レース シースルー クルーネック 半袖 T シャツ")</f>
        <v>メンズ レース シースルー クルーネック 半袖 T シャツ</v>
      </c>
    </row>
    <row r="531" ht="15.75" customHeight="1">
      <c r="A531" s="1">
        <v>2004.0</v>
      </c>
      <c r="B531" s="1" t="s">
        <v>381</v>
      </c>
      <c r="C531" s="1" t="s">
        <v>516</v>
      </c>
      <c r="D531" s="1" t="str">
        <f>IFERROR(__xludf.DUMMYFUNCTION("CONCATENATE(GOOGLETRANSLATE(C531, ""en"", ""zh-cn""))
"),"男士透明网眼高领长袖 T 恤")</f>
        <v>男士透明网眼高领长袖 T 恤</v>
      </c>
      <c r="E531" s="1" t="str">
        <f>IFERROR(__xludf.DUMMYFUNCTION("CONCATENATE(GOOGLETRANSLATE(C531, ""en"", ""ko""))
"),"남성용 시어 메쉬 시스루 하이넥 긴소매 티셔츠")</f>
        <v>남성용 시어 메쉬 시스루 하이넥 긴소매 티셔츠</v>
      </c>
      <c r="F531" s="1" t="str">
        <f>IFERROR(__xludf.DUMMYFUNCTION("CONCATENATE(GOOGLETRANSLATE(C531, ""en"", ""ja""))"),"メンズ シアー メッシュ シースルー ハイネック 長袖 T シャツ")</f>
        <v>メンズ シアー メッシュ シースルー ハイネック 長袖 T シャツ</v>
      </c>
    </row>
    <row r="532" ht="15.75" customHeight="1">
      <c r="A532" s="1">
        <v>2005.0</v>
      </c>
      <c r="B532" s="1" t="s">
        <v>381</v>
      </c>
      <c r="C532" s="1" t="s">
        <v>517</v>
      </c>
      <c r="D532" s="1" t="str">
        <f>IFERROR(__xludf.DUMMYFUNCTION("CONCATENATE(GOOGLETRANSLATE(C532, ""en"", ""zh-cn""))
"),"男式几何印花拼布胸袋短袖连帽 T 恤")</f>
        <v>男式几何印花拼布胸袋短袖连帽 T 恤</v>
      </c>
      <c r="E532" s="1" t="str">
        <f>IFERROR(__xludf.DUMMYFUNCTION("CONCATENATE(GOOGLETRANSLATE(C532, ""en"", ""ko""))
"),"남성용 기하학 프린트 패치워크 가슴 주머니 반소매 후드 티셔츠")</f>
        <v>남성용 기하학 프린트 패치워크 가슴 주머니 반소매 후드 티셔츠</v>
      </c>
      <c r="F532" s="1" t="str">
        <f>IFERROR(__xludf.DUMMYFUNCTION("CONCATENATE(GOOGLETRANSLATE(C532, ""en"", ""ja""))"),"メンズ幾何学プリント パッチワーク胸ポケット半袖フード付き T シャツ")</f>
        <v>メンズ幾何学プリント パッチワーク胸ポケット半袖フード付き T シャツ</v>
      </c>
    </row>
    <row r="533" ht="15.75" customHeight="1">
      <c r="A533" s="1">
        <v>2006.0</v>
      </c>
      <c r="B533" s="1" t="s">
        <v>381</v>
      </c>
      <c r="C533" s="1" t="s">
        <v>518</v>
      </c>
      <c r="D533" s="1" t="str">
        <f>IFERROR(__xludf.DUMMYFUNCTION("CONCATENATE(GOOGLETRANSLATE(C533, ""en"", ""zh-cn""))
"),"男式纯色贴花圆领针织短袖 T 恤")</f>
        <v>男式纯色贴花圆领针织短袖 T 恤</v>
      </c>
      <c r="E533" s="1" t="str">
        <f>IFERROR(__xludf.DUMMYFUNCTION("CONCATENATE(GOOGLETRANSLATE(C533, ""en"", ""ko""))
"),"남성 단색 아플리케 크루넥 니트 반소매 티셔츠")</f>
        <v>남성 단색 아플리케 크루넥 니트 반소매 티셔츠</v>
      </c>
      <c r="F533" s="1" t="str">
        <f>IFERROR(__xludf.DUMMYFUNCTION("CONCATENATE(GOOGLETRANSLATE(C533, ""en"", ""ja""))"),"メンズソリッドカラーアップリケクルーネックニット半袖Tシャツ")</f>
        <v>メンズソリッドカラーアップリケクルーネックニット半袖Tシャツ</v>
      </c>
    </row>
    <row r="534" ht="15.75" customHeight="1">
      <c r="A534" s="1">
        <v>2007.0</v>
      </c>
      <c r="B534" s="1" t="s">
        <v>381</v>
      </c>
      <c r="C534" s="1" t="s">
        <v>519</v>
      </c>
      <c r="D534" s="1" t="str">
        <f>IFERROR(__xludf.DUMMYFUNCTION("CONCATENATE(GOOGLETRANSLATE(C534, ""en"", ""zh-cn""))
"),"男士鲤鱼武士猫印花日式短袖T恤")</f>
        <v>男士鲤鱼武士猫印花日式短袖T恤</v>
      </c>
      <c r="E534" s="1" t="str">
        <f>IFERROR(__xludf.DUMMYFUNCTION("CONCATENATE(GOOGLETRANSLATE(C534, ""en"", ""ko""))
"),"Mens Carp Warrior Cat 프린트 일본식 반팔 티셔츠")</f>
        <v>Mens Carp Warrior Cat 프린트 일본식 반팔 티셔츠</v>
      </c>
      <c r="F534" s="1" t="str">
        <f>IFERROR(__xludf.DUMMYFUNCTION("CONCATENATE(GOOGLETRANSLATE(C534, ""en"", ""ja""))"),"メンズ鯉戦士猫プリント和風半袖 T シャツ")</f>
        <v>メンズ鯉戦士猫プリント和風半袖 T シャツ</v>
      </c>
    </row>
    <row r="535" ht="15.75" customHeight="1">
      <c r="A535" s="1">
        <v>2008.0</v>
      </c>
      <c r="B535" s="1" t="s">
        <v>381</v>
      </c>
      <c r="C535" s="1" t="s">
        <v>520</v>
      </c>
      <c r="D535" s="1" t="str">
        <f>IFERROR(__xludf.DUMMYFUNCTION("CONCATENATE(GOOGLETRANSLATE(C535, ""en"", ""zh-cn""))
"),"男士透明网眼透视热图身体印花弹力 T 恤")</f>
        <v>男士透明网眼透视热图身体印花弹力 T 恤</v>
      </c>
      <c r="E535" s="1" t="str">
        <f>IFERROR(__xludf.DUMMYFUNCTION("CONCATENATE(GOOGLETRANSLATE(C535, ""en"", ""ko""))
"),"남성용 시어 메쉬 시스루 히트 맵 바디 프린트 스트레치 티셔츠")</f>
        <v>남성용 시어 메쉬 시스루 히트 맵 바디 프린트 스트레치 티셔츠</v>
      </c>
      <c r="F535" s="1" t="str">
        <f>IFERROR(__xludf.DUMMYFUNCTION("CONCATENATE(GOOGLETRANSLATE(C535, ""en"", ""ja""))"),"メンズ シアー メッシュ シースルー ヒート マップ ボディ プリント ストレッチ T シャツ")</f>
        <v>メンズ シアー メッシュ シースルー ヒート マップ ボディ プリント ストレッチ T シャツ</v>
      </c>
    </row>
    <row r="536" ht="15.75" customHeight="1">
      <c r="A536" s="1">
        <v>2009.0</v>
      </c>
      <c r="B536" s="1" t="s">
        <v>381</v>
      </c>
      <c r="C536" s="1" t="s">
        <v>521</v>
      </c>
      <c r="D536" s="1" t="str">
        <f>IFERROR(__xludf.DUMMYFUNCTION("CONCATENATE(GOOGLETRANSLATE(C536, ""en"", ""zh-cn""))
"),"男士纯色短袖半领 T 恤")</f>
        <v>男士纯色短袖半领 T 恤</v>
      </c>
      <c r="E536" s="1" t="str">
        <f>IFERROR(__xludf.DUMMYFUNCTION("CONCATENATE(GOOGLETRANSLATE(C536, ""en"", ""ko""))
"),"남성용 솔리드 반소매 하프 칼라 티셔츠")</f>
        <v>남성용 솔리드 반소매 하프 칼라 티셔츠</v>
      </c>
      <c r="F536" s="1" t="str">
        <f>IFERROR(__xludf.DUMMYFUNCTION("CONCATENATE(GOOGLETRANSLATE(C536, ""en"", ""ja""))"),"メンズソリッド半袖半襟Tシャツ")</f>
        <v>メンズソリッド半袖半襟Tシャツ</v>
      </c>
    </row>
    <row r="537" ht="15.75" customHeight="1">
      <c r="A537" s="1">
        <v>2010.0</v>
      </c>
      <c r="B537" s="1" t="s">
        <v>381</v>
      </c>
      <c r="C537" s="1" t="s">
        <v>522</v>
      </c>
      <c r="D537" s="1" t="str">
        <f>IFERROR(__xludf.DUMMYFUNCTION("CONCATENATE(GOOGLETRANSLATE(C537, ""en"", ""zh-cn""))
"),"男式复古菱形图案拼接圆领长袖 T 恤")</f>
        <v>男式复古菱形图案拼接圆领长袖 T 恤</v>
      </c>
      <c r="E537" s="1" t="str">
        <f>IFERROR(__xludf.DUMMYFUNCTION("CONCATENATE(GOOGLETRANSLATE(C537, ""en"", ""ko""))
"),"남성 빈티지 아가일 패턴 스티치 크루넥 긴팔 티셔츠")</f>
        <v>남성 빈티지 아가일 패턴 스티치 크루넥 긴팔 티셔츠</v>
      </c>
      <c r="F537" s="1" t="str">
        <f>IFERROR(__xludf.DUMMYFUNCTION("CONCATENATE(GOOGLETRANSLATE(C537, ""en"", ""ja""))"),"メンズ ヴィンテージ アーガイル パターン ステッチ クルーネック 長袖 T シャツ")</f>
        <v>メンズ ヴィンテージ アーガイル パターン ステッチ クルーネック 長袖 T シャツ</v>
      </c>
    </row>
    <row r="538" ht="15.75" customHeight="1">
      <c r="A538" s="1">
        <v>2011.0</v>
      </c>
      <c r="B538" s="1" t="s">
        <v>381</v>
      </c>
      <c r="C538" s="1" t="s">
        <v>523</v>
      </c>
      <c r="D538" s="1" t="str">
        <f>IFERROR(__xludf.DUMMYFUNCTION("CONCATENATE(GOOGLETRANSLATE(C538, ""en"", ""zh-cn""))
"),"男式民族佩斯利印花拼接纹理街头服饰短袖 T 恤")</f>
        <v>男式民族佩斯利印花拼接纹理街头服饰短袖 T 恤</v>
      </c>
      <c r="E538" s="1" t="str">
        <f>IFERROR(__xludf.DUMMYFUNCTION("CONCATENATE(GOOGLETRANSLATE(C538, ""en"", ""ko""))
"),"남성용 에스닉 페이즐리 프린트 스티치 텍스처 스트리트웨어 반소매 티셔츠")</f>
        <v>남성용 에스닉 페이즐리 프린트 스티치 텍스처 스트리트웨어 반소매 티셔츠</v>
      </c>
      <c r="F538" s="1" t="str">
        <f>IFERROR(__xludf.DUMMYFUNCTION("CONCATENATE(GOOGLETRANSLATE(C538, ""en"", ""ja""))"),"メンズ エスニック ペイズリー プリント ステッチ テクスチャ ストリートウェア 半袖 T シャツ")</f>
        <v>メンズ エスニック ペイズリー プリント ステッチ テクスチャ ストリートウェア 半袖 T シャツ</v>
      </c>
    </row>
    <row r="539" ht="15.75" customHeight="1">
      <c r="A539" s="1">
        <v>2012.0</v>
      </c>
      <c r="B539" s="1" t="s">
        <v>381</v>
      </c>
      <c r="C539" s="1" t="s">
        <v>524</v>
      </c>
      <c r="D539" s="1" t="str">
        <f>IFERROR(__xludf.DUMMYFUNCTION("CONCATENATE(GOOGLETRANSLATE(C539, ""en"", ""zh-cn""))
"),"男式几何搞笑脸印花拼布针织短袖 T 恤")</f>
        <v>男式几何搞笑脸印花拼布针织短袖 T 恤</v>
      </c>
      <c r="E539" s="1" t="str">
        <f>IFERROR(__xludf.DUMMYFUNCTION("CONCATENATE(GOOGLETRANSLATE(C539, ""en"", ""ko""))
"),"남성용 기하학 퍼니 페이스 프린트 패치워크 니트 반소매 티셔츠")</f>
        <v>남성용 기하학 퍼니 페이스 프린트 패치워크 니트 반소매 티셔츠</v>
      </c>
      <c r="F539" s="1" t="str">
        <f>IFERROR(__xludf.DUMMYFUNCTION("CONCATENATE(GOOGLETRANSLATE(C539, ""en"", ""ja""))"),"メンズ幾何学的な面白い顔プリント パッチワーク ニット半袖 T シャツ")</f>
        <v>メンズ幾何学的な面白い顔プリント パッチワーク ニット半袖 T シャツ</v>
      </c>
    </row>
    <row r="540" ht="15.75" customHeight="1">
      <c r="A540" s="1">
        <v>2013.0</v>
      </c>
      <c r="B540" s="1" t="s">
        <v>381</v>
      </c>
      <c r="C540" s="1" t="s">
        <v>525</v>
      </c>
      <c r="D540" s="1" t="str">
        <f>IFERROR(__xludf.DUMMYFUNCTION("CONCATENATE(GOOGLETRANSLATE(C540, ""en"", ""zh-cn""))
"),"男士字母花卉印花圆领短袖 T 恤")</f>
        <v>男士字母花卉印花圆领短袖 T 恤</v>
      </c>
      <c r="E540" s="1" t="str">
        <f>IFERROR(__xludf.DUMMYFUNCTION("CONCATENATE(GOOGLETRANSLATE(C540, ""en"", ""ko""))
"),"남성용 레터 플로럴 프린트 크루넥 반소매 티셔츠")</f>
        <v>남성용 레터 플로럴 프린트 크루넥 반소매 티셔츠</v>
      </c>
      <c r="F540" s="1" t="str">
        <f>IFERROR(__xludf.DUMMYFUNCTION("CONCATENATE(GOOGLETRANSLATE(C540, ""en"", ""ja""))"),"メンズレターフローラルプリントクルーネック半袖Tシャツ")</f>
        <v>メンズレターフローラルプリントクルーネック半袖Tシャツ</v>
      </c>
    </row>
    <row r="541" ht="15.75" customHeight="1">
      <c r="A541" s="1">
        <v>2014.0</v>
      </c>
      <c r="B541" s="1" t="s">
        <v>381</v>
      </c>
      <c r="C541" s="1" t="s">
        <v>526</v>
      </c>
      <c r="D541" s="1" t="str">
        <f>IFERROR(__xludf.DUMMYFUNCTION("CONCATENATE(GOOGLETRANSLATE(C541, ""en"", ""zh-cn""))
"),"男士几何字母印花拼布短袖 T 恤")</f>
        <v>男士几何字母印花拼布短袖 T 恤</v>
      </c>
      <c r="E541" s="1" t="str">
        <f>IFERROR(__xludf.DUMMYFUNCTION("CONCATENATE(GOOGLETRANSLATE(C541, ""en"", ""ko""))
"),"남성용 기하학 문자 프린트 패치워크 반소매 티셔츠")</f>
        <v>남성용 기하학 문자 프린트 패치워크 반소매 티셔츠</v>
      </c>
      <c r="F541" s="1" t="str">
        <f>IFERROR(__xludf.DUMMYFUNCTION("CONCATENATE(GOOGLETRANSLATE(C541, ""en"", ""ja""))"),"メンズ幾何学レタープリントパッチワーク半袖Tシャツ")</f>
        <v>メンズ幾何学レタープリントパッチワーク半袖Tシャツ</v>
      </c>
    </row>
    <row r="542" ht="15.75" customHeight="1">
      <c r="A542" s="1">
        <v>2015.0</v>
      </c>
      <c r="B542" s="1" t="s">
        <v>381</v>
      </c>
      <c r="C542" s="1" t="s">
        <v>527</v>
      </c>
      <c r="D542" s="1" t="str">
        <f>IFERROR(__xludf.DUMMYFUNCTION("CONCATENATE(GOOGLETRANSLATE(C542, ""en"", ""zh-cn""))
"),"男式刺绣撞色拼布下摆侧拉链短袖 T 恤")</f>
        <v>男式刺绣撞色拼布下摆侧拉链短袖 T 恤</v>
      </c>
      <c r="E542" s="1" t="str">
        <f>IFERROR(__xludf.DUMMYFUNCTION("CONCATENATE(GOOGLETRANSLATE(C542, ""en"", ""ko""))
"),"남성용 자수 대비 패치워크 밑단 사이드 지퍼 반소매 티셔츠")</f>
        <v>남성용 자수 대비 패치워크 밑단 사이드 지퍼 반소매 티셔츠</v>
      </c>
      <c r="F542" s="1" t="str">
        <f>IFERROR(__xludf.DUMMYFUNCTION("CONCATENATE(GOOGLETRANSLATE(C542, ""en"", ""ja""))"),"メンズ刺繍コントラストパッチワークヘムサイドジップ半袖Tシャツ")</f>
        <v>メンズ刺繍コントラストパッチワークヘムサイドジップ半袖Tシャツ</v>
      </c>
    </row>
    <row r="543" ht="15.75" customHeight="1">
      <c r="A543" s="1">
        <v>2016.0</v>
      </c>
      <c r="B543" s="1" t="s">
        <v>381</v>
      </c>
      <c r="C543" s="1" t="s">
        <v>528</v>
      </c>
      <c r="D543" s="1" t="str">
        <f>IFERROR(__xludf.DUMMYFUNCTION("CONCATENATE(GOOGLETRANSLATE(C543, ""en"", ""zh-cn""))
"),"男士纽扣丝带设计口袋休闲短袖 T 恤")</f>
        <v>男士纽扣丝带设计口袋休闲短袖 T 恤</v>
      </c>
      <c r="E543" s="1" t="str">
        <f>IFERROR(__xludf.DUMMYFUNCTION("CONCATENATE(GOOGLETRANSLATE(C543, ""en"", ""ko""))
"),"남성용 버튼 리본 디자인 포켓 캐주얼 반소매 티셔츠")</f>
        <v>남성용 버튼 리본 디자인 포켓 캐주얼 반소매 티셔츠</v>
      </c>
      <c r="F543" s="1" t="str">
        <f>IFERROR(__xludf.DUMMYFUNCTION("CONCATENATE(GOOGLETRANSLATE(C543, ""en"", ""ja""))"),"メンズボタンリボンデザインポケットカジュアル半袖Tシャツ")</f>
        <v>メンズボタンリボンデザインポケットカジュアル半袖Tシャツ</v>
      </c>
    </row>
    <row r="544" ht="15.75" customHeight="1">
      <c r="A544" s="1">
        <v>2017.0</v>
      </c>
      <c r="B544" s="1" t="s">
        <v>381</v>
      </c>
      <c r="C544" s="1" t="s">
        <v>529</v>
      </c>
      <c r="D544" s="1" t="str">
        <f>IFERROR(__xludf.DUMMYFUNCTION("CONCATENATE(GOOGLETRANSLATE(C544, ""en"", ""zh-cn""))
"),"男式日本卡通印花短袖连帽 T 恤")</f>
        <v>男式日本卡通印花短袖连帽 T 恤</v>
      </c>
      <c r="E544" s="1" t="str">
        <f>IFERROR(__xludf.DUMMYFUNCTION("CONCATENATE(GOOGLETRANSLATE(C544, ""en"", ""ko""))
"),"남성용 일본 만화 프린트 반소매 후드 티셔츠")</f>
        <v>남성용 일본 만화 프린트 반소매 후드 티셔츠</v>
      </c>
      <c r="F544" s="1" t="str">
        <f>IFERROR(__xludf.DUMMYFUNCTION("CONCATENATE(GOOGLETRANSLATE(C544, ""en"", ""ja""))"),"メンズ日本の漫画プリント半袖フード付き T シャツ")</f>
        <v>メンズ日本の漫画プリント半袖フード付き T シャツ</v>
      </c>
    </row>
    <row r="545" ht="15.75" customHeight="1">
      <c r="A545" s="1">
        <v>2018.0</v>
      </c>
      <c r="B545" s="1" t="s">
        <v>381</v>
      </c>
      <c r="C545" s="1" t="s">
        <v>530</v>
      </c>
      <c r="D545" s="1" t="str">
        <f>IFERROR(__xludf.DUMMYFUNCTION("CONCATENATE(GOOGLETRANSLATE(C545, ""en"", ""zh-cn""))
"),"男式几何和笑脸印花拼布短袖 T 恤")</f>
        <v>男式几何和笑脸印花拼布短袖 T 恤</v>
      </c>
      <c r="E545" s="1" t="str">
        <f>IFERROR(__xludf.DUMMYFUNCTION("CONCATENATE(GOOGLETRANSLATE(C545, ""en"", ""ko""))
"),"남성용 기하학 &amp; 스마일 페이스 프린트 패치워크 반소매 티셔츠")</f>
        <v>남성용 기하학 &amp; 스마일 페이스 프린트 패치워크 반소매 티셔츠</v>
      </c>
      <c r="F545" s="1" t="str">
        <f>IFERROR(__xludf.DUMMYFUNCTION("CONCATENATE(GOOGLETRANSLATE(C545, ""en"", ""ja""))"),"メンズ幾何学模様 &amp; スマイル フェイス プリント パッチワーク 半袖 T シャツ")</f>
        <v>メンズ幾何学模様 &amp; スマイル フェイス プリント パッチワーク 半袖 T シャツ</v>
      </c>
    </row>
    <row r="546" ht="15.75" customHeight="1">
      <c r="A546" s="1">
        <v>2019.0</v>
      </c>
      <c r="B546" s="1" t="s">
        <v>381</v>
      </c>
      <c r="C546" s="1" t="s">
        <v>531</v>
      </c>
      <c r="D546" s="1" t="str">
        <f>IFERROR(__xludf.DUMMYFUNCTION("CONCATENATE(GOOGLETRANSLATE(C546, ""en"", ""zh-cn""))
"),"男式民族几何印花拼接圆领短袖 T 恤")</f>
        <v>男式民族几何印花拼接圆领短袖 T 恤</v>
      </c>
      <c r="E546" s="1" t="str">
        <f>IFERROR(__xludf.DUMMYFUNCTION("CONCATENATE(GOOGLETRANSLATE(C546, ""en"", ""ko""))
"),"남성용 에스닉 기하학 프린트 스티치 크루넥 반팔 티셔츠")</f>
        <v>남성용 에스닉 기하학 프린트 스티치 크루넥 반팔 티셔츠</v>
      </c>
      <c r="F546" s="1" t="str">
        <f>IFERROR(__xludf.DUMMYFUNCTION("CONCATENATE(GOOGLETRANSLATE(C546, ""en"", ""ja""))"),"メンズエスニック幾何学プリントステッチクルーネック半袖Tシャツ")</f>
        <v>メンズエスニック幾何学プリントステッチクルーネック半袖Tシャツ</v>
      </c>
    </row>
    <row r="547" ht="15.75" customHeight="1">
      <c r="A547" s="1">
        <v>2020.0</v>
      </c>
      <c r="B547" s="1" t="s">
        <v>381</v>
      </c>
      <c r="C547" s="1" t="s">
        <v>532</v>
      </c>
      <c r="D547" s="1" t="str">
        <f>IFERROR(__xludf.DUMMYFUNCTION("CONCATENATE(GOOGLETRANSLATE(C547, ""en"", ""zh-cn""))
"),"男士字母字符背面印花弧形下摆短袖 T 恤")</f>
        <v>男士字母字符背面印花弧形下摆短袖 T 恤</v>
      </c>
      <c r="E547" s="1" t="str">
        <f>IFERROR(__xludf.DUMMYFUNCTION("CONCATENATE(GOOGLETRANSLATE(C547, ""en"", ""ko""))
"),"남성용 문자 캐릭터 백 프린트 곡선 밑단 반팔 티셔츠")</f>
        <v>남성용 문자 캐릭터 백 프린트 곡선 밑단 반팔 티셔츠</v>
      </c>
      <c r="F547" s="1" t="str">
        <f>IFERROR(__xludf.DUMMYFUNCTION("CONCATENATE(GOOGLETRANSLATE(C547, ""en"", ""ja""))"),"メンズレターキャラクターバックプリントカーブヘム半袖Tシャツ")</f>
        <v>メンズレターキャラクターバックプリントカーブヘム半袖Tシャツ</v>
      </c>
    </row>
    <row r="548" ht="15.75" customHeight="1">
      <c r="A548" s="1">
        <v>2021.0</v>
      </c>
      <c r="B548" s="1" t="s">
        <v>381</v>
      </c>
      <c r="C548" s="1" t="s">
        <v>533</v>
      </c>
      <c r="D548" s="1" t="str">
        <f>IFERROR(__xludf.DUMMYFUNCTION("CONCATENATE(GOOGLETRANSLATE(C548, ""en"", ""zh-cn""))
"),"男式日系花卉图案圆领针织短袖 T 恤")</f>
        <v>男式日系花卉图案圆领针织短袖 T 恤</v>
      </c>
      <c r="E548" s="1" t="str">
        <f>IFERROR(__xludf.DUMMYFUNCTION("CONCATENATE(GOOGLETRANSLATE(C548, ""en"", ""ko""))
"),"남성용 일본식 꽃무늬 그래픽 크루넥 니트 반소매 티셔츠")</f>
        <v>남성용 일본식 꽃무늬 그래픽 크루넥 니트 반소매 티셔츠</v>
      </c>
      <c r="F548" s="1" t="str">
        <f>IFERROR(__xludf.DUMMYFUNCTION("CONCATENATE(GOOGLETRANSLATE(C548, ""en"", ""ja""))"),"メンズ日本の花柄グラフィック クルーネック ニット半袖 T シャツ")</f>
        <v>メンズ日本の花柄グラフィック クルーネック ニット半袖 T シャツ</v>
      </c>
    </row>
    <row r="549" ht="15.75" customHeight="1">
      <c r="A549" s="1">
        <v>2022.0</v>
      </c>
      <c r="B549" s="1" t="s">
        <v>381</v>
      </c>
      <c r="C549" s="1" t="s">
        <v>534</v>
      </c>
      <c r="D549" s="1" t="str">
        <f>IFERROR(__xludf.DUMMYFUNCTION("CONCATENATE(GOOGLETRANSLATE(C549, ""en"", ""zh-cn""))
"),"男士字母几何图案拼布纹理短袖 T 恤")</f>
        <v>男士字母几何图案拼布纹理短袖 T 恤</v>
      </c>
      <c r="E549" s="1" t="str">
        <f>IFERROR(__xludf.DUMMYFUNCTION("CONCATENATE(GOOGLETRANSLATE(C549, ""en"", ""ko""))
"),"남성용 문자 기하학적 패턴 패치워크 질감 반팔 티셔츠")</f>
        <v>남성용 문자 기하학적 패턴 패치워크 질감 반팔 티셔츠</v>
      </c>
      <c r="F549" s="1" t="str">
        <f>IFERROR(__xludf.DUMMYFUNCTION("CONCATENATE(GOOGLETRANSLATE(C549, ""en"", ""ja""))"),"メンズレター幾何学模様パッチワークテクスチャ半袖Tシャツ")</f>
        <v>メンズレター幾何学模様パッチワークテクスチャ半袖Tシャツ</v>
      </c>
    </row>
    <row r="550" ht="15.75" customHeight="1">
      <c r="A550" s="1">
        <v>2023.0</v>
      </c>
      <c r="B550" s="1" t="s">
        <v>381</v>
      </c>
      <c r="C550" s="1" t="s">
        <v>535</v>
      </c>
      <c r="D550" s="1" t="str">
        <f>IFERROR(__xludf.DUMMYFUNCTION("CONCATENATE(GOOGLETRANSLATE(C550, ""en"", ""zh-cn""))
"),"男式日本樱花印花拼布针织短袖连帽 T 恤")</f>
        <v>男式日本樱花印花拼布针织短袖连帽 T 恤</v>
      </c>
      <c r="E550" s="1" t="str">
        <f>IFERROR(__xludf.DUMMYFUNCTION("CONCATENATE(GOOGLETRANSLATE(C550, ""en"", ""ko""))
"),"남성용 일본 벚꽃 프린트 패치워크 니트 반소매 후드 티셔츠")</f>
        <v>남성용 일본 벚꽃 프린트 패치워크 니트 반소매 후드 티셔츠</v>
      </c>
      <c r="F550" s="1" t="str">
        <f>IFERROR(__xludf.DUMMYFUNCTION("CONCATENATE(GOOGLETRANSLATE(C550, ""en"", ""ja""))"),"メンズ日本の桜プリント パッチワーク ニット半袖フード付き T シャツ")</f>
        <v>メンズ日本の桜プリント パッチワーク ニット半袖フード付き T シャツ</v>
      </c>
    </row>
    <row r="551" ht="15.75" customHeight="1">
      <c r="A551" s="1">
        <v>2024.0</v>
      </c>
      <c r="B551" s="1" t="s">
        <v>381</v>
      </c>
      <c r="C551" s="1" t="s">
        <v>536</v>
      </c>
      <c r="D551" s="1" t="str">
        <f>IFERROR(__xludf.DUMMYFUNCTION("CONCATENATE(GOOGLETRANSLATE(C551, ""en"", ""zh-cn""))
"),"男士几何图案拼色针织短袖 T 恤")</f>
        <v>男士几何图案拼色针织短袖 T 恤</v>
      </c>
      <c r="E551" s="1" t="str">
        <f>IFERROR(__xludf.DUMMYFUNCTION("CONCATENATE(GOOGLETRANSLATE(C551, ""en"", ""ko""))
"),"남성 기하학 패턴 컬러 블록 패치워크 니트 반팔 티셔츠")</f>
        <v>남성 기하학 패턴 컬러 블록 패치워크 니트 반팔 티셔츠</v>
      </c>
      <c r="F551" s="1" t="str">
        <f>IFERROR(__xludf.DUMMYFUNCTION("CONCATENATE(GOOGLETRANSLATE(C551, ""en"", ""ja""))"),"メンズ幾何学模様カラーブロックパッチワークニット半袖Tシャツ")</f>
        <v>メンズ幾何学模様カラーブロックパッチワークニット半袖Tシャツ</v>
      </c>
    </row>
    <row r="552" ht="15.75" customHeight="1">
      <c r="A552" s="1">
        <v>2025.0</v>
      </c>
      <c r="B552" s="1" t="s">
        <v>381</v>
      </c>
      <c r="C552" s="1" t="s">
        <v>537</v>
      </c>
      <c r="D552" s="1" t="str">
        <f>IFERROR(__xludf.DUMMYFUNCTION("CONCATENATE(GOOGLETRANSLATE(C552, ""en"", ""zh-cn""))
"),"男士部落图案拼布圆领短袖 T 恤")</f>
        <v>男士部落图案拼布圆领短袖 T 恤</v>
      </c>
      <c r="E552" s="1" t="str">
        <f>IFERROR(__xludf.DUMMYFUNCTION("CONCATENATE(GOOGLETRANSLATE(C552, ""en"", ""ko""))
"),"남성 트라이벌 패턴 패치워크 크루넥 반팔 티셔츠")</f>
        <v>남성 트라이벌 패턴 패치워크 크루넥 반팔 티셔츠</v>
      </c>
      <c r="F552" s="1" t="str">
        <f>IFERROR(__xludf.DUMMYFUNCTION("CONCATENATE(GOOGLETRANSLATE(C552, ""en"", ""ja""))"),"メンズ トライバル パターン パッチワーク クルーネック 半袖 T シャツ")</f>
        <v>メンズ トライバル パターン パッチワーク クルーネック 半袖 T シャツ</v>
      </c>
    </row>
    <row r="553" ht="15.75" customHeight="1">
      <c r="A553" s="1">
        <v>2026.0</v>
      </c>
      <c r="B553" s="1" t="s">
        <v>381</v>
      </c>
      <c r="C553" s="1" t="s">
        <v>538</v>
      </c>
      <c r="D553" s="1" t="str">
        <f>IFERROR(__xludf.DUMMYFUNCTION("CONCATENATE(GOOGLETRANSLATE(C553, ""en"", ""zh-cn""))
"),"男士字母刺绣圆领罗纹短袖 T 恤")</f>
        <v>男士字母刺绣圆领罗纹短袖 T 恤</v>
      </c>
      <c r="E553" s="1" t="str">
        <f>IFERROR(__xludf.DUMMYFUNCTION("CONCATENATE(GOOGLETRANSLATE(C553, ""en"", ""ko""))
"),"남성용 레터 자수 크루넥 골지 반소매 티셔츠")</f>
        <v>남성용 레터 자수 크루넥 골지 반소매 티셔츠</v>
      </c>
      <c r="F553" s="1" t="str">
        <f>IFERROR(__xludf.DUMMYFUNCTION("CONCATENATE(GOOGLETRANSLATE(C553, ""en"", ""ja""))"),"メンズレター刺繍クルーネックリブ半袖Tシャツ")</f>
        <v>メンズレター刺繍クルーネックリブ半袖Tシャツ</v>
      </c>
    </row>
    <row r="554" ht="15.75" customHeight="1">
      <c r="A554" s="1">
        <v>2027.0</v>
      </c>
      <c r="B554" s="1" t="s">
        <v>381</v>
      </c>
      <c r="C554" s="1" t="s">
        <v>539</v>
      </c>
      <c r="D554" s="1" t="str">
        <f>IFERROR(__xludf.DUMMYFUNCTION("CONCATENATE(GOOGLETRANSLATE(C554, ""en"", ""zh-cn""))
"),"男式民族风搭配胸袋弧形下摆短袖 T 恤")</f>
        <v>男式民族风搭配胸袋弧形下摆短袖 T 恤</v>
      </c>
      <c r="E554" s="1" t="str">
        <f>IFERROR(__xludf.DUMMYFUNCTION("CONCATENATE(GOOGLETRANSLATE(C554, ""en"", ""ko""))
"),"남성 에스닉 매칭 가슴 포켓 곡선 밑단 반팔 티셔츠")</f>
        <v>남성 에스닉 매칭 가슴 포켓 곡선 밑단 반팔 티셔츠</v>
      </c>
      <c r="F554" s="1" t="str">
        <f>IFERROR(__xludf.DUMMYFUNCTION("CONCATENATE(GOOGLETRANSLATE(C554, ""en"", ""ja""))"),"メンズエスニックマッチング胸ポケットカーブヘム半袖Tシャツ")</f>
        <v>メンズエスニックマッチング胸ポケットカーブヘム半袖Tシャツ</v>
      </c>
    </row>
    <row r="555" ht="15.75" customHeight="1">
      <c r="A555" s="1">
        <v>2028.0</v>
      </c>
      <c r="B555" s="1" t="s">
        <v>381</v>
      </c>
      <c r="C555" s="1" t="s">
        <v>540</v>
      </c>
      <c r="D555" s="1" t="str">
        <f>IFERROR(__xludf.DUMMYFUNCTION("CONCATENATE(GOOGLETRANSLATE(C555, ""en"", ""zh-cn""))
"),"男式纯色四分之一纽扣罗纹针织短袖 T 恤")</f>
        <v>男式纯色四分之一纽扣罗纹针织短袖 T 恤</v>
      </c>
      <c r="E555" s="1" t="str">
        <f>IFERROR(__xludf.DUMMYFUNCTION("CONCATENATE(GOOGLETRANSLATE(C555, ""en"", ""ko""))
"),"남성용 솔리드 쿼터 버튼 리브 니트 반소매 티셔츠")</f>
        <v>남성용 솔리드 쿼터 버튼 리브 니트 반소매 티셔츠</v>
      </c>
      <c r="F555" s="1" t="str">
        <f>IFERROR(__xludf.DUMMYFUNCTION("CONCATENATE(GOOGLETRANSLATE(C555, ""en"", ""ja""))"),"メンズ ソリッド クォーター ボタン リブニット 半袖 T シャツ")</f>
        <v>メンズ ソリッド クォーター ボタン リブニット 半袖 T シャツ</v>
      </c>
    </row>
    <row r="556" ht="15.75" customHeight="1">
      <c r="A556" s="1">
        <v>2029.0</v>
      </c>
      <c r="B556" s="1" t="s">
        <v>381</v>
      </c>
      <c r="C556" s="1" t="s">
        <v>541</v>
      </c>
      <c r="D556" s="1" t="str">
        <f>IFERROR(__xludf.DUMMYFUNCTION("CONCATENATE(GOOGLETRANSLATE(C556, ""en"", ""zh-cn""))
"),"男式两色民族笑脸短袖 T 恤")</f>
        <v>男式两色民族笑脸短袖 T 恤</v>
      </c>
      <c r="E556" s="1" t="str">
        <f>IFERROR(__xludf.DUMMYFUNCTION("CONCATENATE(GOOGLETRANSLATE(C556, ""en"", ""ko""))
"),"남성용 투톤 에스닉 스마일 페이스 반소매 티셔츠")</f>
        <v>남성용 투톤 에스닉 스마일 페이스 반소매 티셔츠</v>
      </c>
      <c r="F556" s="1" t="str">
        <f>IFERROR(__xludf.DUMMYFUNCTION("CONCATENATE(GOOGLETRANSLATE(C556, ""en"", ""ja""))"),"メンズ ツートーン エスニック スマイリー フェイス 半袖 T シャツ")</f>
        <v>メンズ ツートーン エスニック スマイリー フェイス 半袖 T シャツ</v>
      </c>
    </row>
    <row r="557" ht="15.75" customHeight="1">
      <c r="A557" s="1">
        <v>2030.0</v>
      </c>
      <c r="B557" s="1" t="s">
        <v>381</v>
      </c>
      <c r="C557" s="1" t="s">
        <v>542</v>
      </c>
      <c r="D557" s="1" t="str">
        <f>IFERROR(__xludf.DUMMYFUNCTION("CONCATENATE(GOOGLETRANSLATE(C557, ""en"", ""zh-cn""))
"),"男式复古几何字母图案拼布针织短袖 T 恤")</f>
        <v>男式复古几何字母图案拼布针织短袖 T 恤</v>
      </c>
      <c r="E557" s="1" t="str">
        <f>IFERROR(__xludf.DUMMYFUNCTION("CONCATENATE(GOOGLETRANSLATE(C557, ""en"", ""ko""))
"),"남성용 빈티지 기하학 문자 패턴 패치워크 니트 반소매 티셔츠")</f>
        <v>남성용 빈티지 기하학 문자 패턴 패치워크 니트 반소매 티셔츠</v>
      </c>
      <c r="F557" s="1" t="str">
        <f>IFERROR(__xludf.DUMMYFUNCTION("CONCATENATE(GOOGLETRANSLATE(C557, ""en"", ""ja""))"),"メンズヴィンテージ幾何学模様のパッチワークニット半袖Tシャツ")</f>
        <v>メンズヴィンテージ幾何学模様のパッチワークニット半袖Tシャツ</v>
      </c>
    </row>
    <row r="558" ht="15.75" customHeight="1">
      <c r="A558" s="1">
        <v>2031.0</v>
      </c>
      <c r="B558" s="1" t="s">
        <v>381</v>
      </c>
      <c r="C558" s="1" t="s">
        <v>543</v>
      </c>
      <c r="D558" s="1" t="str">
        <f>IFERROR(__xludf.DUMMYFUNCTION("CONCATENATE(GOOGLETRANSLATE(C558, ""en"", ""zh-cn""))
"),"男士日本条纹短袖针织 T 恤")</f>
        <v>男士日本条纹短袖针织 T 恤</v>
      </c>
      <c r="E558" s="1" t="str">
        <f>IFERROR(__xludf.DUMMYFUNCTION("CONCATENATE(GOOGLETRANSLATE(C558, ""en"", ""ko""))
"),"남성용 일본 스트라이프 반소매 니트 티셔츠")</f>
        <v>남성용 일본 스트라이프 반소매 니트 티셔츠</v>
      </c>
      <c r="F558" s="1" t="str">
        <f>IFERROR(__xludf.DUMMYFUNCTION("CONCATENATE(GOOGLETRANSLATE(C558, ""en"", ""ja""))"),"メンズジャパンストライプ半袖ニットTシャツ")</f>
        <v>メンズジャパンストライプ半袖ニットTシャツ</v>
      </c>
    </row>
    <row r="559" ht="15.75" customHeight="1">
      <c r="A559" s="1">
        <v>2032.0</v>
      </c>
      <c r="B559" s="1" t="s">
        <v>381</v>
      </c>
      <c r="C559" s="1" t="s">
        <v>544</v>
      </c>
      <c r="D559" s="1" t="str">
        <f>IFERROR(__xludf.DUMMYFUNCTION("CONCATENATE(GOOGLETRANSLATE(C559, ""en"", ""zh-cn""))
"),"男式日本几何印花拼布圆领短袖 T 恤")</f>
        <v>男式日本几何印花拼布圆领短袖 T 恤</v>
      </c>
      <c r="E559" s="1" t="str">
        <f>IFERROR(__xludf.DUMMYFUNCTION("CONCATENATE(GOOGLETRANSLATE(C559, ""en"", ""ko""))
"),"남성용 일본 기하학 프린트 패치워크 크루넥 반소매 티셔츠")</f>
        <v>남성용 일본 기하학 프린트 패치워크 크루넥 반소매 티셔츠</v>
      </c>
      <c r="F559" s="1" t="str">
        <f>IFERROR(__xludf.DUMMYFUNCTION("CONCATENATE(GOOGLETRANSLATE(C559, ""en"", ""ja""))"),"メンズ日本の幾何学模様のプリント パッチワーク クルーネック半袖 T シャツ")</f>
        <v>メンズ日本の幾何学模様のプリント パッチワーク クルーネック半袖 T シャツ</v>
      </c>
    </row>
    <row r="560" ht="15.75" customHeight="1">
      <c r="A560" s="1">
        <v>2033.0</v>
      </c>
      <c r="B560" s="1" t="s">
        <v>381</v>
      </c>
      <c r="C560" s="1" t="s">
        <v>545</v>
      </c>
      <c r="D560" s="1" t="str">
        <f>IFERROR(__xludf.DUMMYFUNCTION("CONCATENATE(GOOGLETRANSLATE(C560, ""en"", ""zh-cn""))
"),"男式日本猫几何印花圆领短袖 T 恤")</f>
        <v>男式日本猫几何印花圆领短袖 T 恤</v>
      </c>
      <c r="E560" s="1" t="str">
        <f>IFERROR(__xludf.DUMMYFUNCTION("CONCATENATE(GOOGLETRANSLATE(C560, ""en"", ""ko""))
"),"남성용 일본 고양이 기하학 프린트 크루넥 반팔 티셔츠")</f>
        <v>남성용 일본 고양이 기하학 프린트 크루넥 반팔 티셔츠</v>
      </c>
      <c r="F560" s="1" t="str">
        <f>IFERROR(__xludf.DUMMYFUNCTION("CONCATENATE(GOOGLETRANSLATE(C560, ""en"", ""ja""))"),"メンズ日本猫幾何学プリント クルーネック半袖 T シャツ")</f>
        <v>メンズ日本猫幾何学プリント クルーネック半袖 T シャツ</v>
      </c>
    </row>
    <row r="561" ht="15.75" customHeight="1">
      <c r="A561" s="1">
        <v>2034.0</v>
      </c>
      <c r="B561" s="1" t="s">
        <v>381</v>
      </c>
      <c r="C561" s="1" t="s">
        <v>546</v>
      </c>
      <c r="D561" s="1" t="str">
        <f>IFERROR(__xludf.DUMMYFUNCTION("CONCATENATE(GOOGLETRANSLATE(C561, ""en"", ""zh-cn""))
"),"男式彩色几何搞笑脸印花民族短袖 T 恤")</f>
        <v>男式彩色几何搞笑脸印花民族短袖 T 恤</v>
      </c>
      <c r="E561" s="1" t="str">
        <f>IFERROR(__xludf.DUMMYFUNCTION("CONCATENATE(GOOGLETRANSLATE(C561, ""en"", ""ko""))
"),"망 다채로운 기하학적 재미 있은 얼굴 인쇄 민족 짧은 소매 티셔츠")</f>
        <v>망 다채로운 기하학적 재미 있은 얼굴 인쇄 민족 짧은 소매 티셔츠</v>
      </c>
      <c r="F561" s="1" t="str">
        <f>IFERROR(__xludf.DUMMYFUNCTION("CONCATENATE(GOOGLETRANSLATE(C561, ""en"", ""ja""))"),"メンズカラフルな幾何学的な面白い顔プリントエスニック半袖 T シャツ")</f>
        <v>メンズカラフルな幾何学的な面白い顔プリントエスニック半袖 T シャツ</v>
      </c>
    </row>
    <row r="562" ht="15.75" customHeight="1">
      <c r="A562" s="1">
        <v>2035.0</v>
      </c>
      <c r="B562" s="1" t="s">
        <v>381</v>
      </c>
      <c r="C562" s="1" t="s">
        <v>547</v>
      </c>
      <c r="D562" s="1" t="str">
        <f>IFERROR(__xludf.DUMMYFUNCTION("CONCATENATE(GOOGLETRANSLATE(C562, ""en"", ""zh-cn""))
"),"男式几何图案丝带拼布短袖连帽 T 恤")</f>
        <v>男式几何图案丝带拼布短袖连帽 T 恤</v>
      </c>
      <c r="E562" s="1" t="str">
        <f>IFERROR(__xludf.DUMMYFUNCTION("CONCATENATE(GOOGLETRANSLATE(C562, ""en"", ""ko""))
"),"남성용 기하학 무늬 리본 패치워크 반팔 후드 티셔츠")</f>
        <v>남성용 기하학 무늬 리본 패치워크 반팔 후드 티셔츠</v>
      </c>
      <c r="F562" s="1" t="str">
        <f>IFERROR(__xludf.DUMMYFUNCTION("CONCATENATE(GOOGLETRANSLATE(C562, ""en"", ""ja""))"),"メンズ幾何学模様リボンパッチワーク半袖フード付き T シャツ")</f>
        <v>メンズ幾何学模様リボンパッチワーク半袖フード付き T シャツ</v>
      </c>
    </row>
    <row r="563" ht="15.75" customHeight="1">
      <c r="A563" s="1">
        <v>2036.0</v>
      </c>
      <c r="B563" s="1" t="s">
        <v>381</v>
      </c>
      <c r="C563" s="1" t="s">
        <v>548</v>
      </c>
      <c r="D563" s="1" t="str">
        <f>IFERROR(__xludf.DUMMYFUNCTION("CONCATENATE(GOOGLETRANSLATE(C563, ""en"", ""zh-cn""))
"),"男式撞色带盖圆领宽松短袖 T 恤")</f>
        <v>男式撞色带盖圆领宽松短袖 T 恤</v>
      </c>
      <c r="E563" s="1" t="str">
        <f>IFERROR(__xludf.DUMMYFUNCTION("CONCATENATE(GOOGLETRANSLATE(C563, ""en"", ""ko""))
"),"남성용 대비 플랩 포켓 크루넥 루즈한 반소매 티셔츠")</f>
        <v>남성용 대비 플랩 포켓 크루넥 루즈한 반소매 티셔츠</v>
      </c>
      <c r="F563" s="1" t="str">
        <f>IFERROR(__xludf.DUMMYFUNCTION("CONCATENATE(GOOGLETRANSLATE(C563, ""en"", ""ja""))"),"メンズ コントラスト フラップ ポケット クルーネック ルーズ 半袖 T シャツ")</f>
        <v>メンズ コントラスト フラップ ポケット クルーネック ルーズ 半袖 T シャツ</v>
      </c>
    </row>
    <row r="564" ht="15.75" customHeight="1">
      <c r="A564" s="1">
        <v>2037.0</v>
      </c>
      <c r="B564" s="1" t="s">
        <v>381</v>
      </c>
      <c r="C564" s="1" t="s">
        <v>549</v>
      </c>
      <c r="D564" s="1" t="str">
        <f>IFERROR(__xludf.DUMMYFUNCTION("CONCATENATE(GOOGLETRANSLATE(C564, ""en"", ""zh-cn""))
"),"男式字母刺绣撞色拼接短袖 T 恤")</f>
        <v>男式字母刺绣撞色拼接短袖 T 恤</v>
      </c>
      <c r="E564" s="1" t="str">
        <f>IFERROR(__xludf.DUMMYFUNCTION("CONCATENATE(GOOGLETRANSLATE(C564, ""en"", ""ko""))
"),"남성용 문자 자수 대비 트림 스티치 반소매 티셔츠")</f>
        <v>남성용 문자 자수 대비 트림 스티치 반소매 티셔츠</v>
      </c>
      <c r="F564" s="1" t="str">
        <f>IFERROR(__xludf.DUMMYFUNCTION("CONCATENATE(GOOGLETRANSLATE(C564, ""en"", ""ja""))"),"メンズレター刺繍コントラストトリムステッチ半袖Tシャツ")</f>
        <v>メンズレター刺繍コントラストトリムステッチ半袖Tシャツ</v>
      </c>
    </row>
    <row r="565" ht="15.75" customHeight="1">
      <c r="A565" s="1">
        <v>2038.0</v>
      </c>
      <c r="B565" s="1" t="s">
        <v>381</v>
      </c>
      <c r="C565" s="1" t="s">
        <v>550</v>
      </c>
      <c r="D565" s="1" t="str">
        <f>IFERROR(__xludf.DUMMYFUNCTION("CONCATENATE(GOOGLETRANSLATE(C565, ""en"", ""zh-cn""))
"),"男士字母图案圆领休闲短袖 T 恤")</f>
        <v>男士字母图案圆领休闲短袖 T 恤</v>
      </c>
      <c r="E565" s="1" t="str">
        <f>IFERROR(__xludf.DUMMYFUNCTION("CONCATENATE(GOOGLETRANSLATE(C565, ""en"", ""ko""))
"),"남성용 레터 그래픽 크루넥 캐주얼 반소매 티셔츠")</f>
        <v>남성용 레터 그래픽 크루넥 캐주얼 반소매 티셔츠</v>
      </c>
      <c r="F565" s="1" t="str">
        <f>IFERROR(__xludf.DUMMYFUNCTION("CONCATENATE(GOOGLETRANSLATE(C565, ""en"", ""ja""))"),"メンズレターグラフィッククルーネックカジュアル半袖Tシャツ")</f>
        <v>メンズレターグラフィッククルーネックカジュアル半袖Tシャツ</v>
      </c>
    </row>
    <row r="566" ht="15.75" customHeight="1">
      <c r="A566" s="1">
        <v>2039.0</v>
      </c>
      <c r="B566" s="1" t="s">
        <v>381</v>
      </c>
      <c r="C566" s="1" t="s">
        <v>551</v>
      </c>
      <c r="D566" s="1" t="str">
        <f>IFERROR(__xludf.DUMMYFUNCTION("CONCATENATE(GOOGLETRANSLATE(C566, ""en"", ""zh-cn""))
"),"男式民族拼布短袖连帽抽绳 T 恤")</f>
        <v>男式民族拼布短袖连帽抽绳 T 恤</v>
      </c>
      <c r="E566" s="1" t="str">
        <f>IFERROR(__xludf.DUMMYFUNCTION("CONCATENATE(GOOGLETRANSLATE(C566, ""en"", ""ko""))
"),"남성용 에스닉 패치워크 반소매 후드 드로스트링 티셔츠")</f>
        <v>남성용 에스닉 패치워크 반소매 후드 드로스트링 티셔츠</v>
      </c>
      <c r="F566" s="1" t="str">
        <f>IFERROR(__xludf.DUMMYFUNCTION("CONCATENATE(GOOGLETRANSLATE(C566, ""en"", ""ja""))"),"メンズエスニックパッチワーク半袖フード付き巾着Tシャツ")</f>
        <v>メンズエスニックパッチワーク半袖フード付き巾着Tシャツ</v>
      </c>
    </row>
    <row r="567" ht="15.75" customHeight="1">
      <c r="A567" s="1">
        <v>2040.0</v>
      </c>
      <c r="B567" s="1" t="s">
        <v>381</v>
      </c>
      <c r="C567" s="1" t="s">
        <v>552</v>
      </c>
      <c r="D567" s="1" t="str">
        <f>IFERROR(__xludf.DUMMYFUNCTION("CONCATENATE(GOOGLETRANSLATE(C567, ""en"", ""zh-cn""))
"),"男式民族几何图案拼接纹理短袖街头服饰 T 恤")</f>
        <v>男式民族几何图案拼接纹理短袖街头服饰 T 恤</v>
      </c>
      <c r="E567" s="1" t="str">
        <f>IFERROR(__xludf.DUMMYFUNCTION("CONCATENATE(GOOGLETRANSLATE(C567, ""en"", ""ko""))
"),"남성용 에스닉 기하학적 패턴 스티치 텍스처 반소매 스트리트웨어 티셔츠")</f>
        <v>남성용 에스닉 기하학적 패턴 스티치 텍스처 반소매 스트리트웨어 티셔츠</v>
      </c>
      <c r="F567" s="1" t="str">
        <f>IFERROR(__xludf.DUMMYFUNCTION("CONCATENATE(GOOGLETRANSLATE(C567, ""en"", ""ja""))"),"メンズエスニック幾何学模様ステッチテクスチャ半袖ストリート Tシャツ")</f>
        <v>メンズエスニック幾何学模様ステッチテクスチャ半袖ストリート Tシャツ</v>
      </c>
    </row>
    <row r="568" ht="15.75" customHeight="1">
      <c r="A568" s="1">
        <v>2041.0</v>
      </c>
      <c r="B568" s="1" t="s">
        <v>381</v>
      </c>
      <c r="C568" s="1" t="s">
        <v>553</v>
      </c>
      <c r="D568" s="1" t="str">
        <f>IFERROR(__xludf.DUMMYFUNCTION("CONCATENATE(GOOGLETRANSLATE(C568, ""en"", ""zh-cn""))
"),"男式部落几何图案拼布纹理短袖 T 恤")</f>
        <v>男式部落几何图案拼布纹理短袖 T 恤</v>
      </c>
      <c r="E568" s="1" t="str">
        <f>IFERROR(__xludf.DUMMYFUNCTION("CONCATENATE(GOOGLETRANSLATE(C568, ""en"", ""ko""))
"),"남성용 부족 기하학적 패턴 패치워크 질감 반팔 티셔츠")</f>
        <v>남성용 부족 기하학적 패턴 패치워크 질감 반팔 티셔츠</v>
      </c>
      <c r="F568" s="1" t="str">
        <f>IFERROR(__xludf.DUMMYFUNCTION("CONCATENATE(GOOGLETRANSLATE(C568, ""en"", ""ja""))"),"メンズトライバル幾何学模様パッチワークテクスチャー半袖Tシャツ")</f>
        <v>メンズトライバル幾何学模様パッチワークテクスチャー半袖Tシャツ</v>
      </c>
    </row>
    <row r="569" ht="15.75" customHeight="1">
      <c r="A569" s="1">
        <v>2042.0</v>
      </c>
      <c r="B569" s="1" t="s">
        <v>381</v>
      </c>
      <c r="C569" s="1" t="s">
        <v>554</v>
      </c>
      <c r="D569" s="1" t="str">
        <f>IFERROR(__xludf.DUMMYFUNCTION("CONCATENATE(GOOGLETRANSLATE(C569, ""en"", ""zh-cn""))
"),"男式彩色几何印花胸袋民族短袖 T 恤")</f>
        <v>男式彩色几何印花胸袋民族短袖 T 恤</v>
      </c>
      <c r="E569" s="1" t="str">
        <f>IFERROR(__xludf.DUMMYFUNCTION("CONCATENATE(GOOGLETRANSLATE(C569, ""en"", ""ko""))
"),"남성용 컬러풀 기하학 프린트 가슴 주머니 에스닉 반소매 티셔츠")</f>
        <v>남성용 컬러풀 기하학 프린트 가슴 주머니 에스닉 반소매 티셔츠</v>
      </c>
      <c r="F569" s="1" t="str">
        <f>IFERROR(__xludf.DUMMYFUNCTION("CONCATENATE(GOOGLETRANSLATE(C569, ""en"", ""ja""))"),"メンズ カラフルな幾何学模様のプリント胸ポケット エスニック半袖 T シャツ")</f>
        <v>メンズ カラフルな幾何学模様のプリント胸ポケット エスニック半袖 T シャツ</v>
      </c>
    </row>
    <row r="570" ht="15.75" customHeight="1">
      <c r="A570" s="1">
        <v>2043.0</v>
      </c>
      <c r="B570" s="1" t="s">
        <v>381</v>
      </c>
      <c r="C570" s="1" t="s">
        <v>555</v>
      </c>
      <c r="D570" s="1" t="str">
        <f>IFERROR(__xludf.DUMMYFUNCTION("CONCATENATE(GOOGLETRANSLATE(C570, ""en"", ""zh-cn""))
"),"男式复古几何印花拼布圆领短袖 T 恤")</f>
        <v>男式复古几何印花拼布圆领短袖 T 恤</v>
      </c>
      <c r="E570" s="1" t="str">
        <f>IFERROR(__xludf.DUMMYFUNCTION("CONCATENATE(GOOGLETRANSLATE(C570, ""en"", ""ko""))
"),"남성 빈티지 기하학적 프린트 패치워크 크루넥 반소매 티셔츠")</f>
        <v>남성 빈티지 기하학적 프린트 패치워크 크루넥 반소매 티셔츠</v>
      </c>
      <c r="F570" s="1" t="str">
        <f>IFERROR(__xludf.DUMMYFUNCTION("CONCATENATE(GOOGLETRANSLATE(C570, ""en"", ""ja""))"),"メンズ ヴィンテージ 幾何学模様 プリント パッチワーク クルーネック 半袖 T シャツ")</f>
        <v>メンズ ヴィンテージ 幾何学模様 プリント パッチワーク クルーネック 半袖 T シャツ</v>
      </c>
    </row>
    <row r="571" ht="15.75" customHeight="1">
      <c r="A571" s="1">
        <v>2044.0</v>
      </c>
      <c r="B571" s="1" t="s">
        <v>381</v>
      </c>
      <c r="C571" s="1" t="s">
        <v>556</v>
      </c>
      <c r="D571" s="1" t="str">
        <f>IFERROR(__xludf.DUMMYFUNCTION("CONCATENATE(GOOGLETRANSLATE(C571, ""en"", ""zh-cn""))
"),"男士民族图案胸袋圆领短袖 T 恤")</f>
        <v>男士民族图案胸袋圆领短袖 T 恤</v>
      </c>
      <c r="E571" s="1" t="str">
        <f>IFERROR(__xludf.DUMMYFUNCTION("CONCATENATE(GOOGLETRANSLATE(C571, ""en"", ""ko""))
"),"남성용 에스닉 패턴 가슴 포켓 크루넥 반팔 티셔츠")</f>
        <v>남성용 에스닉 패턴 가슴 포켓 크루넥 반팔 티셔츠</v>
      </c>
      <c r="F571" s="1" t="str">
        <f>IFERROR(__xludf.DUMMYFUNCTION("CONCATENATE(GOOGLETRANSLATE(C571, ""en"", ""ja""))"),"メンズエスニック柄胸ポケットクルーネック半袖Tシャツ")</f>
        <v>メンズエスニック柄胸ポケットクルーネック半袖Tシャツ</v>
      </c>
    </row>
    <row r="572" ht="15.75" customHeight="1">
      <c r="A572" s="1">
        <v>2045.0</v>
      </c>
      <c r="B572" s="1" t="s">
        <v>381</v>
      </c>
      <c r="C572" s="1" t="s">
        <v>557</v>
      </c>
      <c r="D572" s="1" t="str">
        <f>IFERROR(__xludf.DUMMYFUNCTION("CONCATENATE(GOOGLETRANSLATE(C572, ""en"", ""zh-cn""))
"),"男式纯色纽扣领口有盖口袋棉质长袖 T 恤")</f>
        <v>男式纯色纽扣领口有盖口袋棉质长袖 T 恤</v>
      </c>
      <c r="E572" s="1" t="str">
        <f>IFERROR(__xludf.DUMMYFUNCTION("CONCATENATE(GOOGLETRANSLATE(C572, ""en"", ""ko""))
"),"남성 솔리드 컬러 버튼 넥 플랩 포켓 코튼 긴소매 티셔츠")</f>
        <v>남성 솔리드 컬러 버튼 넥 플랩 포켓 코튼 긴소매 티셔츠</v>
      </c>
      <c r="F572" s="1" t="str">
        <f>IFERROR(__xludf.DUMMYFUNCTION("CONCATENATE(GOOGLETRANSLATE(C572, ""en"", ""ja""))"),"メンズソリッドカラーボタンネックフラップポケットコットン長袖Tシャツ")</f>
        <v>メンズソリッドカラーボタンネックフラップポケットコットン長袖Tシャツ</v>
      </c>
    </row>
    <row r="573" ht="15.75" customHeight="1">
      <c r="A573" s="1">
        <v>2046.0</v>
      </c>
      <c r="B573" s="1" t="s">
        <v>381</v>
      </c>
      <c r="C573" s="1" t="s">
        <v>558</v>
      </c>
      <c r="D573" s="1" t="str">
        <f>IFERROR(__xludf.DUMMYFUNCTION("CONCATENATE(GOOGLETRANSLATE(C573, ""en"", ""zh-cn""))
"),"男式纯色半拉链卷起袖棉质连帽 T 恤")</f>
        <v>男式纯色半拉链卷起袖棉质连帽 T 恤</v>
      </c>
      <c r="E573" s="1" t="str">
        <f>IFERROR(__xludf.DUMMYFUNCTION("CONCATENATE(GOOGLETRANSLATE(C573, ""en"", ""ko""))
"),"남성용 솔리드 하프 지퍼 롤업 슬리브 코튼 후드 티셔츠")</f>
        <v>남성용 솔리드 하프 지퍼 롤업 슬리브 코튼 후드 티셔츠</v>
      </c>
      <c r="F573" s="1" t="str">
        <f>IFERROR(__xludf.DUMMYFUNCTION("CONCATENATE(GOOGLETRANSLATE(C573, ""en"", ""ja""))"),"メンズソリッドハーフジップロールアップスリーブコットンフード付きTシャツ")</f>
        <v>メンズソリッドハーフジップロールアップスリーブコットンフード付きTシャツ</v>
      </c>
    </row>
    <row r="574" ht="15.75" customHeight="1">
      <c r="A574" s="1">
        <v>2047.0</v>
      </c>
      <c r="B574" s="1" t="s">
        <v>381</v>
      </c>
      <c r="C574" s="1" t="s">
        <v>559</v>
      </c>
      <c r="D574" s="1" t="str">
        <f>IFERROR(__xludf.DUMMYFUNCTION("CONCATENATE(GOOGLETRANSLATE(C574, ""en"", ""zh-cn""))
"),"男士纯色绷带 V 领棉质长袖 T 恤")</f>
        <v>男士纯色绷带 V 领棉质长袖 T 恤</v>
      </c>
      <c r="E574" s="1" t="str">
        <f>IFERROR(__xludf.DUMMYFUNCTION("CONCATENATE(GOOGLETRANSLATE(C574, ""en"", ""ko""))
"),"남성 솔리드 컬러 붕대 V 넥 코튼 긴 소매 티셔츠")</f>
        <v>남성 솔리드 컬러 붕대 V 넥 코튼 긴 소매 티셔츠</v>
      </c>
      <c r="F574" s="1" t="str">
        <f>IFERROR(__xludf.DUMMYFUNCTION("CONCATENATE(GOOGLETRANSLATE(C574, ""en"", ""ja""))"),"メンズソリッドカラー包帯Vネックコットン長袖Tシャツ")</f>
        <v>メンズソリッドカラー包帯Vネックコットン長袖Tシャツ</v>
      </c>
    </row>
    <row r="575" ht="15.75" customHeight="1">
      <c r="A575" s="1">
        <v>2048.0</v>
      </c>
      <c r="B575" s="1" t="s">
        <v>381</v>
      </c>
      <c r="C575" s="1" t="s">
        <v>560</v>
      </c>
      <c r="D575" s="1" t="str">
        <f>IFERROR(__xludf.DUMMYFUNCTION("CONCATENATE(GOOGLETRANSLATE(C575, ""en"", ""zh-cn""))
"),"男士复古几何图案短袖针织连帽 T 恤")</f>
        <v>男士复古几何图案短袖针织连帽 T 恤</v>
      </c>
      <c r="E575" s="1" t="str">
        <f>IFERROR(__xludf.DUMMYFUNCTION("CONCATENATE(GOOGLETRANSLATE(C575, ""en"", ""ko""))
"),"남성 빈티지 기하학적 패턴 반소매 니트 후드 티셔츠")</f>
        <v>남성 빈티지 기하학적 패턴 반소매 니트 후드 티셔츠</v>
      </c>
      <c r="F575" s="1" t="str">
        <f>IFERROR(__xludf.DUMMYFUNCTION("CONCATENATE(GOOGLETRANSLATE(C575, ""en"", ""ja""))"),"メンズヴィンテージ幾何学模様半袖ニットフード付きTシャツ")</f>
        <v>メンズヴィンテージ幾何学模様半袖ニットフード付きTシャツ</v>
      </c>
    </row>
    <row r="576" ht="15.75" customHeight="1">
      <c r="A576" s="1">
        <v>2049.0</v>
      </c>
      <c r="B576" s="1" t="s">
        <v>381</v>
      </c>
      <c r="C576" s="1" t="s">
        <v>561</v>
      </c>
      <c r="D576" s="1" t="str">
        <f>IFERROR(__xludf.DUMMYFUNCTION("CONCATENATE(GOOGLETRANSLATE(C576, ""en"", ""zh-cn""))
"),"男式热带植物印花带盖口袋度假短袖 T 恤")</f>
        <v>男式热带植物印花带盖口袋度假短袖 T 恤</v>
      </c>
      <c r="E576" s="1" t="str">
        <f>IFERROR(__xludf.DUMMYFUNCTION("CONCATENATE(GOOGLETRANSLATE(C576, ""en"", ""ko""))
"),"남성용 열대 식물 프린트 플랩 포켓 홀리데이 반소매 티셔츠")</f>
        <v>남성용 열대 식물 프린트 플랩 포켓 홀리데이 반소매 티셔츠</v>
      </c>
      <c r="F576" s="1" t="str">
        <f>IFERROR(__xludf.DUMMYFUNCTION("CONCATENATE(GOOGLETRANSLATE(C576, ""en"", ""ja""))"),"メンズ熱帯植物プリント フラップ ポケット ホリデー半袖 T シャツ")</f>
        <v>メンズ熱帯植物プリント フラップ ポケット ホリデー半袖 T シャツ</v>
      </c>
    </row>
    <row r="577" ht="15.75" customHeight="1">
      <c r="A577" s="1">
        <v>2050.0</v>
      </c>
      <c r="B577" s="1" t="s">
        <v>381</v>
      </c>
      <c r="C577" s="1" t="s">
        <v>562</v>
      </c>
      <c r="D577" s="1" t="str">
        <f>IFERROR(__xludf.DUMMYFUNCTION("CONCATENATE(GOOGLETRANSLATE(C577, ""en"", ""zh-cn""))
"),"男式条纹拼布有盖口袋休闲短袖 T 恤")</f>
        <v>男式条纹拼布有盖口袋休闲短袖 T 恤</v>
      </c>
      <c r="E577" s="1" t="str">
        <f>IFERROR(__xludf.DUMMYFUNCTION("CONCATENATE(GOOGLETRANSLATE(C577, ""en"", ""ko""))
"),"남성 스트라이프 패치워크 플랩 포켓 캐주얼 반소매 티셔츠")</f>
        <v>남성 스트라이프 패치워크 플랩 포켓 캐주얼 반소매 티셔츠</v>
      </c>
      <c r="F577" s="1" t="str">
        <f>IFERROR(__xludf.DUMMYFUNCTION("CONCATENATE(GOOGLETRANSLATE(C577, ""en"", ""ja""))"),"メンズストライプパッチワークフラップポケットカジュアル半袖Tシャツ")</f>
        <v>メンズストライプパッチワークフラップポケットカジュアル半袖Tシャツ</v>
      </c>
    </row>
    <row r="578" ht="15.75" customHeight="1">
      <c r="A578" s="1">
        <v>2051.0</v>
      </c>
      <c r="B578" s="1" t="s">
        <v>381</v>
      </c>
      <c r="C578" s="1" t="s">
        <v>563</v>
      </c>
      <c r="D578" s="1" t="str">
        <f>IFERROR(__xludf.DUMMYFUNCTION("CONCATENATE(GOOGLETRANSLATE(C578, ""en"", ""zh-cn""))
"),"男式民族几何口袋针织弧形下摆短袖 T 恤")</f>
        <v>男式民族几何口袋针织弧形下摆短袖 T 恤</v>
      </c>
      <c r="E578" s="1" t="str">
        <f>IFERROR(__xludf.DUMMYFUNCTION("CONCATENATE(GOOGLETRANSLATE(C578, ""en"", ""ko""))
"),"남성용 에스닉 기하학 포켓 니트 곡선 밑단 반팔 티셔츠")</f>
        <v>남성용 에스닉 기하학 포켓 니트 곡선 밑단 반팔 티셔츠</v>
      </c>
      <c r="F578" s="1" t="str">
        <f>IFERROR(__xludf.DUMMYFUNCTION("CONCATENATE(GOOGLETRANSLATE(C578, ""en"", ""ja""))"),"メンズエスニック幾何学ポケットニットカーブヘム半袖Tシャツ")</f>
        <v>メンズエスニック幾何学ポケットニットカーブヘム半袖Tシャツ</v>
      </c>
    </row>
    <row r="579" ht="15.75" customHeight="1">
      <c r="A579" s="1">
        <v>2052.0</v>
      </c>
      <c r="B579" s="1" t="s">
        <v>381</v>
      </c>
      <c r="C579" s="1" t="s">
        <v>564</v>
      </c>
      <c r="D579" s="1" t="str">
        <f>IFERROR(__xludf.DUMMYFUNCTION("CONCATENATE(GOOGLETRANSLATE(C579, ""en"", ""zh-cn""))
"),"男式笑脸佩斯利印花拼接纹理短袖 T 恤")</f>
        <v>男式笑脸佩斯利印花拼接纹理短袖 T 恤</v>
      </c>
      <c r="E579" s="1" t="str">
        <f>IFERROR(__xludf.DUMMYFUNCTION("CONCATENATE(GOOGLETRANSLATE(C579, ""en"", ""ko""))
"),"남성용 스마일 페이스 페이즐리 프린트 스티치 텍스처 반소매 티셔츠")</f>
        <v>남성용 스마일 페이스 페이즐리 프린트 스티치 텍스처 반소매 티셔츠</v>
      </c>
      <c r="F579" s="1" t="str">
        <f>IFERROR(__xludf.DUMMYFUNCTION("CONCATENATE(GOOGLETRANSLATE(C579, ""en"", ""ja""))"),"メンズ スマイル フェイス ペイズリー プリント ステッチ テクスチャー 半袖 T シャツ")</f>
        <v>メンズ スマイル フェイス ペイズリー プリント ステッチ テクスチャー 半袖 T シャツ</v>
      </c>
    </row>
    <row r="580" ht="15.75" customHeight="1">
      <c r="A580" s="1">
        <v>2053.0</v>
      </c>
      <c r="B580" s="1" t="s">
        <v>381</v>
      </c>
      <c r="C580" s="1" t="s">
        <v>565</v>
      </c>
      <c r="D580" s="1" t="str">
        <f>IFERROR(__xludf.DUMMYFUNCTION("CONCATENATE(GOOGLETRANSLATE(C580, ""en"", ""zh-cn""))
"),"男式中国竹熊猫印花口袋短袖 T 恤")</f>
        <v>男式中国竹熊猫印花口袋短袖 T 恤</v>
      </c>
      <c r="E580" s="1" t="str">
        <f>IFERROR(__xludf.DUMMYFUNCTION("CONCATENATE(GOOGLETRANSLATE(C580, ""en"", ""ko""))
"),"남성용 중국 대나무 팬더 프린트 포켓 반팔 티셔츠")</f>
        <v>남성용 중국 대나무 팬더 프린트 포켓 반팔 티셔츠</v>
      </c>
      <c r="F580" s="1" t="str">
        <f>IFERROR(__xludf.DUMMYFUNCTION("CONCATENATE(GOOGLETRANSLATE(C580, ""en"", ""ja""))"),"メンズ中国竹パンダプリントポケット半袖 T シャツ")</f>
        <v>メンズ中国竹パンダプリントポケット半袖 T シャツ</v>
      </c>
    </row>
    <row r="581" ht="15.75" customHeight="1">
      <c r="A581" s="1">
        <v>2054.0</v>
      </c>
      <c r="B581" s="1" t="s">
        <v>381</v>
      </c>
      <c r="C581" s="1" t="s">
        <v>566</v>
      </c>
      <c r="D581" s="1" t="str">
        <f>IFERROR(__xludf.DUMMYFUNCTION("CONCATENATE(GOOGLETRANSLATE(C581, ""en"", ""zh-cn""))
"),"男士中国山水水墨圆领短袖 T 恤")</f>
        <v>男士中国山水水墨圆领短袖 T 恤</v>
      </c>
      <c r="E581" s="1" t="str">
        <f>IFERROR(__xludf.DUMMYFUNCTION("CONCATENATE(GOOGLETRANSLATE(C581, ""en"", ""ko""))
"),"남성용 중국 풍경 수묵화 크루넥 반팔 티셔츠")</f>
        <v>남성용 중국 풍경 수묵화 크루넥 반팔 티셔츠</v>
      </c>
      <c r="F581" s="1" t="str">
        <f>IFERROR(__xludf.DUMMYFUNCTION("CONCATENATE(GOOGLETRANSLATE(C581, ""en"", ""ja""))"),"メンズ中国風景水墨画クルーネック半袖 T シャツ")</f>
        <v>メンズ中国風景水墨画クルーネック半袖 T シャツ</v>
      </c>
    </row>
    <row r="582" ht="15.75" customHeight="1">
      <c r="A582" s="1">
        <v>2055.0</v>
      </c>
      <c r="B582" s="1" t="s">
        <v>381</v>
      </c>
      <c r="C582" s="1" t="s">
        <v>567</v>
      </c>
      <c r="D582" s="1" t="str">
        <f>IFERROR(__xludf.DUMMYFUNCTION("CONCATENATE(GOOGLETRANSLATE(C582, ""en"", ""zh-cn""))
"),"男式梅花印花系带领短袖 T 恤")</f>
        <v>男式梅花印花系带领短袖 T 恤</v>
      </c>
      <c r="E582" s="1" t="str">
        <f>IFERROR(__xludf.DUMMYFUNCTION("CONCATENATE(GOOGLETRANSLATE(C582, ""en"", ""ko""))
"),"남성용 중국 매화 보솜 프린트 레이스 업 넥 반팔 티셔츠")</f>
        <v>남성용 중국 매화 보솜 프린트 레이스 업 넥 반팔 티셔츠</v>
      </c>
      <c r="F582" s="1" t="str">
        <f>IFERROR(__xludf.DUMMYFUNCTION("CONCATENATE(GOOGLETRANSLATE(C582, ""en"", ""ja""))"),"メンズチャイニーズプラムボッサムプリントレースアップネック半袖Tシャツ")</f>
        <v>メンズチャイニーズプラムボッサムプリントレースアップネック半袖Tシャツ</v>
      </c>
    </row>
    <row r="583" ht="15.75" customHeight="1">
      <c r="A583" s="1">
        <v>2056.0</v>
      </c>
      <c r="B583" s="1" t="s">
        <v>381</v>
      </c>
      <c r="C583" s="1" t="s">
        <v>568</v>
      </c>
      <c r="D583" s="1" t="str">
        <f>IFERROR(__xludf.DUMMYFUNCTION("CONCATENATE(GOOGLETRANSLATE(C583, ""en"", ""zh-cn""))
"),"男式民族花卉印花圆领针织短袖 T 恤")</f>
        <v>男式民族花卉印花圆领针织短袖 T 恤</v>
      </c>
      <c r="E583" s="1" t="str">
        <f>IFERROR(__xludf.DUMMYFUNCTION("CONCATENATE(GOOGLETRANSLATE(C583, ""en"", ""ko""))
"),"남성용 에스닉 꽃무늬 크루넥 니트 반소매 티셔츠")</f>
        <v>남성용 에스닉 꽃무늬 크루넥 니트 반소매 티셔츠</v>
      </c>
      <c r="F583" s="1" t="str">
        <f>IFERROR(__xludf.DUMMYFUNCTION("CONCATENATE(GOOGLETRANSLATE(C583, ""en"", ""ja""))"),"メンズ エスニック フローラル プリント クルーネック ニット 半袖 T シャツ")</f>
        <v>メンズ エスニック フローラル プリント クルーネック ニット 半袖 T シャツ</v>
      </c>
    </row>
    <row r="584" ht="15.75" customHeight="1">
      <c r="A584" s="1">
        <v>2057.0</v>
      </c>
      <c r="B584" s="1" t="s">
        <v>381</v>
      </c>
      <c r="C584" s="1" t="s">
        <v>569</v>
      </c>
      <c r="D584" s="1" t="str">
        <f>IFERROR(__xludf.DUMMYFUNCTION("CONCATENATE(GOOGLETRANSLATE(C584, ""en"", ""zh-cn""))
"),"男式日本佩斯利印花拼布圆领短袖 T 恤")</f>
        <v>男式日本佩斯利印花拼布圆领短袖 T 恤</v>
      </c>
      <c r="E584" s="1" t="str">
        <f>IFERROR(__xludf.DUMMYFUNCTION("CONCATENATE(GOOGLETRANSLATE(C584, ""en"", ""ko""))
"),"남성 일본식 페이즐리 프린트 패치워크 크루넥 반소매 티셔츠")</f>
        <v>남성 일본식 페이즐리 프린트 패치워크 크루넥 반소매 티셔츠</v>
      </c>
      <c r="F584" s="1" t="str">
        <f>IFERROR(__xludf.DUMMYFUNCTION("CONCATENATE(GOOGLETRANSLATE(C584, ""en"", ""ja""))"),"メンズ日本製ペイズリープリントパッチワーククルーネック半袖Tシャツ")</f>
        <v>メンズ日本製ペイズリープリントパッチワーククルーネック半袖Tシャツ</v>
      </c>
    </row>
    <row r="585" ht="15.75" customHeight="1">
      <c r="A585" s="1">
        <v>2058.0</v>
      </c>
      <c r="B585" s="1" t="s">
        <v>381</v>
      </c>
      <c r="C585" s="1" t="s">
        <v>570</v>
      </c>
      <c r="D585" s="1" t="str">
        <f>IFERROR(__xludf.DUMMYFUNCTION("CONCATENATE(GOOGLETRANSLATE(C585, ""en"", ""zh-cn""))
"),"男式日本复古印花拼布圆领短袖 T 恤")</f>
        <v>男式日本复古印花拼布圆领短袖 T 恤</v>
      </c>
      <c r="E585" s="1" t="str">
        <f>IFERROR(__xludf.DUMMYFUNCTION("CONCATENATE(GOOGLETRANSLATE(C585, ""en"", ""ko""))
"),"남성용 일본식 빈티지 프린트 패치워크 크루넥 반소매 티셔츠")</f>
        <v>남성용 일본식 빈티지 프린트 패치워크 크루넥 반소매 티셔츠</v>
      </c>
      <c r="F585" s="1" t="str">
        <f>IFERROR(__xludf.DUMMYFUNCTION("CONCATENATE(GOOGLETRANSLATE(C585, ""en"", ""ja""))"),"メンズ日本のヴィンテージプリントパッチワーククルーネック半袖Tシャツ")</f>
        <v>メンズ日本のヴィンテージプリントパッチワーククルーネック半袖Tシャツ</v>
      </c>
    </row>
    <row r="586" ht="15.75" customHeight="1">
      <c r="A586" s="1">
        <v>2059.0</v>
      </c>
      <c r="B586" s="1" t="s">
        <v>381</v>
      </c>
      <c r="C586" s="1" t="s">
        <v>571</v>
      </c>
      <c r="D586" s="1" t="str">
        <f>IFERROR(__xludf.DUMMYFUNCTION("CONCATENATE(GOOGLETRANSLATE(C586, ""en"", ""zh-cn""))
"),"男式民族图腾玫瑰日本印花拼布短袖 T 恤")</f>
        <v>男式民族图腾玫瑰日本印花拼布短袖 T 恤</v>
      </c>
      <c r="E586" s="1" t="str">
        <f>IFERROR(__xludf.DUMMYFUNCTION("CONCATENATE(GOOGLETRANSLATE(C586, ""en"", ""ko""))
"),"남성용 에스닉 토템 로즈 일본식 프린트 패치워크 반소매 티셔츠")</f>
        <v>남성용 에스닉 토템 로즈 일본식 프린트 패치워크 반소매 티셔츠</v>
      </c>
      <c r="F586" s="1" t="str">
        <f>IFERROR(__xludf.DUMMYFUNCTION("CONCATENATE(GOOGLETRANSLATE(C586, ""en"", ""ja""))"),"メンズ エスニック トーテム ローズ 日本のプリント パッチワーク 半袖 T シャツ")</f>
        <v>メンズ エスニック トーテム ローズ 日本のプリント パッチワーク 半袖 T シャツ</v>
      </c>
    </row>
    <row r="587" ht="15.75" customHeight="1">
      <c r="A587" s="1">
        <v>2060.0</v>
      </c>
      <c r="B587" s="1" t="s">
        <v>381</v>
      </c>
      <c r="C587" s="1" t="s">
        <v>572</v>
      </c>
      <c r="D587" s="1" t="str">
        <f>IFERROR(__xludf.DUMMYFUNCTION("CONCATENATE(GOOGLETRANSLATE(C587, ""en"", ""zh-cn""))
"),"男式复古民族图案拼布圆领短袖 T 恤")</f>
        <v>男式复古民族图案拼布圆领短袖 T 恤</v>
      </c>
      <c r="E587" s="1" t="str">
        <f>IFERROR(__xludf.DUMMYFUNCTION("CONCATENATE(GOOGLETRANSLATE(C587, ""en"", ""ko""))
"),"남성 빈티지 에스닉 패턴 패치워크 크루넥 반팔 티셔츠")</f>
        <v>남성 빈티지 에스닉 패턴 패치워크 크루넥 반팔 티셔츠</v>
      </c>
      <c r="F587" s="1" t="str">
        <f>IFERROR(__xludf.DUMMYFUNCTION("CONCATENATE(GOOGLETRANSLATE(C587, ""en"", ""ja""))"),"メンズ ヴィンテージ エスニック パターン パッチワーク クルーネック 半袖 T シャツ")</f>
        <v>メンズ ヴィンテージ エスニック パターン パッチワーク クルーネック 半袖 T シャツ</v>
      </c>
    </row>
    <row r="588" ht="15.75" customHeight="1">
      <c r="A588" s="1">
        <v>2061.0</v>
      </c>
      <c r="B588" s="1" t="s">
        <v>381</v>
      </c>
      <c r="C588" s="1" t="s">
        <v>573</v>
      </c>
      <c r="D588" s="1" t="str">
        <f>IFERROR(__xludf.DUMMYFUNCTION("CONCATENATE(GOOGLETRANSLATE(C588, ""en"", ""zh-cn""))
"),"男士几何条纹印花拼布民族短袖 T 恤")</f>
        <v>男士几何条纹印花拼布民族短袖 T 恤</v>
      </c>
      <c r="E588" s="1" t="str">
        <f>IFERROR(__xludf.DUMMYFUNCTION("CONCATENATE(GOOGLETRANSLATE(C588, ""en"", ""ko""))
"),"남성용 기하학 스트라이프 프린트 패치워크 에스닉 반소매 티셔츠")</f>
        <v>남성용 기하학 스트라이프 프린트 패치워크 에스닉 반소매 티셔츠</v>
      </c>
      <c r="F588" s="1" t="str">
        <f>IFERROR(__xludf.DUMMYFUNCTION("CONCATENATE(GOOGLETRANSLATE(C588, ""en"", ""ja""))"),"メンズ幾何ストライププリントパッチワークエスニック半袖Tシャツ")</f>
        <v>メンズ幾何ストライププリントパッチワークエスニック半袖Tシャツ</v>
      </c>
    </row>
    <row r="589" ht="15.75" customHeight="1">
      <c r="A589" s="1">
        <v>2062.0</v>
      </c>
      <c r="B589" s="1" t="s">
        <v>381</v>
      </c>
      <c r="C589" s="1" t="s">
        <v>574</v>
      </c>
      <c r="D589" s="1" t="str">
        <f>IFERROR(__xludf.DUMMYFUNCTION("CONCATENATE(GOOGLETRANSLATE(C589, ""en"", ""zh-cn""))
"),"男式笑脸几何印花拼布针织短袖 T 恤")</f>
        <v>男式笑脸几何印花拼布针织短袖 T 恤</v>
      </c>
      <c r="E589" s="1" t="str">
        <f>IFERROR(__xludf.DUMMYFUNCTION("CONCATENATE(GOOGLETRANSLATE(C589, ""en"", ""ko""))
"),"남성용 스마일 페이스 기하학 프린트 패치워크 니트 반소매 티셔츠")</f>
        <v>남성용 스마일 페이스 기하학 프린트 패치워크 니트 반소매 티셔츠</v>
      </c>
      <c r="F589" s="1" t="str">
        <f>IFERROR(__xludf.DUMMYFUNCTION("CONCATENATE(GOOGLETRANSLATE(C589, ""en"", ""ja""))"),"メンズスマイルフェイス幾何学プリントパッチワークニット半袖Tシャツ")</f>
        <v>メンズスマイルフェイス幾何学プリントパッチワークニット半袖Tシャツ</v>
      </c>
    </row>
    <row r="590" ht="15.75" customHeight="1">
      <c r="A590" s="1">
        <v>2063.0</v>
      </c>
      <c r="B590" s="1" t="s">
        <v>381</v>
      </c>
      <c r="C590" s="1" t="s">
        <v>575</v>
      </c>
      <c r="D590" s="1" t="str">
        <f>IFERROR(__xludf.DUMMYFUNCTION("CONCATENATE(GOOGLETRANSLATE(C590, ""en"", ""zh-cn""))
"),"男式复古几何印花拼布针织短袖 T 恤")</f>
        <v>男式复古几何印花拼布针织短袖 T 恤</v>
      </c>
      <c r="E590" s="1" t="str">
        <f>IFERROR(__xludf.DUMMYFUNCTION("CONCATENATE(GOOGLETRANSLATE(C590, ""en"", ""ko""))
"),"남성용 빈티지 기하학적 프린트 패치워크 니트 반소매 티셔츠")</f>
        <v>남성용 빈티지 기하학적 프린트 패치워크 니트 반소매 티셔츠</v>
      </c>
      <c r="F590" s="1" t="str">
        <f>IFERROR(__xludf.DUMMYFUNCTION("CONCATENATE(GOOGLETRANSLATE(C590, ""en"", ""ja""))"),"メンズヴィンテージ幾何学プリントパッチワークニット半袖Tシャツ")</f>
        <v>メンズヴィンテージ幾何学プリントパッチワークニット半袖Tシャツ</v>
      </c>
    </row>
    <row r="591" ht="15.75" customHeight="1">
      <c r="A591" s="1">
        <v>2064.0</v>
      </c>
      <c r="B591" s="1" t="s">
        <v>381</v>
      </c>
      <c r="C591" s="1" t="s">
        <v>576</v>
      </c>
      <c r="D591" s="1" t="str">
        <f>IFERROR(__xludf.DUMMYFUNCTION("CONCATENATE(GOOGLETRANSLATE(C591, ""en"", ""zh-cn""))
"),"男士梅花鸟印花短袖连帽 T 恤")</f>
        <v>男士梅花鸟印花短袖连帽 T 恤</v>
      </c>
      <c r="E591" s="1" t="str">
        <f>IFERROR(__xludf.DUMMYFUNCTION("CONCATENATE(GOOGLETRANSLATE(C591, ""en"", ""ko""))
"),"Mens Chinese Plum Bossom Bird 프린트 반소매 후드 티셔츠")</f>
        <v>Mens Chinese Plum Bossom Bird 프린트 반소매 후드 티셔츠</v>
      </c>
      <c r="F591" s="1" t="str">
        <f>IFERROR(__xludf.DUMMYFUNCTION("CONCATENATE(GOOGLETRANSLATE(C591, ""en"", ""ja""))"),"メンズチャイニーズプラムボッサムバードプリント半袖フード付きTシャツ")</f>
        <v>メンズチャイニーズプラムボッサムバードプリント半袖フード付きTシャツ</v>
      </c>
    </row>
    <row r="592" ht="15.75" customHeight="1">
      <c r="A592" s="1">
        <v>2065.0</v>
      </c>
      <c r="B592" s="1" t="s">
        <v>381</v>
      </c>
      <c r="C592" s="1" t="s">
        <v>577</v>
      </c>
      <c r="D592" s="1" t="str">
        <f>IFERROR(__xludf.DUMMYFUNCTION("CONCATENATE(GOOGLETRANSLATE(C592, ""en"", ""zh-cn""))
"),"男士日式字母印花弧形下摆短袖 T 恤")</f>
        <v>男士日式字母印花弧形下摆短袖 T 恤</v>
      </c>
      <c r="E592" s="1" t="str">
        <f>IFERROR(__xludf.DUMMYFUNCTION("CONCATENATE(GOOGLETRANSLATE(C592, ""en"", ""ko""))
"),"남성용 일본 문자 프린트 곡선 밑단 반팔 티셔츠")</f>
        <v>남성용 일본 문자 프린트 곡선 밑단 반팔 티셔츠</v>
      </c>
      <c r="F592" s="1" t="str">
        <f>IFERROR(__xludf.DUMMYFUNCTION("CONCATENATE(GOOGLETRANSLATE(C592, ""en"", ""ja""))"),"メンズ日本語レタープリントカーブヘム半袖Tシャツ")</f>
        <v>メンズ日本語レタープリントカーブヘム半袖Tシャツ</v>
      </c>
    </row>
    <row r="593" ht="15.75" customHeight="1">
      <c r="A593" s="1">
        <v>2066.0</v>
      </c>
      <c r="B593" s="1" t="s">
        <v>381</v>
      </c>
      <c r="C593" s="1" t="s">
        <v>578</v>
      </c>
      <c r="D593" s="1" t="str">
        <f>IFERROR(__xludf.DUMMYFUNCTION("CONCATENATE(GOOGLETRANSLATE(C593, ""en"", ""zh-cn""))
"),"男式民族几何图案拼布圆领短袖 T 恤")</f>
        <v>男式民族几何图案拼布圆领短袖 T 恤</v>
      </c>
      <c r="E593" s="1" t="str">
        <f>IFERROR(__xludf.DUMMYFUNCTION("CONCATENATE(GOOGLETRANSLATE(C593, ""en"", ""ko""))
"),"남성용 에스닉 기하학 무늬 패치워크 크루넥 반팔 티셔츠")</f>
        <v>남성용 에스닉 기하학 무늬 패치워크 크루넥 반팔 티셔츠</v>
      </c>
      <c r="F593" s="1" t="str">
        <f>IFERROR(__xludf.DUMMYFUNCTION("CONCATENATE(GOOGLETRANSLATE(C593, ""en"", ""ja""))"),"メンズエスニック幾何学模様パッチワーククルーネック半袖Tシャツ")</f>
        <v>メンズエスニック幾何学模様パッチワーククルーネック半袖Tシャツ</v>
      </c>
    </row>
    <row r="594" ht="15.75" customHeight="1">
      <c r="A594" s="1">
        <v>2067.0</v>
      </c>
      <c r="B594" s="1" t="s">
        <v>381</v>
      </c>
      <c r="C594" s="1" t="s">
        <v>579</v>
      </c>
      <c r="D594" s="1" t="str">
        <f>IFERROR(__xludf.DUMMYFUNCTION("CONCATENATE(GOOGLETRANSLATE(C594, ""en"", ""zh-cn""))
"),"男士针织撞色拼接短袖 T 恤")</f>
        <v>男士针织撞色拼接短袖 T 恤</v>
      </c>
      <c r="E594" s="1" t="str">
        <f>IFERROR(__xludf.DUMMYFUNCTION("CONCATENATE(GOOGLETRANSLATE(C594, ""en"", ""ko""))
"),"남성 니트 대비 컬러 스티치 반팔 티셔츠")</f>
        <v>남성 니트 대비 컬러 스티치 반팔 티셔츠</v>
      </c>
      <c r="F594" s="1" t="str">
        <f>IFERROR(__xludf.DUMMYFUNCTION("CONCATENATE(GOOGLETRANSLATE(C594, ""en"", ""ja""))"),"メンズ ニット コントラスト カラー ステッチ 半袖 T シャツ")</f>
        <v>メンズ ニット コントラスト カラー ステッチ 半袖 T シャツ</v>
      </c>
    </row>
    <row r="595" ht="15.75" customHeight="1">
      <c r="A595" s="1">
        <v>2068.0</v>
      </c>
      <c r="B595" s="1" t="s">
        <v>381</v>
      </c>
      <c r="C595" s="1" t="s">
        <v>580</v>
      </c>
      <c r="D595" s="1" t="str">
        <f>IFERROR(__xludf.DUMMYFUNCTION("CONCATENATE(GOOGLETRANSLATE(C595, ""en"", ""zh-cn""))
"),"男士块条纹拼接针织学院风短袖 T 恤")</f>
        <v>男士块条纹拼接针织学院风短袖 T 恤</v>
      </c>
      <c r="E595" s="1" t="str">
        <f>IFERROR(__xludf.DUMMYFUNCTION("CONCATENATE(GOOGLETRANSLATE(C595, ""en"", ""ko""))
"),"남성 블록 스트라이프 스티치 니트 프레피 반소매 티셔츠")</f>
        <v>남성 블록 스트라이프 스티치 니트 프레피 반소매 티셔츠</v>
      </c>
      <c r="F595" s="1" t="str">
        <f>IFERROR(__xludf.DUMMYFUNCTION("CONCATENATE(GOOGLETRANSLATE(C595, ""en"", ""ja""))"),"メンズ ブロック ストライプ ステッチ ニット プレッピー 半袖 T シャツ")</f>
        <v>メンズ ブロック ストライプ ステッチ ニット プレッピー 半袖 T シャツ</v>
      </c>
    </row>
    <row r="596" ht="15.75" customHeight="1">
      <c r="A596" s="1">
        <v>2069.0</v>
      </c>
      <c r="B596" s="1" t="s">
        <v>381</v>
      </c>
      <c r="C596" s="1" t="s">
        <v>581</v>
      </c>
      <c r="D596" s="1" t="str">
        <f>IFERROR(__xludf.DUMMYFUNCTION("CONCATENATE(GOOGLETRANSLATE(C596, ""en"", ""zh-cn""))
"),"男式民族几何印花胸袋绗缝弧形下摆 T 恤")</f>
        <v>男式民族几何印花胸袋绗缝弧形下摆 T 恤</v>
      </c>
      <c r="E596" s="1" t="str">
        <f>IFERROR(__xludf.DUMMYFUNCTION("CONCATENATE(GOOGLETRANSLATE(C596, ""en"", ""ko""))
"),"남성용 에스닉 기하학 프린트 가슴 주머니 퀼트 곡선 밑단 티셔츠")</f>
        <v>남성용 에스닉 기하학 프린트 가슴 주머니 퀼트 곡선 밑단 티셔츠</v>
      </c>
      <c r="F596" s="1" t="str">
        <f>IFERROR(__xludf.DUMMYFUNCTION("CONCATENATE(GOOGLETRANSLATE(C596, ""en"", ""ja""))"),"メンズエスニック幾何学プリント胸ポケットキルティングカーブヘム T シャツ")</f>
        <v>メンズエスニック幾何学プリント胸ポケットキルティングカーブヘム T シャツ</v>
      </c>
    </row>
    <row r="597" ht="15.75" customHeight="1">
      <c r="A597" s="1">
        <v>2070.0</v>
      </c>
      <c r="B597" s="1" t="s">
        <v>381</v>
      </c>
      <c r="C597" s="1" t="s">
        <v>582</v>
      </c>
      <c r="D597" s="1" t="str">
        <f>IFERROR(__xludf.DUMMYFUNCTION("CONCATENATE(GOOGLETRANSLATE(C597, ""en"", ""zh-cn""))
"),"男式骷髅南瓜印花万圣节短袖 T 恤")</f>
        <v>男式骷髅南瓜印花万圣节短袖 T 恤</v>
      </c>
      <c r="E597" s="1" t="str">
        <f>IFERROR(__xludf.DUMMYFUNCTION("CONCATENATE(GOOGLETRANSLATE(C597, ""en"", ""ko""))
"),"남성 스켈레톤 호박 프린트 할로윈 반팔 티셔츠")</f>
        <v>남성 스켈레톤 호박 프린트 할로윈 반팔 티셔츠</v>
      </c>
      <c r="F597" s="1" t="str">
        <f>IFERROR(__xludf.DUMMYFUNCTION("CONCATENATE(GOOGLETRANSLATE(C597, ""en"", ""ja""))"),"メンズ スケルトン パンプキン プリント ハロウィン 半袖 T シャツ")</f>
        <v>メンズ スケルトン パンプキン プリント ハロウィン 半袖 T シャツ</v>
      </c>
    </row>
    <row r="598" ht="15.75" customHeight="1">
      <c r="A598" s="1">
        <v>2071.0</v>
      </c>
      <c r="B598" s="1" t="s">
        <v>381</v>
      </c>
      <c r="C598" s="1" t="s">
        <v>583</v>
      </c>
      <c r="D598" s="1" t="str">
        <f>IFERROR(__xludf.DUMMYFUNCTION("CONCATENATE(GOOGLETRANSLATE(C598, ""en"", ""zh-cn""))
"),"男士字母标语背面印花弧形下摆长袖 T 恤")</f>
        <v>男士字母标语背面印花弧形下摆长袖 T 恤</v>
      </c>
      <c r="E598" s="1" t="str">
        <f>IFERROR(__xludf.DUMMYFUNCTION("CONCATENATE(GOOGLETRANSLATE(C598, ""en"", ""ko""))
"),"남성용 레터 슬로건 백 프린트 곡선 밑단 긴팔 티셔츠")</f>
        <v>남성용 레터 슬로건 백 프린트 곡선 밑단 긴팔 티셔츠</v>
      </c>
      <c r="F598" s="1" t="str">
        <f>IFERROR(__xludf.DUMMYFUNCTION("CONCATENATE(GOOGLETRANSLATE(C598, ""en"", ""ja""))"),"メンズレタースローガンバックプリントカーブヘム長袖Tシャツ")</f>
        <v>メンズレタースローガンバックプリントカーブヘム長袖Tシャツ</v>
      </c>
    </row>
    <row r="599" ht="15.75" customHeight="1">
      <c r="A599" s="1">
        <v>2072.0</v>
      </c>
      <c r="B599" s="1" t="s">
        <v>381</v>
      </c>
      <c r="C599" s="1" t="s">
        <v>584</v>
      </c>
      <c r="D599" s="1" t="str">
        <f>IFERROR(__xludf.DUMMYFUNCTION("CONCATENATE(GOOGLETRANSLATE(C599, ""en"", ""zh-cn""))
"),"男式日本印花拼布弧形下摆长袖 T 恤")</f>
        <v>男式日本印花拼布弧形下摆长袖 T 恤</v>
      </c>
      <c r="E599" s="1" t="str">
        <f>IFERROR(__xludf.DUMMYFUNCTION("CONCATENATE(GOOGLETRANSLATE(C599, ""en"", ""ko""))
"),"남성용 일본식 프린트 패치워크 곡선 밑단 긴소매 티셔츠")</f>
        <v>남성용 일본식 프린트 패치워크 곡선 밑단 긴소매 티셔츠</v>
      </c>
      <c r="F599" s="1" t="str">
        <f>IFERROR(__xludf.DUMMYFUNCTION("CONCATENATE(GOOGLETRANSLATE(C599, ""en"", ""ja""))"),"メンズ日本のプリント パッチワーク カーブ ヘム長袖 T シャツ")</f>
        <v>メンズ日本のプリント パッチワーク カーブ ヘム長袖 T シャツ</v>
      </c>
    </row>
    <row r="600" ht="15.75" customHeight="1">
      <c r="A600" s="1">
        <v>2073.0</v>
      </c>
      <c r="B600" s="1" t="s">
        <v>381</v>
      </c>
      <c r="C600" s="1" t="s">
        <v>585</v>
      </c>
      <c r="D600" s="1" t="str">
        <f>IFERROR(__xludf.DUMMYFUNCTION("CONCATENATE(GOOGLETRANSLATE(C600, ""en"", ""zh-cn""))
"),"男式纯色系带袋鼠口袋长袖连帽 T 恤")</f>
        <v>男式纯色系带袋鼠口袋长袖连帽 T 恤</v>
      </c>
      <c r="E600" s="1" t="str">
        <f>IFERROR(__xludf.DUMMYFUNCTION("CONCATENATE(GOOGLETRANSLATE(C600, ""en"", ""ko""))
"),"남성용 솔리드 레이스업 캥거루 포켓 긴소매 후드 티셔츠")</f>
        <v>남성용 솔리드 레이스업 캥거루 포켓 긴소매 후드 티셔츠</v>
      </c>
      <c r="F600" s="1" t="str">
        <f>IFERROR(__xludf.DUMMYFUNCTION("CONCATENATE(GOOGLETRANSLATE(C600, ""en"", ""ja""))"),"メンズソリッドレースアップカンガルーポケット長袖フード付きTシャツ")</f>
        <v>メンズソリッドレースアップカンガルーポケット長袖フード付きTシャツ</v>
      </c>
    </row>
    <row r="601" ht="15.75" customHeight="1">
      <c r="A601" s="1">
        <v>2074.0</v>
      </c>
      <c r="B601" s="1" t="s">
        <v>381</v>
      </c>
      <c r="C601" s="1" t="s">
        <v>586</v>
      </c>
      <c r="D601" s="1" t="str">
        <f>IFERROR(__xludf.DUMMYFUNCTION("CONCATENATE(GOOGLETRANSLATE(C601, ""en"", ""zh-cn""))
"),"男士撞色拼布华夫格针织休闲长袖 T 恤")</f>
        <v>男士撞色拼布华夫格针织休闲长袖 T 恤</v>
      </c>
      <c r="E601" s="1" t="str">
        <f>IFERROR(__xludf.DUMMYFUNCTION("CONCATENATE(GOOGLETRANSLATE(C601, ""en"", ""ko""))
"),"남성 대비 패치워크 와플 니트 캐주얼 긴팔 티셔츠")</f>
        <v>남성 대비 패치워크 와플 니트 캐주얼 긴팔 티셔츠</v>
      </c>
      <c r="F601" s="1" t="str">
        <f>IFERROR(__xludf.DUMMYFUNCTION("CONCATENATE(GOOGLETRANSLATE(C601, ""en"", ""ja""))"),"メンズコントラストパッチワークワッフルニットカジュアル長袖Tシャツ")</f>
        <v>メンズコントラストパッチワークワッフルニットカジュアル長袖Tシャツ</v>
      </c>
    </row>
    <row r="602" ht="15.75" customHeight="1">
      <c r="A602" s="1">
        <v>2075.0</v>
      </c>
      <c r="B602" s="1" t="s">
        <v>381</v>
      </c>
      <c r="C602" s="1" t="s">
        <v>587</v>
      </c>
      <c r="D602" s="1" t="str">
        <f>IFERROR(__xludf.DUMMYFUNCTION("CONCATENATE(GOOGLETRANSLATE(C602, ""en"", ""zh-cn""))
"),"男士水墨山水印花圆领短袖 T 恤")</f>
        <v>男士水墨山水印花圆领短袖 T 恤</v>
      </c>
      <c r="E602" s="1" t="str">
        <f>IFERROR(__xludf.DUMMYFUNCTION("CONCATENATE(GOOGLETRANSLATE(C602, ""en"", ""ko""))
"),"남성용 중국어 잉크 풍경 프린트 크루넥 반팔 티셔츠")</f>
        <v>남성용 중국어 잉크 풍경 프린트 크루넥 반팔 티셔츠</v>
      </c>
      <c r="F602" s="1" t="str">
        <f>IFERROR(__xludf.DUMMYFUNCTION("CONCATENATE(GOOGLETRANSLATE(C602, ""en"", ""ja""))"),"メンズ中国水墨風景プリント クルーネック半袖 T シャツ")</f>
        <v>メンズ中国水墨風景プリント クルーネック半袖 T シャツ</v>
      </c>
    </row>
    <row r="603" ht="15.75" customHeight="1">
      <c r="A603" s="1">
        <v>2076.0</v>
      </c>
      <c r="B603" s="1" t="s">
        <v>381</v>
      </c>
      <c r="C603" s="1" t="s">
        <v>588</v>
      </c>
      <c r="D603" s="1" t="str">
        <f>IFERROR(__xludf.DUMMYFUNCTION("CONCATENATE(GOOGLETRANSLATE(C603, ""en"", ""zh-cn""))
"),"男式趣味字母印花圆领短袖 T 恤")</f>
        <v>男式趣味字母印花圆领短袖 T 恤</v>
      </c>
      <c r="E603" s="1" t="str">
        <f>IFERROR(__xludf.DUMMYFUNCTION("CONCATENATE(GOOGLETRANSLATE(C603, ""en"", ""ko""))
"),"남성용 퍼니 레터 프린트 크루넥 반소매 티셔츠")</f>
        <v>남성용 퍼니 레터 프린트 크루넥 반소매 티셔츠</v>
      </c>
      <c r="F603" s="1" t="str">
        <f>IFERROR(__xludf.DUMMYFUNCTION("CONCATENATE(GOOGLETRANSLATE(C603, ""en"", ""ja""))"),"メンズ ファニー レター プリント クルーネック 半袖 T シャツ")</f>
        <v>メンズ ファニー レター プリント クルーネック 半袖 T シャツ</v>
      </c>
    </row>
    <row r="604" ht="15.75" customHeight="1">
      <c r="A604" s="1">
        <v>2077.0</v>
      </c>
      <c r="B604" s="1" t="s">
        <v>381</v>
      </c>
      <c r="C604" s="1" t="s">
        <v>589</v>
      </c>
      <c r="D604" s="1" t="str">
        <f>IFERROR(__xludf.DUMMYFUNCTION("CONCATENATE(GOOGLETRANSLATE(C604, ""en"", ""zh-cn""))
"),"男士中国竹子印花系带纹理高低下摆 T 恤")</f>
        <v>男士中国竹子印花系带纹理高低下摆 T 恤</v>
      </c>
      <c r="E604" s="1" t="str">
        <f>IFERROR(__xludf.DUMMYFUNCTION("CONCATENATE(GOOGLETRANSLATE(C604, ""en"", ""ko""))
"),"남성용 중국 대나무 프린트 레이스 업 텍스처 하이 로우 밑단 티셔츠")</f>
        <v>남성용 중국 대나무 프린트 레이스 업 텍스처 하이 로우 밑단 티셔츠</v>
      </c>
      <c r="F604" s="1" t="str">
        <f>IFERROR(__xludf.DUMMYFUNCTION("CONCATENATE(GOOGLETRANSLATE(C604, ""en"", ""ja""))"),"メンズ中国竹プリントレースアップテクスチャ高低裾 T シャツ")</f>
        <v>メンズ中国竹プリントレースアップテクスチャ高低裾 T シャツ</v>
      </c>
    </row>
    <row r="605" ht="15.75" customHeight="1">
      <c r="A605" s="1">
        <v>2078.0</v>
      </c>
      <c r="B605" s="1" t="s">
        <v>381</v>
      </c>
      <c r="C605" s="1" t="s">
        <v>590</v>
      </c>
      <c r="D605" s="1" t="str">
        <f>IFERROR(__xludf.DUMMYFUNCTION("CONCATENATE(GOOGLETRANSLATE(C605, ""en"", ""zh-cn""))
"),"男式可爱日本猫印花圆领短袖 T 恤")</f>
        <v>男式可爱日本猫印花圆领短袖 T 恤</v>
      </c>
      <c r="E605" s="1" t="str">
        <f>IFERROR(__xludf.DUMMYFUNCTION("CONCATENATE(GOOGLETRANSLATE(C605, ""en"", ""ko""))
"),"남성용 귀여운 일본 고양이 프린트 크루넥 반팔 티셔츠")</f>
        <v>남성용 귀여운 일본 고양이 프린트 크루넥 반팔 티셔츠</v>
      </c>
      <c r="F605" s="1" t="str">
        <f>IFERROR(__xludf.DUMMYFUNCTION("CONCATENATE(GOOGLETRANSLATE(C605, ""en"", ""ja""))"),"メンズかわいい日本の猫プリント クルーネック半袖 T シャツ")</f>
        <v>メンズかわいい日本の猫プリント クルーネック半袖 T シャツ</v>
      </c>
    </row>
    <row r="606" ht="15.75" customHeight="1">
      <c r="A606" s="1">
        <v>2079.0</v>
      </c>
      <c r="B606" s="1" t="s">
        <v>381</v>
      </c>
      <c r="C606" s="1" t="s">
        <v>591</v>
      </c>
      <c r="D606" s="1" t="str">
        <f>IFERROR(__xludf.DUMMYFUNCTION("CONCATENATE(GOOGLETRANSLATE(C606, ""en"", ""zh-cn""))
"),"男士纹理拼色休闲短袖 T 恤")</f>
        <v>男士纹理拼色休闲短袖 T 恤</v>
      </c>
      <c r="E606" s="1" t="str">
        <f>IFERROR(__xludf.DUMMYFUNCTION("CONCATENATE(GOOGLETRANSLATE(C606, ""en"", ""ko""))
"),"남성용 텍스처 컬러 블록 패치워크 캐주얼 반소매 티셔츠")</f>
        <v>남성용 텍스처 컬러 블록 패치워크 캐주얼 반소매 티셔츠</v>
      </c>
      <c r="F606" s="1" t="str">
        <f>IFERROR(__xludf.DUMMYFUNCTION("CONCATENATE(GOOGLETRANSLATE(C606, ""en"", ""ja""))"),"メンズ テクスチャ カラー ブロック パッチワーク カジュアル半袖 T シャツ")</f>
        <v>メンズ テクスチャ カラー ブロック パッチワーク カジュアル半袖 T シャツ</v>
      </c>
    </row>
    <row r="607" ht="15.75" customHeight="1">
      <c r="A607" s="1">
        <v>2080.0</v>
      </c>
      <c r="B607" s="1" t="s">
        <v>381</v>
      </c>
      <c r="C607" s="1" t="s">
        <v>592</v>
      </c>
      <c r="D607" s="1" t="str">
        <f>IFERROR(__xludf.DUMMYFUNCTION("CONCATENATE(GOOGLETRANSLATE(C607, ""en"", ""zh-cn""))
"),"男式日本樱花印花系带 T 恤")</f>
        <v>男式日本樱花印花系带 T 恤</v>
      </c>
      <c r="E607" s="1" t="str">
        <f>IFERROR(__xludf.DUMMYFUNCTION("CONCATENATE(GOOGLETRANSLATE(C607, ""en"", ""ko""))
"),"남성용 일본 벚꽃 프린트 타이 넥 티셔츠")</f>
        <v>남성용 일본 벚꽃 프린트 타이 넥 티셔츠</v>
      </c>
      <c r="F607" s="1" t="str">
        <f>IFERROR(__xludf.DUMMYFUNCTION("CONCATENATE(GOOGLETRANSLATE(C607, ""en"", ""ja""))"),"メンズ日本の桜プリント ネクタイ ネック T シャツ")</f>
        <v>メンズ日本の桜プリント ネクタイ ネック T シャツ</v>
      </c>
    </row>
    <row r="608" ht="15.75" customHeight="1">
      <c r="A608" s="1">
        <v>2081.0</v>
      </c>
      <c r="B608" s="1" t="s">
        <v>381</v>
      </c>
      <c r="C608" s="1" t="s">
        <v>593</v>
      </c>
      <c r="D608" s="1" t="str">
        <f>IFERROR(__xludf.DUMMYFUNCTION("CONCATENATE(GOOGLETRANSLATE(C608, ""en"", ""zh-cn""))
"),"男式日本风景印花系带领口侧开叉纹理 T 恤")</f>
        <v>男式日本风景印花系带领口侧开叉纹理 T 恤</v>
      </c>
      <c r="E608" s="1" t="str">
        <f>IFERROR(__xludf.DUMMYFUNCTION("CONCATENATE(GOOGLETRANSLATE(C608, ""en"", ""ko""))
"),"남성용 일본 풍경 프린트 레이스 업 넥 사이드 스플릿 텍스처 티셔츠")</f>
        <v>남성용 일본 풍경 프린트 레이스 업 넥 사이드 스플릿 텍스처 티셔츠</v>
      </c>
      <c r="F608" s="1" t="str">
        <f>IFERROR(__xludf.DUMMYFUNCTION("CONCATENATE(GOOGLETRANSLATE(C608, ""en"", ""ja""))"),"メンズ日本の風景プリント レースアップ ネック サイド スプリット テクスチャ T シャツ")</f>
        <v>メンズ日本の風景プリント レースアップ ネック サイド スプリット テクスチャ T シャツ</v>
      </c>
    </row>
    <row r="609" ht="15.75" customHeight="1">
      <c r="A609" s="1">
        <v>2082.0</v>
      </c>
      <c r="B609" s="1" t="s">
        <v>381</v>
      </c>
      <c r="C609" s="1" t="s">
        <v>594</v>
      </c>
      <c r="D609" s="1" t="str">
        <f>IFERROR(__xludf.DUMMYFUNCTION("CONCATENATE(GOOGLETRANSLATE(C609, ""en"", ""zh-cn""))
"),"男式玫瑰印花拼色棉质短袖 T 恤")</f>
        <v>男式玫瑰印花拼色棉质短袖 T 恤</v>
      </c>
      <c r="E609" s="1" t="str">
        <f>IFERROR(__xludf.DUMMYFUNCTION("CONCATENATE(GOOGLETRANSLATE(C609, ""en"", ""ko""))
"),"남성용 로즈 프린트 컬러 블록 패치워크 코튼 반소매 티셔츠")</f>
        <v>남성용 로즈 프린트 컬러 블록 패치워크 코튼 반소매 티셔츠</v>
      </c>
      <c r="F609" s="1" t="str">
        <f>IFERROR(__xludf.DUMMYFUNCTION("CONCATENATE(GOOGLETRANSLATE(C609, ""en"", ""ja""))"),"メンズローズプリントカラーブロックパッチワークコットン半袖Tシャツ")</f>
        <v>メンズローズプリントカラーブロックパッチワークコットン半袖Tシャツ</v>
      </c>
    </row>
    <row r="610" ht="15.75" customHeight="1">
      <c r="A610" s="1">
        <v>2083.0</v>
      </c>
      <c r="B610" s="1" t="s">
        <v>381</v>
      </c>
      <c r="C610" s="1" t="s">
        <v>595</v>
      </c>
      <c r="D610" s="1" t="str">
        <f>IFERROR(__xludf.DUMMYFUNCTION("CONCATENATE(GOOGLETRANSLATE(C610, ""en"", ""zh-cn""))
"),"男式日本刺绣拼布针织短袖 T 恤")</f>
        <v>男式日本刺绣拼布针织短袖 T 恤</v>
      </c>
      <c r="E610" s="1" t="str">
        <f>IFERROR(__xludf.DUMMYFUNCTION("CONCATENATE(GOOGLETRANSLATE(C610, ""en"", ""ko""))
"),"남성용 일본 자수 패치워크 니트 반소매 티셔츠")</f>
        <v>남성용 일본 자수 패치워크 니트 반소매 티셔츠</v>
      </c>
      <c r="F610" s="1" t="str">
        <f>IFERROR(__xludf.DUMMYFUNCTION("CONCATENATE(GOOGLETRANSLATE(C610, ""en"", ""ja""))"),"メンズ日本製刺繍パッチワークニット半袖Tシャツ")</f>
        <v>メンズ日本製刺繍パッチワークニット半袖Tシャツ</v>
      </c>
    </row>
    <row r="611" ht="15.75" customHeight="1">
      <c r="A611" s="1">
        <v>2084.0</v>
      </c>
      <c r="B611" s="1" t="s">
        <v>381</v>
      </c>
      <c r="C611" s="1" t="s">
        <v>596</v>
      </c>
      <c r="D611" s="1" t="str">
        <f>IFERROR(__xludf.DUMMYFUNCTION("CONCATENATE(GOOGLETRANSLATE(C611, ""en"", ""zh-cn""))
"),"男士中国阴阳水墨印花系带领纹理 T 恤")</f>
        <v>男士中国阴阳水墨印花系带领纹理 T 恤</v>
      </c>
      <c r="E611" s="1" t="str">
        <f>IFERROR(__xludf.DUMMYFUNCTION("CONCATENATE(GOOGLETRANSLATE(C611, ""en"", ""ko""))
"),"남성용 중국 음양 잉크 프린트 레이스 업 넥 텍스처 티셔츠")</f>
        <v>남성용 중국 음양 잉크 프린트 레이스 업 넥 텍스처 티셔츠</v>
      </c>
      <c r="F611" s="1" t="str">
        <f>IFERROR(__xludf.DUMMYFUNCTION("CONCATENATE(GOOGLETRANSLATE(C611, ""en"", ""ja""))"),"メンズ中国陰陽インクプリントレースアップネックテクスチャTシャツ")</f>
        <v>メンズ中国陰陽インクプリントレースアップネックテクスチャTシャツ</v>
      </c>
    </row>
    <row r="612" ht="15.75" customHeight="1">
      <c r="A612" s="1">
        <v>2085.0</v>
      </c>
      <c r="B612" s="1" t="s">
        <v>381</v>
      </c>
      <c r="C612" s="1" t="s">
        <v>597</v>
      </c>
      <c r="D612" s="1" t="str">
        <f>IFERROR(__xludf.DUMMYFUNCTION("CONCATENATE(GOOGLETRANSLATE(C612, ""en"", ""zh-cn""))
"),"男式民族几何图案拼布日本刺绣短袖 T 恤")</f>
        <v>男式民族几何图案拼布日本刺绣短袖 T 恤</v>
      </c>
      <c r="E612" s="1" t="str">
        <f>IFERROR(__xludf.DUMMYFUNCTION("CONCATENATE(GOOGLETRANSLATE(C612, ""en"", ""ko""))
"),"남성용 에스닉 기하학 무늬 패치워크 일본식 자수 반소매 티셔츠")</f>
        <v>남성용 에스닉 기하학 무늬 패치워크 일본식 자수 반소매 티셔츠</v>
      </c>
      <c r="F612" s="1" t="str">
        <f>IFERROR(__xludf.DUMMYFUNCTION("CONCATENATE(GOOGLETRANSLATE(C612, ""en"", ""ja""))"),"メンズエスニック幾何学模様パッチワーク日本の刺繍半袖Tシャツ")</f>
        <v>メンズエスニック幾何学模様パッチワーク日本の刺繍半袖Tシャツ</v>
      </c>
    </row>
    <row r="613" ht="15.75" customHeight="1">
      <c r="A613" s="1">
        <v>2086.0</v>
      </c>
      <c r="B613" s="1" t="s">
        <v>381</v>
      </c>
      <c r="C613" s="1" t="s">
        <v>598</v>
      </c>
      <c r="D613" s="1" t="str">
        <f>IFERROR(__xludf.DUMMYFUNCTION("CONCATENATE(GOOGLETRANSLATE(C613, ""en"", ""zh-cn""))
"),"男式微笑标语印花拼布民族短袖 T 恤")</f>
        <v>男式微笑标语印花拼布民族短袖 T 恤</v>
      </c>
      <c r="E613" s="1" t="str">
        <f>IFERROR(__xludf.DUMMYFUNCTION("CONCATENATE(GOOGLETRANSLATE(C613, ""en"", ""ko""))
"),"남성 스마일 슬로건 프린트 패치워크 에스닉 반팔 티셔츠")</f>
        <v>남성 스마일 슬로건 프린트 패치워크 에스닉 반팔 티셔츠</v>
      </c>
      <c r="F613" s="1" t="str">
        <f>IFERROR(__xludf.DUMMYFUNCTION("CONCATENATE(GOOGLETRANSLATE(C613, ""en"", ""ja""))"),"メンズ スマイル スローガン プリント パッチワーク エスニック 半袖 T シャツ")</f>
        <v>メンズ スマイル スローガン プリント パッチワーク エスニック 半袖 T シャツ</v>
      </c>
    </row>
    <row r="614" ht="15.75" customHeight="1">
      <c r="A614" s="1">
        <v>2087.0</v>
      </c>
      <c r="B614" s="1" t="s">
        <v>381</v>
      </c>
      <c r="C614" s="1" t="s">
        <v>599</v>
      </c>
      <c r="D614" s="1" t="str">
        <f>IFERROR(__xludf.DUMMYFUNCTION("CONCATENATE(GOOGLETRANSLATE(C614, ""en"", ""zh-cn""))
"),"男式民族建筑印花圆领短袖 T 恤")</f>
        <v>男式民族建筑印花圆领短袖 T 恤</v>
      </c>
      <c r="E614" s="1" t="str">
        <f>IFERROR(__xludf.DUMMYFUNCTION("CONCATENATE(GOOGLETRANSLATE(C614, ""en"", ""ko""))
"),"남성용 에스닉 아키텍처 프린트 크루넥 반팔 티셔츠")</f>
        <v>남성용 에스닉 아키텍처 프린트 크루넥 반팔 티셔츠</v>
      </c>
      <c r="F614" s="1" t="str">
        <f>IFERROR(__xludf.DUMMYFUNCTION("CONCATENATE(GOOGLETRANSLATE(C614, ""en"", ""ja""))"),"メンズエスニックアーキテクチャプリントクルーネック半袖Tシャツ")</f>
        <v>メンズエスニックアーキテクチャプリントクルーネック半袖Tシャツ</v>
      </c>
    </row>
    <row r="615" ht="15.75" customHeight="1">
      <c r="A615" s="1">
        <v>2088.0</v>
      </c>
      <c r="B615" s="1" t="s">
        <v>381</v>
      </c>
      <c r="C615" s="1" t="s">
        <v>600</v>
      </c>
      <c r="D615" s="1" t="str">
        <f>IFERROR(__xludf.DUMMYFUNCTION("CONCATENATE(GOOGLETRANSLATE(C615, ""en"", ""zh-cn""))
"),"男式民族几何日本印花拼布短袖 T 恤")</f>
        <v>男式民族几何日本印花拼布短袖 T 恤</v>
      </c>
      <c r="E615" s="1" t="str">
        <f>IFERROR(__xludf.DUMMYFUNCTION("CONCATENATE(GOOGLETRANSLATE(C615, ""en"", ""ko""))
"),"남성용 에스닉 기하학 일본식 프린트 패치워크 반소매 티셔츠")</f>
        <v>남성용 에스닉 기하학 일본식 프린트 패치워크 반소매 티셔츠</v>
      </c>
      <c r="F615" s="1" t="str">
        <f>IFERROR(__xludf.DUMMYFUNCTION("CONCATENATE(GOOGLETRANSLATE(C615, ""en"", ""ja""))"),"メンズ エスニック 幾何学模様 日本のプリント パッチワーク 半袖 T シャツ")</f>
        <v>メンズ エスニック 幾何学模様 日本のプリント パッチワーク 半袖 T シャツ</v>
      </c>
    </row>
    <row r="616" ht="15.75" customHeight="1">
      <c r="A616" s="1">
        <v>2089.0</v>
      </c>
      <c r="B616" s="1" t="s">
        <v>381</v>
      </c>
      <c r="C616" s="1" t="s">
        <v>601</v>
      </c>
      <c r="D616" s="1" t="str">
        <f>IFERROR(__xludf.DUMMYFUNCTION("CONCATENATE(GOOGLETRANSLATE(C616, ""en"", ""zh-cn""))
"),"男式民族图腾印花圆领短袖 T 恤")</f>
        <v>男式民族图腾印花圆领短袖 T 恤</v>
      </c>
      <c r="E616" s="1" t="str">
        <f>IFERROR(__xludf.DUMMYFUNCTION("CONCATENATE(GOOGLETRANSLATE(C616, ""en"", ""ko""))
"),"남성용 에스닉 토템 프린트 크루넥 반팔 티셔츠")</f>
        <v>남성용 에스닉 토템 프린트 크루넥 반팔 티셔츠</v>
      </c>
      <c r="F616" s="1" t="str">
        <f>IFERROR(__xludf.DUMMYFUNCTION("CONCATENATE(GOOGLETRANSLATE(C616, ""en"", ""ja""))"),"メンズ エスニック トーテム プリント クルーネック 半袖 T シャツ")</f>
        <v>メンズ エスニック トーテム プリント クルーネック 半袖 T シャツ</v>
      </c>
    </row>
    <row r="617" ht="15.75" customHeight="1">
      <c r="A617" s="1">
        <v>2090.0</v>
      </c>
      <c r="B617" s="1" t="s">
        <v>381</v>
      </c>
      <c r="C617" s="1" t="s">
        <v>602</v>
      </c>
      <c r="D617" s="1" t="str">
        <f>IFERROR(__xludf.DUMMYFUNCTION("CONCATENATE(GOOGLETRANSLATE(C617, ""en"", ""zh-cn""))
"),"男式熊猫竹日本印花缺口领短袖 T 恤")</f>
        <v>男式熊猫竹日本印花缺口领短袖 T 恤</v>
      </c>
      <c r="E617" s="1" t="str">
        <f>IFERROR(__xludf.DUMMYFUNCTION("CONCATENATE(GOOGLETRANSLATE(C617, ""en"", ""ko""))
"),"남성용 팬더 대나무 일본식 프린트 노치 넥 반소매 티셔츠")</f>
        <v>남성용 팬더 대나무 일본식 프린트 노치 넥 반소매 티셔츠</v>
      </c>
      <c r="F617" s="1" t="str">
        <f>IFERROR(__xludf.DUMMYFUNCTION("CONCATENATE(GOOGLETRANSLATE(C617, ""en"", ""ja""))"),"メンズパンダ竹日本語プリントノッチネック半袖 T シャツ")</f>
        <v>メンズパンダ竹日本語プリントノッチネック半袖 T シャツ</v>
      </c>
    </row>
    <row r="618" ht="15.75" customHeight="1">
      <c r="A618" s="1">
        <v>2091.0</v>
      </c>
      <c r="B618" s="1" t="s">
        <v>381</v>
      </c>
      <c r="C618" s="1" t="s">
        <v>603</v>
      </c>
      <c r="D618" s="1" t="str">
        <f>IFERROR(__xludf.DUMMYFUNCTION("CONCATENATE(GOOGLETRANSLATE(C618, ""en"", ""zh-cn""))
"),"男式民族图腾印花拼布短袖连帽 T 恤")</f>
        <v>男式民族图腾印花拼布短袖连帽 T 恤</v>
      </c>
      <c r="E618" s="1" t="str">
        <f>IFERROR(__xludf.DUMMYFUNCTION("CONCATENATE(GOOGLETRANSLATE(C618, ""en"", ""ko""))
"),"남성용 에스닉 토템 프린트 패치워크 반소매 후드 티셔츠")</f>
        <v>남성용 에스닉 토템 프린트 패치워크 반소매 후드 티셔츠</v>
      </c>
      <c r="F618" s="1" t="str">
        <f>IFERROR(__xludf.DUMMYFUNCTION("CONCATENATE(GOOGLETRANSLATE(C618, ""en"", ""ja""))"),"メンズエスニックトーテムプリントパッチワーク半袖フード付きTシャツ")</f>
        <v>メンズエスニックトーテムプリントパッチワーク半袖フード付きTシャツ</v>
      </c>
    </row>
    <row r="619" ht="15.75" customHeight="1">
      <c r="A619" s="1">
        <v>2092.0</v>
      </c>
      <c r="B619" s="1" t="s">
        <v>381</v>
      </c>
      <c r="C619" s="1" t="s">
        <v>604</v>
      </c>
      <c r="D619" s="1" t="str">
        <f>IFERROR(__xludf.DUMMYFUNCTION("CONCATENATE(GOOGLETRANSLATE(C619, ""en"", ""zh-cn""))
"),"男士罗纹针织半领纯色 T 恤")</f>
        <v>男士罗纹针织半领纯色 T 恤</v>
      </c>
      <c r="E619" s="1" t="str">
        <f>IFERROR(__xludf.DUMMYFUNCTION("CONCATENATE(GOOGLETRANSLATE(C619, ""en"", ""ko""))
"),"남성용 리브 니트 하프 칼라 솔리드 티셔츠")</f>
        <v>남성용 리브 니트 하프 칼라 솔리드 티셔츠</v>
      </c>
      <c r="F619" s="1" t="str">
        <f>IFERROR(__xludf.DUMMYFUNCTION("CONCATENATE(GOOGLETRANSLATE(C619, ""en"", ""ja""))"),"メンズ リブニット ハーフカラー ソリッド T シャツ")</f>
        <v>メンズ リブニット ハーフカラー ソリッド T シャツ</v>
      </c>
    </row>
    <row r="620" ht="15.75" customHeight="1">
      <c r="A620" s="1">
        <v>2093.0</v>
      </c>
      <c r="B620" s="1" t="s">
        <v>381</v>
      </c>
      <c r="C620" s="1" t="s">
        <v>605</v>
      </c>
      <c r="D620" s="1" t="str">
        <f>IFERROR(__xludf.DUMMYFUNCTION("CONCATENATE(GOOGLETRANSLATE(C620, ""en"", ""zh-cn""))
"),"男士樱花印花日式棉质短袖 T 恤")</f>
        <v>男士樱花印花日式棉质短袖 T 恤</v>
      </c>
      <c r="E620" s="1" t="str">
        <f>IFERROR(__xludf.DUMMYFUNCTION("CONCATENATE(GOOGLETRANSLATE(C620, ""en"", ""ko""))
"),"남성용 벚꽃 프린트 일본식 코튼 반팔 티셔츠")</f>
        <v>남성용 벚꽃 프린트 일본식 코튼 반팔 티셔츠</v>
      </c>
      <c r="F620" s="1" t="str">
        <f>IFERROR(__xludf.DUMMYFUNCTION("CONCATENATE(GOOGLETRANSLATE(C620, ""en"", ""ja""))"),"メンズ桜プリント和風コットン半袖 T シャツ")</f>
        <v>メンズ桜プリント和風コットン半袖 T シャツ</v>
      </c>
    </row>
    <row r="621" ht="15.75" customHeight="1">
      <c r="A621" s="1">
        <v>2094.0</v>
      </c>
      <c r="B621" s="1" t="s">
        <v>381</v>
      </c>
      <c r="C621" s="1" t="s">
        <v>606</v>
      </c>
      <c r="D621" s="1" t="str">
        <f>IFERROR(__xludf.DUMMYFUNCTION("CONCATENATE(GOOGLETRANSLATE(C621, ""en"", ""zh-cn""))
"),"男士日式印花拼布短袖连帽 T 恤")</f>
        <v>男士日式印花拼布短袖连帽 T 恤</v>
      </c>
      <c r="E621" s="1" t="str">
        <f>IFERROR(__xludf.DUMMYFUNCTION("CONCATENATE(GOOGLETRANSLATE(C621, ""en"", ""ko""))
"),"남성용 일본식 프린트 패치워크 반소매 후드 티셔츠")</f>
        <v>남성용 일본식 프린트 패치워크 반소매 후드 티셔츠</v>
      </c>
      <c r="F621" s="1" t="str">
        <f>IFERROR(__xludf.DUMMYFUNCTION("CONCATENATE(GOOGLETRANSLATE(C621, ""en"", ""ja""))"),"メンズ日本プリント パッチワーク半袖フード付き T シャツ")</f>
        <v>メンズ日本プリント パッチワーク半袖フード付き T シャツ</v>
      </c>
    </row>
    <row r="622" ht="15.75" customHeight="1">
      <c r="A622" s="1">
        <v>2095.0</v>
      </c>
      <c r="B622" s="1" t="s">
        <v>381</v>
      </c>
      <c r="C622" s="1" t="s">
        <v>607</v>
      </c>
      <c r="D622" s="1" t="str">
        <f>IFERROR(__xludf.DUMMYFUNCTION("CONCATENATE(GOOGLETRANSLATE(C622, ""en"", ""zh-cn""))
"),"男式卡通宇航员印花圆领短袖 T 恤")</f>
        <v>男式卡通宇航员印花圆领短袖 T 恤</v>
      </c>
      <c r="E622" s="1" t="str">
        <f>IFERROR(__xludf.DUMMYFUNCTION("CONCATENATE(GOOGLETRANSLATE(C622, ""en"", ""ko""))
"),"남성용 만화 우주 비행사 프린트 크루넥 반팔 티셔츠")</f>
        <v>남성용 만화 우주 비행사 프린트 크루넥 반팔 티셔츠</v>
      </c>
      <c r="F622" s="1" t="str">
        <f>IFERROR(__xludf.DUMMYFUNCTION("CONCATENATE(GOOGLETRANSLATE(C622, ""en"", ""ja""))"),"メンズ漫画宇宙飛行士プリントクルーネック半袖 T シャツ")</f>
        <v>メンズ漫画宇宙飛行士プリントクルーネック半袖 T シャツ</v>
      </c>
    </row>
    <row r="623" ht="15.75" customHeight="1">
      <c r="A623" s="1">
        <v>2096.0</v>
      </c>
      <c r="B623" s="1" t="s">
        <v>381</v>
      </c>
      <c r="C623" s="1" t="s">
        <v>608</v>
      </c>
      <c r="D623" s="1" t="str">
        <f>IFERROR(__xludf.DUMMYFUNCTION("CONCATENATE(GOOGLETRANSLATE(C623, ""en"", ""zh-cn""))
"),"男士字母印花圆领休闲短袖 T 恤")</f>
        <v>男士字母印花圆领休闲短袖 T 恤</v>
      </c>
      <c r="E623" s="1" t="str">
        <f>IFERROR(__xludf.DUMMYFUNCTION("CONCATENATE(GOOGLETRANSLATE(C623, ""en"", ""ko""))
"),"남성용 레터 프린트 크루넥 캐주얼 반소매 티셔츠")</f>
        <v>남성용 레터 프린트 크루넥 캐주얼 반소매 티셔츠</v>
      </c>
      <c r="F623" s="1" t="str">
        <f>IFERROR(__xludf.DUMMYFUNCTION("CONCATENATE(GOOGLETRANSLATE(C623, ""en"", ""ja""))"),"メンズレタープリントクルーネックカジュアル半袖Tシャツ")</f>
        <v>メンズレタープリントクルーネックカジュアル半袖Tシャツ</v>
      </c>
    </row>
    <row r="624" ht="15.75" customHeight="1">
      <c r="A624" s="1">
        <v>2097.0</v>
      </c>
      <c r="B624" s="1" t="s">
        <v>381</v>
      </c>
      <c r="C624" s="1" t="s">
        <v>609</v>
      </c>
      <c r="D624" s="1" t="str">
        <f>IFERROR(__xludf.DUMMYFUNCTION("CONCATENATE(GOOGLETRANSLATE(C624, ""en"", ""zh-cn""))
"),"男士时尚花卉印花圆领透气短袖休闲 T 恤")</f>
        <v>男士时尚花卉印花圆领透气短袖休闲 T 恤</v>
      </c>
      <c r="E624" s="1" t="str">
        <f>IFERROR(__xludf.DUMMYFUNCTION("CONCATENATE(GOOGLETRANSLATE(C624, ""en"", ""ko""))
"),"남성 패션 꽃무늬 크루넥 통기성 짧은 소매 캐주얼 티셔츠")</f>
        <v>남성 패션 꽃무늬 크루넥 통기성 짧은 소매 캐주얼 티셔츠</v>
      </c>
      <c r="F624" s="1" t="str">
        <f>IFERROR(__xludf.DUMMYFUNCTION("CONCATENATE(GOOGLETRANSLATE(C624, ""en"", ""ja""))"),"メンズファッション花柄プリントクルーネック通気性半袖カジュアル Tシャツ")</f>
        <v>メンズファッション花柄プリントクルーネック通気性半袖カジュアル Tシャツ</v>
      </c>
    </row>
    <row r="625" ht="15.75" customHeight="1">
      <c r="A625" s="1">
        <v>2098.0</v>
      </c>
      <c r="B625" s="1" t="s">
        <v>381</v>
      </c>
      <c r="C625" s="1" t="s">
        <v>610</v>
      </c>
      <c r="D625" s="1" t="str">
        <f>IFERROR(__xludf.DUMMYFUNCTION("CONCATENATE(GOOGLETRANSLATE(C625, ""en"", ""zh-cn""))
"),"男式民族几何色块拼布刺绣短袖 T 恤")</f>
        <v>男式民族几何色块拼布刺绣短袖 T 恤</v>
      </c>
      <c r="E625" s="1" t="str">
        <f>IFERROR(__xludf.DUMMYFUNCTION("CONCATENATE(GOOGLETRANSLATE(C625, ""en"", ""ko""))
"),"남성용 에스닉 기하학 컬러 블록 패치워크 자수 반소매 티셔츠")</f>
        <v>남성용 에스닉 기하학 컬러 블록 패치워크 자수 반소매 티셔츠</v>
      </c>
      <c r="F625" s="1" t="str">
        <f>IFERROR(__xludf.DUMMYFUNCTION("CONCATENATE(GOOGLETRANSLATE(C625, ""en"", ""ja""))"),"メンズエスニック幾何学カラーブロックパッチワーク刺繍半袖Tシャツ")</f>
        <v>メンズエスニック幾何学カラーブロックパッチワーク刺繍半袖Tシャツ</v>
      </c>
    </row>
    <row r="626" ht="15.75" customHeight="1">
      <c r="A626" s="1">
        <v>2099.0</v>
      </c>
      <c r="B626" s="1" t="s">
        <v>381</v>
      </c>
      <c r="C626" s="1" t="s">
        <v>611</v>
      </c>
      <c r="D626" s="1" t="str">
        <f>IFERROR(__xludf.DUMMYFUNCTION("CONCATENATE(GOOGLETRANSLATE(C626, ""en"", ""zh-cn""))
"),"男式几何图案拼布有盖口袋短袖 T 恤")</f>
        <v>男式几何图案拼布有盖口袋短袖 T 恤</v>
      </c>
      <c r="E626" s="1" t="str">
        <f>IFERROR(__xludf.DUMMYFUNCTION("CONCATENATE(GOOGLETRANSLATE(C626, ""en"", ""ko""))
"),"남성용 기하학 무늬 패치워크 플랩 포켓 반팔 티셔츠")</f>
        <v>남성용 기하학 무늬 패치워크 플랩 포켓 반팔 티셔츠</v>
      </c>
      <c r="F626" s="1" t="str">
        <f>IFERROR(__xludf.DUMMYFUNCTION("CONCATENATE(GOOGLETRANSLATE(C626, ""en"", ""ja""))"),"メンズ幾何学模様パッチワーク フラップ ポケット半袖 T シャツ")</f>
        <v>メンズ幾何学模様パッチワーク フラップ ポケット半袖 T シャツ</v>
      </c>
    </row>
    <row r="627" ht="15.75" customHeight="1">
      <c r="A627" s="1">
        <v>2100.0</v>
      </c>
      <c r="B627" s="1" t="s">
        <v>381</v>
      </c>
      <c r="C627" s="1" t="s">
        <v>612</v>
      </c>
      <c r="D627" s="1" t="str">
        <f>IFERROR(__xludf.DUMMYFUNCTION("CONCATENATE(GOOGLETRANSLATE(C627, ""en"", ""zh-cn""))
"),"男式 100% 棉椰子树胸印花假日短袖 T 恤")</f>
        <v>男式 100% 棉椰子树胸印花假日短袖 T 恤</v>
      </c>
      <c r="E627" s="1" t="str">
        <f>IFERROR(__xludf.DUMMYFUNCTION("CONCATENATE(GOOGLETRANSLATE(C627, ""en"", ""ko""))
"),"남성용 100% 면 코코넛 나무 가슴 프린트 홀리데이 반소매 티셔츠")</f>
        <v>남성용 100% 면 코코넛 나무 가슴 프린트 홀리데이 반소매 티셔츠</v>
      </c>
      <c r="F627" s="1" t="str">
        <f>IFERROR(__xludf.DUMMYFUNCTION("CONCATENATE(GOOGLETRANSLATE(C627, ""en"", ""ja""))"),"メンズ 100% コットン ココナッツ ツリー チェスト プリント ホリデー 半袖 T シャツ")</f>
        <v>メンズ 100% コットン ココナッツ ツリー チェスト プリント ホリデー 半袖 T シャツ</v>
      </c>
    </row>
    <row r="628" ht="15.75" customHeight="1">
      <c r="A628" s="1">
        <v>2101.0</v>
      </c>
      <c r="B628" s="1" t="s">
        <v>381</v>
      </c>
      <c r="C628" s="1" t="s">
        <v>613</v>
      </c>
      <c r="D628" s="1" t="str">
        <f>IFERROR(__xludf.DUMMYFUNCTION("CONCATENATE(GOOGLETRANSLATE(C628, ""en"", ""zh-cn""))
"),"男式复古几何印花圆领长袖 T 恤")</f>
        <v>男式复古几何印花圆领长袖 T 恤</v>
      </c>
      <c r="E628" s="1" t="str">
        <f>IFERROR(__xludf.DUMMYFUNCTION("CONCATENATE(GOOGLETRANSLATE(C628, ""en"", ""ko""))
"),"남성용 빈티지 기하학 프린트 크루넥 긴소매 티셔츠")</f>
        <v>남성용 빈티지 기하학 프린트 크루넥 긴소매 티셔츠</v>
      </c>
      <c r="F628" s="1" t="str">
        <f>IFERROR(__xludf.DUMMYFUNCTION("CONCATENATE(GOOGLETRANSLATE(C628, ""en"", ""ja""))"),"メンズ ヴィンテージ 幾何学プリント クルーネック 長袖 T シャツ")</f>
        <v>メンズ ヴィンテージ 幾何学プリント クルーネック 長袖 T シャツ</v>
      </c>
    </row>
    <row r="629" ht="15.75" customHeight="1">
      <c r="A629" s="1">
        <v>2102.0</v>
      </c>
      <c r="B629" s="1" t="s">
        <v>381</v>
      </c>
      <c r="C629" s="1" t="s">
        <v>614</v>
      </c>
      <c r="D629" s="1" t="str">
        <f>IFERROR(__xludf.DUMMYFUNCTION("CONCATENATE(GOOGLETRANSLATE(C629, ""en"", ""zh-cn""))
"),"男式玫瑰刺绣撞色拼布弧形下摆短袖 T 恤")</f>
        <v>男式玫瑰刺绣撞色拼布弧形下摆短袖 T 恤</v>
      </c>
      <c r="E629" s="1" t="str">
        <f>IFERROR(__xludf.DUMMYFUNCTION("CONCATENATE(GOOGLETRANSLATE(C629, ""en"", ""ko""))
"),"남성용 로즈 자수 대비 패치워크 곡선형 밑단 반소매 티셔츠")</f>
        <v>남성용 로즈 자수 대비 패치워크 곡선형 밑단 반소매 티셔츠</v>
      </c>
      <c r="F629" s="1" t="str">
        <f>IFERROR(__xludf.DUMMYFUNCTION("CONCATENATE(GOOGLETRANSLATE(C629, ""en"", ""ja""))"),"メンズローズ刺繍コントラストパッチワークカーブヘム半袖Tシャツ")</f>
        <v>メンズローズ刺繍コントラストパッチワークカーブヘム半袖Tシャツ</v>
      </c>
    </row>
    <row r="630" ht="15.75" customHeight="1">
      <c r="A630" s="1">
        <v>2103.0</v>
      </c>
      <c r="B630" s="1" t="s">
        <v>381</v>
      </c>
      <c r="C630" s="1" t="s">
        <v>615</v>
      </c>
      <c r="D630" s="1" t="str">
        <f>IFERROR(__xludf.DUMMYFUNCTION("CONCATENATE(GOOGLETRANSLATE(C630, ""en"", ""zh-cn""))
"),"男士拼色圆领休闲短袖 T 恤")</f>
        <v>男士拼色圆领休闲短袖 T 恤</v>
      </c>
      <c r="E630" s="1" t="str">
        <f>IFERROR(__xludf.DUMMYFUNCTION("CONCATENATE(GOOGLETRANSLATE(C630, ""en"", ""ko""))
"),"남성용 컬러 블록 패치워크 크루넥 캐주얼 반소매 티셔츠")</f>
        <v>남성용 컬러 블록 패치워크 크루넥 캐주얼 반소매 티셔츠</v>
      </c>
      <c r="F630" s="1" t="str">
        <f>IFERROR(__xludf.DUMMYFUNCTION("CONCATENATE(GOOGLETRANSLATE(C630, ""en"", ""ja""))"),"メンズ カラーブロック パッチワーク クルーネック カジュアル 半袖 T シャツ")</f>
        <v>メンズ カラーブロック パッチワーク クルーネック カジュアル 半袖 T シャツ</v>
      </c>
    </row>
    <row r="631" ht="15.75" customHeight="1">
      <c r="A631" s="1">
        <v>2104.0</v>
      </c>
      <c r="B631" s="1" t="s">
        <v>381</v>
      </c>
      <c r="C631" s="1" t="s">
        <v>616</v>
      </c>
      <c r="D631" s="1" t="str">
        <f>IFERROR(__xludf.DUMMYFUNCTION("CONCATENATE(GOOGLETRANSLATE(C631, ""en"", ""zh-cn""))
"),"男士椰子树日式印花夏威夷度假短袖 T 恤")</f>
        <v>男士椰子树日式印花夏威夷度假短袖 T 恤</v>
      </c>
      <c r="E631" s="1" t="str">
        <f>IFERROR(__xludf.DUMMYFUNCTION("CONCATENATE(GOOGLETRANSLATE(C631, ""en"", ""ko""))
"),"남성용 코코넛 나무 일본식 프린트 하와이 휴가 반팔 티셔츠")</f>
        <v>남성용 코코넛 나무 일본식 프린트 하와이 휴가 반팔 티셔츠</v>
      </c>
      <c r="F631" s="1" t="str">
        <f>IFERROR(__xludf.DUMMYFUNCTION("CONCATENATE(GOOGLETRANSLATE(C631, ""en"", ""ja""))"),"メンズ ココナッツ ツリー 日本語プリント ハワイアン バケーション 半袖 T シャツ")</f>
        <v>メンズ ココナッツ ツリー 日本語プリント ハワイアン バケーション 半袖 T シャツ</v>
      </c>
    </row>
    <row r="632" ht="15.75" customHeight="1">
      <c r="A632" s="1">
        <v>2105.0</v>
      </c>
      <c r="B632" s="1" t="s">
        <v>381</v>
      </c>
      <c r="C632" s="1" t="s">
        <v>617</v>
      </c>
      <c r="D632" s="1" t="str">
        <f>IFERROR(__xludf.DUMMYFUNCTION("CONCATENATE(GOOGLETRANSLATE(C632, ""en"", ""zh-cn""))
"),"男士不对称部落印花短袖 O 领 T 恤")</f>
        <v>男士不对称部落印花短袖 O 领 T 恤</v>
      </c>
      <c r="E632" s="1" t="str">
        <f>IFERROR(__xludf.DUMMYFUNCTION("CONCATENATE(GOOGLETRANSLATE(C632, ""en"", ""ko""))
"),"남성용 비대칭 부족 프린트 반소매 O 넥 티셔츠")</f>
        <v>남성용 비대칭 부족 프린트 반소매 O 넥 티셔츠</v>
      </c>
      <c r="F632" s="1" t="str">
        <f>IFERROR(__xludf.DUMMYFUNCTION("CONCATENATE(GOOGLETRANSLATE(C632, ""en"", ""ja""))"),"メンズ非対称トライバルプリント半袖 O ネック T シャツ")</f>
        <v>メンズ非対称トライバルプリント半袖 O ネック T シャツ</v>
      </c>
    </row>
    <row r="633" ht="15.75" customHeight="1">
      <c r="A633" s="1">
        <v>2106.0</v>
      </c>
      <c r="B633" s="1" t="s">
        <v>381</v>
      </c>
      <c r="C633" s="1" t="s">
        <v>618</v>
      </c>
      <c r="D633" s="1" t="str">
        <f>IFERROR(__xludf.DUMMYFUNCTION("CONCATENATE(GOOGLETRANSLATE(C633, ""en"", ""zh-cn""))
"),"男士部落拼布印花短袖连帽 T 恤")</f>
        <v>男士部落拼布印花短袖连帽 T 恤</v>
      </c>
      <c r="E633" s="1" t="str">
        <f>IFERROR(__xludf.DUMMYFUNCTION("CONCATENATE(GOOGLETRANSLATE(C633, ""en"", ""ko""))
"),"남성 부족 패치워크 프린트 반소매 후드 티셔츠")</f>
        <v>남성 부족 패치워크 프린트 반소매 후드 티셔츠</v>
      </c>
      <c r="F633" s="1" t="str">
        <f>IFERROR(__xludf.DUMMYFUNCTION("CONCATENATE(GOOGLETRANSLATE(C633, ""en"", ""ja""))"),"メンズトライバルパッチワークプリント半袖フード付きTシャツ")</f>
        <v>メンズトライバルパッチワークプリント半袖フード付きTシャツ</v>
      </c>
    </row>
    <row r="634" ht="15.75" customHeight="1">
      <c r="A634" s="1">
        <v>2107.0</v>
      </c>
      <c r="B634" s="1" t="s">
        <v>381</v>
      </c>
      <c r="C634" s="1" t="s">
        <v>619</v>
      </c>
      <c r="D634" s="1" t="str">
        <f>IFERROR(__xludf.DUMMYFUNCTION("CONCATENATE(GOOGLETRANSLATE(C634, ""en"", ""zh-cn""))
"),"男士字母几何印花拼布小高领短袖 T 恤")</f>
        <v>男士字母几何印花拼布小高领短袖 T 恤</v>
      </c>
      <c r="E634" s="1" t="str">
        <f>IFERROR(__xludf.DUMMYFUNCTION("CONCATENATE(GOOGLETRANSLATE(C634, ""en"", ""ko""))
"),"남성용 문자 기하학적 프린트 패치워크 모의 넥 반팔 티셔츠")</f>
        <v>남성용 문자 기하학적 프린트 패치워크 모의 넥 반팔 티셔츠</v>
      </c>
      <c r="F634" s="1" t="str">
        <f>IFERROR(__xludf.DUMMYFUNCTION("CONCATENATE(GOOGLETRANSLATE(C634, ""en"", ""ja""))"),"メンズレター幾何学プリントパッチワークモックネック半袖Tシャツ")</f>
        <v>メンズレター幾何学プリントパッチワークモックネック半袖Tシャツ</v>
      </c>
    </row>
    <row r="635" ht="15.75" customHeight="1">
      <c r="A635" s="1">
        <v>2108.0</v>
      </c>
      <c r="B635" s="1" t="s">
        <v>381</v>
      </c>
      <c r="C635" s="1" t="s">
        <v>620</v>
      </c>
      <c r="D635" s="1" t="str">
        <f>IFERROR(__xludf.DUMMYFUNCTION("CONCATENATE(GOOGLETRANSLATE(C635, ""en"", ""zh-cn""))
"),"男式复古几何图案拼布小高领短袖 T 恤")</f>
        <v>男式复古几何图案拼布小高领短袖 T 恤</v>
      </c>
      <c r="E635" s="1" t="str">
        <f>IFERROR(__xludf.DUMMYFUNCTION("CONCATENATE(GOOGLETRANSLATE(C635, ""en"", ""ko""))
"),"남성 빈티지 기하학적 패턴 패치워크 모크 넥 반팔 티셔츠")</f>
        <v>남성 빈티지 기하학적 패턴 패치워크 모크 넥 반팔 티셔츠</v>
      </c>
      <c r="F635" s="1" t="str">
        <f>IFERROR(__xludf.DUMMYFUNCTION("CONCATENATE(GOOGLETRANSLATE(C635, ""en"", ""ja""))"),"メンズヴィンテージ幾何学模様パッチワークモックネック半袖Tシャツ")</f>
        <v>メンズヴィンテージ幾何学模様パッチワークモックネック半袖Tシャツ</v>
      </c>
    </row>
    <row r="636" ht="15.75" customHeight="1">
      <c r="A636" s="1">
        <v>2109.0</v>
      </c>
      <c r="B636" s="1" t="s">
        <v>381</v>
      </c>
      <c r="C636" s="1" t="s">
        <v>621</v>
      </c>
      <c r="D636" s="1" t="str">
        <f>IFERROR(__xludf.DUMMYFUNCTION("CONCATENATE(GOOGLETRANSLATE(C636, ""en"", ""zh-cn""))
"),"男士几何胸袋小高领短袖 T 恤")</f>
        <v>男士几何胸袋小高领短袖 T 恤</v>
      </c>
      <c r="E636" s="1" t="str">
        <f>IFERROR(__xludf.DUMMYFUNCTION("CONCATENATE(GOOGLETRANSLATE(C636, ""en"", ""ko""))
"),"남성용 기하학 가슴 포켓 모크 넥 반팔 티셔츠")</f>
        <v>남성용 기하학 가슴 포켓 모크 넥 반팔 티셔츠</v>
      </c>
      <c r="F636" s="1" t="str">
        <f>IFERROR(__xludf.DUMMYFUNCTION("CONCATENATE(GOOGLETRANSLATE(C636, ""en"", ""ja""))"),"メンズ幾何学胸ポケットモックネック半袖 T シャツ")</f>
        <v>メンズ幾何学胸ポケットモックネック半袖 T シャツ</v>
      </c>
    </row>
    <row r="637" ht="15.75" customHeight="1">
      <c r="A637" s="1">
        <v>2110.0</v>
      </c>
      <c r="B637" s="1" t="s">
        <v>381</v>
      </c>
      <c r="C637" s="1" t="s">
        <v>622</v>
      </c>
      <c r="D637" s="1" t="str">
        <f>IFERROR(__xludf.DUMMYFUNCTION("CONCATENATE(GOOGLETRANSLATE(C637, ""en"", ""zh-cn""))
"),"男士纯色高领休闲长袖 T 恤")</f>
        <v>男士纯色高领休闲长袖 T 恤</v>
      </c>
      <c r="E637" s="1" t="str">
        <f>IFERROR(__xludf.DUMMYFUNCTION("CONCATENATE(GOOGLETRANSLATE(C637, ""en"", ""ko""))
"),"남성 솔리드 텍스쳐 하이넥 캐주얼 긴팔 티셔츠")</f>
        <v>남성 솔리드 텍스쳐 하이넥 캐주얼 긴팔 티셔츠</v>
      </c>
      <c r="F637" s="1" t="str">
        <f>IFERROR(__xludf.DUMMYFUNCTION("CONCATENATE(GOOGLETRANSLATE(C637, ""en"", ""ja""))"),"メンズソリッドテクスチャーハイネックカジュアル長袖Tシャツ")</f>
        <v>メンズソリッドテクスチャーハイネックカジュアル長袖Tシャツ</v>
      </c>
    </row>
    <row r="638" ht="15.75" customHeight="1">
      <c r="A638" s="1">
        <v>2111.0</v>
      </c>
      <c r="B638" s="1" t="s">
        <v>381</v>
      </c>
      <c r="C638" s="1" t="s">
        <v>623</v>
      </c>
      <c r="D638" s="1" t="str">
        <f>IFERROR(__xludf.DUMMYFUNCTION("CONCATENATE(GOOGLETRANSLATE(C638, ""en"", ""zh-cn""))
"),"男式不规则几何印花弧形下摆纹理长袖 T 恤")</f>
        <v>男式不规则几何印花弧形下摆纹理长袖 T 恤</v>
      </c>
      <c r="E638" s="1" t="str">
        <f>IFERROR(__xludf.DUMMYFUNCTION("CONCATENATE(GOOGLETRANSLATE(C638, ""en"", ""ko""))
"),"남성용 불규칙한 기하학적 프린트 곡선 밑단 텍스처 긴소매 티셔츠")</f>
        <v>남성용 불규칙한 기하학적 프린트 곡선 밑단 텍스처 긴소매 티셔츠</v>
      </c>
      <c r="F638" s="1" t="str">
        <f>IFERROR(__xludf.DUMMYFUNCTION("CONCATENATE(GOOGLETRANSLATE(C638, ""en"", ""ja""))"),"メンズ不規則な幾何学模様のプリント湾曲した裾のテクスチャ長袖 T シャツ")</f>
        <v>メンズ不規則な幾何学模様のプリント湾曲した裾のテクスチャ長袖 T シャツ</v>
      </c>
    </row>
    <row r="639" ht="15.75" customHeight="1">
      <c r="A639" s="1">
        <v>2112.0</v>
      </c>
      <c r="B639" s="1" t="s">
        <v>381</v>
      </c>
      <c r="C639" s="1" t="s">
        <v>624</v>
      </c>
      <c r="D639" s="1" t="str">
        <f>IFERROR(__xludf.DUMMYFUNCTION("CONCATENATE(GOOGLETRANSLATE(C639, ""en"", ""zh-cn""))
"),"男式搞笑微笑字母印花圆领短袖 T 恤")</f>
        <v>男式搞笑微笑字母印花圆领短袖 T 恤</v>
      </c>
      <c r="E639" s="1" t="str">
        <f>IFERROR(__xludf.DUMMYFUNCTION("CONCATENATE(GOOGLETRANSLATE(C639, ""en"", ""ko""))
"),"남성 퍼니 스마일 레터 프린트 크루넥 반팔 티셔츠")</f>
        <v>남성 퍼니 스마일 레터 프린트 크루넥 반팔 티셔츠</v>
      </c>
      <c r="F639" s="1" t="str">
        <f>IFERROR(__xludf.DUMMYFUNCTION("CONCATENATE(GOOGLETRANSLATE(C639, ""en"", ""ja""))"),"メンズ ファニー スマイル レター プリント クルーネック 半袖 T シャツ")</f>
        <v>メンズ ファニー スマイル レター プリント クルーネック 半袖 T シャツ</v>
      </c>
    </row>
    <row r="640" ht="15.75" customHeight="1">
      <c r="A640" s="1">
        <v>2113.0</v>
      </c>
      <c r="B640" s="1" t="s">
        <v>381</v>
      </c>
      <c r="C640" s="1" t="s">
        <v>625</v>
      </c>
      <c r="D640" s="1" t="str">
        <f>IFERROR(__xludf.DUMMYFUNCTION("CONCATENATE(GOOGLETRANSLATE(C640, ""en"", ""zh-cn""))
"),"男士微笑民族几何印花圆领短袖 T 恤")</f>
        <v>男士微笑民族几何印花圆领短袖 T 恤</v>
      </c>
      <c r="E640" s="1" t="str">
        <f>IFERROR(__xludf.DUMMYFUNCTION("CONCATENATE(GOOGLETRANSLATE(C640, ""en"", ""ko""))
"),"남성용 스마일 에스닉 기하학 프린트 크루넥 반팔 티셔츠")</f>
        <v>남성용 스마일 에스닉 기하학 프린트 크루넥 반팔 티셔츠</v>
      </c>
      <c r="F640" s="1" t="str">
        <f>IFERROR(__xludf.DUMMYFUNCTION("CONCATENATE(GOOGLETRANSLATE(C640, ""en"", ""ja""))"),"メンズスマイルエスニック幾何学プリントクルーネック半袖Tシャツ")</f>
        <v>メンズスマイルエスニック幾何学プリントクルーネック半袖Tシャツ</v>
      </c>
    </row>
    <row r="641" ht="15.75" customHeight="1">
      <c r="A641" s="1">
        <v>2114.0</v>
      </c>
      <c r="B641" s="1" t="s">
        <v>381</v>
      </c>
      <c r="C641" s="1" t="s">
        <v>626</v>
      </c>
      <c r="D641" s="1" t="str">
        <f>IFERROR(__xludf.DUMMYFUNCTION("CONCATENATE(GOOGLETRANSLATE(C641, ""en"", ""zh-cn""))
"),"男式卡通猫和鱼印花圆领短袖 T 恤")</f>
        <v>男式卡通猫和鱼印花圆领短袖 T 恤</v>
      </c>
      <c r="E641" s="1" t="str">
        <f>IFERROR(__xludf.DUMMYFUNCTION("CONCATENATE(GOOGLETRANSLATE(C641, ""en"", ""ko""))
"),"남성용 카툰 캣 &amp; 피시 프린트 크루넥 반소매 티셔츠")</f>
        <v>남성용 카툰 캣 &amp; 피시 프린트 크루넥 반소매 티셔츠</v>
      </c>
      <c r="F641" s="1" t="str">
        <f>IFERROR(__xludf.DUMMYFUNCTION("CONCATENATE(GOOGLETRANSLATE(C641, ""en"", ""ja""))"),"メンズ漫画猫と魚プリント クルーネック半袖 T シャツ")</f>
        <v>メンズ漫画猫と魚プリント クルーネック半袖 T シャツ</v>
      </c>
    </row>
    <row r="642" ht="15.75" customHeight="1">
      <c r="A642" s="1">
        <v>2115.0</v>
      </c>
      <c r="B642" s="1" t="s">
        <v>381</v>
      </c>
      <c r="C642" s="1" t="s">
        <v>627</v>
      </c>
      <c r="D642" s="1" t="str">
        <f>IFERROR(__xludf.DUMMYFUNCTION("CONCATENATE(GOOGLETRANSLATE(C642, ""en"", ""zh-cn""))
"),"男士微笑标语印花圆领休闲短袖 T 恤")</f>
        <v>男士微笑标语印花圆领休闲短袖 T 恤</v>
      </c>
      <c r="E642" s="1" t="str">
        <f>IFERROR(__xludf.DUMMYFUNCTION("CONCATENATE(GOOGLETRANSLATE(C642, ""en"", ""ko""))
"),"남성 스마일 슬로건 프린트 크루넥 캐주얼 반소매 티셔츠")</f>
        <v>남성 스마일 슬로건 프린트 크루넥 캐주얼 반소매 티셔츠</v>
      </c>
      <c r="F642" s="1" t="str">
        <f>IFERROR(__xludf.DUMMYFUNCTION("CONCATENATE(GOOGLETRANSLATE(C642, ""en"", ""ja""))"),"メンズスマイルスローガンプリントクルーネックカジュアル半袖Tシャツ")</f>
        <v>メンズスマイルスローガンプリントクルーネックカジュアル半袖Tシャツ</v>
      </c>
    </row>
    <row r="643" ht="15.75" customHeight="1">
      <c r="A643" s="1">
        <v>2116.0</v>
      </c>
      <c r="B643" s="1" t="s">
        <v>381</v>
      </c>
      <c r="C643" s="1" t="s">
        <v>628</v>
      </c>
      <c r="D643" s="1" t="str">
        <f>IFERROR(__xludf.DUMMYFUNCTION("CONCATENATE(GOOGLETRANSLATE(C643, ""en"", ""zh-cn""))
"),"男式搞笑微笑印花圆领短袖 T 恤")</f>
        <v>男式搞笑微笑印花圆领短袖 T 恤</v>
      </c>
      <c r="E643" s="1" t="str">
        <f>IFERROR(__xludf.DUMMYFUNCTION("CONCATENATE(GOOGLETRANSLATE(C643, ""en"", ""ko""))
"),"남성 퍼니 스마일 프린트 크루넥 반팔 티셔츠")</f>
        <v>남성 퍼니 스마일 프린트 크루넥 반팔 티셔츠</v>
      </c>
      <c r="F643" s="1" t="str">
        <f>IFERROR(__xludf.DUMMYFUNCTION("CONCATENATE(GOOGLETRANSLATE(C643, ""en"", ""ja""))"),"メンズ ファニー スマイル プリント クルーネック 半袖 T シャツ")</f>
        <v>メンズ ファニー スマイル プリント クルーネック 半袖 T シャツ</v>
      </c>
    </row>
    <row r="644" ht="15.75" customHeight="1">
      <c r="A644" s="1">
        <v>2117.0</v>
      </c>
      <c r="B644" s="1" t="s">
        <v>381</v>
      </c>
      <c r="C644" s="1" t="s">
        <v>629</v>
      </c>
      <c r="D644" s="1" t="str">
        <f>IFERROR(__xludf.DUMMYFUNCTION("CONCATENATE(GOOGLETRANSLATE(C644, ""en"", ""zh-cn""))
"),"男士日本鹤花卉背面印花短袖 T 恤")</f>
        <v>男士日本鹤花卉背面印花短袖 T 恤</v>
      </c>
      <c r="E644" s="1" t="str">
        <f>IFERROR(__xludf.DUMMYFUNCTION("CONCATENATE(GOOGLETRANSLATE(C644, ""en"", ""ko""))
"),"남성용 두루미 꽃무늬 백 프린트 반소매 티셔츠")</f>
        <v>남성용 두루미 꽃무늬 백 프린트 반소매 티셔츠</v>
      </c>
      <c r="F644" s="1" t="str">
        <f>IFERROR(__xludf.DUMMYFUNCTION("CONCATENATE(GOOGLETRANSLATE(C644, ""en"", ""ja""))"),"メンズタンチョウ花柄バックプリント半袖 T シャツ")</f>
        <v>メンズタンチョウ花柄バックプリント半袖 T シャツ</v>
      </c>
    </row>
    <row r="645" ht="15.75" customHeight="1">
      <c r="A645" s="1">
        <v>2118.0</v>
      </c>
      <c r="B645" s="1" t="s">
        <v>381</v>
      </c>
      <c r="C645" s="1" t="s">
        <v>630</v>
      </c>
      <c r="D645" s="1" t="str">
        <f>IFERROR(__xludf.DUMMYFUNCTION("CONCATENATE(GOOGLETRANSLATE(C645, ""en"", ""zh-cn""))
"),"男式卡通线条猫印花圆领短袖 T 恤")</f>
        <v>男式卡通线条猫印花圆领短袖 T 恤</v>
      </c>
      <c r="E645" s="1" t="str">
        <f>IFERROR(__xludf.DUMMYFUNCTION("CONCATENATE(GOOGLETRANSLATE(C645, ""en"", ""ko""))
"),"남성용 카툰 라인 캣 프린트 크루넥 반팔 티셔츠")</f>
        <v>남성용 카툰 라인 캣 프린트 크루넥 반팔 티셔츠</v>
      </c>
      <c r="F645" s="1" t="str">
        <f>IFERROR(__xludf.DUMMYFUNCTION("CONCATENATE(GOOGLETRANSLATE(C645, ""en"", ""ja""))"),"メンズ漫画ライン猫プリント クルーネック半袖 T シャツ")</f>
        <v>メンズ漫画ライン猫プリント クルーネック半袖 T シャツ</v>
      </c>
    </row>
    <row r="646" ht="15.75" customHeight="1">
      <c r="A646" s="1">
        <v>2119.0</v>
      </c>
      <c r="B646" s="1" t="s">
        <v>381</v>
      </c>
      <c r="C646" s="1" t="s">
        <v>631</v>
      </c>
      <c r="D646" s="1" t="str">
        <f>IFERROR(__xludf.DUMMYFUNCTION("CONCATENATE(GOOGLETRANSLATE(C646, ""en"", ""zh-cn""))
"),"男式卡通猫爪印花圆领短袖 T 恤")</f>
        <v>男式卡通猫爪印花圆领短袖 T 恤</v>
      </c>
      <c r="E646" s="1" t="str">
        <f>IFERROR(__xludf.DUMMYFUNCTION("CONCATENATE(GOOGLETRANSLATE(C646, ""en"", ""ko""))
"),"남성용 카툰 고양이 발톱 프린트 크루넥 반소매 티셔츠")</f>
        <v>남성용 카툰 고양이 발톱 프린트 크루넥 반소매 티셔츠</v>
      </c>
      <c r="F646" s="1" t="str">
        <f>IFERROR(__xludf.DUMMYFUNCTION("CONCATENATE(GOOGLETRANSLATE(C646, ""en"", ""ja""))"),"メンズ漫画猫の爪プリント クルーネック半袖 T シャツ")</f>
        <v>メンズ漫画猫の爪プリント クルーネック半袖 T シャツ</v>
      </c>
    </row>
    <row r="647" ht="15.75" customHeight="1">
      <c r="A647" s="1">
        <v>2120.0</v>
      </c>
      <c r="B647" s="1" t="s">
        <v>381</v>
      </c>
      <c r="C647" s="1" t="s">
        <v>632</v>
      </c>
      <c r="D647" s="1" t="str">
        <f>IFERROR(__xludf.DUMMYFUNCTION("CONCATENATE(GOOGLETRANSLATE(C647, ""en"", ""zh-cn""))
"),"男士拼色短袖抽绳连帽 T 恤")</f>
        <v>男士拼色短袖抽绳连帽 T 恤</v>
      </c>
      <c r="E647" s="1" t="str">
        <f>IFERROR(__xludf.DUMMYFUNCTION("CONCATENATE(GOOGLETRANSLATE(C647, ""en"", ""ko""))
"),"남성용 컬러 블록 패치워크 반소매 드로스트링 후드 티셔츠")</f>
        <v>남성용 컬러 블록 패치워크 반소매 드로스트링 후드 티셔츠</v>
      </c>
      <c r="F647" s="1" t="str">
        <f>IFERROR(__xludf.DUMMYFUNCTION("CONCATENATE(GOOGLETRANSLATE(C647, ""en"", ""ja""))"),"メンズカラーブロックパッチワーク半袖巾着フード付きTシャツ")</f>
        <v>メンズカラーブロックパッチワーク半袖巾着フード付きTシャツ</v>
      </c>
    </row>
    <row r="648" ht="15.75" customHeight="1">
      <c r="A648" s="1">
        <v>2121.0</v>
      </c>
      <c r="B648" s="1" t="s">
        <v>381</v>
      </c>
      <c r="C648" s="1" t="s">
        <v>633</v>
      </c>
      <c r="D648" s="1" t="str">
        <f>IFERROR(__xludf.DUMMYFUNCTION("CONCATENATE(GOOGLETRANSLATE(C648, ""en"", ""zh-cn""))
"),"男式锦鲤荷花印花圆领短袖 T 恤")</f>
        <v>男式锦鲤荷花印花圆领短袖 T 恤</v>
      </c>
      <c r="E648" s="1" t="str">
        <f>IFERROR(__xludf.DUMMYFUNCTION("CONCATENATE(GOOGLETRANSLATE(C648, ""en"", ""ko""))
"),"남성용 중국 잉어 연꽃 프린트 크루넥 반팔 티셔츠")</f>
        <v>남성용 중국 잉어 연꽃 프린트 크루넥 반팔 티셔츠</v>
      </c>
      <c r="F648" s="1" t="str">
        <f>IFERROR(__xludf.DUMMYFUNCTION("CONCATENATE(GOOGLETRANSLATE(C648, ""en"", ""ja""))"),"メンズ中国鯉蓮プリント クルーネック半袖 T シャツ")</f>
        <v>メンズ中国鯉蓮プリント クルーネック半袖 T シャツ</v>
      </c>
    </row>
    <row r="649" ht="15.75" customHeight="1">
      <c r="A649" s="1">
        <v>2122.0</v>
      </c>
      <c r="B649" s="1" t="s">
        <v>381</v>
      </c>
      <c r="C649" s="1" t="s">
        <v>634</v>
      </c>
      <c r="D649" s="1" t="str">
        <f>IFERROR(__xludf.DUMMYFUNCTION("CONCATENATE(GOOGLETRANSLATE(C649, ""en"", ""zh-cn""))
"),"男士中国阴阳鲤鱼印花圆领短袖 T 恤")</f>
        <v>男士中国阴阳鲤鱼印花圆领短袖 T 恤</v>
      </c>
      <c r="E649" s="1" t="str">
        <f>IFERROR(__xludf.DUMMYFUNCTION("CONCATENATE(GOOGLETRANSLATE(C649, ""en"", ""ko""))
"),"남성용 중국 음양 잉어 프린트 크루넥 반팔 티셔츠")</f>
        <v>남성용 중국 음양 잉어 프린트 크루넥 반팔 티셔츠</v>
      </c>
      <c r="F649" s="1" t="str">
        <f>IFERROR(__xludf.DUMMYFUNCTION("CONCATENATE(GOOGLETRANSLATE(C649, ""en"", ""ja""))"),"メンズ中国陰陽鯉プリント クルーネック半袖 T シャツ")</f>
        <v>メンズ中国陰陽鯉プリント クルーネック半袖 T シャツ</v>
      </c>
    </row>
    <row r="650" ht="15.75" customHeight="1">
      <c r="A650" s="1">
        <v>2123.0</v>
      </c>
      <c r="B650" s="1" t="s">
        <v>381</v>
      </c>
      <c r="C650" s="1" t="s">
        <v>635</v>
      </c>
      <c r="D650" s="1" t="str">
        <f>IFERROR(__xludf.DUMMYFUNCTION("CONCATENATE(GOOGLETRANSLATE(C650, ""en"", ""zh-cn""))
"),"男式民族几何印花拼布短袖 T 恤")</f>
        <v>男式民族几何印花拼布短袖 T 恤</v>
      </c>
      <c r="E650" s="1" t="str">
        <f>IFERROR(__xludf.DUMMYFUNCTION("CONCATENATE(GOOGLETRANSLATE(C650, ""en"", ""ko""))
"),"남성용 에스닉 기하학 프린트 패치워크 반소매 티셔츠")</f>
        <v>남성용 에스닉 기하학 프린트 패치워크 반소매 티셔츠</v>
      </c>
      <c r="F650" s="1" t="str">
        <f>IFERROR(__xludf.DUMMYFUNCTION("CONCATENATE(GOOGLETRANSLATE(C650, ""en"", ""ja""))"),"メンズエスニック幾何学プリントパッチワーク半袖Tシャツ")</f>
        <v>メンズエスニック幾何学プリントパッチワーク半袖Tシャツ</v>
      </c>
    </row>
    <row r="651" ht="15.75" customHeight="1">
      <c r="A651" s="1">
        <v>2124.0</v>
      </c>
      <c r="B651" s="1" t="s">
        <v>381</v>
      </c>
      <c r="C651" s="1" t="s">
        <v>636</v>
      </c>
      <c r="D651" s="1" t="str">
        <f>IFERROR(__xludf.DUMMYFUNCTION("CONCATENATE(GOOGLETRANSLATE(C651, ""en"", ""zh-cn""))
"),"男式民族几何印花拼色短袖 T 恤")</f>
        <v>男式民族几何印花拼色短袖 T 恤</v>
      </c>
      <c r="E651" s="1" t="str">
        <f>IFERROR(__xludf.DUMMYFUNCTION("CONCATENATE(GOOGLETRANSLATE(C651, ""en"", ""ko""))
"),"남성용 에스닉 기하학 프린트 컬러 블록 패치워크 반소매 티셔츠")</f>
        <v>남성용 에스닉 기하학 프린트 컬러 블록 패치워크 반소매 티셔츠</v>
      </c>
      <c r="F651" s="1" t="str">
        <f>IFERROR(__xludf.DUMMYFUNCTION("CONCATENATE(GOOGLETRANSLATE(C651, ""en"", ""ja""))"),"メンズエスニック幾何学プリントカラーブロックパッチワーク半袖Tシャツ")</f>
        <v>メンズエスニック幾何学プリントカラーブロックパッチワーク半袖Tシャツ</v>
      </c>
    </row>
    <row r="652" ht="15.75" customHeight="1">
      <c r="A652" s="1">
        <v>2125.0</v>
      </c>
      <c r="B652" s="1" t="s">
        <v>381</v>
      </c>
      <c r="C652" s="1" t="s">
        <v>637</v>
      </c>
      <c r="D652" s="1" t="str">
        <f>IFERROR(__xludf.DUMMYFUNCTION("CONCATENATE(GOOGLETRANSLATE(C652, ""en"", ""zh-cn""))
"),"男式文字民族几何印花拼布短袖 T 恤")</f>
        <v>男式文字民族几何印花拼布短袖 T 恤</v>
      </c>
      <c r="E652" s="1" t="str">
        <f>IFERROR(__xludf.DUMMYFUNCTION("CONCATENATE(GOOGLETRANSLATE(C652, ""en"", ""ko""))
"),"남성 스크립트 에스닉 기하학 프린트 패치워크 반소매 티셔츠")</f>
        <v>남성 스크립트 에스닉 기하학 프린트 패치워크 반소매 티셔츠</v>
      </c>
      <c r="F652" s="1" t="str">
        <f>IFERROR(__xludf.DUMMYFUNCTION("CONCATENATE(GOOGLETRANSLATE(C652, ""en"", ""ja""))"),"メンズ スクリプト エスニック 幾何学プリント パッチワーク 半袖 T シャツ")</f>
        <v>メンズ スクリプト エスニック 幾何学プリント パッチワーク 半袖 T シャツ</v>
      </c>
    </row>
    <row r="653" ht="15.75" customHeight="1">
      <c r="A653" s="1">
        <v>2126.0</v>
      </c>
      <c r="B653" s="1" t="s">
        <v>381</v>
      </c>
      <c r="C653" s="1" t="s">
        <v>638</v>
      </c>
      <c r="D653" s="1" t="str">
        <f>IFERROR(__xludf.DUMMYFUNCTION("CONCATENATE(GOOGLETRANSLATE(C653, ""en"", ""zh-cn""))
"),"男式民族彩色几何印花拼布短袖 T 恤")</f>
        <v>男式民族彩色几何印花拼布短袖 T 恤</v>
      </c>
      <c r="E653" s="1" t="str">
        <f>IFERROR(__xludf.DUMMYFUNCTION("CONCATENATE(GOOGLETRANSLATE(C653, ""en"", ""ko""))
"),"남성용 에스닉 컬러풀 기하학 프린트 패치워크 반소매 티셔츠")</f>
        <v>남성용 에스닉 컬러풀 기하학 프린트 패치워크 반소매 티셔츠</v>
      </c>
      <c r="F653" s="1" t="str">
        <f>IFERROR(__xludf.DUMMYFUNCTION("CONCATENATE(GOOGLETRANSLATE(C653, ""en"", ""ja""))"),"メンズエスニックカラフルな幾何学プリントパッチワーク半袖Tシャツ")</f>
        <v>メンズエスニックカラフルな幾何学プリントパッチワーク半袖Tシャツ</v>
      </c>
    </row>
    <row r="654" ht="15.75" customHeight="1">
      <c r="A654" s="1">
        <v>2127.0</v>
      </c>
      <c r="B654" s="1" t="s">
        <v>381</v>
      </c>
      <c r="C654" s="1" t="s">
        <v>639</v>
      </c>
      <c r="D654" s="1" t="str">
        <f>IFERROR(__xludf.DUMMYFUNCTION("CONCATENATE(GOOGLETRANSLATE(C654, ""en"", ""zh-cn""))
"),"男式日本卡通猫印花圆领短袖 T 恤")</f>
        <v>男式日本卡通猫印花圆领短袖 T 恤</v>
      </c>
      <c r="E654" s="1" t="str">
        <f>IFERROR(__xludf.DUMMYFUNCTION("CONCATENATE(GOOGLETRANSLATE(C654, ""en"", ""ko""))
"),"남성용 일본 만화 고양이 프린트 크루넥 반팔 티셔츠")</f>
        <v>남성용 일본 만화 고양이 프린트 크루넥 반팔 티셔츠</v>
      </c>
      <c r="F654" s="1" t="str">
        <f>IFERROR(__xludf.DUMMYFUNCTION("CONCATENATE(GOOGLETRANSLATE(C654, ""en"", ""ja""))"),"メンズ日本の漫画猫プリントクルーネック半袖 T シャツ")</f>
        <v>メンズ日本の漫画猫プリントクルーネック半袖 T シャツ</v>
      </c>
    </row>
    <row r="655" ht="15.75" customHeight="1">
      <c r="A655" s="1">
        <v>2128.0</v>
      </c>
      <c r="B655" s="1" t="s">
        <v>381</v>
      </c>
      <c r="C655" s="1" t="s">
        <v>640</v>
      </c>
      <c r="D655" s="1" t="str">
        <f>IFERROR(__xludf.DUMMYFUNCTION("CONCATENATE(GOOGLETRANSLATE(C655, ""en"", ""zh-cn""))
"),"男式日本猫吉他印花圆领短袖 T 恤")</f>
        <v>男式日本猫吉他印花圆领短袖 T 恤</v>
      </c>
      <c r="E655" s="1" t="str">
        <f>IFERROR(__xludf.DUMMYFUNCTION("CONCATENATE(GOOGLETRANSLATE(C655, ""en"", ""ko""))
"),"남성용 일본 고양이 기타 프린트 크루넥 반소매 티셔츠")</f>
        <v>남성용 일본 고양이 기타 프린트 크루넥 반소매 티셔츠</v>
      </c>
      <c r="F655" s="1" t="str">
        <f>IFERROR(__xludf.DUMMYFUNCTION("CONCATENATE(GOOGLETRANSLATE(C655, ""en"", ""ja""))"),"メンズ日本の猫ギター プリント クルーネック半袖 T シャツ")</f>
        <v>メンズ日本の猫ギター プリント クルーネック半袖 T シャツ</v>
      </c>
    </row>
    <row r="656" ht="15.75" customHeight="1">
      <c r="A656" s="1">
        <v>2129.0</v>
      </c>
      <c r="B656" s="1" t="s">
        <v>381</v>
      </c>
      <c r="C656" s="1" t="s">
        <v>641</v>
      </c>
      <c r="D656" s="1" t="str">
        <f>IFERROR(__xludf.DUMMYFUNCTION("CONCATENATE(GOOGLETRANSLATE(C656, ""en"", ""zh-cn""))
"),"男式日本可爱猫咪印花圆领短袖 T 恤")</f>
        <v>男式日本可爱猫咪印花圆领短袖 T 恤</v>
      </c>
      <c r="E656" s="1" t="str">
        <f>IFERROR(__xludf.DUMMYFUNCTION("CONCATENATE(GOOGLETRANSLATE(C656, ""en"", ""ko""))
"),"남성용 일본 귀여운 고양이 프린트 크루넥 반팔 티셔츠")</f>
        <v>남성용 일본 귀여운 고양이 프린트 크루넥 반팔 티셔츠</v>
      </c>
      <c r="F656" s="1" t="str">
        <f>IFERROR(__xludf.DUMMYFUNCTION("CONCATENATE(GOOGLETRANSLATE(C656, ""en"", ""ja""))"),"メンズ日本のかわいい猫プリント クルーネック半袖 T シャツ")</f>
        <v>メンズ日本のかわいい猫プリント クルーネック半袖 T シャツ</v>
      </c>
    </row>
    <row r="657" ht="15.75" customHeight="1">
      <c r="A657" s="1">
        <v>2130.0</v>
      </c>
      <c r="B657" s="1" t="s">
        <v>381</v>
      </c>
      <c r="C657" s="1" t="s">
        <v>639</v>
      </c>
      <c r="D657" s="1" t="str">
        <f>IFERROR(__xludf.DUMMYFUNCTION("CONCATENATE(GOOGLETRANSLATE(C657, ""en"", ""zh-cn""))
"),"男式日本卡通猫印花圆领短袖 T 恤")</f>
        <v>男式日本卡通猫印花圆领短袖 T 恤</v>
      </c>
      <c r="E657" s="1" t="str">
        <f>IFERROR(__xludf.DUMMYFUNCTION("CONCATENATE(GOOGLETRANSLATE(C657, ""en"", ""ko""))
"),"남성용 일본 만화 고양이 프린트 크루넥 반팔 티셔츠")</f>
        <v>남성용 일본 만화 고양이 프린트 크루넥 반팔 티셔츠</v>
      </c>
      <c r="F657" s="1" t="str">
        <f>IFERROR(__xludf.DUMMYFUNCTION("CONCATENATE(GOOGLETRANSLATE(C657, ""en"", ""ja""))"),"メンズ日本の漫画猫プリントクルーネック半袖 T シャツ")</f>
        <v>メンズ日本の漫画猫プリントクルーネック半袖 T シャツ</v>
      </c>
    </row>
    <row r="658" ht="15.75" customHeight="1">
      <c r="A658" s="1">
        <v>2131.0</v>
      </c>
      <c r="B658" s="1" t="s">
        <v>381</v>
      </c>
      <c r="C658" s="1" t="s">
        <v>642</v>
      </c>
      <c r="D658" s="1" t="str">
        <f>IFERROR(__xludf.DUMMYFUNCTION("CONCATENATE(GOOGLETRANSLATE(C658, ""en"", ""zh-cn""))
"),"男式卡通猫日系印花圆领短袖 T 恤")</f>
        <v>男式卡通猫日系印花圆领短袖 T 恤</v>
      </c>
      <c r="E658" s="1" t="str">
        <f>IFERROR(__xludf.DUMMYFUNCTION("CONCATENATE(GOOGLETRANSLATE(C658, ""en"", ""ko""))
"),"남성 만화 고양이 일본 프린트 크루넥 반팔 티셔츠")</f>
        <v>남성 만화 고양이 일본 프린트 크루넥 반팔 티셔츠</v>
      </c>
      <c r="F658" s="1" t="str">
        <f>IFERROR(__xludf.DUMMYFUNCTION("CONCATENATE(GOOGLETRANSLATE(C658, ""en"", ""ja""))"),"メンズ漫画猫日本語プリントクルーネック半袖 T シャツ")</f>
        <v>メンズ漫画猫日本語プリントクルーネック半袖 T シャツ</v>
      </c>
    </row>
    <row r="659" ht="15.75" customHeight="1">
      <c r="A659" s="1">
        <v>2132.0</v>
      </c>
      <c r="B659" s="1" t="s">
        <v>381</v>
      </c>
      <c r="C659" s="1" t="s">
        <v>643</v>
      </c>
      <c r="D659" s="1" t="str">
        <f>IFERROR(__xludf.DUMMYFUNCTION("CONCATENATE(GOOGLETRANSLATE(C659, ""en"", ""zh-cn""))
"),"男士微笑条纹印花圆领短袖 T 恤")</f>
        <v>男士微笑条纹印花圆领短袖 T 恤</v>
      </c>
      <c r="E659" s="1" t="str">
        <f>IFERROR(__xludf.DUMMYFUNCTION("CONCATENATE(GOOGLETRANSLATE(C659, ""en"", ""ko""))
"),"남성용 스마일 스트라이프 프린트 크루넥 반소매 티셔츠")</f>
        <v>남성용 스마일 스트라이프 프린트 크루넥 반소매 티셔츠</v>
      </c>
      <c r="F659" s="1" t="str">
        <f>IFERROR(__xludf.DUMMYFUNCTION("CONCATENATE(GOOGLETRANSLATE(C659, ""en"", ""ja""))"),"メンズスマイルストライププリントクルーネック半袖Tシャツ")</f>
        <v>メンズスマイルストライププリントクルーネック半袖Tシャツ</v>
      </c>
    </row>
    <row r="660" ht="15.75" customHeight="1">
      <c r="A660" s="1">
        <v>2133.0</v>
      </c>
      <c r="B660" s="1" t="s">
        <v>381</v>
      </c>
      <c r="C660" s="1" t="s">
        <v>644</v>
      </c>
      <c r="D660" s="1" t="str">
        <f>IFERROR(__xludf.DUMMYFUNCTION("CONCATENATE(GOOGLETRANSLATE(C660, ""en"", ""zh-cn""))
"),"男士字母胸印花圆领休闲短袖 T 恤")</f>
        <v>男士字母胸印花圆领休闲短袖 T 恤</v>
      </c>
      <c r="E660" s="1" t="str">
        <f>IFERROR(__xludf.DUMMYFUNCTION("CONCATENATE(GOOGLETRANSLATE(C660, ""en"", ""ko""))
"),"남성용 레터 체스트 프린트 크루넥 캐주얼 반소매 티셔츠")</f>
        <v>남성용 레터 체스트 프린트 크루넥 캐주얼 반소매 티셔츠</v>
      </c>
      <c r="F660" s="1" t="str">
        <f>IFERROR(__xludf.DUMMYFUNCTION("CONCATENATE(GOOGLETRANSLATE(C660, ""en"", ""ja""))"),"メンズレター胸プリントクルーネックカジュアル半袖Tシャツ")</f>
        <v>メンズレター胸プリントクルーネックカジュアル半袖Tシャツ</v>
      </c>
    </row>
    <row r="661" ht="15.75" customHeight="1">
      <c r="A661" s="1">
        <v>2134.0</v>
      </c>
      <c r="B661" s="1" t="s">
        <v>381</v>
      </c>
      <c r="C661" s="1" t="s">
        <v>645</v>
      </c>
      <c r="D661" s="1" t="str">
        <f>IFERROR(__xludf.DUMMYFUNCTION("CONCATENATE(GOOGLETRANSLATE(C661, ""en"", ""zh-cn""))
"),"男士字母标语印花圆领休闲短袖 T 恤")</f>
        <v>男士字母标语印花圆领休闲短袖 T 恤</v>
      </c>
      <c r="E661" s="1" t="str">
        <f>IFERROR(__xludf.DUMMYFUNCTION("CONCATENATE(GOOGLETRANSLATE(C661, ""en"", ""ko""))
"),"남성 레터 슬로건 프린트 크루넥 캐주얼 반소매 티셔츠")</f>
        <v>남성 레터 슬로건 프린트 크루넥 캐주얼 반소매 티셔츠</v>
      </c>
      <c r="F661" s="1" t="str">
        <f>IFERROR(__xludf.DUMMYFUNCTION("CONCATENATE(GOOGLETRANSLATE(C661, ""en"", ""ja""))"),"メンズレタースローガンプリントクルーネックカジュアル半袖Tシャツ")</f>
        <v>メンズレタースローガンプリントクルーネックカジュアル半袖Tシャツ</v>
      </c>
    </row>
    <row r="662" ht="15.75" customHeight="1">
      <c r="A662" s="1">
        <v>2135.0</v>
      </c>
      <c r="B662" s="1" t="s">
        <v>381</v>
      </c>
      <c r="C662" s="1" t="s">
        <v>646</v>
      </c>
      <c r="D662" s="1" t="str">
        <f>IFERROR(__xludf.DUMMYFUNCTION("CONCATENATE(GOOGLETRANSLATE(C662, ""en"", ""zh-cn""))
"),"男式镂空网眼透视纯色长袖 T 恤")</f>
        <v>男式镂空网眼透视纯色长袖 T 恤</v>
      </c>
      <c r="E662" s="1" t="str">
        <f>IFERROR(__xludf.DUMMYFUNCTION("CONCATENATE(GOOGLETRANSLATE(C662, ""en"", ""ko""))
"),"남성용 컷아웃 메쉬 시스루 솔리드 긴소매 티셔츠")</f>
        <v>남성용 컷아웃 메쉬 시스루 솔리드 긴소매 티셔츠</v>
      </c>
      <c r="F662" s="1" t="str">
        <f>IFERROR(__xludf.DUMMYFUNCTION("CONCATENATE(GOOGLETRANSLATE(C662, ""en"", ""ja""))"),"メンズカットアウトメッシュシースルーソリッド長袖Tシャツ")</f>
        <v>メンズカットアウトメッシュシースルーソリッド長袖Tシャツ</v>
      </c>
    </row>
    <row r="663" ht="15.75" customHeight="1">
      <c r="A663" s="1">
        <v>2136.0</v>
      </c>
      <c r="B663" s="1" t="s">
        <v>381</v>
      </c>
      <c r="C663" s="1" t="s">
        <v>647</v>
      </c>
      <c r="D663" s="1" t="str">
        <f>IFERROR(__xludf.DUMMYFUNCTION("CONCATENATE(GOOGLETRANSLATE(C663, ""en"", ""zh-cn""))
"),"100% 棉设计日落印花圆领短袖宽松 T 恤")</f>
        <v>100% 棉设计日落印花圆领短袖宽松 T 恤</v>
      </c>
      <c r="E663" s="1" t="str">
        <f>IFERROR(__xludf.DUMMYFUNCTION("CONCATENATE(GOOGLETRANSLATE(C663, ""en"", ""ko""))
"),"100% 코튼 디자인 선셋 프린트 라운드 넥 반팔 루즈 티셔츠")</f>
        <v>100% 코튼 디자인 선셋 프린트 라운드 넥 반팔 루즈 티셔츠</v>
      </c>
      <c r="F663" s="1" t="str">
        <f>IFERROR(__xludf.DUMMYFUNCTION("CONCATENATE(GOOGLETRANSLATE(C663, ""en"", ""ja""))"),"綿100%デザインサンセットプリントラウンドネック半袖ルーズTシャツ")</f>
        <v>綿100%デザインサンセットプリントラウンドネック半袖ルーズTシャツ</v>
      </c>
    </row>
    <row r="664" ht="15.75" customHeight="1">
      <c r="A664" s="1">
        <v>2137.0</v>
      </c>
      <c r="B664" s="1" t="s">
        <v>381</v>
      </c>
      <c r="C664" s="1" t="s">
        <v>648</v>
      </c>
      <c r="D664" s="1" t="str">
        <f>IFERROR(__xludf.DUMMYFUNCTION("CONCATENATE(GOOGLETRANSLATE(C664, ""en"", ""zh-cn""))
"),"男士纯色半领短袖 T 恤")</f>
        <v>男士纯色半领短袖 T 恤</v>
      </c>
      <c r="E664" s="1" t="str">
        <f>IFERROR(__xludf.DUMMYFUNCTION("CONCATENATE(GOOGLETRANSLATE(C664, ""en"", ""ko""))
"),"남성용 솔리드 하프 칼라 반팔 티셔츠")</f>
        <v>남성용 솔리드 하프 칼라 반팔 티셔츠</v>
      </c>
      <c r="F664" s="1" t="str">
        <f>IFERROR(__xludf.DUMMYFUNCTION("CONCATENATE(GOOGLETRANSLATE(C664, ""en"", ""ja""))"),"メンズ ソリッド ハーフカラー 半袖 T シャツ")</f>
        <v>メンズ ソリッド ハーフカラー 半袖 T シャツ</v>
      </c>
    </row>
    <row r="665" ht="15.75" customHeight="1">
      <c r="A665" s="1">
        <v>2138.0</v>
      </c>
      <c r="B665" s="1" t="s">
        <v>381</v>
      </c>
      <c r="C665" s="1" t="s">
        <v>649</v>
      </c>
      <c r="D665" s="1" t="str">
        <f>IFERROR(__xludf.DUMMYFUNCTION("CONCATENATE(GOOGLETRANSLATE(C665, ""en"", ""zh-cn""))
"),"男式民族花卉拼布日本印花针织短袖 T 恤")</f>
        <v>男式民族花卉拼布日本印花针织短袖 T 恤</v>
      </c>
      <c r="E665" s="1" t="str">
        <f>IFERROR(__xludf.DUMMYFUNCTION("CONCATENATE(GOOGLETRANSLATE(C665, ""en"", ""ko""))
"),"남성 에스닉 꽃무늬 패치워크 일본식 프린트 니트 반소매 티셔츠")</f>
        <v>남성 에스닉 꽃무늬 패치워크 일본식 프린트 니트 반소매 티셔츠</v>
      </c>
      <c r="F665" s="1" t="str">
        <f>IFERROR(__xludf.DUMMYFUNCTION("CONCATENATE(GOOGLETRANSLATE(C665, ""en"", ""ja""))"),"メンズエスニックフローラルパッチワーク日本のプリントニット半袖Tシャツ")</f>
        <v>メンズエスニックフローラルパッチワーク日本のプリントニット半袖Tシャツ</v>
      </c>
    </row>
    <row r="666" ht="15.75" customHeight="1">
      <c r="A666" s="1">
        <v>2139.0</v>
      </c>
      <c r="B666" s="1" t="s">
        <v>381</v>
      </c>
      <c r="C666" s="1" t="s">
        <v>650</v>
      </c>
      <c r="D666" s="1" t="str">
        <f>IFERROR(__xludf.DUMMYFUNCTION("CONCATENATE(GOOGLETRANSLATE(C666, ""en"", ""zh-cn""))
"),"男士纯色圆领短袖 T 恤")</f>
        <v>男士纯色圆领短袖 T 恤</v>
      </c>
      <c r="E666" s="1" t="str">
        <f>IFERROR(__xludf.DUMMYFUNCTION("CONCATENATE(GOOGLETRANSLATE(C666, ""en"", ""ko""))
"),"남성용 솔리드 크루넥 반팔 티셔츠")</f>
        <v>남성용 솔리드 크루넥 반팔 티셔츠</v>
      </c>
      <c r="F666" s="1" t="str">
        <f>IFERROR(__xludf.DUMMYFUNCTION("CONCATENATE(GOOGLETRANSLATE(C666, ""en"", ""ja""))"),"メンズソリッドクルーネック半袖Tシャツ")</f>
        <v>メンズソリッドクルーネック半袖Tシャツ</v>
      </c>
    </row>
    <row r="667" ht="15.75" customHeight="1">
      <c r="A667" s="1">
        <v>2140.0</v>
      </c>
      <c r="B667" s="1" t="s">
        <v>381</v>
      </c>
      <c r="C667" s="1" t="s">
        <v>651</v>
      </c>
      <c r="D667" s="1" t="str">
        <f>IFERROR(__xludf.DUMMYFUNCTION("CONCATENATE(GOOGLETRANSLATE(C667, ""en"", ""zh-cn""))
"),"男式民族几何图案口袋针织短袖 T 恤")</f>
        <v>男式民族几何图案口袋针织短袖 T 恤</v>
      </c>
      <c r="E667" s="1" t="str">
        <f>IFERROR(__xludf.DUMMYFUNCTION("CONCATENATE(GOOGLETRANSLATE(C667, ""en"", ""ko""))
"),"남성용 에스닉 기하학 패턴 포켓 니트 반팔 티셔츠")</f>
        <v>남성용 에스닉 기하학 패턴 포켓 니트 반팔 티셔츠</v>
      </c>
      <c r="F667" s="1" t="str">
        <f>IFERROR(__xludf.DUMMYFUNCTION("CONCATENATE(GOOGLETRANSLATE(C667, ""en"", ""ja""))"),"メンズエスニック幾何学模様ポケットニット半袖Tシャツ")</f>
        <v>メンズエスニック幾何学模様ポケットニット半袖Tシャツ</v>
      </c>
    </row>
    <row r="668" ht="15.75" customHeight="1">
      <c r="A668" s="1">
        <v>2141.0</v>
      </c>
      <c r="B668" s="1" t="s">
        <v>381</v>
      </c>
      <c r="C668" s="1" t="s">
        <v>625</v>
      </c>
      <c r="D668" s="1" t="str">
        <f>IFERROR(__xludf.DUMMYFUNCTION("CONCATENATE(GOOGLETRANSLATE(C668, ""en"", ""zh-cn""))
"),"男士微笑民族几何印花圆领短袖 T 恤")</f>
        <v>男士微笑民族几何印花圆领短袖 T 恤</v>
      </c>
      <c r="E668" s="1" t="str">
        <f>IFERROR(__xludf.DUMMYFUNCTION("CONCATENATE(GOOGLETRANSLATE(C668, ""en"", ""ko""))
"),"남성용 스마일 에스닉 기하학 프린트 크루넥 반팔 티셔츠")</f>
        <v>남성용 스마일 에스닉 기하학 프린트 크루넥 반팔 티셔츠</v>
      </c>
      <c r="F668" s="1" t="str">
        <f>IFERROR(__xludf.DUMMYFUNCTION("CONCATENATE(GOOGLETRANSLATE(C668, ""en"", ""ja""))"),"メンズスマイルエスニック幾何学プリントクルーネック半袖Tシャツ")</f>
        <v>メンズスマイルエスニック幾何学プリントクルーネック半袖Tシャツ</v>
      </c>
    </row>
    <row r="669" ht="15.75" customHeight="1">
      <c r="A669" s="1">
        <v>2142.0</v>
      </c>
      <c r="B669" s="1" t="s">
        <v>381</v>
      </c>
      <c r="C669" s="1" t="s">
        <v>652</v>
      </c>
      <c r="D669" s="1" t="str">
        <f>IFERROR(__xludf.DUMMYFUNCTION("CONCATENATE(GOOGLETRANSLATE(C669, ""en"", ""zh-cn""))
"),"男式微笑复古几何印花拼布弧形下摆 T 恤")</f>
        <v>男式微笑复古几何印花拼布弧形下摆 T 恤</v>
      </c>
      <c r="E669" s="1" t="str">
        <f>IFERROR(__xludf.DUMMYFUNCTION("CONCATENATE(GOOGLETRANSLATE(C669, ""en"", ""ko""))
"),"남성용 스마일 빈티지 기하학 프린트 패치워크 곡선 밑단 티셔츠")</f>
        <v>남성용 스마일 빈티지 기하학 프린트 패치워크 곡선 밑단 티셔츠</v>
      </c>
      <c r="F669" s="1" t="str">
        <f>IFERROR(__xludf.DUMMYFUNCTION("CONCATENATE(GOOGLETRANSLATE(C669, ""en"", ""ja""))"),"メンズスマイルヴィンテージ幾何学プリントパッチワークカーブヘムTシャツ")</f>
        <v>メンズスマイルヴィンテージ幾何学プリントパッチワークカーブヘムTシャツ</v>
      </c>
    </row>
    <row r="670" ht="15.75" customHeight="1">
      <c r="A670" s="1">
        <v>2143.0</v>
      </c>
      <c r="B670" s="1" t="s">
        <v>381</v>
      </c>
      <c r="C670" s="1" t="s">
        <v>653</v>
      </c>
      <c r="D670" s="1" t="str">
        <f>IFERROR(__xludf.DUMMYFUNCTION("CONCATENATE(GOOGLETRANSLATE(C670, ""en"", ""zh-cn""))
"),"男式卡通中国龙印花圆领短袖 T 恤")</f>
        <v>男式卡通中国龙印花圆领短袖 T 恤</v>
      </c>
      <c r="E670" s="1" t="str">
        <f>IFERROR(__xludf.DUMMYFUNCTION("CONCATENATE(GOOGLETRANSLATE(C670, ""en"", ""ko""))
"),"남성 만화 중국 용 프린트 크루넥 반팔 티셔츠")</f>
        <v>남성 만화 중국 용 프린트 크루넥 반팔 티셔츠</v>
      </c>
      <c r="F670" s="1" t="str">
        <f>IFERROR(__xludf.DUMMYFUNCTION("CONCATENATE(GOOGLETRANSLATE(C670, ""en"", ""ja""))"),"メンズ漫画中国のドラゴンプリントクルーネック半袖Tシャツ")</f>
        <v>メンズ漫画中国のドラゴンプリントクルーネック半袖Tシャツ</v>
      </c>
    </row>
    <row r="671" ht="15.75" customHeight="1">
      <c r="A671" s="1">
        <v>2144.0</v>
      </c>
      <c r="B671" s="1" t="s">
        <v>381</v>
      </c>
      <c r="C671" s="1" t="s">
        <v>654</v>
      </c>
      <c r="D671" s="1" t="str">
        <f>IFERROR(__xludf.DUMMYFUNCTION("CONCATENATE(GOOGLETRANSLATE(C671, ""en"", ""zh-cn""))
"),"男式元宵花卉背面印花短袖 T 恤")</f>
        <v>男式元宵花卉背面印花短袖 T 恤</v>
      </c>
      <c r="E671" s="1" t="str">
        <f>IFERROR(__xludf.DUMMYFUNCTION("CONCATENATE(GOOGLETRANSLATE(C671, ""en"", ""ko""))
"),"남성용 중국식 랜턴 꽃무늬 백 프린트 반소매 티셔츠")</f>
        <v>남성용 중국식 랜턴 꽃무늬 백 프린트 반소매 티셔츠</v>
      </c>
      <c r="F671" s="1" t="str">
        <f>IFERROR(__xludf.DUMMYFUNCTION("CONCATENATE(GOOGLETRANSLATE(C671, ""en"", ""ja""))"),"メンズチャイナランタン花柄バックプリント半袖Tシャツ")</f>
        <v>メンズチャイナランタン花柄バックプリント半袖Tシャツ</v>
      </c>
    </row>
    <row r="672" ht="15.75" customHeight="1">
      <c r="A672" s="1">
        <v>2145.0</v>
      </c>
      <c r="B672" s="1" t="s">
        <v>381</v>
      </c>
      <c r="C672" s="1" t="s">
        <v>655</v>
      </c>
      <c r="D672" s="1" t="str">
        <f>IFERROR(__xludf.DUMMYFUNCTION("CONCATENATE(GOOGLETRANSLATE(C672, ""en"", ""zh-cn""))
"),"男式彩色民族几何印花弧形下摆短袖 T 恤")</f>
        <v>男式彩色民族几何印花弧形下摆短袖 T 恤</v>
      </c>
      <c r="E672" s="1" t="str">
        <f>IFERROR(__xludf.DUMMYFUNCTION("CONCATENATE(GOOGLETRANSLATE(C672, ""en"", ""ko""))
"),"남성용 다채로운 에스닉 기하학적 프린트 곡선 밑단 반팔 티셔츠")</f>
        <v>남성용 다채로운 에스닉 기하학적 프린트 곡선 밑단 반팔 티셔츠</v>
      </c>
      <c r="F672" s="1" t="str">
        <f>IFERROR(__xludf.DUMMYFUNCTION("CONCATENATE(GOOGLETRANSLATE(C672, ""en"", ""ja""))"),"メンズカラフルなエスニック幾何学プリントカーブヘム半袖 T シャツ")</f>
        <v>メンズカラフルなエスニック幾何学プリントカーブヘム半袖 T シャツ</v>
      </c>
    </row>
    <row r="673" ht="15.75" customHeight="1">
      <c r="A673" s="1">
        <v>2146.0</v>
      </c>
      <c r="B673" s="1" t="s">
        <v>381</v>
      </c>
      <c r="C673" s="1" t="s">
        <v>656</v>
      </c>
      <c r="D673" s="1" t="str">
        <f>IFERROR(__xludf.DUMMYFUNCTION("CONCATENATE(GOOGLETRANSLATE(C673, ""en"", ""zh-cn""))
"),"男式线条标语背面印花弧形下摆短袖 T 恤")</f>
        <v>男式线条标语背面印花弧形下摆短袖 T 恤</v>
      </c>
      <c r="E673" s="1" t="str">
        <f>IFERROR(__xludf.DUMMYFUNCTION("CONCATENATE(GOOGLETRANSLATE(C673, ""en"", ""ko""))
"),"남성 라인 슬로건 백 프린트 곡선 밑단 반팔 티셔츠")</f>
        <v>남성 라인 슬로건 백 프린트 곡선 밑단 반팔 티셔츠</v>
      </c>
      <c r="F673" s="1" t="str">
        <f>IFERROR(__xludf.DUMMYFUNCTION("CONCATENATE(GOOGLETRANSLATE(C673, ""en"", ""ja""))"),"メンズラインスローガンバックプリントカーブヘム半袖Tシャツ")</f>
        <v>メンズラインスローガンバックプリントカーブヘム半袖Tシャツ</v>
      </c>
    </row>
    <row r="674" ht="15.75" customHeight="1">
      <c r="A674" s="1">
        <v>2147.0</v>
      </c>
      <c r="B674" s="1" t="s">
        <v>381</v>
      </c>
      <c r="C674" s="1" t="s">
        <v>657</v>
      </c>
      <c r="D674" s="1" t="str">
        <f>IFERROR(__xludf.DUMMYFUNCTION("CONCATENATE(GOOGLETRANSLATE(C674, ""en"", ""zh-cn""))
"),"男士镂空圆领短袖 T 恤")</f>
        <v>男士镂空圆领短袖 T 恤</v>
      </c>
      <c r="E674" s="1" t="str">
        <f>IFERROR(__xludf.DUMMYFUNCTION("CONCATENATE(GOOGLETRANSLATE(C674, ""en"", ""ko""))
"),"남성용 중공 라운드 넥 반팔 티셔츠")</f>
        <v>남성용 중공 라운드 넥 반팔 티셔츠</v>
      </c>
      <c r="F674" s="1" t="str">
        <f>IFERROR(__xludf.DUMMYFUNCTION("CONCATENATE(GOOGLETRANSLATE(C674, ""en"", ""ja""))"),"メンズ中空ラウンドネック半袖 T シャツ")</f>
        <v>メンズ中空ラウンドネック半袖 T シャツ</v>
      </c>
    </row>
    <row r="675" ht="15.75" customHeight="1">
      <c r="A675" s="1">
        <v>2148.0</v>
      </c>
      <c r="B675" s="1" t="s">
        <v>381</v>
      </c>
      <c r="C675" s="1" t="s">
        <v>658</v>
      </c>
      <c r="D675" s="1" t="str">
        <f>IFERROR(__xludf.DUMMYFUNCTION("CONCATENATE(GOOGLETRANSLATE(C675, ""en"", ""zh-cn""))
"),"男士条纹修身休闲基本款短袖夏季 T 恤")</f>
        <v>男士条纹修身休闲基本款短袖夏季 T 恤</v>
      </c>
      <c r="E675" s="1" t="str">
        <f>IFERROR(__xludf.DUMMYFUNCTION("CONCATENATE(GOOGLETRANSLATE(C675, ""en"", ""ko""))
"),"남성 스트라이프 슬림 캐주얼 기본 디자인 반소매 여름 티셔츠")</f>
        <v>남성 스트라이프 슬림 캐주얼 기본 디자인 반소매 여름 티셔츠</v>
      </c>
      <c r="F675" s="1" t="str">
        <f>IFERROR(__xludf.DUMMYFUNCTION("CONCATENATE(GOOGLETRANSLATE(C675, ""en"", ""ja""))"),"メンズストライプスリムカジュアルベーシックデザイン半袖サマーTシャツ")</f>
        <v>メンズストライプスリムカジュアルベーシックデザイン半袖サマーTシャツ</v>
      </c>
    </row>
    <row r="676" ht="15.75" customHeight="1">
      <c r="A676" s="1">
        <v>2149.0</v>
      </c>
      <c r="B676" s="1" t="s">
        <v>381</v>
      </c>
      <c r="C676" s="1" t="s">
        <v>659</v>
      </c>
      <c r="D676" s="1" t="str">
        <f>IFERROR(__xludf.DUMMYFUNCTION("CONCATENATE(GOOGLETRANSLATE(C676, ""en"", ""zh-cn""))
"),"男式卡通鲨鱼猫日式印花短袖 T 恤")</f>
        <v>男式卡通鲨鱼猫日式印花短袖 T 恤</v>
      </c>
      <c r="E676" s="1" t="str">
        <f>IFERROR(__xludf.DUMMYFUNCTION("CONCATENATE(GOOGLETRANSLATE(C676, ""en"", ""ko""))
"),"남성용 만화 상어 고양이 일본식 프린트 반소매 티셔츠")</f>
        <v>남성용 만화 상어 고양이 일본식 프린트 반소매 티셔츠</v>
      </c>
      <c r="F676" s="1" t="str">
        <f>IFERROR(__xludf.DUMMYFUNCTION("CONCATENATE(GOOGLETRANSLATE(C676, ""en"", ""ja""))"),"メンズ漫画サメ猫日本語プリント半袖 T シャツ")</f>
        <v>メンズ漫画サメ猫日本語プリント半袖 T シャツ</v>
      </c>
    </row>
    <row r="677" ht="15.75" customHeight="1">
      <c r="A677" s="1">
        <v>2150.0</v>
      </c>
      <c r="B677" s="1" t="s">
        <v>381</v>
      </c>
      <c r="C677" s="1" t="s">
        <v>660</v>
      </c>
      <c r="D677" s="1" t="str">
        <f>IFERROR(__xludf.DUMMYFUNCTION("CONCATENATE(GOOGLETRANSLATE(C677, ""en"", ""zh-cn""))
"),"男士休闲长袖上衣圆领宽松基本款 T 恤")</f>
        <v>男士休闲长袖上衣圆领宽松基本款 T 恤</v>
      </c>
      <c r="E677" s="1" t="str">
        <f>IFERROR(__xludf.DUMMYFUNCTION("CONCATENATE(GOOGLETRANSLATE(C677, ""en"", ""ko""))
"),"남성 캐주얼 긴팔 탑 크루넥 루즈 기본 티셔츠")</f>
        <v>남성 캐주얼 긴팔 탑 크루넥 루즈 기본 티셔츠</v>
      </c>
      <c r="F677" s="1" t="str">
        <f>IFERROR(__xludf.DUMMYFUNCTION("CONCATENATE(GOOGLETRANSLATE(C677, ""en"", ""ja""))"),"メンズカジュアル長袖トップスクルーネックルーズベーシックTシャツ")</f>
        <v>メンズカジュアル長袖トップスクルーネックルーズベーシックTシャツ</v>
      </c>
    </row>
    <row r="678" ht="15.75" customHeight="1">
      <c r="A678" s="1">
        <v>2151.0</v>
      </c>
      <c r="B678" s="1" t="s">
        <v>381</v>
      </c>
      <c r="C678" s="1" t="s">
        <v>661</v>
      </c>
      <c r="D678" s="1" t="str">
        <f>IFERROR(__xludf.DUMMYFUNCTION("CONCATENATE(GOOGLETRANSLATE(C678, ""en"", ""zh-cn""))
"),"男士玫瑰印花圆领 100% 棉休闲短袖 T 恤")</f>
        <v>男士玫瑰印花圆领 100% 棉休闲短袖 T 恤</v>
      </c>
      <c r="E678" s="1" t="str">
        <f>IFERROR(__xludf.DUMMYFUNCTION("CONCATENATE(GOOGLETRANSLATE(C678, ""en"", ""ko""))
"),"남성용 로즈 프린트 크루넥 100% 코튼 캐주얼 반소매 티셔츠")</f>
        <v>남성용 로즈 프린트 크루넥 100% 코튼 캐주얼 반소매 티셔츠</v>
      </c>
      <c r="F678" s="1" t="str">
        <f>IFERROR(__xludf.DUMMYFUNCTION("CONCATENATE(GOOGLETRANSLATE(C678, ""en"", ""ja""))"),"メンズローズプリントクルーネック綿100%カジュアル半袖Tシャツ")</f>
        <v>メンズローズプリントクルーネック綿100%カジュアル半袖Tシャツ</v>
      </c>
    </row>
    <row r="679" ht="15.75" customHeight="1">
      <c r="A679" s="1">
        <v>2152.0</v>
      </c>
      <c r="B679" s="1" t="s">
        <v>381</v>
      </c>
      <c r="C679" s="1" t="s">
        <v>662</v>
      </c>
      <c r="D679" s="1" t="str">
        <f>IFERROR(__xludf.DUMMYFUNCTION("CONCATENATE(GOOGLETRANSLATE(C679, ""en"", ""zh-cn""))
"),"男式纯色系带 100% 棉长袖 T 恤")</f>
        <v>男式纯色系带 100% 棉长袖 T 恤</v>
      </c>
      <c r="E679" s="1" t="str">
        <f>IFERROR(__xludf.DUMMYFUNCTION("CONCATENATE(GOOGLETRANSLATE(C679, ""en"", ""ko""))
"),"남성용 솔리드 레이스업 넥 100% 면 긴소매 티셔츠")</f>
        <v>남성용 솔리드 레이스업 넥 100% 면 긴소매 티셔츠</v>
      </c>
      <c r="F679" s="1" t="str">
        <f>IFERROR(__xludf.DUMMYFUNCTION("CONCATENATE(GOOGLETRANSLATE(C679, ""en"", ""ja""))"),"メンズソリッドレースアップネックコットン100%長袖Tシャツ")</f>
        <v>メンズソリッドレースアップネックコットン100%長袖Tシャツ</v>
      </c>
    </row>
    <row r="680" ht="15.75" customHeight="1">
      <c r="A680" s="1">
        <v>2153.0</v>
      </c>
      <c r="B680" s="1" t="s">
        <v>381</v>
      </c>
      <c r="C680" s="1" t="s">
        <v>663</v>
      </c>
      <c r="D680" s="1" t="str">
        <f>IFERROR(__xludf.DUMMYFUNCTION("CONCATENATE(GOOGLETRANSLATE(C680, ""en"", ""zh-cn""))
"),"男士纯色缺角针织休闲长袖 T 恤")</f>
        <v>男士纯色缺角针织休闲长袖 T 恤</v>
      </c>
      <c r="E680" s="1" t="str">
        <f>IFERROR(__xludf.DUMMYFUNCTION("CONCATENATE(GOOGLETRANSLATE(C680, ""en"", ""ko""))
"),"남성 솔리드 노치 넥 니트 캐주얼 긴팔 티셔츠")</f>
        <v>남성 솔리드 노치 넥 니트 캐주얼 긴팔 티셔츠</v>
      </c>
      <c r="F680" s="1" t="str">
        <f>IFERROR(__xludf.DUMMYFUNCTION("CONCATENATE(GOOGLETRANSLATE(C680, ""en"", ""ja""))"),"メンズソリッドノッチネックニットカジュアル長袖Tシャツ")</f>
        <v>メンズソリッドノッチネックニットカジュアル長袖Tシャツ</v>
      </c>
    </row>
    <row r="681" ht="15.75" customHeight="1">
      <c r="A681" s="1">
        <v>2154.0</v>
      </c>
      <c r="B681" s="1" t="s">
        <v>381</v>
      </c>
      <c r="C681" s="1" t="s">
        <v>664</v>
      </c>
      <c r="D681" s="1" t="str">
        <f>IFERROR(__xludf.DUMMYFUNCTION("CONCATENATE(GOOGLETRANSLATE(C681, ""en"", ""zh-cn""))
"),"男士闪亮微光透明网眼短袖 T 恤")</f>
        <v>男士闪亮微光透明网眼短袖 T 恤</v>
      </c>
      <c r="E681" s="1" t="str">
        <f>IFERROR(__xludf.DUMMYFUNCTION("CONCATENATE(GOOGLETRANSLATE(C681, ""en"", ""ko""))
"),"남성용 샤이니 쉬머 쉬어 메쉬 시스루 반소매 티셔츠")</f>
        <v>남성용 샤이니 쉬머 쉬어 메쉬 시스루 반소매 티셔츠</v>
      </c>
      <c r="F681" s="1" t="str">
        <f>IFERROR(__xludf.DUMMYFUNCTION("CONCATENATE(GOOGLETRANSLATE(C681, ""en"", ""ja""))"),"メンズシャイニーシマーシアーメッシュシースルー半袖Tシャツ")</f>
        <v>メンズシャイニーシマーシアーメッシュシースルー半袖Tシャツ</v>
      </c>
    </row>
    <row r="682" ht="15.75" customHeight="1">
      <c r="A682" s="1">
        <v>2155.0</v>
      </c>
      <c r="B682" s="1" t="s">
        <v>381</v>
      </c>
      <c r="C682" s="1" t="s">
        <v>665</v>
      </c>
      <c r="D682" s="1" t="str">
        <f>IFERROR(__xludf.DUMMYFUNCTION("CONCATENATE(GOOGLETRANSLATE(C682, ""en"", ""zh-cn""))
"),"男士高领修身肌肉锻炼夏季休闲 T 恤")</f>
        <v>男士高领修身肌肉锻炼夏季休闲 T 恤</v>
      </c>
      <c r="E682" s="1" t="str">
        <f>IFERROR(__xludf.DUMMYFUNCTION("CONCATENATE(GOOGLETRANSLATE(C682, ""en"", ""ko""))
"),"남성 하이 넥 슬림핏 근육 운동 여름 캐주얼 티셔츠")</f>
        <v>남성 하이 넥 슬림핏 근육 운동 여름 캐주얼 티셔츠</v>
      </c>
      <c r="F682" s="1" t="str">
        <f>IFERROR(__xludf.DUMMYFUNCTION("CONCATENATE(GOOGLETRANSLATE(C682, ""en"", ""ja""))"),"メンズ ハイネック スリムフィット 筋トレ 夏 カジュアル Tシャツ")</f>
        <v>メンズ ハイネック スリムフィット 筋トレ 夏 カジュアル Tシャツ</v>
      </c>
    </row>
    <row r="683" ht="15.75" customHeight="1">
      <c r="A683" s="1">
        <v>2156.0</v>
      </c>
      <c r="B683" s="1" t="s">
        <v>381</v>
      </c>
      <c r="C683" s="1" t="s">
        <v>666</v>
      </c>
      <c r="D683" s="1" t="str">
        <f>IFERROR(__xludf.DUMMYFUNCTION("CONCATENATE(GOOGLETRANSLATE(C683, ""en"", ""zh-cn""))
"),"男士纯色高领天鹅绒长袖 T 恤")</f>
        <v>男士纯色高领天鹅绒长袖 T 恤</v>
      </c>
      <c r="E683" s="1" t="str">
        <f>IFERROR(__xludf.DUMMYFUNCTION("CONCATENATE(GOOGLETRANSLATE(C683, ""en"", ""ko""))
"),"남성 솔리드 하이 넥 벨벳 긴팔 티셔츠")</f>
        <v>남성 솔리드 하이 넥 벨벳 긴팔 티셔츠</v>
      </c>
      <c r="F683" s="1" t="str">
        <f>IFERROR(__xludf.DUMMYFUNCTION("CONCATENATE(GOOGLETRANSLATE(C683, ""en"", ""ja""))"),"メンズソリッドハイネックベルベット長袖Tシャツ")</f>
        <v>メンズソリッドハイネックベルベット長袖Tシャツ</v>
      </c>
    </row>
    <row r="684" ht="15.75" customHeight="1">
      <c r="A684" s="1">
        <v>2157.0</v>
      </c>
      <c r="B684" s="1" t="s">
        <v>381</v>
      </c>
      <c r="C684" s="1" t="s">
        <v>667</v>
      </c>
      <c r="D684" s="1" t="str">
        <f>IFERROR(__xludf.DUMMYFUNCTION("CONCATENATE(GOOGLETRANSLATE(C684, ""en"", ""zh-cn""))
"),"男士纯色抽绳 V 领棉质短袖 T 恤")</f>
        <v>男士纯色抽绳 V 领棉质短袖 T 恤</v>
      </c>
      <c r="E684" s="1" t="str">
        <f>IFERROR(__xludf.DUMMYFUNCTION("CONCATENATE(GOOGLETRANSLATE(C684, ""en"", ""ko""))
"),"남성용 솔리드 드로스트링 V넥 코튼 반팔 티셔츠")</f>
        <v>남성용 솔리드 드로스트링 V넥 코튼 반팔 티셔츠</v>
      </c>
      <c r="F684" s="1" t="str">
        <f>IFERROR(__xludf.DUMMYFUNCTION("CONCATENATE(GOOGLETRANSLATE(C684, ""en"", ""ja""))"),"メンズソリッドドローストリングVネックコットン半袖Tシャツ")</f>
        <v>メンズソリッドドローストリングVネックコットン半袖Tシャツ</v>
      </c>
    </row>
    <row r="685" ht="15.75" customHeight="1">
      <c r="A685" s="1">
        <v>2158.0</v>
      </c>
      <c r="B685" s="1" t="s">
        <v>381</v>
      </c>
      <c r="C685" s="1" t="s">
        <v>668</v>
      </c>
      <c r="D685" s="1" t="str">
        <f>IFERROR(__xludf.DUMMYFUNCTION("CONCATENATE(GOOGLETRANSLATE(C685, ""en"", ""zh-cn""))
"),"男士字母日式印花高低弧形下摆短袖 T 恤")</f>
        <v>男士字母日式印花高低弧形下摆短袖 T 恤</v>
      </c>
      <c r="E685" s="1" t="str">
        <f>IFERROR(__xludf.DUMMYFUNCTION("CONCATENATE(GOOGLETRANSLATE(C685, ""en"", ""ko""))
"),"남성용 레터 일본어 프린트 하이 로우 곡선 밑단 반팔 티셔츠")</f>
        <v>남성용 레터 일본어 프린트 하이 로우 곡선 밑단 반팔 티셔츠</v>
      </c>
      <c r="F685" s="1" t="str">
        <f>IFERROR(__xludf.DUMMYFUNCTION("CONCATENATE(GOOGLETRANSLATE(C685, ""en"", ""ja""))"),"メンズレター日本語プリント高低カーブヘム半袖 T シャツ")</f>
        <v>メンズレター日本語プリント高低カーブヘム半袖 T シャツ</v>
      </c>
    </row>
    <row r="686" ht="15.75" customHeight="1">
      <c r="A686" s="1">
        <v>2159.0</v>
      </c>
      <c r="B686" s="1" t="s">
        <v>381</v>
      </c>
      <c r="C686" s="1" t="s">
        <v>669</v>
      </c>
      <c r="D686" s="1" t="str">
        <f>IFERROR(__xludf.DUMMYFUNCTION("CONCATENATE(GOOGLETRANSLATE(C686, ""en"", ""zh-cn""))
"),"男士玫瑰日式印花弧形下摆短袖 T 恤")</f>
        <v>男士玫瑰日式印花弧形下摆短袖 T 恤</v>
      </c>
      <c r="E686" s="1" t="str">
        <f>IFERROR(__xludf.DUMMYFUNCTION("CONCATENATE(GOOGLETRANSLATE(C686, ""en"", ""ko""))
"),"남성용 로즈 일본식 프린트 곡선형 밑단 반소매 티셔츠")</f>
        <v>남성용 로즈 일본식 프린트 곡선형 밑단 반소매 티셔츠</v>
      </c>
      <c r="F686" s="1" t="str">
        <f>IFERROR(__xludf.DUMMYFUNCTION("CONCATENATE(GOOGLETRANSLATE(C686, ""en"", ""ja""))"),"メンズローズ日本語プリントカーブヘム半袖 T シャツ")</f>
        <v>メンズローズ日本語プリントカーブヘム半袖 T シャツ</v>
      </c>
    </row>
    <row r="687" ht="15.75" customHeight="1">
      <c r="A687" s="1">
        <v>2160.0</v>
      </c>
      <c r="B687" s="1" t="s">
        <v>381</v>
      </c>
      <c r="C687" s="1" t="s">
        <v>670</v>
      </c>
      <c r="D687" s="1" t="str">
        <f>IFERROR(__xludf.DUMMYFUNCTION("CONCATENATE(GOOGLETRANSLATE(C687, ""en"", ""zh-cn""))
"),"男士单色几何印花拼接纹理短袖连帽 T 恤")</f>
        <v>男士单色几何印花拼接纹理短袖连帽 T 恤</v>
      </c>
      <c r="E687" s="1" t="str">
        <f>IFERROR(__xludf.DUMMYFUNCTION("CONCATENATE(GOOGLETRANSLATE(C687, ""en"", ""ko""))
"),"남성용 단색 기하학 프린트 스플라이스 텍스처 반소매 후드 티셔츠")</f>
        <v>남성용 단색 기하학 프린트 스플라이스 텍스처 반소매 후드 티셔츠</v>
      </c>
      <c r="F687" s="1" t="str">
        <f>IFERROR(__xludf.DUMMYFUNCTION("CONCATENATE(GOOGLETRANSLATE(C687, ""en"", ""ja""))"),"メンズモノクロ幾何学プリントスプライステクスチャ半袖フード付きTシャツ")</f>
        <v>メンズモノクロ幾何学プリントスプライステクスチャ半袖フード付きTシャツ</v>
      </c>
    </row>
    <row r="688" ht="15.75" customHeight="1">
      <c r="A688" s="1">
        <v>2161.0</v>
      </c>
      <c r="B688" s="1" t="s">
        <v>381</v>
      </c>
      <c r="C688" s="1" t="s">
        <v>671</v>
      </c>
      <c r="D688" s="1" t="str">
        <f>IFERROR(__xludf.DUMMYFUNCTION("CONCATENATE(GOOGLETRANSLATE(C688, ""en"", ""zh-cn""))
"),"男式玫瑰日式印花拼布圆领短袖 T 恤")</f>
        <v>男式玫瑰日式印花拼布圆领短袖 T 恤</v>
      </c>
      <c r="E688" s="1" t="str">
        <f>IFERROR(__xludf.DUMMYFUNCTION("CONCATENATE(GOOGLETRANSLATE(C688, ""en"", ""ko""))
"),"남성 로즈 일본식 프린트 패치워크 크루넥 반팔 티셔츠")</f>
        <v>남성 로즈 일본식 프린트 패치워크 크루넥 반팔 티셔츠</v>
      </c>
      <c r="F688" s="1" t="str">
        <f>IFERROR(__xludf.DUMMYFUNCTION("CONCATENATE(GOOGLETRANSLATE(C688, ""en"", ""ja""))"),"メンズローズ和柄パッチワーククルーネック半袖Tシャツ")</f>
        <v>メンズローズ和柄パッチワーククルーネック半袖Tシャツ</v>
      </c>
    </row>
    <row r="689" ht="15.75" customHeight="1">
      <c r="A689" s="1">
        <v>2162.0</v>
      </c>
      <c r="B689" s="1" t="s">
        <v>381</v>
      </c>
      <c r="C689" s="1" t="s">
        <v>672</v>
      </c>
      <c r="D689" s="1" t="str">
        <f>IFERROR(__xludf.DUMMYFUNCTION("CONCATENATE(GOOGLETRANSLATE(C689, ""en"", ""zh-cn""))
"),"男士日式字母印花弧形下摆休闲短袖 T 恤")</f>
        <v>男士日式字母印花弧形下摆休闲短袖 T 恤</v>
      </c>
      <c r="E689" s="1" t="str">
        <f>IFERROR(__xludf.DUMMYFUNCTION("CONCATENATE(GOOGLETRANSLATE(C689, ""en"", ""ko""))
"),"남성용 일본 문자 프린트 곡선 밑단 캐주얼 반소매 티셔츠")</f>
        <v>남성용 일본 문자 프린트 곡선 밑단 캐주얼 반소매 티셔츠</v>
      </c>
      <c r="F689" s="1" t="str">
        <f>IFERROR(__xludf.DUMMYFUNCTION("CONCATENATE(GOOGLETRANSLATE(C689, ""en"", ""ja""))"),"メンズ日本語レタープリントカーブヘムカジュアル半袖Tシャツ")</f>
        <v>メンズ日本語レタープリントカーブヘムカジュアル半袖Tシャツ</v>
      </c>
    </row>
    <row r="690" ht="15.75" customHeight="1">
      <c r="A690" s="1">
        <v>2163.0</v>
      </c>
      <c r="B690" s="1" t="s">
        <v>381</v>
      </c>
      <c r="C690" s="1" t="s">
        <v>673</v>
      </c>
      <c r="D690" s="1" t="str">
        <f>IFERROR(__xludf.DUMMYFUNCTION("CONCATENATE(GOOGLETRANSLATE(C690, ""en"", ""zh-cn""))
"),"男式猫图案圆领弧形下摆长袖 T 恤")</f>
        <v>男式猫图案圆领弧形下摆长袖 T 恤</v>
      </c>
      <c r="E690" s="1" t="str">
        <f>IFERROR(__xludf.DUMMYFUNCTION("CONCATENATE(GOOGLETRANSLATE(C690, ""en"", ""ko""))
"),"남성용 캣 그래픽 크루넥 곡선 밑단 긴소매 티셔츠")</f>
        <v>남성용 캣 그래픽 크루넥 곡선 밑단 긴소매 티셔츠</v>
      </c>
      <c r="F690" s="1" t="str">
        <f>IFERROR(__xludf.DUMMYFUNCTION("CONCATENATE(GOOGLETRANSLATE(C690, ""en"", ""ja""))"),"メンズ キャット グラフィック クルーネック カーブヘム 長袖 T シャツ")</f>
        <v>メンズ キャット グラフィック クルーネック カーブヘム 長袖 T シャツ</v>
      </c>
    </row>
    <row r="691" ht="15.75" customHeight="1">
      <c r="A691" s="1">
        <v>2164.0</v>
      </c>
      <c r="B691" s="1" t="s">
        <v>381</v>
      </c>
      <c r="C691" s="1" t="s">
        <v>674</v>
      </c>
      <c r="D691" s="1" t="str">
        <f>IFERROR(__xludf.DUMMYFUNCTION("CONCATENATE(GOOGLETRANSLATE(C691, ""en"", ""zh-cn""))
"),"男士罗纹针织圆领 T 恤")</f>
        <v>男士罗纹针织圆领 T 恤</v>
      </c>
      <c r="E691" s="1" t="str">
        <f>IFERROR(__xludf.DUMMYFUNCTION("CONCATENATE(GOOGLETRANSLATE(C691, ""en"", ""ko""))
"),"남성용 리브 니트 크루넥 티셔츠")</f>
        <v>남성용 리브 니트 크루넥 티셔츠</v>
      </c>
      <c r="F691" s="1" t="str">
        <f>IFERROR(__xludf.DUMMYFUNCTION("CONCATENATE(GOOGLETRANSLATE(C691, ""en"", ""ja""))"),"メンズ リブ ニット クルーネック T シャツ")</f>
        <v>メンズ リブ ニット クルーネック T シャツ</v>
      </c>
    </row>
    <row r="692" ht="15.75" customHeight="1">
      <c r="A692" s="1">
        <v>2165.0</v>
      </c>
      <c r="B692" s="1" t="s">
        <v>381</v>
      </c>
      <c r="C692" s="1" t="s">
        <v>675</v>
      </c>
      <c r="D692" s="1" t="str">
        <f>IFERROR(__xludf.DUMMYFUNCTION("CONCATENATE(GOOGLETRANSLATE(C692, ""en"", ""zh-cn""))
"),"男士纯色短袖针织 T 恤")</f>
        <v>男士纯色短袖针织 T 恤</v>
      </c>
      <c r="E692" s="1" t="str">
        <f>IFERROR(__xludf.DUMMYFUNCTION("CONCATENATE(GOOGLETRANSLATE(C692, ""en"", ""ko""))
"),"남성용 솔리드 반소매 니트 티셔츠")</f>
        <v>남성용 솔리드 반소매 니트 티셔츠</v>
      </c>
      <c r="F692" s="1" t="str">
        <f>IFERROR(__xludf.DUMMYFUNCTION("CONCATENATE(GOOGLETRANSLATE(C692, ""en"", ""ja""))"),"メンズソリッド半袖ニットTシャツ")</f>
        <v>メンズソリッド半袖ニットTシャツ</v>
      </c>
    </row>
    <row r="693" ht="15.75" customHeight="1">
      <c r="A693" s="1">
        <v>2166.0</v>
      </c>
      <c r="B693" s="1" t="s">
        <v>381</v>
      </c>
      <c r="C693" s="1" t="s">
        <v>676</v>
      </c>
      <c r="D693" s="1" t="str">
        <f>IFERROR(__xludf.DUMMYFUNCTION("CONCATENATE(GOOGLETRANSLATE(C693, ""en"", ""zh-cn""))
"),"男式阿盖尔玫瑰印花圆领民族短袖 T 恤")</f>
        <v>男式阿盖尔玫瑰印花圆领民族短袖 T 恤</v>
      </c>
      <c r="E693" s="1" t="str">
        <f>IFERROR(__xludf.DUMMYFUNCTION("CONCATENATE(GOOGLETRANSLATE(C693, ""en"", ""ko""))
"),"남성 아가일 로즈 프린트 크루넥 에스닉 반소매 티셔츠")</f>
        <v>남성 아가일 로즈 프린트 크루넥 에스닉 반소매 티셔츠</v>
      </c>
      <c r="F693" s="1" t="str">
        <f>IFERROR(__xludf.DUMMYFUNCTION("CONCATENATE(GOOGLETRANSLATE(C693, ""en"", ""ja""))"),"メンズ アーガイル ローズ プリント クルーネック エスニック 半袖 T シャツ")</f>
        <v>メンズ アーガイル ローズ プリント クルーネック エスニック 半袖 T シャツ</v>
      </c>
    </row>
    <row r="694" ht="15.75" customHeight="1">
      <c r="A694" s="1">
        <v>2167.0</v>
      </c>
      <c r="B694" s="1" t="s">
        <v>381</v>
      </c>
      <c r="C694" s="1" t="s">
        <v>677</v>
      </c>
      <c r="D694" s="1" t="str">
        <f>IFERROR(__xludf.DUMMYFUNCTION("CONCATENATE(GOOGLETRANSLATE(C694, ""en"", ""zh-cn""))
"),"男士心形手势印花情人节休闲短袖 T 恤")</f>
        <v>男士心形手势印花情人节休闲短袖 T 恤</v>
      </c>
      <c r="E694" s="1" t="str">
        <f>IFERROR(__xludf.DUMMYFUNCTION("CONCATENATE(GOOGLETRANSLATE(C694, ""en"", ""ko""))
"),"남성 하트 제스처 프린트 발렌타인 데이 캐주얼 반소매 티셔츠")</f>
        <v>남성 하트 제스처 프린트 발렌타인 데이 캐주얼 반소매 티셔츠</v>
      </c>
      <c r="F694" s="1" t="str">
        <f>IFERROR(__xludf.DUMMYFUNCTION("CONCATENATE(GOOGLETRANSLATE(C694, ""en"", ""ja""))"),"メンズハートジェスチャープリントバレンタインデーカジュアル半袖Tシャツ")</f>
        <v>メンズハートジェスチャープリントバレンタインデーカジュアル半袖Tシャツ</v>
      </c>
    </row>
    <row r="695" ht="15.75" customHeight="1">
      <c r="A695" s="1">
        <v>2168.0</v>
      </c>
      <c r="B695" s="1" t="s">
        <v>381</v>
      </c>
      <c r="C695" s="1" t="s">
        <v>678</v>
      </c>
      <c r="D695" s="1" t="str">
        <f>IFERROR(__xludf.DUMMYFUNCTION("CONCATENATE(GOOGLETRANSLATE(C695, ""en"", ""zh-cn""))
"),"男式东京人物刺绣小高领短袖 T 恤")</f>
        <v>男式东京人物刺绣小高领短袖 T 恤</v>
      </c>
      <c r="E695" s="1" t="str">
        <f>IFERROR(__xludf.DUMMYFUNCTION("CONCATENATE(GOOGLETRANSLATE(C695, ""en"", ""ko""))
"),"남성용 도쿄 캐릭터 자수 모크 넥 반소매 티셔츠")</f>
        <v>남성용 도쿄 캐릭터 자수 모크 넥 반소매 티셔츠</v>
      </c>
      <c r="F695" s="1" t="str">
        <f>IFERROR(__xludf.DUMMYFUNCTION("CONCATENATE(GOOGLETRANSLATE(C695, ""en"", ""ja""))"),"メンズ東京キャラクター刺繍モックネック半袖 T シャツ")</f>
        <v>メンズ東京キャラクター刺繍モックネック半袖 T シャツ</v>
      </c>
    </row>
    <row r="696" ht="15.75" customHeight="1">
      <c r="A696" s="1">
        <v>2169.0</v>
      </c>
      <c r="B696" s="1" t="s">
        <v>381</v>
      </c>
      <c r="C696" s="1" t="s">
        <v>679</v>
      </c>
      <c r="D696" s="1" t="str">
        <f>IFERROR(__xludf.DUMMYFUNCTION("CONCATENATE(GOOGLETRANSLATE(C696, ""en"", ""zh-cn""))
"),"男式日本波浪猫印花圆领短袖 T 恤")</f>
        <v>男式日本波浪猫印花圆领短袖 T 恤</v>
      </c>
      <c r="E696" s="1" t="str">
        <f>IFERROR(__xludf.DUMMYFUNCTION("CONCATENATE(GOOGLETRANSLATE(C696, ""en"", ""ko""))
"),"남성용 일류 고양이 프린트 크루넥 반팔 티셔츠")</f>
        <v>남성용 일류 고양이 프린트 크루넥 반팔 티셔츠</v>
      </c>
      <c r="F696" s="1" t="str">
        <f>IFERROR(__xludf.DUMMYFUNCTION("CONCATENATE(GOOGLETRANSLATE(C696, ""en"", ""ja""))"),"メンズ ジャパニーズ ウェーブ キャット プリント クルーネック 半袖 T シャツ")</f>
        <v>メンズ ジャパニーズ ウェーブ キャット プリント クルーネック 半袖 T シャツ</v>
      </c>
    </row>
    <row r="697" ht="15.75" customHeight="1">
      <c r="A697" s="1">
        <v>2170.0</v>
      </c>
      <c r="B697" s="1" t="s">
        <v>381</v>
      </c>
      <c r="C697" s="1" t="s">
        <v>680</v>
      </c>
      <c r="D697" s="1" t="str">
        <f>IFERROR(__xludf.DUMMYFUNCTION("CONCATENATE(GOOGLETRANSLATE(C697, ""en"", ""zh-cn""))
"),"男士纯色长袖 V 领 T 恤")</f>
        <v>男士纯色长袖 V 领 T 恤</v>
      </c>
      <c r="E697" s="1" t="str">
        <f>IFERROR(__xludf.DUMMYFUNCTION("CONCATENATE(GOOGLETRANSLATE(C697, ""en"", ""ko""))
"),"남성용 솔리드 긴팔 브이넥 티셔츠")</f>
        <v>남성용 솔리드 긴팔 브이넥 티셔츠</v>
      </c>
      <c r="F697" s="1" t="str">
        <f>IFERROR(__xludf.DUMMYFUNCTION("CONCATENATE(GOOGLETRANSLATE(C697, ""en"", ""ja""))"),"メンズソリッド長袖VネックTシャツ")</f>
        <v>メンズソリッド長袖VネックTシャツ</v>
      </c>
    </row>
    <row r="698" ht="15.75" customHeight="1">
      <c r="A698" s="1">
        <v>2171.0</v>
      </c>
      <c r="B698" s="1" t="s">
        <v>381</v>
      </c>
      <c r="C698" s="1" t="s">
        <v>681</v>
      </c>
      <c r="D698" s="1" t="str">
        <f>IFERROR(__xludf.DUMMYFUNCTION("CONCATENATE(GOOGLETRANSLATE(C698, ""en"", ""zh-cn""))
"),"男士日本半领纯色短袖T恤")</f>
        <v>男士日本半领纯色短袖T恤</v>
      </c>
      <c r="E698" s="1" t="str">
        <f>IFERROR(__xludf.DUMMYFUNCTION("CONCATENATE(GOOGLETRANSLATE(C698, ""en"", ""ko""))
"),"남성용 일본 하프 칼라 솔리드 반소매 티셔츠")</f>
        <v>남성용 일본 하프 칼라 솔리드 반소매 티셔츠</v>
      </c>
      <c r="F698" s="1" t="str">
        <f>IFERROR(__xludf.DUMMYFUNCTION("CONCATENATE(GOOGLETRANSLATE(C698, ""en"", ""ja""))"),"メンズジャパン半衿無地半袖Tシャツ")</f>
        <v>メンズジャパン半衿無地半袖Tシャツ</v>
      </c>
    </row>
    <row r="699" ht="15.75" customHeight="1">
      <c r="A699" s="1">
        <v>2172.0</v>
      </c>
      <c r="B699" s="1" t="s">
        <v>381</v>
      </c>
      <c r="C699" s="1" t="s">
        <v>682</v>
      </c>
      <c r="D699" s="1" t="str">
        <f>IFERROR(__xludf.DUMMYFUNCTION("CONCATENATE(GOOGLETRANSLATE(C699, ""en"", ""zh-cn""))
"),"男士水墨梅花印花圆领短袖 T 恤")</f>
        <v>男士水墨梅花印花圆领短袖 T 恤</v>
      </c>
      <c r="E699" s="1" t="str">
        <f>IFERROR(__xludf.DUMMYFUNCTION("CONCATENATE(GOOGLETRANSLATE(C699, ""en"", ""ko""))
"),"남성용 중국어 잉크 매화 보솜 프린트 크루넥 반팔 티셔츠")</f>
        <v>남성용 중국어 잉크 매화 보솜 프린트 크루넥 반팔 티셔츠</v>
      </c>
      <c r="F699" s="1" t="str">
        <f>IFERROR(__xludf.DUMMYFUNCTION("CONCATENATE(GOOGLETRANSLATE(C699, ""en"", ""ja""))"),"メンズ中国墨梅ボッサム プリント クルーネック半袖 T シャツ")</f>
        <v>メンズ中国墨梅ボッサム プリント クルーネック半袖 T シャツ</v>
      </c>
    </row>
    <row r="700" ht="15.75" customHeight="1">
      <c r="A700" s="1">
        <v>2173.0</v>
      </c>
      <c r="B700" s="1" t="s">
        <v>381</v>
      </c>
      <c r="C700" s="1" t="s">
        <v>683</v>
      </c>
      <c r="D700" s="1" t="str">
        <f>IFERROR(__xludf.DUMMYFUNCTION("CONCATENATE(GOOGLETRANSLATE(C700, ""en"", ""zh-cn""))
"),"男式纯色纽扣翻领口袋两件套套装")</f>
        <v>男式纯色纽扣翻领口袋两件套套装</v>
      </c>
      <c r="E700" s="1" t="str">
        <f>IFERROR(__xludf.DUMMYFUNCTION("CONCATENATE(GOOGLETRANSLATE(C700, ""en"", ""ko""))
"),"남성용 솔리드 버튼 라펠 포켓 2피스 슈트")</f>
        <v>남성용 솔리드 버튼 라펠 포켓 2피스 슈트</v>
      </c>
      <c r="F700" s="1" t="str">
        <f>IFERROR(__xludf.DUMMYFUNCTION("CONCATENATE(GOOGLETRANSLATE(C700, ""en"", ""ja""))"),"メンズソリッドボタンラペルポケットツーピーススーツ")</f>
        <v>メンズソリッドボタンラペルポケットツーピーススーツ</v>
      </c>
    </row>
    <row r="701" ht="15.75" customHeight="1">
      <c r="A701" s="1">
        <v>2174.0</v>
      </c>
      <c r="B701" s="1" t="s">
        <v>381</v>
      </c>
      <c r="C701" s="1" t="s">
        <v>684</v>
      </c>
      <c r="D701" s="1" t="str">
        <f>IFERROR(__xludf.DUMMYFUNCTION("CONCATENATE(GOOGLETRANSLATE(C701, ""en"", ""zh-cn""))
"),"男式纯色按扣插肩袖休闲夹克")</f>
        <v>男式纯色按扣插肩袖休闲夹克</v>
      </c>
      <c r="E701" s="1" t="str">
        <f>IFERROR(__xludf.DUMMYFUNCTION("CONCATENATE(GOOGLETRANSLATE(C701, ""en"", ""ko""))
"),"남성용 솔리드 스냅 버튼 라글란 슬리브 캐주얼 재킷")</f>
        <v>남성용 솔리드 스냅 버튼 라글란 슬리브 캐주얼 재킷</v>
      </c>
      <c r="F701" s="1" t="str">
        <f>IFERROR(__xludf.DUMMYFUNCTION("CONCATENATE(GOOGLETRANSLATE(C701, ""en"", ""ja""))"),"メンズソリッドスナップボタンラグランスリーブカジュアルジャケット")</f>
        <v>メンズソリッドスナップボタンラグランスリーブカジュアルジャケット</v>
      </c>
    </row>
    <row r="702" ht="15.75" customHeight="1">
      <c r="A702" s="1">
        <v>2175.0</v>
      </c>
      <c r="B702" s="1" t="s">
        <v>381</v>
      </c>
      <c r="C702" s="1" t="s">
        <v>685</v>
      </c>
      <c r="D702" s="1" t="str">
        <f>IFERROR(__xludf.DUMMYFUNCTION("CONCATENATE(GOOGLETRANSLATE(C702, ""en"", ""zh-cn""))
"),"男式笑脸刺绣按扣毛绒内衬连帽夹克")</f>
        <v>男式笑脸刺绣按扣毛绒内衬连帽夹克</v>
      </c>
      <c r="E702" s="1" t="str">
        <f>IFERROR(__xludf.DUMMYFUNCTION("CONCATENATE(GOOGLETRANSLATE(C702, ""en"", ""ko""))
"),"남성용 스마일 페이스 자수 스냅 버튼 플러시 라이닝 후드 재킷")</f>
        <v>남성용 스마일 페이스 자수 스냅 버튼 플러시 라이닝 후드 재킷</v>
      </c>
      <c r="F702" s="1" t="str">
        <f>IFERROR(__xludf.DUMMYFUNCTION("CONCATENATE(GOOGLETRANSLATE(C702, ""en"", ""ja""))"),"メンズスマイルフェイス刺繍スナップボタンプラッシュ裏地付きフード付きジャケット")</f>
        <v>メンズスマイルフェイス刺繍スナップボタンプラッシュ裏地付きフード付きジャケット</v>
      </c>
    </row>
    <row r="703" ht="15.75" customHeight="1">
      <c r="A703" s="1">
        <v>2176.0</v>
      </c>
      <c r="B703" s="1" t="s">
        <v>381</v>
      </c>
      <c r="C703" s="1" t="s">
        <v>686</v>
      </c>
      <c r="D703" s="1" t="str">
        <f>IFERROR(__xludf.DUMMYFUNCTION("CONCATENATE(GOOGLETRANSLATE(C703, ""en"", ""zh-cn""))
"),"男式植物印花拼布翻领宽松夹克")</f>
        <v>男式植物印花拼布翻领宽松夹克</v>
      </c>
      <c r="E703" s="1" t="str">
        <f>IFERROR(__xludf.DUMMYFUNCTION("CONCATENATE(GOOGLETRANSLATE(C703, ""en"", ""ko""))
"),"남성 플랜트 프린트 패치워크 플랩 포켓 라펠 루즈 재킷")</f>
        <v>남성 플랜트 프린트 패치워크 플랩 포켓 라펠 루즈 재킷</v>
      </c>
      <c r="F703" s="1" t="str">
        <f>IFERROR(__xludf.DUMMYFUNCTION("CONCATENATE(GOOGLETRANSLATE(C703, ""en"", ""ja""))"),"メンズ植物プリント パッチワーク フラップ ポケット ラペル ルーズ ジャケット")</f>
        <v>メンズ植物プリント パッチワーク フラップ ポケット ラペル ルーズ ジャケット</v>
      </c>
    </row>
    <row r="704" ht="15.75" customHeight="1">
      <c r="A704" s="1">
        <v>2177.0</v>
      </c>
      <c r="B704" s="1" t="s">
        <v>381</v>
      </c>
      <c r="C704" s="1" t="s">
        <v>687</v>
      </c>
      <c r="D704" s="1" t="str">
        <f>IFERROR(__xludf.DUMMYFUNCTION("CONCATENATE(GOOGLETRANSLATE(C704, ""en"", ""zh-cn""))
"),"男士笑脸刺绣灯芯绒抽绳连帽衬衫夹克")</f>
        <v>男士笑脸刺绣灯芯绒抽绳连帽衬衫夹克</v>
      </c>
      <c r="E704" s="1" t="str">
        <f>IFERROR(__xludf.DUMMYFUNCTION("CONCATENATE(GOOGLETRANSLATE(C704, ""en"", ""ko""))
"),"남성용 스마일 페이스 자수 코듀로이 드로스트링 후드 셔츠 재킷")</f>
        <v>남성용 스마일 페이스 자수 코듀로이 드로스트링 후드 셔츠 재킷</v>
      </c>
      <c r="F704" s="1" t="str">
        <f>IFERROR(__xludf.DUMMYFUNCTION("CONCATENATE(GOOGLETRANSLATE(C704, ""en"", ""ja""))"),"メンズスマイルフェイス刺繍コーデュロイ巾着フード付きシャツジャケット")</f>
        <v>メンズスマイルフェイス刺繍コーデュロイ巾着フード付きシャツジャケット</v>
      </c>
    </row>
    <row r="705" ht="15.75" customHeight="1">
      <c r="A705" s="1">
        <v>2178.0</v>
      </c>
      <c r="B705" s="1" t="s">
        <v>381</v>
      </c>
      <c r="C705" s="1" t="s">
        <v>688</v>
      </c>
      <c r="D705" s="1" t="str">
        <f>IFERROR(__xludf.DUMMYFUNCTION("CONCATENATE(GOOGLETRANSLATE(C705, ""en"", ""zh-cn""))
"),"男式民族部落图案拼布灯芯绒连帽衬衫夹克")</f>
        <v>男式民族部落图案拼布灯芯绒连帽衬衫夹克</v>
      </c>
      <c r="E705" s="1" t="str">
        <f>IFERROR(__xludf.DUMMYFUNCTION("CONCATENATE(GOOGLETRANSLATE(C705, ""en"", ""ko""))
"),"남성용 에스닉 트라이벌 패턴 패치워크 코듀로이 후드 셔츠 재킷")</f>
        <v>남성용 에스닉 트라이벌 패턴 패치워크 코듀로이 후드 셔츠 재킷</v>
      </c>
      <c r="F705" s="1" t="str">
        <f>IFERROR(__xludf.DUMMYFUNCTION("CONCATENATE(GOOGLETRANSLATE(C705, ""en"", ""ja""))"),"メンズエスニックトライバルパターンパッチワークコーデュロイフード付きシャツジャケット")</f>
        <v>メンズエスニックトライバルパターンパッチワークコーデュロイフード付きシャツジャケット</v>
      </c>
    </row>
    <row r="706" ht="15.75" customHeight="1">
      <c r="A706" s="1">
        <v>2179.0</v>
      </c>
      <c r="B706" s="1" t="s">
        <v>381</v>
      </c>
      <c r="C706" s="1" t="s">
        <v>689</v>
      </c>
      <c r="D706" s="1" t="str">
        <f>IFERROR(__xludf.DUMMYFUNCTION("CONCATENATE(GOOGLETRANSLATE(C706, ""en"", ""zh-cn""))
"),"男式拼色拼布翻盖灯芯绒衬衫夹克")</f>
        <v>男式拼色拼布翻盖灯芯绒衬衫夹克</v>
      </c>
      <c r="E706" s="1" t="str">
        <f>IFERROR(__xludf.DUMMYFUNCTION("CONCATENATE(GOOGLETRANSLATE(C706, ""en"", ""ko""))
"),"남성용 컬러 블록 패치워크 플랩 포켓 코듀로이 셔츠 재킷")</f>
        <v>남성용 컬러 블록 패치워크 플랩 포켓 코듀로이 셔츠 재킷</v>
      </c>
      <c r="F706" s="1" t="str">
        <f>IFERROR(__xludf.DUMMYFUNCTION("CONCATENATE(GOOGLETRANSLATE(C706, ""en"", ""ja""))"),"メンズ カラーブロック パッチワーク フラップ ポケット コーデュロイ シャツ ジャケット")</f>
        <v>メンズ カラーブロック パッチワーク フラップ ポケット コーデュロイ シャツ ジャケット</v>
      </c>
    </row>
    <row r="707" ht="15.75" customHeight="1">
      <c r="A707" s="1">
        <v>2180.0</v>
      </c>
      <c r="B707" s="1" t="s">
        <v>381</v>
      </c>
      <c r="C707" s="1" t="s">
        <v>690</v>
      </c>
      <c r="D707" s="1" t="str">
        <f>IFERROR(__xludf.DUMMYFUNCTION("CONCATENATE(GOOGLETRANSLATE(C707, ""en"", ""zh-cn""))
"),"男式拼色前拉链连帽风衣夹克")</f>
        <v>男式拼色前拉链连帽风衣夹克</v>
      </c>
      <c r="E707" s="1" t="str">
        <f>IFERROR(__xludf.DUMMYFUNCTION("CONCATENATE(GOOGLETRANSLATE(C707, ""en"", ""ko""))
"),"남성용 컬러 블록 패치워크 지퍼 프론트 후드 윈드브레이커 재킷")</f>
        <v>남성용 컬러 블록 패치워크 지퍼 프론트 후드 윈드브레이커 재킷</v>
      </c>
      <c r="F707" s="1" t="str">
        <f>IFERROR(__xludf.DUMMYFUNCTION("CONCATENATE(GOOGLETRANSLATE(C707, ""en"", ""ja""))"),"メンズ カラーブロック パッチワーク ジップ フロント フード付き ウインドブレーカー ジャケット")</f>
        <v>メンズ カラーブロック パッチワーク ジップ フロント フード付き ウインドブレーカー ジャケット</v>
      </c>
    </row>
    <row r="708" ht="15.75" customHeight="1">
      <c r="A708" s="1">
        <v>2181.0</v>
      </c>
      <c r="B708" s="1" t="s">
        <v>381</v>
      </c>
      <c r="C708" s="1" t="s">
        <v>691</v>
      </c>
      <c r="D708" s="1" t="str">
        <f>IFERROR(__xludf.DUMMYFUNCTION("CONCATENATE(GOOGLETRANSLATE(C708, ""en"", ""zh-cn""))
"),"男式两色拼接立领拉链前抓绒夹克")</f>
        <v>男式两色拼接立领拉链前抓绒夹克</v>
      </c>
      <c r="E708" s="1" t="str">
        <f>IFERROR(__xludf.DUMMYFUNCTION("CONCATENATE(GOOGLETRANSLATE(C708, ""en"", ""ko""))
"),"남성 투톤 패치워크 스탠드 칼라 지퍼 프론트 플리스 재킷")</f>
        <v>남성 투톤 패치워크 스탠드 칼라 지퍼 프론트 플리스 재킷</v>
      </c>
      <c r="F708" s="1" t="str">
        <f>IFERROR(__xludf.DUMMYFUNCTION("CONCATENATE(GOOGLETRANSLATE(C708, ""en"", ""ja""))"),"メンズ ツートーン パッチワーク スタンド カラー ジップ フロント フリース ジャケット")</f>
        <v>メンズ ツートーン パッチワーク スタンド カラー ジップ フロント フリース ジャケット</v>
      </c>
    </row>
    <row r="709" ht="15.75" customHeight="1">
      <c r="A709" s="1">
        <v>2182.0</v>
      </c>
      <c r="B709" s="1" t="s">
        <v>381</v>
      </c>
      <c r="C709" s="1" t="s">
        <v>692</v>
      </c>
      <c r="D709" s="1" t="str">
        <f>IFERROR(__xludf.DUMMYFUNCTION("CONCATENATE(GOOGLETRANSLATE(C709, ""en"", ""zh-cn""))
"),"男士民族几何印花毛绒领宽松夹克")</f>
        <v>男士民族几何印花毛绒领宽松夹克</v>
      </c>
      <c r="E709" s="1" t="str">
        <f>IFERROR(__xludf.DUMMYFUNCTION("CONCATENATE(GOOGLETRANSLATE(C709, ""en"", ""ko""))
"),"남성용 에스닉 기하학 프린트 플러시 칼라 루즈 재킷")</f>
        <v>남성용 에스닉 기하학 프린트 플러시 칼라 루즈 재킷</v>
      </c>
      <c r="F709" s="1" t="str">
        <f>IFERROR(__xludf.DUMMYFUNCTION("CONCATENATE(GOOGLETRANSLATE(C709, ""en"", ""ja""))"),"メンズエスニック幾何学プリントぬいぐるみ襟ルーズジャケット")</f>
        <v>メンズエスニック幾何学プリントぬいぐるみ襟ルーズジャケット</v>
      </c>
    </row>
    <row r="710" ht="15.75" customHeight="1">
      <c r="A710" s="1">
        <v>2183.0</v>
      </c>
      <c r="B710" s="1" t="s">
        <v>381</v>
      </c>
      <c r="C710" s="1" t="s">
        <v>693</v>
      </c>
      <c r="D710" s="1" t="str">
        <f>IFERROR(__xludf.DUMMYFUNCTION("CONCATENATE(GOOGLETRANSLATE(C710, ""en"", ""zh-cn""))
"),"男式民族部落图案拼布有盖口袋花呢夹克")</f>
        <v>男式民族部落图案拼布有盖口袋花呢夹克</v>
      </c>
      <c r="E710" s="1" t="str">
        <f>IFERROR(__xludf.DUMMYFUNCTION("CONCATENATE(GOOGLETRANSLATE(C710, ""en"", ""ko""))
"),"남성용 에스닉 트라이벌 패턴 패치워크 플랩 포켓 트위드 재킷")</f>
        <v>남성용 에스닉 트라이벌 패턴 패치워크 플랩 포켓 트위드 재킷</v>
      </c>
      <c r="F710" s="1" t="str">
        <f>IFERROR(__xludf.DUMMYFUNCTION("CONCATENATE(GOOGLETRANSLATE(C710, ""en"", ""ja""))"),"メンズエスニックトライバルパターンパッチワークフラップポケットツイードジャケット")</f>
        <v>メンズエスニックトライバルパターンパッチワークフラップポケットツイードジャケット</v>
      </c>
    </row>
    <row r="711" ht="15.75" customHeight="1">
      <c r="A711" s="1">
        <v>2184.0</v>
      </c>
      <c r="B711" s="1" t="s">
        <v>381</v>
      </c>
      <c r="C711" s="1" t="s">
        <v>694</v>
      </c>
      <c r="D711" s="1" t="str">
        <f>IFERROR(__xludf.DUMMYFUNCTION("CONCATENATE(GOOGLETRANSLATE(C711, ""en"", ""zh-cn""))
"),"男式拼色翻领前拉链抓绒夹克")</f>
        <v>男式拼色翻领前拉链抓绒夹克</v>
      </c>
      <c r="E711" s="1" t="str">
        <f>IFERROR(__xludf.DUMMYFUNCTION("CONCATENATE(GOOGLETRANSLATE(C711, ""en"", ""ko""))
"),"남성용 컬러 블록 패치워크 라펠 지퍼 프론트 플리스 재킷")</f>
        <v>남성용 컬러 블록 패치워크 라펠 지퍼 프론트 플리스 재킷</v>
      </c>
      <c r="F711" s="1" t="str">
        <f>IFERROR(__xludf.DUMMYFUNCTION("CONCATENATE(GOOGLETRANSLATE(C711, ""en"", ""ja""))"),"メンズ カラーブロック パッチワーク ラペル ジップ フロント フリース ジャケット")</f>
        <v>メンズ カラーブロック パッチワーク ラペル ジップ フロント フリース ジャケット</v>
      </c>
    </row>
    <row r="712" ht="15.75" customHeight="1">
      <c r="A712" s="1">
        <v>2185.0</v>
      </c>
      <c r="B712" s="1" t="s">
        <v>381</v>
      </c>
      <c r="C712" s="1" t="s">
        <v>695</v>
      </c>
      <c r="D712" s="1" t="str">
        <f>IFERROR(__xludf.DUMMYFUNCTION("CONCATENATE(GOOGLETRANSLATE(C712, ""en"", ""zh-cn""))
"),"男士格子拼布多口袋休闲连帽夹克")</f>
        <v>男士格子拼布多口袋休闲连帽夹克</v>
      </c>
      <c r="E712" s="1" t="str">
        <f>IFERROR(__xludf.DUMMYFUNCTION("CONCATENATE(GOOGLETRANSLATE(C712, ""en"", ""ko""))
"),"남성 체크 무늬 패치워크 멀티 포켓 캐주얼 후드 재킷")</f>
        <v>남성 체크 무늬 패치워크 멀티 포켓 캐주얼 후드 재킷</v>
      </c>
      <c r="F712" s="1" t="str">
        <f>IFERROR(__xludf.DUMMYFUNCTION("CONCATENATE(GOOGLETRANSLATE(C712, ""en"", ""ja""))"),"メンズチェック柄パッチワークマルチポケットカジュアルフード付きジャケット")</f>
        <v>メンズチェック柄パッチワークマルチポケットカジュアルフード付きジャケット</v>
      </c>
    </row>
    <row r="713" ht="15.75" customHeight="1">
      <c r="A713" s="1">
        <v>2186.0</v>
      </c>
      <c r="B713" s="1" t="s">
        <v>381</v>
      </c>
      <c r="C713" s="1" t="s">
        <v>696</v>
      </c>
      <c r="D713" s="1" t="str">
        <f>IFERROR(__xludf.DUMMYFUNCTION("CONCATENATE(GOOGLETRANSLATE(C713, ""en"", ""zh-cn""))
"),"男式佩斯利围巾日式印花开襟和服两件套")</f>
        <v>男式佩斯利围巾日式印花开襟和服两件套</v>
      </c>
      <c r="E713" s="1" t="str">
        <f>IFERROR(__xludf.DUMMYFUNCTION("CONCATENATE(GOOGLETRANSLATE(C713, ""en"", ""ko""))
"),"남성 페이즐리 스카프 일본식 프린트 오픈 프론트 기모노 2피스 수트")</f>
        <v>남성 페이즐리 스카프 일본식 프린트 오픈 프론트 기모노 2피스 수트</v>
      </c>
      <c r="F713" s="1" t="str">
        <f>IFERROR(__xludf.DUMMYFUNCTION("CONCATENATE(GOOGLETRANSLATE(C713, ""en"", ""ja""))"),"メンズペイズリースカーフ日本のプリントオープンフロント着物ツーピーススーツ")</f>
        <v>メンズペイズリースカーフ日本のプリントオープンフロント着物ツーピーススーツ</v>
      </c>
    </row>
    <row r="714" ht="15.75" customHeight="1">
      <c r="A714" s="1">
        <v>2187.0</v>
      </c>
      <c r="B714" s="1" t="s">
        <v>381</v>
      </c>
      <c r="C714" s="1" t="s">
        <v>697</v>
      </c>
      <c r="D714" s="1" t="str">
        <f>IFERROR(__xludf.DUMMYFUNCTION("CONCATENATE(GOOGLETRANSLATE(C714, ""en"", ""zh-cn""))
"),"男式拼色前拉链抽绳连帽夹克")</f>
        <v>男式拼色前拉链抽绳连帽夹克</v>
      </c>
      <c r="E714" s="1" t="str">
        <f>IFERROR(__xludf.DUMMYFUNCTION("CONCATENATE(GOOGLETRANSLATE(C714, ""en"", ""ko""))
"),"남성용 컬러 블록 패치워크 지퍼 앞면 드로스트링 후드 재킷")</f>
        <v>남성용 컬러 블록 패치워크 지퍼 앞면 드로스트링 후드 재킷</v>
      </c>
      <c r="F714" s="1" t="str">
        <f>IFERROR(__xludf.DUMMYFUNCTION("CONCATENATE(GOOGLETRANSLATE(C714, ""en"", ""ja""))"),"メンズ カラーブロック パッチワーク ジップ フロント ドローストリング フード付きジャケット")</f>
        <v>メンズ カラーブロック パッチワーク ジップ フロント ドローストリング フード付きジャケット</v>
      </c>
    </row>
    <row r="715" ht="15.75" customHeight="1">
      <c r="A715" s="1">
        <v>2188.0</v>
      </c>
      <c r="B715" s="1" t="s">
        <v>381</v>
      </c>
      <c r="C715" s="1" t="s">
        <v>698</v>
      </c>
      <c r="D715" s="1" t="str">
        <f>IFERROR(__xludf.DUMMYFUNCTION("CONCATENATE(GOOGLETRANSLATE(C715, ""en"", ""zh-cn""))
"),"男式拼色刺绣前拉链灯芯绒夹克")</f>
        <v>男式拼色刺绣前拉链灯芯绒夹克</v>
      </c>
      <c r="E715" s="1" t="str">
        <f>IFERROR(__xludf.DUMMYFUNCTION("CONCATENATE(GOOGLETRANSLATE(C715, ""en"", ""ko""))
"),"남성용 컬러 블록 패치워크 자수 지퍼 프론트 코듀로이 재킷")</f>
        <v>남성용 컬러 블록 패치워크 자수 지퍼 프론트 코듀로이 재킷</v>
      </c>
      <c r="F715" s="1" t="str">
        <f>IFERROR(__xludf.DUMMYFUNCTION("CONCATENATE(GOOGLETRANSLATE(C715, ""en"", ""ja""))"),"メンズ カラーブロック パッチワーク 刺繍 ジップ フロント コーデュロイ ジャケット")</f>
        <v>メンズ カラーブロック パッチワーク 刺繍 ジップ フロント コーデュロイ ジャケット</v>
      </c>
    </row>
    <row r="716" ht="15.75" customHeight="1">
      <c r="A716" s="1">
        <v>2189.0</v>
      </c>
      <c r="B716" s="1" t="s">
        <v>381</v>
      </c>
      <c r="C716" s="1" t="s">
        <v>699</v>
      </c>
      <c r="D716" s="1" t="str">
        <f>IFERROR(__xludf.DUMMYFUNCTION("CONCATENATE(GOOGLETRANSLATE(C716, ""en"", ""zh-cn""))
"),"男式色块拼布翻盖口袋正面纽扣夹克")</f>
        <v>男式色块拼布翻盖口袋正面纽扣夹克</v>
      </c>
      <c r="E716" s="1" t="str">
        <f>IFERROR(__xludf.DUMMYFUNCTION("CONCATENATE(GOOGLETRANSLATE(C716, ""en"", ""ko""))
"),"남성용 컬러 블록 패치워크 플랩 포켓 버튼 프론트 재킷")</f>
        <v>남성용 컬러 블록 패치워크 플랩 포켓 버튼 프론트 재킷</v>
      </c>
      <c r="F716" s="1" t="str">
        <f>IFERROR(__xludf.DUMMYFUNCTION("CONCATENATE(GOOGLETRANSLATE(C716, ""en"", ""ja""))"),"メンズ カラーブロック パッチワーク フラップ ポケット ボタン フロント ジャケット")</f>
        <v>メンズ カラーブロック パッチワーク フラップ ポケット ボタン フロント ジャケット</v>
      </c>
    </row>
    <row r="717" ht="15.75" customHeight="1">
      <c r="A717" s="1">
        <v>2190.0</v>
      </c>
      <c r="B717" s="1" t="s">
        <v>381</v>
      </c>
      <c r="C717" s="1" t="s">
        <v>700</v>
      </c>
      <c r="D717" s="1" t="str">
        <f>IFERROR(__xludf.DUMMYFUNCTION("CONCATENATE(GOOGLETRANSLATE(C717, ""en"", ""zh-cn""))
"),"男式民族几何印花拼接纽扣前连帽夹克")</f>
        <v>男式民族几何印花拼接纽扣前连帽夹克</v>
      </c>
      <c r="E717" s="1" t="str">
        <f>IFERROR(__xludf.DUMMYFUNCTION("CONCATENATE(GOOGLETRANSLATE(C717, ""en"", ""ko""))
"),"남성용 에스닉 기하학 프린트 패치워크 버튼 프론트 후드 재킷")</f>
        <v>남성용 에스닉 기하학 프린트 패치워크 버튼 프론트 후드 재킷</v>
      </c>
      <c r="F717" s="1" t="str">
        <f>IFERROR(__xludf.DUMMYFUNCTION("CONCATENATE(GOOGLETRANSLATE(C717, ""en"", ""ja""))"),"メンズエスニック幾何学プリントパッチワークボタンフロントフード付きジャケット")</f>
        <v>メンズエスニック幾何学プリントパッチワークボタンフロントフード付きジャケット</v>
      </c>
    </row>
    <row r="718" ht="15.75" customHeight="1">
      <c r="A718" s="1">
        <v>2191.0</v>
      </c>
      <c r="B718" s="1" t="s">
        <v>381</v>
      </c>
      <c r="C718" s="1" t="s">
        <v>701</v>
      </c>
      <c r="D718" s="1" t="str">
        <f>IFERROR(__xludf.DUMMYFUNCTION("CONCATENATE(GOOGLETRANSLATE(C718, ""en"", ""zh-cn""))
"),"男士纯色立领前拉链抓绒休闲夹克")</f>
        <v>男士纯色立领前拉链抓绒休闲夹克</v>
      </c>
      <c r="E718" s="1" t="str">
        <f>IFERROR(__xludf.DUMMYFUNCTION("CONCATENATE(GOOGLETRANSLATE(C718, ""en"", ""ko""))
"),"남성용 솔리드 스탠드 칼라 지퍼 프론트 플리스 캐주얼 재킷")</f>
        <v>남성용 솔리드 스탠드 칼라 지퍼 프론트 플리스 캐주얼 재킷</v>
      </c>
      <c r="F718" s="1" t="str">
        <f>IFERROR(__xludf.DUMMYFUNCTION("CONCATENATE(GOOGLETRANSLATE(C718, ""en"", ""ja""))"),"メンズソリッドスタンドカラージップフロントフリースカジュアルジャケット")</f>
        <v>メンズソリッドスタンドカラージップフロントフリースカジュアルジャケット</v>
      </c>
    </row>
    <row r="719" ht="15.75" customHeight="1">
      <c r="A719" s="1">
        <v>2192.0</v>
      </c>
      <c r="B719" s="1" t="s">
        <v>381</v>
      </c>
      <c r="C719" s="1" t="s">
        <v>702</v>
      </c>
      <c r="D719" s="1" t="str">
        <f>IFERROR(__xludf.DUMMYFUNCTION("CONCATENATE(GOOGLETRANSLATE(C719, ""en"", ""zh-cn""))
"),"男式格纹纽扣前抓绒抽绳连帽夹克")</f>
        <v>男式格纹纽扣前抓绒抽绳连帽夹克</v>
      </c>
      <c r="E719" s="1" t="str">
        <f>IFERROR(__xludf.DUMMYFUNCTION("CONCATENATE(GOOGLETRANSLATE(C719, ""en"", ""ko""))
"),"남성 체크 체크 무늬 버튼 프론트 플리스 드로스트링 후드 재킷")</f>
        <v>남성 체크 체크 무늬 버튼 프론트 플리스 드로스트링 후드 재킷</v>
      </c>
      <c r="F719" s="1" t="str">
        <f>IFERROR(__xludf.DUMMYFUNCTION("CONCATENATE(GOOGLETRANSLATE(C719, ""en"", ""ja""))"),"メンズチェックチェック柄ボタンフロントフリース巾着フード付きジャケット")</f>
        <v>メンズチェックチェック柄ボタンフロントフリース巾着フード付きジャケット</v>
      </c>
    </row>
    <row r="720" ht="15.75" customHeight="1">
      <c r="A720" s="1">
        <v>2193.0</v>
      </c>
      <c r="B720" s="1" t="s">
        <v>381</v>
      </c>
      <c r="C720" s="1" t="s">
        <v>703</v>
      </c>
      <c r="D720" s="1" t="str">
        <f>IFERROR(__xludf.DUMMYFUNCTION("CONCATENATE(GOOGLETRANSLATE(C720, ""en"", ""zh-cn""))
"),"男式民族几何印花拼布前拉链连帽夹克")</f>
        <v>男式民族几何印花拼布前拉链连帽夹克</v>
      </c>
      <c r="E720" s="1" t="str">
        <f>IFERROR(__xludf.DUMMYFUNCTION("CONCATENATE(GOOGLETRANSLATE(C720, ""en"", ""ko""))
"),"남성용 에스닉 기하학 프린트 패치워크 지퍼 프론트 후드 재킷")</f>
        <v>남성용 에스닉 기하학 프린트 패치워크 지퍼 프론트 후드 재킷</v>
      </c>
      <c r="F720" s="1" t="str">
        <f>IFERROR(__xludf.DUMMYFUNCTION("CONCATENATE(GOOGLETRANSLATE(C720, ""en"", ""ja""))"),"メンズエスニック幾何学プリントパッチワークジップフロントフード付きジャケット")</f>
        <v>メンズエスニック幾何学プリントパッチワークジップフロントフード付きジャケット</v>
      </c>
    </row>
    <row r="721" ht="15.75" customHeight="1">
      <c r="A721" s="1">
        <v>2194.0</v>
      </c>
      <c r="B721" s="1" t="s">
        <v>381</v>
      </c>
      <c r="C721" s="1" t="s">
        <v>700</v>
      </c>
      <c r="D721" s="1" t="str">
        <f>IFERROR(__xludf.DUMMYFUNCTION("CONCATENATE(GOOGLETRANSLATE(C721, ""en"", ""zh-cn""))
"),"男式民族几何印花拼接纽扣前连帽夹克")</f>
        <v>男式民族几何印花拼接纽扣前连帽夹克</v>
      </c>
      <c r="E721" s="1" t="str">
        <f>IFERROR(__xludf.DUMMYFUNCTION("CONCATENATE(GOOGLETRANSLATE(C721, ""en"", ""ko""))
"),"남성용 에스닉 기하학 프린트 패치워크 버튼 프론트 후드 재킷")</f>
        <v>남성용 에스닉 기하학 프린트 패치워크 버튼 프론트 후드 재킷</v>
      </c>
      <c r="F721" s="1" t="str">
        <f>IFERROR(__xludf.DUMMYFUNCTION("CONCATENATE(GOOGLETRANSLATE(C721, ""en"", ""ja""))"),"メンズエスニック幾何学プリントパッチワークボタンフロントフード付きジャケット")</f>
        <v>メンズエスニック幾何学プリントパッチワークボタンフロントフード付きジャケット</v>
      </c>
    </row>
    <row r="722" ht="15.75" customHeight="1">
      <c r="A722" s="1">
        <v>2195.0</v>
      </c>
      <c r="B722" s="1" t="s">
        <v>381</v>
      </c>
      <c r="C722" s="1" t="s">
        <v>704</v>
      </c>
      <c r="D722" s="1" t="str">
        <f>IFERROR(__xludf.DUMMYFUNCTION("CONCATENATE(GOOGLETRANSLATE(C722, ""en"", ""zh-cn""))
"),"男式纯色棒球领拉链休闲夹克")</f>
        <v>男式纯色棒球领拉链休闲夹克</v>
      </c>
      <c r="E722" s="1" t="str">
        <f>IFERROR(__xludf.DUMMYFUNCTION("CONCATENATE(GOOGLETRANSLATE(C722, ""en"", ""ko""))
"),"남성용 솔리드 텍스처 야구 ​​칼라 지퍼 프론트 캐주얼 재킷")</f>
        <v>남성용 솔리드 텍스처 야구 ​​칼라 지퍼 프론트 캐주얼 재킷</v>
      </c>
      <c r="F722" s="1" t="str">
        <f>IFERROR(__xludf.DUMMYFUNCTION("CONCATENATE(GOOGLETRANSLATE(C722, ""en"", ""ja""))"),"メンズソリッドテクスチャ野球襟ジップフロントカジュアルジャケット")</f>
        <v>メンズソリッドテクスチャ野球襟ジップフロントカジュアルジャケット</v>
      </c>
    </row>
    <row r="723" ht="15.75" customHeight="1">
      <c r="A723" s="1">
        <v>2196.0</v>
      </c>
      <c r="B723" s="1" t="s">
        <v>381</v>
      </c>
      <c r="C723" s="1" t="s">
        <v>705</v>
      </c>
      <c r="D723" s="1" t="str">
        <f>IFERROR(__xludf.DUMMYFUNCTION("CONCATENATE(GOOGLETRANSLATE(C723, ""en"", ""zh-cn""))
"),"男士流苏下摆半袖开衫")</f>
        <v>男士流苏下摆半袖开衫</v>
      </c>
      <c r="E723" s="1" t="str">
        <f>IFERROR(__xludf.DUMMYFUNCTION("CONCATENATE(GOOGLETRANSLATE(C723, ""en"", ""ko""))
"),"남성용 프린지 밑단 하프 슬리브 카디건")</f>
        <v>남성용 프린지 밑단 하프 슬리브 카디건</v>
      </c>
      <c r="F723" s="1" t="str">
        <f>IFERROR(__xludf.DUMMYFUNCTION("CONCATENATE(GOOGLETRANSLATE(C723, ""en"", ""ja""))"),"メンズ フリンジヘム ハーフスリーブ カーディガン")</f>
        <v>メンズ フリンジヘム ハーフスリーブ カーディガン</v>
      </c>
    </row>
    <row r="724" ht="15.75" customHeight="1">
      <c r="A724" s="1">
        <v>2197.0</v>
      </c>
      <c r="B724" s="1" t="s">
        <v>381</v>
      </c>
      <c r="C724" s="1" t="s">
        <v>706</v>
      </c>
      <c r="D724" s="1" t="str">
        <f>IFERROR(__xludf.DUMMYFUNCTION("CONCATENATE(GOOGLETRANSLATE(C724, ""en"", ""zh-cn""))
"),"男士纯色翻领 3/4 袖休闲西装外套")</f>
        <v>男士纯色翻领 3/4 袖休闲西装外套</v>
      </c>
      <c r="E724" s="1" t="str">
        <f>IFERROR(__xludf.DUMMYFUNCTION("CONCATENATE(GOOGLETRANSLATE(C724, ""en"", ""ko""))
"),"남성 솔리드 라펠 3/4 슬리브 캐주얼 블레이저")</f>
        <v>남성 솔리드 라펠 3/4 슬리브 캐주얼 블레이저</v>
      </c>
      <c r="F724" s="1" t="str">
        <f>IFERROR(__xludf.DUMMYFUNCTION("CONCATENATE(GOOGLETRANSLATE(C724, ""en"", ""ja""))"),"メンズソリッドラペル3/4スリーブカジュアルブレザー")</f>
        <v>メンズソリッドラペル3/4スリーブカジュアルブレザー</v>
      </c>
    </row>
    <row r="725" ht="15.75" customHeight="1">
      <c r="A725" s="1">
        <v>2198.0</v>
      </c>
      <c r="B725" s="1" t="s">
        <v>381</v>
      </c>
      <c r="C725" s="1" t="s">
        <v>707</v>
      </c>
      <c r="D725" s="1" t="str">
        <f>IFERROR(__xludf.DUMMYFUNCTION("CONCATENATE(GOOGLETRANSLATE(C725, ""en"", ""zh-cn""))
"),"男士纯色无领休闲长袖西装外套")</f>
        <v>男士纯色无领休闲长袖西装外套</v>
      </c>
      <c r="E725" s="1" t="str">
        <f>IFERROR(__xludf.DUMMYFUNCTION("CONCATENATE(GOOGLETRANSLATE(C725, ""en"", ""ko""))
"),"남성용 솔리드 노칼라 캐주얼 긴소매 블레이저")</f>
        <v>남성용 솔리드 노칼라 캐주얼 긴소매 블레이저</v>
      </c>
      <c r="F725" s="1" t="str">
        <f>IFERROR(__xludf.DUMMYFUNCTION("CONCATENATE(GOOGLETRANSLATE(C725, ""en"", ""ja""))"),"メンズソリッドノーカラーカジュアル長袖ブレザー")</f>
        <v>メンズソリッドノーカラーカジュアル長袖ブレザー</v>
      </c>
    </row>
    <row r="726" ht="15.75" customHeight="1">
      <c r="A726" s="1">
        <v>2199.0</v>
      </c>
      <c r="B726" s="1" t="s">
        <v>381</v>
      </c>
      <c r="C726" s="1" t="s">
        <v>708</v>
      </c>
      <c r="D726" s="1" t="str">
        <f>IFERROR(__xludf.DUMMYFUNCTION("CONCATENATE(GOOGLETRANSLATE(C726, ""en"", ""zh-cn""))
"),"男士不规则拼布系带休闲长袖西装外套")</f>
        <v>男士不规则拼布系带休闲长袖西装外套</v>
      </c>
      <c r="E726" s="1" t="str">
        <f>IFERROR(__xludf.DUMMYFUNCTION("CONCATENATE(GOOGLETRANSLATE(C726, ""en"", ""ko""))
"),"남성 불규칙한 패치워크 벨트 캐주얼 긴팔 블레이저")</f>
        <v>남성 불규칙한 패치워크 벨트 캐주얼 긴팔 블레이저</v>
      </c>
      <c r="F726" s="1" t="str">
        <f>IFERROR(__xludf.DUMMYFUNCTION("CONCATENATE(GOOGLETRANSLATE(C726, ""en"", ""ja""))"),"メンズ不規則なパッチワークベルト付きカジュアル長袖ブレザー")</f>
        <v>メンズ不規則なパッチワークベルト付きカジュアル長袖ブレザー</v>
      </c>
    </row>
    <row r="727" ht="15.75" customHeight="1">
      <c r="A727" s="1">
        <v>2200.0</v>
      </c>
      <c r="B727" s="1" t="s">
        <v>381</v>
      </c>
      <c r="C727" s="1" t="s">
        <v>709</v>
      </c>
      <c r="D727" s="1" t="str">
        <f>IFERROR(__xludf.DUMMYFUNCTION("CONCATENATE(GOOGLETRANSLATE(C727, ""en"", ""zh-cn""))
"),"女式 100% 棉经典条纹印花翻领纽扣前系带休闲衬衫连衣裙")</f>
        <v>女式 100% 棉经典条纹印花翻领纽扣前系带休闲衬衫连衣裙</v>
      </c>
      <c r="E727" s="1" t="str">
        <f>IFERROR(__xludf.DUMMYFUNCTION("CONCATENATE(GOOGLETRANSLATE(C727, ""en"", ""ko""))
"),"여성 100% 코튼 클래식 스트라이프 프린트 옷깃 버튼 프론트 레이스업 캐주얼 셔츠 드레스")</f>
        <v>여성 100% 코튼 클래식 스트라이프 프린트 옷깃 버튼 프론트 레이스업 캐주얼 셔츠 드레스</v>
      </c>
      <c r="F727" s="1" t="str">
        <f>IFERROR(__xludf.DUMMYFUNCTION("CONCATENATE(GOOGLETRANSLATE(C727, ""en"", ""ja""))"),"女性 100% コットンクラシックストライププリントラペルボタンフロントレースアップカジュアルシャツドレス")</f>
        <v>女性 100% コットンクラシックストライププリントラペルボタンフロントレースアップカジュアルシャツドレス</v>
      </c>
    </row>
    <row r="728" ht="15.75" customHeight="1">
      <c r="A728" s="1">
        <v>2201.0</v>
      </c>
      <c r="B728" s="1" t="s">
        <v>381</v>
      </c>
      <c r="C728" s="1" t="s">
        <v>710</v>
      </c>
      <c r="D728" s="1" t="str">
        <f>IFERROR(__xludf.DUMMYFUNCTION("CONCATENATE(GOOGLETRANSLATE(C728, ""en"", ""zh-cn""))
"),"女式复古格子印花前纽扣 O 领短袖宽松休闲衬衫连衣裙（带口袋）")</f>
        <v>女式复古格子印花前纽扣 O 领短袖宽松休闲衬衫连衣裙（带口袋）</v>
      </c>
      <c r="E728" s="1" t="str">
        <f>IFERROR(__xludf.DUMMYFUNCTION("CONCATENATE(GOOGLETRANSLATE(C728, ""en"", ""ko""))
"),"여성 빈티지 격자 무늬 인쇄 단추 전면 o-넥 짧은 소매 느슨한 캐주얼 셔츠 드레스와 포켓")</f>
        <v>여성 빈티지 격자 무늬 인쇄 단추 전면 o-넥 짧은 소매 느슨한 캐주얼 셔츠 드레스와 포켓</v>
      </c>
      <c r="F728" s="1" t="str">
        <f>IFERROR(__xludf.DUMMYFUNCTION("CONCATENATE(GOOGLETRANSLATE(C728, ""en"", ""ja""))"),"女性ヴィンテージチェック柄プリントボタンフロント O ネック半袖ルーズカジュアルシャツドレスポケット付き")</f>
        <v>女性ヴィンテージチェック柄プリントボタンフロント O ネック半袖ルーズカジュアルシャツドレスポケット付き</v>
      </c>
    </row>
    <row r="729" ht="15.75" customHeight="1">
      <c r="A729" s="1">
        <v>2202.0</v>
      </c>
      <c r="B729" s="1" t="s">
        <v>381</v>
      </c>
      <c r="C729" s="1" t="s">
        <v>711</v>
      </c>
      <c r="D729" s="1" t="str">
        <f>IFERROR(__xludf.DUMMYFUNCTION("CONCATENATE(GOOGLETRANSLATE(C729, ""en"", ""zh-cn""))
"),"休闲纯色装饰口袋半袖宽松中长连衣裙")</f>
        <v>休闲纯色装饰口袋半袖宽松中长连衣裙</v>
      </c>
      <c r="E729" s="1" t="str">
        <f>IFERROR(__xludf.DUMMYFUNCTION("CONCATENATE(GOOGLETRANSLATE(C729, ""en"", ""ko""))
"),"캐주얼 솔리드 컬러 장식 포켓 하프 슬리브 루즈 미디 드레스")</f>
        <v>캐주얼 솔리드 컬러 장식 포켓 하프 슬리브 루즈 미디 드레스</v>
      </c>
      <c r="F729" s="1" t="str">
        <f>IFERROR(__xludf.DUMMYFUNCTION("CONCATENATE(GOOGLETRANSLATE(C729, ""en"", ""ja""))"),"カジュアルソリッドカラー装飾ポケット半袖ルーズミディドレス")</f>
        <v>カジュアルソリッドカラー装飾ポケット半袖ルーズミディドレス</v>
      </c>
    </row>
    <row r="730" ht="15.75" customHeight="1">
      <c r="A730" s="1">
        <v>2203.0</v>
      </c>
      <c r="B730" s="1" t="s">
        <v>381</v>
      </c>
      <c r="C730" s="1" t="s">
        <v>712</v>
      </c>
      <c r="D730" s="1" t="str">
        <f>IFERROR(__xludf.DUMMYFUNCTION("CONCATENATE(GOOGLETRANSLATE(C730, ""en"", ""zh-cn""))
"),"女式复古棉质花卉植物印花圆领半袖开叉休闲连衣裙")</f>
        <v>女式复古棉质花卉植物印花圆领半袖开叉休闲连衣裙</v>
      </c>
      <c r="E730" s="1" t="str">
        <f>IFERROR(__xludf.DUMMYFUNCTION("CONCATENATE(GOOGLETRANSLATE(C730, ""en"", ""ko""))
"),"여성 빈티지 코튼 꽃 식물 프린트 오 넥 하프 슬리브 스플릿 캐주얼 드레스")</f>
        <v>여성 빈티지 코튼 꽃 식물 프린트 오 넥 하프 슬리브 스플릿 캐주얼 드레스</v>
      </c>
      <c r="F730" s="1" t="str">
        <f>IFERROR(__xludf.DUMMYFUNCTION("CONCATENATE(GOOGLETRANSLATE(C730, ""en"", ""ja""))"),"女性ヴィンテージコットン花植物プリント O ネック半袖スプリットカジュアルドレス")</f>
        <v>女性ヴィンテージコットン花植物プリント O ネック半袖スプリットカジュアルドレス</v>
      </c>
    </row>
    <row r="731" ht="15.75" customHeight="1">
      <c r="A731" s="1">
        <v>2204.0</v>
      </c>
      <c r="B731" s="1" t="s">
        <v>381</v>
      </c>
      <c r="C731" s="1" t="s">
        <v>713</v>
      </c>
      <c r="D731" s="1" t="str">
        <f>IFERROR(__xludf.DUMMYFUNCTION("CONCATENATE(GOOGLETRANSLATE(C731, ""en"", ""zh-cn""))
"),"女式 100% 纯棉纯色宽松口袋夏季长连衣裙")</f>
        <v>女式 100% 纯棉纯色宽松口袋夏季长连衣裙</v>
      </c>
      <c r="E731" s="1" t="str">
        <f>IFERROR(__xludf.DUMMYFUNCTION("CONCATENATE(GOOGLETRANSLATE(C731, ""en"", ""ko""))
"),"여성 100% 면 솔리드 헐렁한 주머니 여름 맥시 드레스")</f>
        <v>여성 100% 면 솔리드 헐렁한 주머니 여름 맥시 드레스</v>
      </c>
      <c r="F731" s="1" t="str">
        <f>IFERROR(__xludf.DUMMYFUNCTION("CONCATENATE(GOOGLETRANSLATE(C731, ""en"", ""ja""))"),"女性 100% コットン固体だぶだぶのポケットサマーマキシドレス")</f>
        <v>女性 100% コットン固体だぶだぶのポケットサマーマキシドレス</v>
      </c>
    </row>
    <row r="732" ht="15.75" customHeight="1">
      <c r="A732" s="1">
        <v>2205.0</v>
      </c>
      <c r="B732" s="1" t="s">
        <v>381</v>
      </c>
      <c r="C732" s="1" t="s">
        <v>714</v>
      </c>
      <c r="D732" s="1" t="str">
        <f>IFERROR(__xludf.DUMMYFUNCTION("CONCATENATE(GOOGLETRANSLATE(C732, ""en"", ""zh-cn""))
"),"女式复古纯色翻领宽松休闲衬衫连衣裙（带口袋）")</f>
        <v>女式复古纯色翻领宽松休闲衬衫连衣裙（带口袋）</v>
      </c>
      <c r="E732" s="1" t="str">
        <f>IFERROR(__xludf.DUMMYFUNCTION("CONCATENATE(GOOGLETRANSLATE(C732, ""en"", ""ko""))
"),"여성 레트로 솔리드 컬러 턴 다운 칼라 루즈 캐주얼 셔츠 드레스 (포켓 포함)")</f>
        <v>여성 레트로 솔리드 컬러 턴 다운 칼라 루즈 캐주얼 셔츠 드레스 (포켓 포함)</v>
      </c>
      <c r="F732" s="1" t="str">
        <f>IFERROR(__xludf.DUMMYFUNCTION("CONCATENATE(GOOGLETRANSLATE(C732, ""en"", ""ja""))"),"女性レトロソリッドカラーターンダウンカラールーズカジュアルシャツドレスポケット付き")</f>
        <v>女性レトロソリッドカラーターンダウンカラールーズカジュアルシャツドレスポケット付き</v>
      </c>
    </row>
    <row r="733" ht="15.75" customHeight="1">
      <c r="A733" s="1">
        <v>2206.0</v>
      </c>
      <c r="B733" s="1" t="s">
        <v>381</v>
      </c>
      <c r="C733" s="1" t="s">
        <v>715</v>
      </c>
      <c r="D733" s="1" t="str">
        <f>IFERROR(__xludf.DUMMYFUNCTION("CONCATENATE(GOOGLETRANSLATE(C733, ""en"", ""zh-cn""))
"),"女式露肩泡泡袖褶裥拼布优雅纯色长连衣裙")</f>
        <v>女式露肩泡泡袖褶裥拼布优雅纯色长连衣裙</v>
      </c>
      <c r="E733" s="1" t="str">
        <f>IFERROR(__xludf.DUMMYFUNCTION("CONCATENATE(GOOGLETRANSLATE(C733, ""en"", ""ko""))
"),"여성 오프 숄더 퍼프 슬리브 주름 패치 워크 우아한 솔리드 컬러 맥시 드레스")</f>
        <v>여성 오프 숄더 퍼프 슬리브 주름 패치 워크 우아한 솔리드 컬러 맥시 드레스</v>
      </c>
      <c r="F733" s="1" t="str">
        <f>IFERROR(__xludf.DUMMYFUNCTION("CONCATENATE(GOOGLETRANSLATE(C733, ""en"", ""ja""))"),"女性オフショルダーパフスリーブプリーツパッチワークエレガントなソリッドカラーマキシドレス")</f>
        <v>女性オフショルダーパフスリーブプリーツパッチワークエレガントなソリッドカラーマキシドレス</v>
      </c>
    </row>
    <row r="734" ht="15.75" customHeight="1">
      <c r="A734" s="1">
        <v>2207.0</v>
      </c>
      <c r="B734" s="1" t="s">
        <v>381</v>
      </c>
      <c r="C734" s="1" t="s">
        <v>716</v>
      </c>
      <c r="D734" s="1" t="str">
        <f>IFERROR(__xludf.DUMMYFUNCTION("CONCATENATE(GOOGLETRANSLATE(C734, ""en"", ""zh-cn""))
"),"民族风女式 V 领长袖花卉印花假日波西米亚褶皱超长连衣裙")</f>
        <v>民族风女式 V 领长袖花卉印花假日波西米亚褶皱超长连衣裙</v>
      </c>
      <c r="E734" s="1" t="str">
        <f>IFERROR(__xludf.DUMMYFUNCTION("CONCATENATE(GOOGLETRANSLATE(C734, ""en"", ""ko""))
"),"민족 여성 V 넥 긴 소매 꽃 프린트 휴일 보헤미안 주름 맥시 드레스")</f>
        <v>민족 여성 V 넥 긴 소매 꽃 프린트 휴일 보헤미안 주름 맥시 드레스</v>
      </c>
      <c r="F734" s="1" t="str">
        <f>IFERROR(__xludf.DUMMYFUNCTION("CONCATENATE(GOOGLETRANSLATE(C734, ""en"", ""ja""))"),"エスニック女性 V ネック長袖花柄ホリデー ボヘミアン プリーツ マキシ ドレス")</f>
        <v>エスニック女性 V ネック長袖花柄ホリデー ボヘミアン プリーツ マキシ ドレス</v>
      </c>
    </row>
    <row r="735" ht="15.75" customHeight="1">
      <c r="A735" s="1">
        <v>2208.0</v>
      </c>
      <c r="B735" s="1" t="s">
        <v>381</v>
      </c>
      <c r="C735" s="1" t="s">
        <v>717</v>
      </c>
      <c r="D735" s="1" t="str">
        <f>IFERROR(__xludf.DUMMYFUNCTION("CONCATENATE(GOOGLETRANSLATE(C735, ""en"", ""zh-cn""))
"),"波西米亚花卉印花 V 领喇叭半袖海滩超长连衣裙")</f>
        <v>波西米亚花卉印花 V 领喇叭半袖海滩超长连衣裙</v>
      </c>
      <c r="E735" s="1" t="str">
        <f>IFERROR(__xludf.DUMMYFUNCTION("CONCATENATE(GOOGLETRANSLATE(C735, ""en"", ""ko""))
"),"보헤미안 플로럴 프린트 브이넥 플레어 하프 슬리브 비치 맥시 드레스")</f>
        <v>보헤미안 플로럴 프린트 브이넥 플레어 하프 슬리브 비치 맥시 드레스</v>
      </c>
      <c r="F735" s="1" t="str">
        <f>IFERROR(__xludf.DUMMYFUNCTION("CONCATENATE(GOOGLETRANSLATE(C735, ""en"", ""ja""))"),"ボヘミアン花柄 V ネック フレア ハーフスリーブ ビーチ マキシ ドレス")</f>
        <v>ボヘミアン花柄 V ネック フレア ハーフスリーブ ビーチ マキシ ドレス</v>
      </c>
    </row>
    <row r="736" ht="15.75" customHeight="1">
      <c r="A736" s="1">
        <v>2209.0</v>
      </c>
      <c r="B736" s="1" t="s">
        <v>381</v>
      </c>
      <c r="C736" s="1" t="s">
        <v>718</v>
      </c>
      <c r="D736" s="1" t="str">
        <f>IFERROR(__xludf.DUMMYFUNCTION("CONCATENATE(GOOGLETRANSLATE(C736, ""en"", ""zh-cn""))
"),"女式复古花卉印花两袋宽松休闲连衣裙")</f>
        <v>女式复古花卉印花两袋宽松休闲连衣裙</v>
      </c>
      <c r="E736" s="1" t="str">
        <f>IFERROR(__xludf.DUMMYFUNCTION("CONCATENATE(GOOGLETRANSLATE(C736, ""en"", ""ko""))
"),"여성을 위한 복고풍 꽃무늬 2개의 주머니 루즈한 캐주얼 드레스")</f>
        <v>여성을 위한 복고풍 꽃무늬 2개의 주머니 루즈한 캐주얼 드레스</v>
      </c>
      <c r="F736" s="1" t="str">
        <f>IFERROR(__xludf.DUMMYFUNCTION("CONCATENATE(GOOGLETRANSLATE(C736, ""en"", ""ja""))"),"女性のためのレトロな花柄の 2 つのポケットのルーズ カジュアル ドレス")</f>
        <v>女性のためのレトロな花柄の 2 つのポケットのルーズ カジュアル ドレス</v>
      </c>
    </row>
    <row r="737" ht="15.75" customHeight="1">
      <c r="A737" s="1">
        <v>2210.0</v>
      </c>
      <c r="B737" s="1" t="s">
        <v>381</v>
      </c>
      <c r="C737" s="1" t="s">
        <v>719</v>
      </c>
      <c r="D737" s="1" t="str">
        <f>IFERROR(__xludf.DUMMYFUNCTION("CONCATENATE(GOOGLETRANSLATE(C737, ""en"", ""zh-cn""))
"),"女式基本款前翻领纯色长袖衬衫连衣裙")</f>
        <v>女式基本款前翻领纯色长袖衬衫连衣裙</v>
      </c>
      <c r="E737" s="1" t="str">
        <f>IFERROR(__xludf.DUMMYFUNCTION("CONCATENATE(GOOGLETRANSLATE(C737, ""en"", ""ko""))
"),"여성 기본 버튼 다운 프론트 라펠 솔리드 컬러 긴 소매 셔츠 드레스")</f>
        <v>여성 기본 버튼 다운 프론트 라펠 솔리드 컬러 긴 소매 셔츠 드레스</v>
      </c>
      <c r="F737" s="1" t="str">
        <f>IFERROR(__xludf.DUMMYFUNCTION("CONCATENATE(GOOGLETRANSLATE(C737, ""en"", ""ja""))"),"女性のベーシックボタンダウンフロントラペルソリッドカラー長袖シャツドレス")</f>
        <v>女性のベーシックボタンダウンフロントラペルソリッドカラー長袖シャツドレス</v>
      </c>
    </row>
    <row r="738" ht="15.75" customHeight="1">
      <c r="A738" s="1">
        <v>2211.0</v>
      </c>
      <c r="B738" s="1" t="s">
        <v>381</v>
      </c>
      <c r="C738" s="1" t="s">
        <v>720</v>
      </c>
      <c r="D738" s="1" t="str">
        <f>IFERROR(__xludf.DUMMYFUNCTION("CONCATENATE(GOOGLETRANSLATE(C738, ""en"", ""zh-cn""))
"),"女式纯色翻领长袖纽扣休闲衬衫连衣裙（带口袋）")</f>
        <v>女式纯色翻领长袖纽扣休闲衬衫连衣裙（带口袋）</v>
      </c>
      <c r="E738" s="1" t="str">
        <f>IFERROR(__xludf.DUMMYFUNCTION("CONCATENATE(GOOGLETRANSLATE(C738, ""en"", ""ko""))
"),"여성 솔리드 컬러 턴 다운 칼라 긴 소매 단추 캐주얼 셔츠 드레스 포켓 포함")</f>
        <v>여성 솔리드 컬러 턴 다운 칼라 긴 소매 단추 캐주얼 셔츠 드레스 포켓 포함</v>
      </c>
      <c r="F738" s="1" t="str">
        <f>IFERROR(__xludf.DUMMYFUNCTION("CONCATENATE(GOOGLETRANSLATE(C738, ""en"", ""ja""))"),"女性ソリッドカラーのターンダウンカラー長袖ボタンカジュアルシャツドレスポケット付き")</f>
        <v>女性ソリッドカラーのターンダウンカラー長袖ボタンカジュアルシャツドレスポケット付き</v>
      </c>
    </row>
    <row r="739" ht="15.75" customHeight="1">
      <c r="A739" s="1">
        <v>2212.0</v>
      </c>
      <c r="B739" s="1" t="s">
        <v>381</v>
      </c>
      <c r="C739" s="1" t="s">
        <v>721</v>
      </c>
      <c r="D739" s="1" t="str">
        <f>IFERROR(__xludf.DUMMYFUNCTION("CONCATENATE(GOOGLETRANSLATE(C739, ""en"", ""zh-cn""))
"),"复古花卉印花短袖宽松休闲长连衣裙")</f>
        <v>复古花卉印花短袖宽松休闲长连衣裙</v>
      </c>
      <c r="E739" s="1" t="str">
        <f>IFERROR(__xludf.DUMMYFUNCTION("CONCATENATE(GOOGLETRANSLATE(C739, ""en"", ""ko""))
"),"빈티지 꽃무늬 반소매 루즈 캐주얼 맥시 드레스")</f>
        <v>빈티지 꽃무늬 반소매 루즈 캐주얼 맥시 드레스</v>
      </c>
      <c r="F739" s="1" t="str">
        <f>IFERROR(__xludf.DUMMYFUNCTION("CONCATENATE(GOOGLETRANSLATE(C739, ""en"", ""ja""))"),"ヴィンテージ花柄半袖ルーズカジュアルマキシドレス")</f>
        <v>ヴィンテージ花柄半袖ルーズカジュアルマキシドレス</v>
      </c>
    </row>
    <row r="740" ht="15.75" customHeight="1">
      <c r="A740" s="1">
        <v>2213.0</v>
      </c>
      <c r="B740" s="1" t="s">
        <v>381</v>
      </c>
      <c r="C740" s="1" t="s">
        <v>722</v>
      </c>
      <c r="D740" s="1" t="str">
        <f>IFERROR(__xludf.DUMMYFUNCTION("CONCATENATE(GOOGLETRANSLATE(C740, ""en"", ""zh-cn""))
"),"女式碎花荷叶边下摆长罩衫裙配腰带")</f>
        <v>女式碎花荷叶边下摆长罩衫裙配腰带</v>
      </c>
      <c r="E740" s="1" t="str">
        <f>IFERROR(__xludf.DUMMYFUNCTION("CONCATENATE(GOOGLETRANSLATE(C740, ""en"", ""ko""))
"),"여성 Ditsy 꽃 프린트 프릴 밑단 스윙 Kaftan 맥시 드레스(벨트 포함)")</f>
        <v>여성 Ditsy 꽃 프린트 프릴 밑단 스윙 Kaftan 맥시 드레스(벨트 포함)</v>
      </c>
      <c r="F740" s="1" t="str">
        <f>IFERROR(__xludf.DUMMYFUNCTION("CONCATENATE(GOOGLETRANSLATE(C740, ""en"", ""ja""))"),"女性の頭が変な花柄フリル裾スイングカフタンマキシドレスベルト付き")</f>
        <v>女性の頭が変な花柄フリル裾スイングカフタンマキシドレスベルト付き</v>
      </c>
    </row>
    <row r="741" ht="15.75" customHeight="1">
      <c r="A741" s="1">
        <v>2214.0</v>
      </c>
      <c r="B741" s="1" t="s">
        <v>381</v>
      </c>
      <c r="C741" s="1" t="s">
        <v>723</v>
      </c>
      <c r="D741" s="1" t="str">
        <f>IFERROR(__xludf.DUMMYFUNCTION("CONCATENATE(GOOGLETRANSLATE(C741, ""en"", ""zh-cn""))
"),"树印花侧袋 O 领 3/4 袖棉质连衣裙")</f>
        <v>树印花侧袋 O 领 3/4 袖棉质连衣裙</v>
      </c>
      <c r="E741" s="1" t="str">
        <f>IFERROR(__xludf.DUMMYFUNCTION("CONCATENATE(GOOGLETRANSLATE(C741, ""en"", ""ko""))
"),"트리 프린트 사이드 포켓 ​​O-넥 3/4 슬리브 코튼 드레스")</f>
        <v>트리 프린트 사이드 포켓 ​​O-넥 3/4 슬리브 코튼 드레스</v>
      </c>
      <c r="F741" s="1" t="str">
        <f>IFERROR(__xludf.DUMMYFUNCTION("CONCATENATE(GOOGLETRANSLATE(C741, ""en"", ""ja""))"),"ツリープリント サイドポケット Oネック 7/4 スリーブ コットンドレス")</f>
        <v>ツリープリント サイドポケット Oネック 7/4 スリーブ コットンドレス</v>
      </c>
    </row>
    <row r="742" ht="15.75" customHeight="1">
      <c r="A742" s="1">
        <v>2215.0</v>
      </c>
      <c r="B742" s="1" t="s">
        <v>381</v>
      </c>
      <c r="C742" s="1" t="s">
        <v>724</v>
      </c>
      <c r="D742" s="1" t="str">
        <f>IFERROR(__xludf.DUMMYFUNCTION("CONCATENATE(GOOGLETRANSLATE(C742, ""en"", ""zh-cn""))
")," 女式复古 3/4 袖 V 领系带印花波西米亚迷你连衣裙")</f>
        <v> 女式复古 3/4 袖 V 领系带印花波西米亚迷你连衣裙</v>
      </c>
      <c r="E742" s="1" t="str">
        <f>IFERROR(__xludf.DUMMYFUNCTION("CONCATENATE(GOOGLETRANSLATE(C742, ""en"", ""ko""))
")," 여성 레트로 3/4 슬리브 V 넥 레이스 업 프린트 Boho 미니 드레스")</f>
        <v> 여성 레트로 3/4 슬리브 V 넥 레이스 업 프린트 Boho 미니 드레스</v>
      </c>
      <c r="F742" s="1" t="str">
        <f>IFERROR(__xludf.DUMMYFUNCTION("CONCATENATE(GOOGLETRANSLATE(C742, ""en"", ""ja""))")," 女性レトロ 3/4 スリーブ V ネックレースアッププリントボヘミアンミニドレス")</f>
        <v> 女性レトロ 3/4 スリーブ V ネックレースアッププリントボヘミアンミニドレス</v>
      </c>
    </row>
    <row r="743" ht="15.75" customHeight="1">
      <c r="A743" s="1">
        <v>2216.0</v>
      </c>
      <c r="B743" s="1" t="s">
        <v>381</v>
      </c>
      <c r="C743" s="1" t="s">
        <v>725</v>
      </c>
      <c r="D743" s="1" t="str">
        <f>IFERROR(__xludf.DUMMYFUNCTION("CONCATENATE(GOOGLETRANSLATE(C743, ""en"", ""zh-cn""))
"),"撞色不规则纽扣翻领3/4袖衬衫连衣裙")</f>
        <v>撞色不规则纽扣翻领3/4袖衬衫连衣裙</v>
      </c>
      <c r="E743" s="1" t="str">
        <f>IFERROR(__xludf.DUMMYFUNCTION("CONCATENATE(GOOGLETRANSLATE(C743, ""en"", ""ko""))
"),"배색 불규칙 버튼 라펠 3/4슬리브 셔츠 드레스")</f>
        <v>배색 불규칙 버튼 라펠 3/4슬리브 셔츠 드레스</v>
      </c>
      <c r="F743" s="1" t="str">
        <f>IFERROR(__xludf.DUMMYFUNCTION("CONCATENATE(GOOGLETRANSLATE(C743, ""en"", ""ja""))"),"コントラストカラーイレギュラーボタンラペル七分袖シャツワンピース")</f>
        <v>コントラストカラーイレギュラーボタンラペル七分袖シャツワンピース</v>
      </c>
    </row>
    <row r="744" ht="15.75" customHeight="1">
      <c r="A744" s="1">
        <v>2217.0</v>
      </c>
      <c r="B744" s="1" t="s">
        <v>381</v>
      </c>
      <c r="C744" s="1" t="s">
        <v>726</v>
      </c>
      <c r="D744" s="1" t="str">
        <f>IFERROR(__xludf.DUMMYFUNCTION("CONCATENATE(GOOGLETRANSLATE(C744, ""en"", ""zh-cn""))
"),"纯色纽扣口袋短袖休闲棉质中长连衣裙")</f>
        <v>纯色纽扣口袋短袖休闲棉质中长连衣裙</v>
      </c>
      <c r="E744" s="1" t="str">
        <f>IFERROR(__xludf.DUMMYFUNCTION("CONCATENATE(GOOGLETRANSLATE(C744, ""en"", ""ko""))
"),"솔리드 버튼 포켓 반팔 캐주얼 코튼 미디 드레스")</f>
        <v>솔리드 버튼 포켓 반팔 캐주얼 코튼 미디 드레스</v>
      </c>
      <c r="F744" s="1" t="str">
        <f>IFERROR(__xludf.DUMMYFUNCTION("CONCATENATE(GOOGLETRANSLATE(C744, ""en"", ""ja""))"),"ソリッド ボタン ポケット 半袖 カジュアル コットン ミディ ドレス")</f>
        <v>ソリッド ボタン ポケット 半袖 カジュアル コットン ミディ ドレス</v>
      </c>
    </row>
    <row r="745" ht="15.75" customHeight="1">
      <c r="A745" s="1">
        <v>2218.0</v>
      </c>
      <c r="B745" s="1" t="s">
        <v>381</v>
      </c>
      <c r="C745" s="1" t="s">
        <v>727</v>
      </c>
      <c r="D745" s="1" t="str">
        <f>IFERROR(__xludf.DUMMYFUNCTION("CONCATENATE(GOOGLETRANSLATE(C745, ""en"", ""zh-cn""))
"),"多色拼布 V 领纽扣超长连衣裙")</f>
        <v>多色拼布 V 领纽扣超长连衣裙</v>
      </c>
      <c r="E745" s="1" t="str">
        <f>IFERROR(__xludf.DUMMYFUNCTION("CONCATENATE(GOOGLETRANSLATE(C745, ""en"", ""ko""))
"),"멀티컬러 패치워크 V넥 버튼 맥시 드레스")</f>
        <v>멀티컬러 패치워크 V넥 버튼 맥시 드레스</v>
      </c>
      <c r="F745" s="1" t="str">
        <f>IFERROR(__xludf.DUMMYFUNCTION("CONCATENATE(GOOGLETRANSLATE(C745, ""en"", ""ja""))"),"マルチカラー パッチワーク V ネック ボタン マキシ ドレス")</f>
        <v>マルチカラー パッチワーク V ネック ボタン マキシ ドレス</v>
      </c>
    </row>
    <row r="746" ht="15.75" customHeight="1">
      <c r="A746" s="1">
        <v>2219.0</v>
      </c>
      <c r="B746" s="1" t="s">
        <v>381</v>
      </c>
      <c r="C746" s="1" t="s">
        <v>728</v>
      </c>
      <c r="D746" s="1" t="str">
        <f>IFERROR(__xludf.DUMMYFUNCTION("CONCATENATE(GOOGLETRANSLATE(C746, ""en"", ""zh-cn""))
"),"休闲纯色生菜边打结拉链 V 领超长连衣裙")</f>
        <v>休闲纯色生菜边打结拉链 V 领超长连衣裙</v>
      </c>
      <c r="E746" s="1" t="str">
        <f>IFERROR(__xludf.DUMMYFUNCTION("CONCATENATE(GOOGLETRANSLATE(C746, ""en"", ""ko""))
"),"레저 솔리드 레터스 엣지 매듭 지퍼 V넥 맥시 드레스")</f>
        <v>레저 솔리드 레터스 엣지 매듭 지퍼 V넥 맥시 드레스</v>
      </c>
      <c r="F746" s="1" t="str">
        <f>IFERROR(__xludf.DUMMYFUNCTION("CONCATENATE(GOOGLETRANSLATE(C746, ""en"", ""ja""))"),"レジャー ソリッド レタスエッジ ノット ジップ V ネック マキシ ドレス")</f>
        <v>レジャー ソリッド レタスエッジ ノット ジップ V ネック マキシ ドレス</v>
      </c>
    </row>
    <row r="747" ht="15.75" customHeight="1">
      <c r="A747" s="1">
        <v>2220.0</v>
      </c>
      <c r="B747" s="1" t="s">
        <v>381</v>
      </c>
      <c r="C747" s="1" t="s">
        <v>729</v>
      </c>
      <c r="D747" s="1" t="str">
        <f>IFERROR(__xludf.DUMMYFUNCTION("CONCATENATE(GOOGLETRANSLATE(C747, ""en"", ""zh-cn""))
"),"纯色口袋褶饰圆领短袖中长连衣裙")</f>
        <v>纯色口袋褶饰圆领短袖中长连衣裙</v>
      </c>
      <c r="E747" s="1" t="str">
        <f>IFERROR(__xludf.DUMMYFUNCTION("CONCATENATE(GOOGLETRANSLATE(C747, ""en"", ""ko""))
"),"솔리드 포켓 주름 장식 라운드 넥 반팔 미디 드레스")</f>
        <v>솔리드 포켓 주름 장식 라운드 넥 반팔 미디 드레스</v>
      </c>
      <c r="F747" s="1" t="str">
        <f>IFERROR(__xludf.DUMMYFUNCTION("CONCATENATE(GOOGLETRANSLATE(C747, ""en"", ""ja""))"),"ソリッドポケットシャーリングラウンドネック半袖ミディドレス")</f>
        <v>ソリッドポケットシャーリングラウンドネック半袖ミディドレス</v>
      </c>
    </row>
    <row r="748" ht="15.75" customHeight="1">
      <c r="A748" s="1">
        <v>2221.0</v>
      </c>
      <c r="B748" s="1" t="s">
        <v>381</v>
      </c>
      <c r="C748" s="1" t="s">
        <v>730</v>
      </c>
      <c r="D748" s="1" t="str">
        <f>IFERROR(__xludf.DUMMYFUNCTION("CONCATENATE(GOOGLETRANSLATE(C748, ""en"", ""zh-cn""))
"),"纯色 H 形棉质无袖圆领休闲中长连衣裙")</f>
        <v>纯色 H 形棉质无袖圆领休闲中长连衣裙</v>
      </c>
      <c r="E748" s="1" t="str">
        <f>IFERROR(__xludf.DUMMYFUNCTION("CONCATENATE(GOOGLETRANSLATE(C748, ""en"", ""ko""))
"),"솔리드 H자형 코튼 민소매 라운드넥 캐주얼 미디 드레스")</f>
        <v>솔리드 H자형 코튼 민소매 라운드넥 캐주얼 미디 드레스</v>
      </c>
      <c r="F748" s="1" t="str">
        <f>IFERROR(__xludf.DUMMYFUNCTION("CONCATENATE(GOOGLETRANSLATE(C748, ""en"", ""ja""))"),"固体 H 字型コットン ノースリーブ ラウンドネック カジュアル ミディ ドレス")</f>
        <v>固体 H 字型コットン ノースリーブ ラウンドネック カジュアル ミディ ドレス</v>
      </c>
    </row>
    <row r="749" ht="15.75" customHeight="1">
      <c r="A749" s="1">
        <v>2222.0</v>
      </c>
      <c r="B749" s="1" t="s">
        <v>381</v>
      </c>
      <c r="C749" s="1" t="s">
        <v>731</v>
      </c>
      <c r="D749" s="1" t="str">
        <f>IFERROR(__xludf.DUMMYFUNCTION("CONCATENATE(GOOGLETRANSLATE(C749, ""en"", ""zh-cn""))
"),"抽象画口袋圆领短袖宽松中长连衣裙")</f>
        <v>抽象画口袋圆领短袖宽松中长连衣裙</v>
      </c>
      <c r="E749" s="1" t="str">
        <f>IFERROR(__xludf.DUMMYFUNCTION("CONCATENATE(GOOGLETRANSLATE(C749, ""en"", ""ko""))
"),"추상 페인팅 포켓 라운드 넥 짧은 소매 루즈 미디 드레스")</f>
        <v>추상 페인팅 포켓 라운드 넥 짧은 소매 루즈 미디 드레스</v>
      </c>
      <c r="F749" s="1" t="str">
        <f>IFERROR(__xludf.DUMMYFUNCTION("CONCATENATE(GOOGLETRANSLATE(C749, ""en"", ""ja""))"),"抽象的なペイントポケットラウンドネック半袖ルーズミディドレス")</f>
        <v>抽象的なペイントポケットラウンドネック半袖ルーズミディドレス</v>
      </c>
    </row>
    <row r="750" ht="15.75" customHeight="1">
      <c r="A750" s="1">
        <v>2223.0</v>
      </c>
      <c r="B750" s="1" t="s">
        <v>381</v>
      </c>
      <c r="C750" s="1" t="s">
        <v>732</v>
      </c>
      <c r="D750" s="1" t="str">
        <f>IFERROR(__xludf.DUMMYFUNCTION("CONCATENATE(GOOGLETRANSLATE(C750, ""en"", ""zh-cn""))
"),"植物印花棉质口袋纽扣圆领无袖中长连衣裙")</f>
        <v>植物印花棉质口袋纽扣圆领无袖中长连衣裙</v>
      </c>
      <c r="E750" s="1" t="str">
        <f>IFERROR(__xludf.DUMMYFUNCTION("CONCATENATE(GOOGLETRANSLATE(C750, ""en"", ""ko""))
"),"플랜트 프린트 코튼 포켓 버튼 라운드 넥 민소매 미디 드레스")</f>
        <v>플랜트 프린트 코튼 포켓 버튼 라운드 넥 민소매 미디 드레스</v>
      </c>
      <c r="F750" s="1" t="str">
        <f>IFERROR(__xludf.DUMMYFUNCTION("CONCATENATE(GOOGLETRANSLATE(C750, ""en"", ""ja""))"),"植物プリント コットン ポケット ボタン ラウンドネック ノースリーブ ミディドレス")</f>
        <v>植物プリント コットン ポケット ボタン ラウンドネック ノースリーブ ミディドレス</v>
      </c>
    </row>
    <row r="751" ht="15.75" customHeight="1">
      <c r="A751" s="1">
        <v>2224.0</v>
      </c>
      <c r="B751" s="1" t="s">
        <v>381</v>
      </c>
      <c r="C751" s="1" t="s">
        <v>733</v>
      </c>
      <c r="D751" s="1" t="str">
        <f>IFERROR(__xludf.DUMMYFUNCTION("CONCATENATE(GOOGLETRANSLATE(C751, ""en"", ""zh-cn""))
"),"花朵印花纽扣口袋短袖圆领连衣裙")</f>
        <v>花朵印花纽扣口袋短袖圆领连衣裙</v>
      </c>
      <c r="E751" s="1" t="str">
        <f>IFERROR(__xludf.DUMMYFUNCTION("CONCATENATE(GOOGLETRANSLATE(C751, ""en"", ""ko""))
"),"플라워 프린트 버튼 포켓 반소매 라운드넥 드레스")</f>
        <v>플라워 프린트 버튼 포켓 반소매 라운드넥 드레스</v>
      </c>
      <c r="F751" s="1" t="str">
        <f>IFERROR(__xludf.DUMMYFUNCTION("CONCATENATE(GOOGLETRANSLATE(C751, ""en"", ""ja""))"),"フラワープリントボタンポケット半袖ラウンドネックドレス")</f>
        <v>フラワープリントボタンポケット半袖ラウンドネックドレス</v>
      </c>
    </row>
    <row r="752" ht="15.75" customHeight="1">
      <c r="A752" s="1">
        <v>2225.0</v>
      </c>
      <c r="B752" s="1" t="s">
        <v>381</v>
      </c>
      <c r="C752" s="1" t="s">
        <v>734</v>
      </c>
      <c r="D752" s="1" t="str">
        <f>IFERROR(__xludf.DUMMYFUNCTION("CONCATENATE(GOOGLETRANSLATE(C752, ""en"", ""zh-cn""))
"),"Geo Print 荷叶边 V 领郁金香短袖休闲中长连衣裙")</f>
        <v>Geo Print 荷叶边 V 领郁金香短袖休闲中长连衣裙</v>
      </c>
      <c r="E752" s="1" t="str">
        <f>IFERROR(__xludf.DUMMYFUNCTION("CONCATENATE(GOOGLETRANSLATE(C752, ""en"", ""ko""))
"),"지오 프린트 러플 브이넥 튤립 반팔 캐주얼 미디 드레스")</f>
        <v>지오 프린트 러플 브이넥 튤립 반팔 캐주얼 미디 드레스</v>
      </c>
      <c r="F752" s="1" t="str">
        <f>IFERROR(__xludf.DUMMYFUNCTION("CONCATENATE(GOOGLETRANSLATE(C752, ""en"", ""ja""))"),"ジオプリントフリルVネックチューリップ半袖カジュアルミディドレス")</f>
        <v>ジオプリントフリルVネックチューリップ半袖カジュアルミディドレス</v>
      </c>
    </row>
    <row r="753" ht="15.75" customHeight="1">
      <c r="A753" s="1">
        <v>2226.0</v>
      </c>
      <c r="B753" s="1" t="s">
        <v>381</v>
      </c>
      <c r="C753" s="1" t="s">
        <v>735</v>
      </c>
      <c r="D753" s="1" t="str">
        <f>IFERROR(__xludf.DUMMYFUNCTION("CONCATENATE(GOOGLETRANSLATE(C753, ""en"", ""zh-cn""))
"),"民族风图案口袋短袖中长连衣裙")</f>
        <v>民族风图案口袋短袖中长连衣裙</v>
      </c>
      <c r="E753" s="1" t="str">
        <f>IFERROR(__xludf.DUMMYFUNCTION("CONCATENATE(GOOGLETRANSLATE(C753, ""en"", ""ko""))
"),"내셔널 스타일 패턴 포켓 반팔 미디 드레스")</f>
        <v>내셔널 스타일 패턴 포켓 반팔 미디 드레스</v>
      </c>
      <c r="F753" s="1" t="str">
        <f>IFERROR(__xludf.DUMMYFUNCTION("CONCATENATE(GOOGLETRANSLATE(C753, ""en"", ""ja""))"),"ナショナルスタイルパターンポケット半袖ミディドレス")</f>
        <v>ナショナルスタイルパターンポケット半袖ミディドレス</v>
      </c>
    </row>
    <row r="754" ht="15.75" customHeight="1">
      <c r="A754" s="1">
        <v>2227.0</v>
      </c>
      <c r="B754" s="1" t="s">
        <v>381</v>
      </c>
      <c r="C754" s="1" t="s">
        <v>736</v>
      </c>
      <c r="D754" s="1" t="str">
        <f>IFERROR(__xludf.DUMMYFUNCTION("CONCATENATE(GOOGLETRANSLATE(C754, ""en"", ""zh-cn""))
"),"人物印花口袋娃娃领短袖休闲中长连衣裙")</f>
        <v>人物印花口袋娃娃领短袖休闲中长连衣裙</v>
      </c>
      <c r="E754" s="1" t="str">
        <f>IFERROR(__xludf.DUMMYFUNCTION("CONCATENATE(GOOGLETRANSLATE(C754, ""en"", ""ko""))
"),"캐릭터 프린트 포켓 인형 칼라 반팔 캐주얼 미디 드레스")</f>
        <v>캐릭터 프린트 포켓 인형 칼라 반팔 캐주얼 미디 드레스</v>
      </c>
      <c r="F754" s="1" t="str">
        <f>IFERROR(__xludf.DUMMYFUNCTION("CONCATENATE(GOOGLETRANSLATE(C754, ""en"", ""ja""))"),"キャラクタープリントポケットドールカラー半袖カジュアルミディドレス")</f>
        <v>キャラクタープリントポケットドールカラー半袖カジュアルミディドレス</v>
      </c>
    </row>
    <row r="755" ht="15.75" customHeight="1">
      <c r="A755" s="1">
        <v>2228.0</v>
      </c>
      <c r="B755" s="1" t="s">
        <v>381</v>
      </c>
      <c r="C755" s="1" t="s">
        <v>737</v>
      </c>
      <c r="D755" s="1" t="str">
        <f>IFERROR(__xludf.DUMMYFUNCTION("CONCATENATE(GOOGLETRANSLATE(C755, ""en"", ""zh-cn""))
"),"印花布纽扣口袋翻领短袖休闲中长印花连衣裙")</f>
        <v>印花布纽扣口袋翻领短袖休闲中长印花连衣裙</v>
      </c>
      <c r="E755" s="1" t="str">
        <f>IFERROR(__xludf.DUMMYFUNCTION("CONCATENATE(GOOGLETRANSLATE(C755, ""en"", ""ko""))
"),"옥양목 버튼 포켓 라펠 반팔 캐주얼 미디 프린트 드레스")</f>
        <v>옥양목 버튼 포켓 라펠 반팔 캐주얼 미디 프린트 드레스</v>
      </c>
      <c r="F755" s="1" t="str">
        <f>IFERROR(__xludf.DUMMYFUNCTION("CONCATENATE(GOOGLETRANSLATE(C755, ""en"", ""ja""))"),"キャリコボタンポケットラペル半袖カジュアルミディプリントドレス")</f>
        <v>キャリコボタンポケットラペル半袖カジュアルミディプリントドレス</v>
      </c>
    </row>
    <row r="756" ht="15.75" customHeight="1">
      <c r="A756" s="1">
        <v>2229.0</v>
      </c>
      <c r="B756" s="1" t="s">
        <v>381</v>
      </c>
      <c r="C756" s="1" t="s">
        <v>738</v>
      </c>
      <c r="D756" s="1" t="str">
        <f>IFERROR(__xludf.DUMMYFUNCTION("CONCATENATE(GOOGLETRANSLATE(C756, ""en"", ""zh-cn""))
"),"京剧图案口袋短袖中长连衣裙")</f>
        <v>京剧图案口袋短袖中长连衣裙</v>
      </c>
      <c r="E756" s="1" t="str">
        <f>IFERROR(__xludf.DUMMYFUNCTION("CONCATENATE(GOOGLETRANSLATE(C756, ""en"", ""ko""))
"),"북경 오페라 패턴 포켓 반팔 미디 드레스")</f>
        <v>북경 오페라 패턴 포켓 반팔 미디 드레스</v>
      </c>
      <c r="F756" s="1" t="str">
        <f>IFERROR(__xludf.DUMMYFUNCTION("CONCATENATE(GOOGLETRANSLATE(C756, ""en"", ""ja""))"),"京劇柄ポケット半袖ミディドレス")</f>
        <v>京劇柄ポケット半袖ミディドレス</v>
      </c>
    </row>
    <row r="757" ht="15.75" customHeight="1">
      <c r="A757" s="1">
        <v>2230.0</v>
      </c>
      <c r="B757" s="1" t="s">
        <v>381</v>
      </c>
      <c r="C757" s="1" t="s">
        <v>739</v>
      </c>
      <c r="D757" s="1" t="str">
        <f>IFERROR(__xludf.DUMMYFUNCTION("CONCATENATE(GOOGLETRANSLATE(C757, ""en"", ""zh-cn""))
"),"纯色褶裥口袋荷叶边结饰休闲超长连衣裙")</f>
        <v>纯色褶裥口袋荷叶边结饰休闲超长连衣裙</v>
      </c>
      <c r="E757" s="1" t="str">
        <f>IFERROR(__xludf.DUMMYFUNCTION("CONCATENATE(GOOGLETRANSLATE(C757, ""en"", ""ko""))
"),"솔리드 플리츠 포켓 러플 매듭 캐주얼 맥시 드레스")</f>
        <v>솔리드 플리츠 포켓 러플 매듭 캐주얼 맥시 드레스</v>
      </c>
      <c r="F757" s="1" t="str">
        <f>IFERROR(__xludf.DUMMYFUNCTION("CONCATENATE(GOOGLETRANSLATE(C757, ""en"", ""ja""))"),"ソリッド プリーツ ポケット フリル ノット カジュアル マキシ ドレス")</f>
        <v>ソリッド プリーツ ポケット フリル ノット カジュアル マキシ ドレス</v>
      </c>
    </row>
    <row r="758" ht="15.75" customHeight="1">
      <c r="A758" s="1">
        <v>2231.0</v>
      </c>
      <c r="B758" s="1" t="s">
        <v>381</v>
      </c>
      <c r="C758" s="1" t="s">
        <v>740</v>
      </c>
      <c r="D758" s="1" t="str">
        <f>IFERROR(__xludf.DUMMYFUNCTION("CONCATENATE(GOOGLETRANSLATE(C758, ""en"", ""zh-cn""))
"),"纯色 V 领无袖休闲棉质长连衣裙")</f>
        <v>纯色 V 领无袖休闲棉质长连衣裙</v>
      </c>
      <c r="E758" s="1" t="str">
        <f>IFERROR(__xludf.DUMMYFUNCTION("CONCATENATE(GOOGLETRANSLATE(C758, ""en"", ""ko""))
"),"솔리드 V 넥 민소매 캐주얼 코튼 맥시 드레스")</f>
        <v>솔리드 V 넥 민소매 캐주얼 코튼 맥시 드레스</v>
      </c>
      <c r="F758" s="1" t="str">
        <f>IFERROR(__xludf.DUMMYFUNCTION("CONCATENATE(GOOGLETRANSLATE(C758, ""en"", ""ja""))"),"ソリッド V ネック ノースリーブ カジュアル コットン マキシ ドレス")</f>
        <v>ソリッド V ネック ノースリーブ カジュアル コットン マキシ ドレス</v>
      </c>
    </row>
    <row r="759" ht="15.75" customHeight="1">
      <c r="A759" s="1">
        <v>2232.0</v>
      </c>
      <c r="B759" s="1" t="s">
        <v>381</v>
      </c>
      <c r="C759" s="1" t="s">
        <v>741</v>
      </c>
      <c r="D759" s="1" t="str">
        <f>IFERROR(__xludf.DUMMYFUNCTION("CONCATENATE(GOOGLETRANSLATE(C759, ""en"", ""zh-cn""))
"),"棉厂印花口袋短袖休闲连衣裙")</f>
        <v>棉厂印花口袋短袖休闲连衣裙</v>
      </c>
      <c r="E759" s="1" t="str">
        <f>IFERROR(__xludf.DUMMYFUNCTION("CONCATENATE(GOOGLETRANSLATE(C759, ""en"", ""ko""))
"),"코튼 플랜트 프린트 포켓 반팔 캐주얼 드레스")</f>
        <v>코튼 플랜트 프린트 포켓 반팔 캐주얼 드레스</v>
      </c>
      <c r="F759" s="1" t="str">
        <f>IFERROR(__xludf.DUMMYFUNCTION("CONCATENATE(GOOGLETRANSLATE(C759, ""en"", ""ja""))"),"コットン プラント プリント ポケット 半袖 カジュアル ドレス")</f>
        <v>コットン プラント プリント ポケット 半袖 カジュアル ドレス</v>
      </c>
    </row>
    <row r="760" ht="15.75" customHeight="1">
      <c r="A760" s="1">
        <v>2233.0</v>
      </c>
      <c r="B760" s="1" t="s">
        <v>381</v>
      </c>
      <c r="C760" s="1" t="s">
        <v>742</v>
      </c>
      <c r="D760" s="1" t="str">
        <f>IFERROR(__xludf.DUMMYFUNCTION("CONCATENATE(GOOGLETRANSLATE(C760, ""en"", ""zh-cn""))
"),"格纹口袋短袖休闲连衣裙")</f>
        <v>格纹口袋短袖休闲连衣裙</v>
      </c>
      <c r="E760" s="1" t="str">
        <f>IFERROR(__xludf.DUMMYFUNCTION("CONCATENATE(GOOGLETRANSLATE(C760, ""en"", ""ko""))
"),"격자 무늬 포켓 반팔 캐주얼 드레스")</f>
        <v>격자 무늬 포켓 반팔 캐주얼 드레스</v>
      </c>
      <c r="F760" s="1" t="str">
        <f>IFERROR(__xludf.DUMMYFUNCTION("CONCATENATE(GOOGLETRANSLATE(C760, ""en"", ""ja""))"),"チェック柄ポケット半袖カジュアルドレス")</f>
        <v>チェック柄ポケット半袖カジュアルドレス</v>
      </c>
    </row>
    <row r="761" ht="15.75" customHeight="1">
      <c r="A761" s="1">
        <v>2234.0</v>
      </c>
      <c r="B761" s="1" t="s">
        <v>381</v>
      </c>
      <c r="C761" s="1" t="s">
        <v>743</v>
      </c>
      <c r="D761" s="1" t="str">
        <f>IFERROR(__xludf.DUMMYFUNCTION("CONCATENATE(GOOGLETRANSLATE(C761, ""en"", ""zh-cn""))
"),"棉植物印花口袋无袖休闲印花连衣裙")</f>
        <v>棉植物印花口袋无袖休闲印花连衣裙</v>
      </c>
      <c r="E761" s="1" t="str">
        <f>IFERROR(__xludf.DUMMYFUNCTION("CONCATENATE(GOOGLETRANSLATE(C761, ""en"", ""ko""))
"),"코튼 플랜트 프린트 포켓 민소매 캐주얼 프린트 드레스")</f>
        <v>코튼 플랜트 프린트 포켓 민소매 캐주얼 프린트 드레스</v>
      </c>
      <c r="F761" s="1" t="str">
        <f>IFERROR(__xludf.DUMMYFUNCTION("CONCATENATE(GOOGLETRANSLATE(C761, ""en"", ""ja""))"),"コットン プラント プリント ポケット ノースリーブ カジュアル プリント ドレス")</f>
        <v>コットン プラント プリント ポケット ノースリーブ カジュアル プリント ドレス</v>
      </c>
    </row>
    <row r="762" ht="15.75" customHeight="1">
      <c r="A762" s="1">
        <v>2235.0</v>
      </c>
      <c r="B762" s="1" t="s">
        <v>381</v>
      </c>
      <c r="C762" s="1" t="s">
        <v>744</v>
      </c>
      <c r="D762" s="1" t="str">
        <f>IFERROR(__xludf.DUMMYFUNCTION("CONCATENATE(GOOGLETRANSLATE(C762, ""en"", ""zh-cn""))
"),"植物印花口袋短袖休闲棉质连衣裙")</f>
        <v>植物印花口袋短袖休闲棉质连衣裙</v>
      </c>
      <c r="E762" s="1" t="str">
        <f>IFERROR(__xludf.DUMMYFUNCTION("CONCATENATE(GOOGLETRANSLATE(C762, ""en"", ""ko""))
"),"플랜트 프린트 포켓 반팔 캐주얼 코튼 드레스")</f>
        <v>플랜트 프린트 포켓 반팔 캐주얼 코튼 드레스</v>
      </c>
      <c r="F762" s="1" t="str">
        <f>IFERROR(__xludf.DUMMYFUNCTION("CONCATENATE(GOOGLETRANSLATE(C762, ""en"", ""ja""))"),"植物プリント ポケット半袖カジュアル コットン ドレス")</f>
        <v>植物プリント ポケット半袖カジュアル コットン ドレス</v>
      </c>
    </row>
    <row r="763" ht="15.75" customHeight="1">
      <c r="A763" s="1">
        <v>2236.0</v>
      </c>
      <c r="B763" s="1" t="s">
        <v>381</v>
      </c>
      <c r="C763" s="1" t="s">
        <v>745</v>
      </c>
      <c r="D763" s="1" t="str">
        <f>IFERROR(__xludf.DUMMYFUNCTION("CONCATENATE(GOOGLETRANSLATE(C763, ""en"", ""zh-cn""))
"),"树叶印花短袖圆领印花连衣裙")</f>
        <v>树叶印花短袖圆领印花连衣裙</v>
      </c>
      <c r="E763" s="1" t="str">
        <f>IFERROR(__xludf.DUMMYFUNCTION("CONCATENATE(GOOGLETRANSLATE(C763, ""en"", ""ko""))
"),"나뭇잎 프린트 반소매 라운드넥 프린트 드레스")</f>
        <v>나뭇잎 프린트 반소매 라운드넥 프린트 드레스</v>
      </c>
      <c r="F763" s="1" t="str">
        <f>IFERROR(__xludf.DUMMYFUNCTION("CONCATENATE(GOOGLETRANSLATE(C763, ""en"", ""ja""))"),"リーフプリント半袖ラウンドネックプリントワンピース")</f>
        <v>リーフプリント半袖ラウンドネックプリントワンピース</v>
      </c>
    </row>
    <row r="764" ht="15.75" customHeight="1">
      <c r="A764" s="1">
        <v>2237.0</v>
      </c>
      <c r="B764" s="1" t="s">
        <v>381</v>
      </c>
      <c r="C764" s="1" t="s">
        <v>746</v>
      </c>
      <c r="D764" s="1" t="str">
        <f>IFERROR(__xludf.DUMMYFUNCTION("CONCATENATE(GOOGLETRANSLATE(C764, ""en"", ""zh-cn""))
"),"撞色口袋短袖中长休闲连衣裙")</f>
        <v>撞色口袋短袖中长休闲连衣裙</v>
      </c>
      <c r="E764" s="1" t="str">
        <f>IFERROR(__xludf.DUMMYFUNCTION("CONCATENATE(GOOGLETRANSLATE(C764, ""en"", ""ko""))
"),"배색 포켓 반팔 미디 캐주얼 드레스")</f>
        <v>배색 포켓 반팔 미디 캐주얼 드레스</v>
      </c>
      <c r="F764" s="1" t="str">
        <f>IFERROR(__xludf.DUMMYFUNCTION("CONCATENATE(GOOGLETRANSLATE(C764, ""en"", ""ja""))"),"コントラストカラーポケット半袖ミディカジュアルドレス")</f>
        <v>コントラストカラーポケット半袖ミディカジュアルドレス</v>
      </c>
    </row>
    <row r="765" ht="15.75" customHeight="1">
      <c r="A765" s="1">
        <v>2238.0</v>
      </c>
      <c r="B765" s="1" t="s">
        <v>381</v>
      </c>
      <c r="C765" s="1" t="s">
        <v>747</v>
      </c>
      <c r="D765" s="1" t="str">
        <f>IFERROR(__xludf.DUMMYFUNCTION("CONCATENATE(GOOGLETRANSLATE(C765, ""en"", ""zh-cn""))
"),"纯色短袖圆领中长休闲连衣裙")</f>
        <v>纯色短袖圆领中长休闲连衣裙</v>
      </c>
      <c r="E765" s="1" t="str">
        <f>IFERROR(__xludf.DUMMYFUNCTION("CONCATENATE(GOOGLETRANSLATE(C765, ""en"", ""ko""))
"),"솔리드 반팔 라운드 넥 미디 캐주얼 드레스")</f>
        <v>솔리드 반팔 라운드 넥 미디 캐주얼 드레스</v>
      </c>
      <c r="F765" s="1" t="str">
        <f>IFERROR(__xludf.DUMMYFUNCTION("CONCATENATE(GOOGLETRANSLATE(C765, ""en"", ""ja""))"),"固体半袖ラウンドネックミディカジュアルドレス")</f>
        <v>固体半袖ラウンドネックミディカジュアルドレス</v>
      </c>
    </row>
    <row r="766" ht="15.75" customHeight="1">
      <c r="A766" s="1">
        <v>2239.0</v>
      </c>
      <c r="B766" s="1" t="s">
        <v>381</v>
      </c>
      <c r="C766" s="1" t="s">
        <v>748</v>
      </c>
      <c r="D766" s="1" t="str">
        <f>IFERROR(__xludf.DUMMYFUNCTION("CONCATENATE(GOOGLETRANSLATE(C766, ""en"", ""zh-cn""))
"),"女式条纹翻领荷叶边下摆长袍休闲长袖超长连衣裙")</f>
        <v>女式条纹翻领荷叶边下摆长袍休闲长袖超长连衣裙</v>
      </c>
      <c r="E766" s="1" t="str">
        <f>IFERROR(__xludf.DUMMYFUNCTION("CONCATENATE(GOOGLETRANSLATE(C766, ""en"", ""ko""))
"),"여성 스트라이프 옷깃 프릴 밑단 카프탄 캐주얼 긴팔 맥시 드레스")</f>
        <v>여성 스트라이프 옷깃 프릴 밑단 카프탄 캐주얼 긴팔 맥시 드레스</v>
      </c>
      <c r="F766" s="1" t="str">
        <f>IFERROR(__xludf.DUMMYFUNCTION("CONCATENATE(GOOGLETRANSLATE(C766, ""en"", ""ja""))"),"女性ストライプラペルフリル裾カフタンカジュアル長袖マキシドレス")</f>
        <v>女性ストライプラペルフリル裾カフタンカジュアル長袖マキシドレス</v>
      </c>
    </row>
    <row r="767" ht="15.75" customHeight="1">
      <c r="A767" s="1">
        <v>2240.0</v>
      </c>
      <c r="B767" s="1" t="s">
        <v>381</v>
      </c>
      <c r="C767" s="1" t="s">
        <v>749</v>
      </c>
      <c r="D767" s="1" t="str">
        <f>IFERROR(__xludf.DUMMYFUNCTION("CONCATENATE(GOOGLETRANSLATE(C767, ""en"", ""zh-cn""))
"),"女式撞色花卉印花 O 领休闲 3/4 袖长连衣裙")</f>
        <v>女式撞色花卉印花 O 领休闲 3/4 袖长连衣裙</v>
      </c>
      <c r="E767" s="1" t="str">
        <f>IFERROR(__xludf.DUMMYFUNCTION("CONCATENATE(GOOGLETRANSLATE(C767, ""en"", ""ko""))
"),"여성 대비 색상 꽃무늬 O-넥 캐주얼 3/4 소매 맥시 드레스")</f>
        <v>여성 대비 색상 꽃무늬 O-넥 캐주얼 3/4 소매 맥시 드레스</v>
      </c>
      <c r="F767" s="1" t="str">
        <f>IFERROR(__xludf.DUMMYFUNCTION("CONCATENATE(GOOGLETRANSLATE(C767, ""en"", ""ja""))"),"女性コントラストカラー花柄 O ネックカジュアル 3/4 袖マキシドレス")</f>
        <v>女性コントラストカラー花柄 O ネックカジュアル 3/4 袖マキシドレス</v>
      </c>
    </row>
    <row r="768" ht="15.75" customHeight="1">
      <c r="A768" s="1">
        <v>2241.0</v>
      </c>
      <c r="B768" s="1" t="s">
        <v>381</v>
      </c>
      <c r="C768" s="1" t="s">
        <v>750</v>
      </c>
      <c r="D768" s="1" t="str">
        <f>IFERROR(__xludf.DUMMYFUNCTION("CONCATENATE(GOOGLETRANSLATE(C768, ""en"", ""zh-cn""))
"),"女式 V 领后拉链花卉印花休闲宽松连衣裙")</f>
        <v>女式 V 领后拉链花卉印花休闲宽松连衣裙</v>
      </c>
      <c r="E768" s="1" t="str">
        <f>IFERROR(__xludf.DUMMYFUNCTION("CONCATENATE(GOOGLETRANSLATE(C768, ""en"", ""ko""))
"),"여성용 V 넥 백 지퍼 꽃 프린트 캐주얼 루즈 드레스")</f>
        <v>여성용 V 넥 백 지퍼 꽃 프린트 캐주얼 루즈 드레스</v>
      </c>
      <c r="F768" s="1" t="str">
        <f>IFERROR(__xludf.DUMMYFUNCTION("CONCATENATE(GOOGLETRANSLATE(C768, ""en"", ""ja""))"),"女性のための V ネック バック ジッパー花柄カジュアル ルーズ ドレス")</f>
        <v>女性のための V ネック バック ジッパー花柄カジュアル ルーズ ドレス</v>
      </c>
    </row>
    <row r="769" ht="15.75" customHeight="1">
      <c r="A769" s="1">
        <v>2242.0</v>
      </c>
      <c r="B769" s="1" t="s">
        <v>381</v>
      </c>
      <c r="C769" s="1" t="s">
        <v>751</v>
      </c>
      <c r="D769" s="1" t="str">
        <f>IFERROR(__xludf.DUMMYFUNCTION("CONCATENATE(GOOGLETRANSLATE(C769, ""en"", ""zh-cn""))
"),"纯色抽绳腰袋短袖休闲连衣裙")</f>
        <v>纯色抽绳腰袋短袖休闲连衣裙</v>
      </c>
      <c r="E769" s="1" t="str">
        <f>IFERROR(__xludf.DUMMYFUNCTION("CONCATENATE(GOOGLETRANSLATE(C769, ""en"", ""ko""))
"),"솔리드 드로스트링 허리 포켓 반팔 캐주얼 드레스")</f>
        <v>솔리드 드로스트링 허리 포켓 반팔 캐주얼 드레스</v>
      </c>
      <c r="F769" s="1" t="str">
        <f>IFERROR(__xludf.DUMMYFUNCTION("CONCATENATE(GOOGLETRANSLATE(C769, ""en"", ""ja""))"),"固体巾着ウエストポケット半袖カジュアルドレス")</f>
        <v>固体巾着ウエストポケット半袖カジュアルドレス</v>
      </c>
    </row>
    <row r="770" ht="15.75" customHeight="1">
      <c r="A770" s="1">
        <v>2243.0</v>
      </c>
      <c r="B770" s="1" t="s">
        <v>381</v>
      </c>
      <c r="C770" s="1" t="s">
        <v>752</v>
      </c>
      <c r="D770" s="1" t="str">
        <f>IFERROR(__xludf.DUMMYFUNCTION("CONCATENATE(GOOGLETRANSLATE(C770, ""en"", ""zh-cn""))
"),"女式纯色短袖圆领休闲连衣裙")</f>
        <v>女式纯色短袖圆领休闲连衣裙</v>
      </c>
      <c r="E770" s="1" t="str">
        <f>IFERROR(__xludf.DUMMYFUNCTION("CONCATENATE(GOOGLETRANSLATE(C770, ""en"", ""ko""))
"),"여성을 위한 솔리드 짧은 소매 크루 넥 캐주얼 드레스")</f>
        <v>여성을 위한 솔리드 짧은 소매 크루 넥 캐주얼 드레스</v>
      </c>
      <c r="F770" s="1" t="str">
        <f>IFERROR(__xludf.DUMMYFUNCTION("CONCATENATE(GOOGLETRANSLATE(C770, ""en"", ""ja""))"),"女性のための固体半袖クルーネックカジュアルドレス")</f>
        <v>女性のための固体半袖クルーネックカジュアルドレス</v>
      </c>
    </row>
    <row r="771" ht="15.75" customHeight="1">
      <c r="A771" s="1">
        <v>2244.0</v>
      </c>
      <c r="B771" s="1" t="s">
        <v>381</v>
      </c>
      <c r="C771" s="1" t="s">
        <v>753</v>
      </c>
      <c r="D771" s="1" t="str">
        <f>IFERROR(__xludf.DUMMYFUNCTION("CONCATENATE(GOOGLETRANSLATE(C771, ""en"", ""zh-cn""))
"),"纯色纽扣前翻领短袖女式连衣裙")</f>
        <v>纯色纽扣前翻领短袖女式连衣裙</v>
      </c>
      <c r="E771" s="1" t="str">
        <f>IFERROR(__xludf.DUMMYFUNCTION("CONCATENATE(GOOGLETRANSLATE(C771, ""en"", ""ko""))
"),"솔리드 버튼 프론트 라펠 반팔 여성 드레스")</f>
        <v>솔리드 버튼 프론트 라펠 반팔 여성 드레스</v>
      </c>
      <c r="F771" s="1" t="str">
        <f>IFERROR(__xludf.DUMMYFUNCTION("CONCATENATE(GOOGLETRANSLATE(C771, ""en"", ""ja""))"),"ソリッドボタンフロントラペル半袖レディースドレス")</f>
        <v>ソリッドボタンフロントラペル半袖レディースドレス</v>
      </c>
    </row>
    <row r="772" ht="15.75" customHeight="1">
      <c r="A772" s="1">
        <v>2245.0</v>
      </c>
      <c r="B772" s="1" t="s">
        <v>381</v>
      </c>
      <c r="C772" s="1" t="s">
        <v>754</v>
      </c>
      <c r="D772" s="1" t="str">
        <f>IFERROR(__xludf.DUMMYFUNCTION("CONCATENATE(GOOGLETRANSLATE(C772, ""en"", ""zh-cn""))
"),"女式露肩蕾丝钩针长款镂空连衣裙 ")</f>
        <v>女式露肩蕾丝钩针长款镂空连衣裙 </v>
      </c>
      <c r="E772" s="1" t="str">
        <f>IFERROR(__xludf.DUMMYFUNCTION("CONCATENATE(GOOGLETRANSLATE(C772, ""en"", ""ko""))
"),"여성을 위한 콜드 숄더 레이스 크로셰 긴 맥시 중공 드레스 ")</f>
        <v>여성을 위한 콜드 숄더 레이스 크로셰 긴 맥시 중공 드레스 </v>
      </c>
      <c r="F772" s="1" t="str">
        <f>IFERROR(__xludf.DUMMYFUNCTION("CONCATENATE(GOOGLETRANSLATE(C772, ""en"", ""ja""))"),"女性のためのコールドショルダーレース Croceh ロングマキシ中空アウトドレス ")</f>
        <v>女性のためのコールドショルダーレース Croceh ロングマキシ中空アウトドレス </v>
      </c>
    </row>
    <row r="773" ht="15.75" customHeight="1">
      <c r="A773" s="1">
        <v>2246.0</v>
      </c>
      <c r="B773" s="1" t="s">
        <v>381</v>
      </c>
      <c r="C773" s="1" t="s">
        <v>755</v>
      </c>
      <c r="D773" s="1" t="str">
        <f>IFERROR(__xludf.DUMMYFUNCTION("CONCATENATE(GOOGLETRANSLATE(C773, ""en"", ""zh-cn""))
"),"女式 100% 棉 O 领花卉印花休闲连衣裙（带侧袋）")</f>
        <v>女式 100% 棉 O 领花卉印花休闲连衣裙（带侧袋）</v>
      </c>
      <c r="E773" s="1" t="str">
        <f>IFERROR(__xludf.DUMMYFUNCTION("CONCATENATE(GOOGLETRANSLATE(C773, ""en"", ""ko""))
"),"여성 사이드 포켓이 있는 100% 면 O-넥 꽃무늬 레저 드레스")</f>
        <v>여성 사이드 포켓이 있는 100% 면 O-넥 꽃무늬 레저 드레스</v>
      </c>
      <c r="F773" s="1" t="str">
        <f>IFERROR(__xludf.DUMMYFUNCTION("CONCATENATE(GOOGLETRANSLATE(C773, ""en"", ""ja""))"),"女性 100% コットン O ネック花柄レジャードレスサイドポケット付き")</f>
        <v>女性 100% コットン O ネック花柄レジャードレスサイドポケット付き</v>
      </c>
    </row>
    <row r="774" ht="15.75" customHeight="1">
      <c r="A774" s="1">
        <v>2247.0</v>
      </c>
      <c r="B774" s="1" t="s">
        <v>381</v>
      </c>
      <c r="C774" s="1" t="s">
        <v>756</v>
      </c>
      <c r="D774" s="1" t="str">
        <f>IFERROR(__xludf.DUMMYFUNCTION("CONCATENATE(GOOGLETRANSLATE(C774, ""en"", ""zh-cn""))
"),"休闲纯色喇叭袖系带雪纺宽松穆斯林长连衣裙")</f>
        <v>休闲纯色喇叭袖系带雪纺宽松穆斯林长连衣裙</v>
      </c>
      <c r="E774" s="1" t="str">
        <f>IFERROR(__xludf.DUMMYFUNCTION("CONCATENATE(GOOGLETRANSLATE(C774, ""en"", ""ko""))
"),"캐주얼 솔리드 컬러 플레어 슬리브 레이스업 시폰 루즈 무슬림 맥시 드레스")</f>
        <v>캐주얼 솔리드 컬러 플레어 슬리브 레이스업 시폰 루즈 무슬림 맥시 드레스</v>
      </c>
      <c r="F774" s="1" t="str">
        <f>IFERROR(__xludf.DUMMYFUNCTION("CONCATENATE(GOOGLETRANSLATE(C774, ""en"", ""ja""))"),"カジュアルソリッドカラーフレアスリーブレースアップシフォンルーズムスリムマキシドレス")</f>
        <v>カジュアルソリッドカラーフレアスリーブレースアップシフォンルーズムスリムマキシドレス</v>
      </c>
    </row>
    <row r="775" ht="15.75" customHeight="1">
      <c r="A775" s="1">
        <v>2248.0</v>
      </c>
      <c r="B775" s="1" t="s">
        <v>381</v>
      </c>
      <c r="C775" s="1" t="s">
        <v>757</v>
      </c>
      <c r="D775" s="1" t="str">
        <f>IFERROR(__xludf.DUMMYFUNCTION("CONCATENATE(GOOGLETRANSLATE(C775, ""en"", ""zh-cn""))
"),"格纹长袖翻领口袋纽扣连衣裙")</f>
        <v>格纹长袖翻领口袋纽扣连衣裙</v>
      </c>
      <c r="E775" s="1" t="str">
        <f>IFERROR(__xludf.DUMMYFUNCTION("CONCATENATE(GOOGLETRANSLATE(C775, ""en"", ""ko""))
"),"체크 패턴 긴팔 라펠 포켓 버튼 드레스")</f>
        <v>체크 패턴 긴팔 라펠 포켓 버튼 드레스</v>
      </c>
      <c r="F775" s="1" t="str">
        <f>IFERROR(__xludf.DUMMYFUNCTION("CONCATENATE(GOOGLETRANSLATE(C775, ""en"", ""ja""))"),"チェック柄長袖ラペルポケットボタンワンピース")</f>
        <v>チェック柄長袖ラペルポケットボタンワンピース</v>
      </c>
    </row>
    <row r="776" ht="15.75" customHeight="1">
      <c r="A776" s="1">
        <v>2249.0</v>
      </c>
      <c r="B776" s="1" t="s">
        <v>381</v>
      </c>
      <c r="C776" s="1" t="s">
        <v>758</v>
      </c>
      <c r="D776" s="1" t="str">
        <f>IFERROR(__xludf.DUMMYFUNCTION("CONCATENATE(GOOGLETRANSLATE(C776, ""en"", ""zh-cn""))
"),"女式纯色鱼尾下摆超长吊带连衣裙")</f>
        <v>女式纯色鱼尾下摆超长吊带连衣裙</v>
      </c>
      <c r="E776" s="1" t="str">
        <f>IFERROR(__xludf.DUMMYFUNCTION("CONCATENATE(GOOGLETRANSLATE(C776, ""en"", ""ko""))
"),"여성용 솔리드 인어 밑단 맥시 캐미 드레스")</f>
        <v>여성용 솔리드 인어 밑단 맥시 캐미 드레스</v>
      </c>
      <c r="F776" s="1" t="str">
        <f>IFERROR(__xludf.DUMMYFUNCTION("CONCATENATE(GOOGLETRANSLATE(C776, ""en"", ""ja""))"),"女性のための固体マーメイドヘムマキシキャミドレス")</f>
        <v>女性のための固体マーメイドヘムマキシキャミドレス</v>
      </c>
    </row>
    <row r="777" ht="15.75" customHeight="1">
      <c r="A777" s="1">
        <v>2250.0</v>
      </c>
      <c r="B777" s="1" t="s">
        <v>381</v>
      </c>
      <c r="C777" s="1" t="s">
        <v>759</v>
      </c>
      <c r="D777" s="1" t="str">
        <f>IFERROR(__xludf.DUMMYFUNCTION("CONCATENATE(GOOGLETRANSLATE(C777, ""en"", ""zh-cn""))
"),"通体花朵印花口袋圆领复古连衣裙")</f>
        <v>通体花朵印花口袋圆领复古连衣裙</v>
      </c>
      <c r="E777" s="1" t="str">
        <f>IFERROR(__xludf.DUMMYFUNCTION("CONCATENATE(GOOGLETRANSLATE(C777, ""en"", ""ko""))
"),"올오버 플라워 프린트 포켓 크루넥 빈티지 드레스")</f>
        <v>올오버 플라워 프린트 포켓 크루넥 빈티지 드레스</v>
      </c>
      <c r="F777" s="1" t="str">
        <f>IFERROR(__xludf.DUMMYFUNCTION("CONCATENATE(GOOGLETRANSLATE(C777, ""en"", ""ja""))"),"総柄フラワープリントポケットクルーネックヴィンテージドレス")</f>
        <v>総柄フラワープリントポケットクルーネックヴィンテージドレス</v>
      </c>
    </row>
    <row r="778" ht="15.75" customHeight="1">
      <c r="A778" s="1">
        <v>2251.0</v>
      </c>
      <c r="B778" s="1" t="s">
        <v>381</v>
      </c>
      <c r="C778" s="1" t="s">
        <v>760</v>
      </c>
      <c r="D778" s="1" t="str">
        <f>IFERROR(__xludf.DUMMYFUNCTION("CONCATENATE(GOOGLETRANSLATE(C778, ""en"", ""zh-cn""))
"),"纯色泡泡袖口袋系带圆领超长复古连衣裙")</f>
        <v>纯色泡泡袖口袋系带圆领超长复古连衣裙</v>
      </c>
      <c r="E778" s="1" t="str">
        <f>IFERROR(__xludf.DUMMYFUNCTION("CONCATENATE(GOOGLETRANSLATE(C778, ""en"", ""ko""))
"),"솔리드 퍼프 슬리브 포켓 타이 크루넥 맥시 빈티지 드레스")</f>
        <v>솔리드 퍼프 슬리브 포켓 타이 크루넥 맥시 빈티지 드레스</v>
      </c>
      <c r="F778" s="1" t="str">
        <f>IFERROR(__xludf.DUMMYFUNCTION("CONCATENATE(GOOGLETRANSLATE(C778, ""en"", ""ja""))"),"ソリッド パフ スリーブ ポケット タイ クルーネック マキシ ヴィンテージ ドレス")</f>
        <v>ソリッド パフ スリーブ ポケット タイ クルーネック マキシ ヴィンテージ ドレス</v>
      </c>
    </row>
    <row r="779" ht="15.75" customHeight="1">
      <c r="A779" s="1">
        <v>2252.0</v>
      </c>
      <c r="B779" s="1" t="s">
        <v>381</v>
      </c>
      <c r="C779" s="1" t="s">
        <v>761</v>
      </c>
      <c r="D779" s="1" t="str">
        <f>IFERROR(__xludf.DUMMYFUNCTION("CONCATENATE(GOOGLETRANSLATE(C779, ""en"", ""zh-cn""))
"),"女式无袖肩带高低下摆纯色休闲长连衣裙")</f>
        <v>女式无袖肩带高低下摆纯色休闲长连衣裙</v>
      </c>
      <c r="E779" s="1" t="str">
        <f>IFERROR(__xludf.DUMMYFUNCTION("CONCATENATE(GOOGLETRANSLATE(C779, ""en"", ""ko""))
"),"여성 민소매 스트랩 하이 로우 밑단 솔리드 인과 맥시 드레스")</f>
        <v>여성 민소매 스트랩 하이 로우 밑단 솔리드 인과 맥시 드레스</v>
      </c>
      <c r="F779" s="1" t="str">
        <f>IFERROR(__xludf.DUMMYFUNCTION("CONCATENATE(GOOGLETRANSLATE(C779, ""en"", ""ja""))"),"女性ノースリーブストラップハイローヘムソリッドカジュアルマキシドレス")</f>
        <v>女性ノースリーブストラップハイローヘムソリッドカジュアルマキシドレス</v>
      </c>
    </row>
    <row r="780" ht="15.75" customHeight="1">
      <c r="A780" s="1">
        <v>2253.0</v>
      </c>
      <c r="B780" s="1" t="s">
        <v>381</v>
      </c>
      <c r="C780" s="1" t="s">
        <v>762</v>
      </c>
      <c r="D780" s="1" t="str">
        <f>IFERROR(__xludf.DUMMYFUNCTION("CONCATENATE(GOOGLETRANSLATE(C780, ""en"", ""zh-cn""))
"),"女式V领花卉印花波西米亚休闲休闲宽松连衣裙")</f>
        <v>女式V领花卉印花波西米亚休闲休闲宽松连衣裙</v>
      </c>
      <c r="E780" s="1" t="str">
        <f>IFERROR(__xludf.DUMMYFUNCTION("CONCATENATE(GOOGLETRANSLATE(C780, ""en"", ""ko""))
"),"여성 V 넥 꽃 프린트 보헤미안 레저 캐주얼 루즈 드레스")</f>
        <v>여성 V 넥 꽃 프린트 보헤미안 레저 캐주얼 루즈 드레스</v>
      </c>
      <c r="F780" s="1" t="str">
        <f>IFERROR(__xludf.DUMMYFUNCTION("CONCATENATE(GOOGLETRANSLATE(C780, ""en"", ""ja""))"),"女性 V ネック花柄プリントボヘミアンレジャーカジュアルルーズドレス")</f>
        <v>女性 V ネック花柄プリントボヘミアンレジャーカジュアルルーズドレス</v>
      </c>
    </row>
    <row r="781" ht="15.75" customHeight="1">
      <c r="A781" s="1">
        <v>2254.0</v>
      </c>
      <c r="B781" s="1" t="s">
        <v>381</v>
      </c>
      <c r="C781" s="1" t="s">
        <v>763</v>
      </c>
      <c r="D781" s="1" t="str">
        <f>IFERROR(__xludf.DUMMYFUNCTION("CONCATENATE(GOOGLETRANSLATE(C781, ""en"", ""zh-cn""))
"),"女式纯色 O 领无袖波西米亚休闲连衣裙（带侧袋）")</f>
        <v>女式纯色 O 领无袖波西米亚休闲连衣裙（带侧袋）</v>
      </c>
      <c r="E781" s="1" t="str">
        <f>IFERROR(__xludf.DUMMYFUNCTION("CONCATENATE(GOOGLETRANSLATE(C781, ""en"", ""ko""))
"),"여성 사이드 포켓이 있는 솔리드 O 넥 민소매 보헤미안 레저 드레스")</f>
        <v>여성 사이드 포켓이 있는 솔리드 O 넥 민소매 보헤미안 레저 드레스</v>
      </c>
      <c r="F781" s="1" t="str">
        <f>IFERROR(__xludf.DUMMYFUNCTION("CONCATENATE(GOOGLETRANSLATE(C781, ""en"", ""ja""))"),"女性ソリッド O ネックノースリーブボヘミアンレジャードレスサイドポケット付き")</f>
        <v>女性ソリッド O ネックノースリーブボヘミアンレジャードレスサイドポケット付き</v>
      </c>
    </row>
    <row r="782" ht="15.75" customHeight="1">
      <c r="A782" s="1">
        <v>2255.0</v>
      </c>
      <c r="B782" s="1" t="s">
        <v>381</v>
      </c>
      <c r="C782" s="1" t="s">
        <v>764</v>
      </c>
      <c r="D782" s="1" t="str">
        <f>IFERROR(__xludf.DUMMYFUNCTION("CONCATENATE(GOOGLETRANSLATE(C782, ""en"", ""zh-cn""))
"),"女式 100% 纯棉纯色荷叶边波西米亚休闲长连衣裙")</f>
        <v>女式 100% 纯棉纯色荷叶边波西米亚休闲长连衣裙</v>
      </c>
      <c r="E782" s="1" t="str">
        <f>IFERROR(__xludf.DUMMYFUNCTION("CONCATENATE(GOOGLETRANSLATE(C782, ""en"", ""ko""))
"),"여성을 위한 100% 코튼 솔리드 프릴 보헤미안 캐주얼 맥시 드레스")</f>
        <v>여성을 위한 100% 코튼 솔리드 프릴 보헤미안 캐주얼 맥시 드레스</v>
      </c>
      <c r="F782" s="1" t="str">
        <f>IFERROR(__xludf.DUMMYFUNCTION("CONCATENATE(GOOGLETRANSLATE(C782, ""en"", ""ja""))"),"女性のための綿100%固体フリルボヘミアンカジュアルマキシドレス")</f>
        <v>女性のための綿100%固体フリルボヘミアンカジュアルマキシドレス</v>
      </c>
    </row>
    <row r="783" ht="15.75" customHeight="1">
      <c r="A783" s="1">
        <v>2256.0</v>
      </c>
      <c r="B783" s="1" t="s">
        <v>381</v>
      </c>
      <c r="C783" s="1" t="s">
        <v>765</v>
      </c>
      <c r="D783" s="1" t="str">
        <f>IFERROR(__xludf.DUMMYFUNCTION("CONCATENATE(GOOGLETRANSLATE(C783, ""en"", ""zh-cn""))
"),"波西米亚圆点条纹撞色印花拼接度假长连衣裙")</f>
        <v>波西米亚圆点条纹撞色印花拼接度假长连衣裙</v>
      </c>
      <c r="E783" s="1" t="str">
        <f>IFERROR(__xludf.DUMMYFUNCTION("CONCATENATE(GOOGLETRANSLATE(C783, ""en"", ""ko""))
"),"보헤미안 폴카 도트 스트라이프 대비 컬러 프린트 패치워크 홀리데이 맥시 드레스")</f>
        <v>보헤미안 폴카 도트 스트라이프 대비 컬러 프린트 패치워크 홀리데이 맥시 드레스</v>
      </c>
      <c r="F783" s="1" t="str">
        <f>IFERROR(__xludf.DUMMYFUNCTION("CONCATENATE(GOOGLETRANSLATE(C783, ""en"", ""ja""))"),"ボヘミアンポルカドットストライプコントラストカラープリントパッチワークホリデーマキシドレス")</f>
        <v>ボヘミアンポルカドットストライプコントラストカラープリントパッチワークホリデーマキシドレス</v>
      </c>
    </row>
    <row r="784" ht="15.75" customHeight="1">
      <c r="A784" s="1">
        <v>2257.0</v>
      </c>
      <c r="B784" s="1" t="s">
        <v>381</v>
      </c>
      <c r="C784" s="1" t="s">
        <v>766</v>
      </c>
      <c r="D784" s="1" t="str">
        <f>IFERROR(__xludf.DUMMYFUNCTION("CONCATENATE(GOOGLETRANSLATE(C784, ""en"", ""zh-cn""))
"),"休闲色块圆领拼接长连衣裙（带口袋）")</f>
        <v>休闲色块圆领拼接长连衣裙（带口袋）</v>
      </c>
      <c r="E784" s="1" t="str">
        <f>IFERROR(__xludf.DUMMYFUNCTION("CONCATENATE(GOOGLETRANSLATE(C784, ""en"", ""ko""))
"),"포켓이 있는 캐주얼 컬러 블록 라운드 넥 스티치 맥시 드레스")</f>
        <v>포켓이 있는 캐주얼 컬러 블록 라운드 넥 스티치 맥시 드레스</v>
      </c>
      <c r="F784" s="1" t="str">
        <f>IFERROR(__xludf.DUMMYFUNCTION("CONCATENATE(GOOGLETRANSLATE(C784, ""en"", ""ja""))"),"ポケット付きカジュアルカラーブロックラウンドネックステッチマキシドレス")</f>
        <v>ポケット付きカジュアルカラーブロックラウンドネックステッチマキシドレス</v>
      </c>
    </row>
    <row r="785" ht="15.75" customHeight="1">
      <c r="A785" s="1">
        <v>2258.0</v>
      </c>
      <c r="B785" s="1" t="s">
        <v>381</v>
      </c>
      <c r="C785" s="1" t="s">
        <v>767</v>
      </c>
      <c r="D785" s="1" t="str">
        <f>IFERROR(__xludf.DUMMYFUNCTION("CONCATENATE(GOOGLETRANSLATE(C785, ""en"", ""zh-cn""))
"),"女式纯色纽扣前系带弹性袖口复古长袖长连衣裙（带口袋）")</f>
        <v>女式纯色纽扣前系带弹性袖口复古长袖长连衣裙（带口袋）</v>
      </c>
      <c r="E785" s="1" t="str">
        <f>IFERROR(__xludf.DUMMYFUNCTION("CONCATENATE(GOOGLETRANSLATE(C785, ""en"", ""ko""))
"),"여성 일반 단추 전면 레이스 업 탄성 커프스 빈티지 긴 소매 맥시 드레스 포켓 포함")</f>
        <v>여성 일반 단추 전면 레이스 업 탄성 커프스 빈티지 긴 소매 맥시 드레스 포켓 포함</v>
      </c>
      <c r="F785" s="1" t="str">
        <f>IFERROR(__xludf.DUMMYFUNCTION("CONCATENATE(GOOGLETRANSLATE(C785, ""en"", ""ja""))"),"女性無地ボタンフロントレースアップ弾性袖口ヴィンテージ長袖マキシドレスポケット付き")</f>
        <v>女性無地ボタンフロントレースアップ弾性袖口ヴィンテージ長袖マキシドレスポケット付き</v>
      </c>
    </row>
    <row r="786" ht="15.75" customHeight="1">
      <c r="A786" s="1">
        <v>2259.0</v>
      </c>
      <c r="B786" s="1" t="s">
        <v>381</v>
      </c>
      <c r="C786" s="1" t="s">
        <v>768</v>
      </c>
      <c r="D786" s="1" t="str">
        <f>IFERROR(__xludf.DUMMYFUNCTION("CONCATENATE(GOOGLETRANSLATE(C786, ""en"", ""zh-cn""))
"),"S-5XL 女式休闲短袖拼接宽松圆领中长连衣裙")</f>
        <v>S-5XL 女式休闲短袖拼接宽松圆领中长连衣裙</v>
      </c>
      <c r="E786" s="1" t="str">
        <f>IFERROR(__xludf.DUMMYFUNCTION("CONCATENATE(GOOGLETRANSLATE(C786, ""en"", ""ko""))
"),"S-5XL 여성 캐주얼 반소매 스플 라이스 루즈 한 O 넥 미드 롱 드레스")</f>
        <v>S-5XL 여성 캐주얼 반소매 스플 라이스 루즈 한 O 넥 미드 롱 드레스</v>
      </c>
      <c r="F786" s="1" t="str">
        <f>IFERROR(__xludf.DUMMYFUNCTION("CONCATENATE(GOOGLETRANSLATE(C786, ""en"", ""ja""))"),"S-5XL 女性カジュアル半袖スプライスルーズ O ネックミッドロングドレス")</f>
        <v>S-5XL 女性カジュアル半袖スプライスルーズ O ネックミッドロングドレス</v>
      </c>
    </row>
    <row r="787" ht="15.75" customHeight="1">
      <c r="A787" s="1">
        <v>2260.0</v>
      </c>
      <c r="B787" s="1" t="s">
        <v>381</v>
      </c>
      <c r="C787" s="1" t="s">
        <v>769</v>
      </c>
      <c r="D787" s="1" t="str">
        <f>IFERROR(__xludf.DUMMYFUNCTION("CONCATENATE(GOOGLETRANSLATE(C787, ""en"", ""zh-cn""))
"),"女式复古 O 领纽扣长泡泡袖长罩衫裙纯色长连衣裙")</f>
        <v>女式复古 O 领纽扣长泡泡袖长罩衫裙纯色长连衣裙</v>
      </c>
      <c r="E787" s="1" t="str">
        <f>IFERROR(__xludf.DUMMYFUNCTION("CONCATENATE(GOOGLETRANSLATE(C787, ""en"", ""ko""))
"),"여성 빈티지 오-넥 버튼 롱 퍼프 슬리브 카프탄 솔리드 컬러 맥시 드레스")</f>
        <v>여성 빈티지 오-넥 버튼 롱 퍼프 슬리브 카프탄 솔리드 컬러 맥시 드레스</v>
      </c>
      <c r="F787" s="1" t="str">
        <f>IFERROR(__xludf.DUMMYFUNCTION("CONCATENATE(GOOGLETRANSLATE(C787, ""en"", ""ja""))"),"女性ヴィンテージ O ネックボタンロングパフスリーブカフタンソリッドカラーマキシドレス")</f>
        <v>女性ヴィンテージ O ネックボタンロングパフスリーブカフタンソリッドカラーマキシドレス</v>
      </c>
    </row>
    <row r="788" ht="15.75" customHeight="1">
      <c r="A788" s="1">
        <v>2261.0</v>
      </c>
      <c r="B788" s="1" t="s">
        <v>381</v>
      </c>
      <c r="C788" s="1" t="s">
        <v>770</v>
      </c>
      <c r="D788" s="1" t="str">
        <f>IFERROR(__xludf.DUMMYFUNCTION("CONCATENATE(GOOGLETRANSLATE(C788, ""en"", ""zh-cn""))
"),"女式正面纽扣长袍长袖衬衫长裙（带口袋）")</f>
        <v>女式正面纽扣长袍长袖衬衫长裙（带口袋）</v>
      </c>
      <c r="E788" s="1" t="str">
        <f>IFERROR(__xludf.DUMMYFUNCTION("CONCATENATE(GOOGLETRANSLATE(C788, ""en"", ""ko""))
"),"여성 단추 전면 Kaftan 가운 긴 소매 셔츠 주머니와 맥시 드레스")</f>
        <v>여성 단추 전면 Kaftan 가운 긴 소매 셔츠 주머니와 맥시 드레스</v>
      </c>
      <c r="F788" s="1" t="str">
        <f>IFERROR(__xludf.DUMMYFUNCTION("CONCATENATE(GOOGLETRANSLATE(C788, ""en"", ""ja""))"),"女性ボタンフロントカフタンローブ長袖シャツマキシドレスポケット付き")</f>
        <v>女性ボタンフロントカフタンローブ長袖シャツマキシドレスポケット付き</v>
      </c>
    </row>
    <row r="789" ht="15.75" customHeight="1">
      <c r="A789" s="1">
        <v>2262.0</v>
      </c>
      <c r="B789" s="1" t="s">
        <v>381</v>
      </c>
      <c r="C789" s="1" t="s">
        <v>771</v>
      </c>
      <c r="D789" s="1" t="str">
        <f>IFERROR(__xludf.DUMMYFUNCTION("CONCATENATE(GOOGLETRANSLATE(C789, ""en"", ""zh-cn""))
"),"纯色细肩袖宽松摆休闲长连衣裙")</f>
        <v>纯色细肩袖宽松摆休闲长连衣裙</v>
      </c>
      <c r="E789" s="1" t="str">
        <f>IFERROR(__xludf.DUMMYFUNCTION("CONCATENATE(GOOGLETRANSLATE(C789, ""en"", ""ko""))
"),"솔리드 컬러 스파게티 민소매 루즈 스윙 캐주얼 맥시 드레스")</f>
        <v>솔리드 컬러 스파게티 민소매 루즈 스윙 캐주얼 맥시 드레스</v>
      </c>
      <c r="F789" s="1" t="str">
        <f>IFERROR(__xludf.DUMMYFUNCTION("CONCATENATE(GOOGLETRANSLATE(C789, ""en"", ""ja""))"),"ソリッドカラースパゲッティノースリーブルーズスイングカジュアルマキシドレス")</f>
        <v>ソリッドカラースパゲッティノースリーブルーズスイングカジュアルマキシドレス</v>
      </c>
    </row>
    <row r="790" ht="15.75" customHeight="1">
      <c r="A790" s="1">
        <v>2263.0</v>
      </c>
      <c r="B790" s="1" t="s">
        <v>381</v>
      </c>
      <c r="C790" s="1" t="s">
        <v>772</v>
      </c>
      <c r="D790" s="1" t="str">
        <f>IFERROR(__xludf.DUMMYFUNCTION("CONCATENATE(GOOGLETRANSLATE(C790, ""en"", ""zh-cn""))
"),"女式纯色荷叶边饰边无袖简约中长连衣裙")</f>
        <v>女式纯色荷叶边饰边无袖简约中长连衣裙</v>
      </c>
      <c r="E790" s="1" t="str">
        <f>IFERROR(__xludf.DUMMYFUNCTION("CONCATENATE(GOOGLETRANSLATE(C790, ""en"", ""ko""))
"),"여성 솔리드 컬러 프릴 트림 민소매 단순 미디 드레스")</f>
        <v>여성 솔리드 컬러 프릴 트림 민소매 단순 미디 드레스</v>
      </c>
      <c r="F790" s="1" t="str">
        <f>IFERROR(__xludf.DUMMYFUNCTION("CONCATENATE(GOOGLETRANSLATE(C790, ""en"", ""ja""))"),"女性ソリッドカラーフリルトリムノースリーブシンプルなミディドレス")</f>
        <v>女性ソリッドカラーフリルトリムノースリーブシンプルなミディドレス</v>
      </c>
    </row>
    <row r="791" ht="15.75" customHeight="1">
      <c r="A791" s="1">
        <v>2264.0</v>
      </c>
      <c r="B791" s="1" t="s">
        <v>381</v>
      </c>
      <c r="C791" s="1" t="s">
        <v>773</v>
      </c>
      <c r="D791" s="1" t="str">
        <f>IFERROR(__xludf.DUMMYFUNCTION("CONCATENATE(GOOGLETRANSLATE(C791, ""en"", ""zh-cn""))
"),"无袖圆领宽松休闲花卉印花超长连衣裙")</f>
        <v>无袖圆领宽松休闲花卉印花超长连衣裙</v>
      </c>
      <c r="E791" s="1" t="str">
        <f>IFERROR(__xludf.DUMMYFUNCTION("CONCATENATE(GOOGLETRANSLATE(C791, ""en"", ""ko""))
"),"민소매 O 넥 루즈 캐쥬얼 플로럴 프린트 맥시 드레스")</f>
        <v>민소매 O 넥 루즈 캐쥬얼 플로럴 프린트 맥시 드레스</v>
      </c>
      <c r="F791" s="1" t="str">
        <f>IFERROR(__xludf.DUMMYFUNCTION("CONCATENATE(GOOGLETRANSLATE(C791, ""en"", ""ja""))"),"ノースリーブ O ネック ルーズ カジュアル フローラル プリント マキシ ドレス")</f>
        <v>ノースリーブ O ネック ルーズ カジュアル フローラル プリント マキシ ドレス</v>
      </c>
    </row>
    <row r="792" ht="15.75" customHeight="1">
      <c r="A792" s="1">
        <v>2265.0</v>
      </c>
      <c r="B792" s="1" t="s">
        <v>381</v>
      </c>
      <c r="C792" s="1" t="s">
        <v>774</v>
      </c>
      <c r="D792" s="1" t="str">
        <f>IFERROR(__xludf.DUMMYFUNCTION("CONCATENATE(GOOGLETRANSLATE(C792, ""en"", ""zh-cn""))
"),"女式圆点印花拼布短袖假日波西米亚长连衣裙")</f>
        <v>女式圆点印花拼布短袖假日波西米亚长连衣裙</v>
      </c>
      <c r="E792" s="1" t="str">
        <f>IFERROR(__xludf.DUMMYFUNCTION("CONCATENATE(GOOGLETRANSLATE(C792, ""en"", ""ko""))
"),"여성을 위한 폴카 도트 인쇄 패치워크 짧은 소매 휴일 보헤미아 맥시 드레스")</f>
        <v>여성을 위한 폴카 도트 인쇄 패치워크 짧은 소매 휴일 보헤미아 맥시 드레스</v>
      </c>
      <c r="F792" s="1" t="str">
        <f>IFERROR(__xludf.DUMMYFUNCTION("CONCATENATE(GOOGLETRANSLATE(C792, ""en"", ""ja""))"),"女性のための水玉プリント パッチワーク半袖ホリデー ボヘミア マキシ ドレス")</f>
        <v>女性のための水玉プリント パッチワーク半袖ホリデー ボヘミア マキシ ドレス</v>
      </c>
    </row>
    <row r="793" ht="15.75" customHeight="1">
      <c r="A793" s="1">
        <v>2266.0</v>
      </c>
      <c r="B793" s="1" t="s">
        <v>381</v>
      </c>
      <c r="C793" s="1" t="s">
        <v>775</v>
      </c>
      <c r="D793" s="1" t="str">
        <f>IFERROR(__xludf.DUMMYFUNCTION("CONCATENATE(GOOGLETRANSLATE(C793, ""en"", ""zh-cn""))
"),"女式方领褶皱纽扣休闲超长复古连衣裙（带侧袋）")</f>
        <v>女式方领褶皱纽扣休闲超长复古连衣裙（带侧袋）</v>
      </c>
      <c r="E793" s="1" t="str">
        <f>IFERROR(__xludf.DUMMYFUNCTION("CONCATENATE(GOOGLETRANSLATE(C793, ""en"", ""ko""))
"),"여성 스퀘어 넥 주름 단추 캐주얼 맥시 빈티지 드레스(사이드 포켓 ​​포함)")</f>
        <v>여성 스퀘어 넥 주름 단추 캐주얼 맥시 빈티지 드레스(사이드 포켓 ​​포함)</v>
      </c>
      <c r="F793" s="1" t="str">
        <f>IFERROR(__xludf.DUMMYFUNCTION("CONCATENATE(GOOGLETRANSLATE(C793, ""en"", ""ja""))"),"女性スクエアネックプリーツボタンカジュアルマキシヴィンテージドレスサイドポケット付き")</f>
        <v>女性スクエアネックプリーツボタンカジュアルマキシヴィンテージドレスサイドポケット付き</v>
      </c>
    </row>
    <row r="794" ht="15.75" customHeight="1">
      <c r="A794" s="1">
        <v>2267.0</v>
      </c>
      <c r="B794" s="1" t="s">
        <v>381</v>
      </c>
      <c r="C794" s="1" t="s">
        <v>776</v>
      </c>
      <c r="D794" s="1" t="str">
        <f>IFERROR(__xludf.DUMMYFUNCTION("CONCATENATE(GOOGLETRANSLATE(C794, ""en"", ""zh-cn""))
"),"女式纯色不规则下摆休闲连帽运动衫长连衣裙（带侧袋）")</f>
        <v>女式纯色不规则下摆休闲连帽运动衫长连衣裙（带侧袋）</v>
      </c>
      <c r="E794" s="1" t="str">
        <f>IFERROR(__xludf.DUMMYFUNCTION("CONCATENATE(GOOGLETRANSLATE(C794, ""en"", ""ko""))
"),"여성 솔리드 컬러 불규칙한 밑단 캐주얼 후드 티셔츠 사이드 포켓이 있는 맥시 드레스")</f>
        <v>여성 솔리드 컬러 불규칙한 밑단 캐주얼 후드 티셔츠 사이드 포켓이 있는 맥시 드레스</v>
      </c>
      <c r="F794" s="1" t="str">
        <f>IFERROR(__xludf.DUMMYFUNCTION("CONCATENATE(GOOGLETRANSLATE(C794, ""en"", ""ja""))"),"女性ソリッドカラー不規則な裾カジュアルフード付きスウェットシャツマキシドレスサイドポケット付き")</f>
        <v>女性ソリッドカラー不規則な裾カジュアルフード付きスウェットシャツマキシドレスサイドポケット付き</v>
      </c>
    </row>
    <row r="795" ht="15.75" customHeight="1">
      <c r="A795" s="1">
        <v>2268.0</v>
      </c>
      <c r="B795" s="1" t="s">
        <v>381</v>
      </c>
      <c r="C795" s="1" t="s">
        <v>777</v>
      </c>
      <c r="D795" s="1" t="str">
        <f>IFERROR(__xludf.DUMMYFUNCTION("CONCATENATE(GOOGLETRANSLATE(C795, ""en"", ""zh-cn""))
"),"女式民族风人物印花圆领短袖宽松宽松长连衣裙")</f>
        <v>女式民族风人物印花圆领短袖宽松宽松长连衣裙</v>
      </c>
      <c r="E795" s="1" t="str">
        <f>IFERROR(__xludf.DUMMYFUNCTION("CONCATENATE(GOOGLETRANSLATE(C795, ""en"", ""ko""))
"),"여성 민족 스타일 그림 인쇄 라운드 넥 짧은 소매 느슨한 헐렁한 맥시 드레스")</f>
        <v>여성 민족 스타일 그림 인쇄 라운드 넥 짧은 소매 느슨한 헐렁한 맥시 드레스</v>
      </c>
      <c r="F795" s="1" t="str">
        <f>IFERROR(__xludf.DUMMYFUNCTION("CONCATENATE(GOOGLETRANSLATE(C795, ""en"", ""ja""))"),"女性エスニックスタイルフィギュアプリントラウンドネック半袖ルーズだぶだぶマキシドレス")</f>
        <v>女性エスニックスタイルフィギュアプリントラウンドネック半袖ルーズだぶだぶマキシドレス</v>
      </c>
    </row>
    <row r="796" ht="15.75" customHeight="1">
      <c r="A796" s="1">
        <v>2269.0</v>
      </c>
      <c r="B796" s="1" t="s">
        <v>381</v>
      </c>
      <c r="C796" s="1" t="s">
        <v>778</v>
      </c>
      <c r="D796" s="1" t="str">
        <f>IFERROR(__xludf.DUMMYFUNCTION("CONCATENATE(GOOGLETRANSLATE(C796, ""en"", ""zh-cn""))
"),"女式网格印花正面系扣松紧袖口波西米亚 O 领超长衬衫连衣裙")</f>
        <v>女式网格印花正面系扣松紧袖口波西米亚 O 领超长衬衫连衣裙</v>
      </c>
      <c r="E796" s="1" t="str">
        <f>IFERROR(__xludf.DUMMYFUNCTION("CONCATENATE(GOOGLETRANSLATE(C796, ""en"", ""ko""))
"),"여성 그리드 프린트 버튼 다운 전면 탄성 커프 보헤미안 o 넥 맥시 셔츠 드레스")</f>
        <v>여성 그리드 프린트 버튼 다운 전면 탄성 커프 보헤미안 o 넥 맥시 셔츠 드레스</v>
      </c>
      <c r="F796" s="1" t="str">
        <f>IFERROR(__xludf.DUMMYFUNCTION("CONCATENATE(GOOGLETRANSLATE(C796, ""en"", ""ja""))"),"女性グリッドプリントボタンダウンフロント弾性袖口ボヘミアン O ネックマキシシャツドレス")</f>
        <v>女性グリッドプリントボタンダウンフロント弾性袖口ボヘミアン O ネックマキシシャツドレス</v>
      </c>
    </row>
    <row r="797" ht="15.75" customHeight="1">
      <c r="A797" s="1">
        <v>2270.0</v>
      </c>
      <c r="B797" s="1" t="s">
        <v>381</v>
      </c>
      <c r="C797" s="1" t="s">
        <v>779</v>
      </c>
      <c r="D797" s="1" t="str">
        <f>IFERROR(__xludf.DUMMYFUNCTION("CONCATENATE(GOOGLETRANSLATE(C797, ""en"", ""zh-cn""))
"),"女式花卉印花假日 A 字形纽扣长袖穆斯林连衣裙长袍长衫（带口袋）")</f>
        <v>女式花卉印花假日 A 字形纽扣长袖穆斯林连衣裙长袍长衫（带口袋）</v>
      </c>
      <c r="E797" s="1" t="str">
        <f>IFERROR(__xludf.DUMMYFUNCTION("CONCATENATE(GOOGLETRANSLATE(C797, ""en"", ""ko""))
"),"여성 꽃무늬 홀리데이 A라인 버튼 업 긴 소매 이슬람 드레스 Abaya Kaftan With Pocket")</f>
        <v>여성 꽃무늬 홀리데이 A라인 버튼 업 긴 소매 이슬람 드레스 Abaya Kaftan With Pocket</v>
      </c>
      <c r="F797" s="1" t="str">
        <f>IFERROR(__xludf.DUMMYFUNCTION("CONCATENATE(GOOGLETRANSLATE(C797, ""en"", ""ja""))"),"女性 フローラル プリント ホリデー A ライン ボタンアップ 長袖 イスラム教徒 ドレス アバヤ カフタン ポケット付き")</f>
        <v>女性 フローラル プリント ホリデー A ライン ボタンアップ 長袖 イスラム教徒 ドレス アバヤ カフタン ポケット付き</v>
      </c>
    </row>
    <row r="798" ht="15.75" customHeight="1">
      <c r="A798" s="1">
        <v>2271.0</v>
      </c>
      <c r="B798" s="1" t="s">
        <v>381</v>
      </c>
      <c r="C798" s="1" t="s">
        <v>780</v>
      </c>
      <c r="D798" s="1" t="str">
        <f>IFERROR(__xludf.DUMMYFUNCTION("CONCATENATE(GOOGLETRANSLATE(C798, ""en"", ""zh-cn""))
"),"女式纯色荷叶边下摆褶皱泡泡袖超长连衣裙")</f>
        <v>女式纯色荷叶边下摆褶皱泡泡袖超长连衣裙</v>
      </c>
      <c r="E798" s="1" t="str">
        <f>IFERROR(__xludf.DUMMYFUNCTION("CONCATENATE(GOOGLETRANSLATE(C798, ""en"", ""ko""))
"),"여성 솔리드 컬러 프릴 밑단 주름 퍼프 슬리브 맥시 드레스")</f>
        <v>여성 솔리드 컬러 프릴 밑단 주름 퍼프 슬리브 맥시 드레스</v>
      </c>
      <c r="F798" s="1" t="str">
        <f>IFERROR(__xludf.DUMMYFUNCTION("CONCATENATE(GOOGLETRANSLATE(C798, ""en"", ""ja""))"),"女性ソリッドカラーフリル裾プリーツパフスリーブマキシドレス")</f>
        <v>女性ソリッドカラーフリル裾プリーツパフスリーブマキシドレス</v>
      </c>
    </row>
    <row r="799" ht="15.75" customHeight="1">
      <c r="A799" s="1">
        <v>2272.0</v>
      </c>
      <c r="B799" s="1" t="s">
        <v>381</v>
      </c>
      <c r="C799" s="1" t="s">
        <v>781</v>
      </c>
      <c r="D799" s="1" t="str">
        <f>IFERROR(__xludf.DUMMYFUNCTION("CONCATENATE(GOOGLETRANSLATE(C799, ""en"", ""zh-cn""))
"),"女式宽松休闲长袖V领纽扣口袋衬衫连衣裙")</f>
        <v>女式宽松休闲长袖V领纽扣口袋衬衫连衣裙</v>
      </c>
      <c r="E799" s="1" t="str">
        <f>IFERROR(__xludf.DUMMYFUNCTION("CONCATENATE(GOOGLETRANSLATE(C799, ""en"", ""ko""))
"),"여성 루즈 캐주얼 긴 소매 V 넥 버튼 포켓 셔츠 드레스")</f>
        <v>여성 루즈 캐주얼 긴 소매 V 넥 버튼 포켓 셔츠 드레스</v>
      </c>
      <c r="F799" s="1" t="str">
        <f>IFERROR(__xludf.DUMMYFUNCTION("CONCATENATE(GOOGLETRANSLATE(C799, ""en"", ""ja""))"),"女性ルーズカジュアル長袖 V ネックボタンポケットシャツドレス")</f>
        <v>女性ルーズカジュアル長袖 V ネックボタンポケットシャツドレス</v>
      </c>
    </row>
    <row r="800" ht="15.75" customHeight="1">
      <c r="A800" s="1">
        <v>2273.0</v>
      </c>
      <c r="B800" s="1" t="s">
        <v>381</v>
      </c>
      <c r="C800" s="1" t="s">
        <v>782</v>
      </c>
      <c r="D800" s="1" t="str">
        <f>IFERROR(__xludf.DUMMYFUNCTION("CONCATENATE(GOOGLETRANSLATE(C800, ""en"", ""zh-cn""))
"),"女式条纹 V 领长袖休闲宽松长连衣裙")</f>
        <v>女式条纹 V 领长袖休闲宽松长连衣裙</v>
      </c>
      <c r="E800" s="1" t="str">
        <f>IFERROR(__xludf.DUMMYFUNCTION("CONCATENATE(GOOGLETRANSLATE(C800, ""en"", ""ko""))
"),"여성 스트라이프 V 넥 긴 소매 캐주얼 루즈 맥시 드레스")</f>
        <v>여성 스트라이프 V 넥 긴 소매 캐주얼 루즈 맥시 드레스</v>
      </c>
      <c r="F800" s="1" t="str">
        <f>IFERROR(__xludf.DUMMYFUNCTION("CONCATENATE(GOOGLETRANSLATE(C800, ""en"", ""ja""))"),"女性ストライプ V ネック長袖カジュアルルーズマキシドレス")</f>
        <v>女性ストライプ V ネック長袖カジュアルルーズマキシドレス</v>
      </c>
    </row>
    <row r="801" ht="15.75" customHeight="1">
      <c r="A801" s="1">
        <v>2274.0</v>
      </c>
      <c r="B801" s="1" t="s">
        <v>381</v>
      </c>
      <c r="C801" s="1" t="s">
        <v>783</v>
      </c>
      <c r="D801" s="1" t="str">
        <f>IFERROR(__xludf.DUMMYFUNCTION("CONCATENATE(GOOGLETRANSLATE(C801, ""en"", ""zh-cn""))
"),"女式休闲无袖纯色夏季长款连衣裙")</f>
        <v>女式休闲无袖纯色夏季长款连衣裙</v>
      </c>
      <c r="E801" s="1" t="str">
        <f>IFERROR(__xludf.DUMMYFUNCTION("CONCATENATE(GOOGLETRANSLATE(C801, ""en"", ""ko""))
"),"여성 캐주얼 민소매 솔리드 여름 긴 맥시 드레스")</f>
        <v>여성 캐주얼 민소매 솔리드 여름 긴 맥시 드레스</v>
      </c>
      <c r="F801" s="1" t="str">
        <f>IFERROR(__xludf.DUMMYFUNCTION("CONCATENATE(GOOGLETRANSLATE(C801, ""en"", ""ja""))"),"レディースカジュアルノースリーブソリッドサマーロングマキシドレス")</f>
        <v>レディースカジュアルノースリーブソリッドサマーロングマキシドレス</v>
      </c>
    </row>
    <row r="802" ht="15.75" customHeight="1">
      <c r="A802" s="1">
        <v>2275.0</v>
      </c>
      <c r="B802" s="1" t="s">
        <v>381</v>
      </c>
      <c r="C802" s="1" t="s">
        <v>784</v>
      </c>
      <c r="D802" s="1" t="str">
        <f>IFERROR(__xludf.DUMMYFUNCTION("CONCATENATE(GOOGLETRANSLATE(C802, ""en"", ""zh-cn""))
"),"女式假日花卉印花挂脖宽松时尚挂脖长连衣裙")</f>
        <v>女式假日花卉印花挂脖宽松时尚挂脖长连衣裙</v>
      </c>
      <c r="E802" s="1" t="str">
        <f>IFERROR(__xludf.DUMMYFUNCTION("CONCATENATE(GOOGLETRANSLATE(C802, ""en"", ""ko""))
"),"여성 휴가 꽃 프린트 매달려 목 느슨한 세련된 홀터 맥시 드레스")</f>
        <v>여성 휴가 꽃 프린트 매달려 목 느슨한 세련된 홀터 맥시 드레스</v>
      </c>
      <c r="F802" s="1" t="str">
        <f>IFERROR(__xludf.DUMMYFUNCTION("CONCATENATE(GOOGLETRANSLATE(C802, ""en"", ""ja""))"),"女性ホリデーフローラルプリントハンギングネックルーズスタイリッシュなホルターマキシドレス")</f>
        <v>女性ホリデーフローラルプリントハンギングネックルーズスタイリッシュなホルターマキシドレス</v>
      </c>
    </row>
    <row r="803" ht="15.75" customHeight="1">
      <c r="A803" s="1">
        <v>2276.0</v>
      </c>
      <c r="B803" s="1" t="s">
        <v>381</v>
      </c>
      <c r="C803" s="1" t="s">
        <v>785</v>
      </c>
      <c r="D803" s="1" t="str">
        <f>IFERROR(__xludf.DUMMYFUNCTION("CONCATENATE(GOOGLETRANSLATE(C803, ""en"", ""zh-cn""))
"),"女式植物花卉印花无袖宽松长连衣裙（侧袋）")</f>
        <v>女式植物花卉印花无袖宽松长连衣裙（侧袋）</v>
      </c>
      <c r="E803" s="1" t="str">
        <f>IFERROR(__xludf.DUMMYFUNCTION("CONCATENATE(GOOGLETRANSLATE(C803, ""en"", ""ko""))
"),"여자 옆 주머니를 가진 식물 꽃 무늬 민소매 느슨한 맥시 복장")</f>
        <v>여자 옆 주머니를 가진 식물 꽃 무늬 민소매 느슨한 맥시 복장</v>
      </c>
      <c r="F803" s="1" t="str">
        <f>IFERROR(__xludf.DUMMYFUNCTION("CONCATENATE(GOOGLETRANSLATE(C803, ""en"", ""ja""))"),"女性植物花柄ノースリーブルーズマキシドレスサイドポケット付き")</f>
        <v>女性植物花柄ノースリーブルーズマキシドレスサイドポケット付き</v>
      </c>
    </row>
    <row r="804" ht="15.75" customHeight="1">
      <c r="A804" s="1">
        <v>2277.0</v>
      </c>
      <c r="B804" s="1" t="s">
        <v>381</v>
      </c>
      <c r="C804" s="1" t="s">
        <v>786</v>
      </c>
      <c r="D804" s="1" t="str">
        <f>IFERROR(__xludf.DUMMYFUNCTION("CONCATENATE(GOOGLETRANSLATE(C804, ""en"", ""zh-cn""))
"),"条纹纽扣翻领休闲棉质衬衫连衣裙")</f>
        <v>条纹纽扣翻领休闲棉质衬衫连衣裙</v>
      </c>
      <c r="E804" s="1" t="str">
        <f>IFERROR(__xludf.DUMMYFUNCTION("CONCATENATE(GOOGLETRANSLATE(C804, ""en"", ""ko""))
"),"스트라이프 버튼 라펠 캐주얼 코튼 셔츠 드레스")</f>
        <v>스트라이프 버튼 라펠 캐주얼 코튼 셔츠 드레스</v>
      </c>
      <c r="F804" s="1" t="str">
        <f>IFERROR(__xludf.DUMMYFUNCTION("CONCATENATE(GOOGLETRANSLATE(C804, ""en"", ""ja""))"),"ストライプボタンラペルカジュアルコットンシャツドレス")</f>
        <v>ストライプボタンラペルカジュアルコットンシャツドレス</v>
      </c>
    </row>
    <row r="805" ht="15.75" customHeight="1">
      <c r="A805" s="1">
        <v>2278.0</v>
      </c>
      <c r="B805" s="1" t="s">
        <v>381</v>
      </c>
      <c r="C805" s="1" t="s">
        <v>787</v>
      </c>
      <c r="D805" s="1" t="str">
        <f>IFERROR(__xludf.DUMMYFUNCTION("CONCATENATE(GOOGLETRANSLATE(C805, ""en"", ""zh-cn""))
"),"植物印花翻领纽扣口袋休闲中长印花连衣裙")</f>
        <v>植物印花翻领纽扣口袋休闲中长印花连衣裙</v>
      </c>
      <c r="E805" s="1" t="str">
        <f>IFERROR(__xludf.DUMMYFUNCTION("CONCATENATE(GOOGLETRANSLATE(C805, ""en"", ""ko""))
"),"플랜트 프린트 라펠 버튼 포켓 캐주얼 미디 프린트 드레스")</f>
        <v>플랜트 프린트 라펠 버튼 포켓 캐주얼 미디 프린트 드레스</v>
      </c>
      <c r="F805" s="1" t="str">
        <f>IFERROR(__xludf.DUMMYFUNCTION("CONCATENATE(GOOGLETRANSLATE(C805, ""en"", ""ja""))"),"植物プリント ラペルボタンポケット カジュアル ミディ プリント ドレス")</f>
        <v>植物プリント ラペルボタンポケット カジュアル ミディ プリント ドレス</v>
      </c>
    </row>
    <row r="806" ht="15.75" customHeight="1">
      <c r="A806" s="1">
        <v>2279.0</v>
      </c>
      <c r="B806" s="1" t="s">
        <v>381</v>
      </c>
      <c r="C806" s="1" t="s">
        <v>788</v>
      </c>
      <c r="D806" s="1" t="str">
        <f>IFERROR(__xludf.DUMMYFUNCTION("CONCATENATE(GOOGLETRANSLATE(C806, ""en"", ""zh-cn""))
"),"休闲几何图案拼布V领无袖超长连衣裙")</f>
        <v>休闲几何图案拼布V领无袖超长连衣裙</v>
      </c>
      <c r="E806" s="1" t="str">
        <f>IFERROR(__xludf.DUMMYFUNCTION("CONCATENATE(GOOGLETRANSLATE(C806, ""en"", ""ko""))
"),"레저 기하학 패턴 패치워크 브이넥 민소매 맥시 드레스")</f>
        <v>레저 기하학 패턴 패치워크 브이넥 민소매 맥시 드레스</v>
      </c>
      <c r="F806" s="1" t="str">
        <f>IFERROR(__xludf.DUMMYFUNCTION("CONCATENATE(GOOGLETRANSLATE(C806, ""en"", ""ja""))"),"レジャージオメトリパターンパッチワークVネックノースリーブマキシドレス")</f>
        <v>レジャージオメトリパターンパッチワークVネックノースリーブマキシドレス</v>
      </c>
    </row>
    <row r="807" ht="15.75" customHeight="1">
      <c r="A807" s="1">
        <v>2280.0</v>
      </c>
      <c r="B807" s="1" t="s">
        <v>381</v>
      </c>
      <c r="C807" s="1" t="s">
        <v>789</v>
      </c>
      <c r="D807" s="1" t="str">
        <f>IFERROR(__xludf.DUMMYFUNCTION("CONCATENATE(GOOGLETRANSLATE(C807, ""en"", ""zh-cn""))
"),"波西米亚女式 V 领花卉印花海滩度假开叉长连衣裙")</f>
        <v>波西米亚女式 V 领花卉印花海滩度假开叉长连衣裙</v>
      </c>
      <c r="E807" s="1" t="str">
        <f>IFERROR(__xludf.DUMMYFUNCTION("CONCATENATE(GOOGLETRANSLATE(C807, ""en"", ""ko""))
"),"보헤미안 여성 V 넥 꽃 프린트 비치 홀리데이 스플릿 맥시 드레스")</f>
        <v>보헤미안 여성 V 넥 꽃 프린트 비치 홀리데이 스플릿 맥시 드레스</v>
      </c>
      <c r="F807" s="1" t="str">
        <f>IFERROR(__xludf.DUMMYFUNCTION("CONCATENATE(GOOGLETRANSLATE(C807, ""en"", ""ja""))"),"ボヘミアン レディース V ネック 花柄 ビーチ ホリデー スプリット マキシ ドレス")</f>
        <v>ボヘミアン レディース V ネック 花柄 ビーチ ホリデー スプリット マキシ ドレス</v>
      </c>
    </row>
    <row r="808" ht="15.75" customHeight="1">
      <c r="A808" s="1">
        <v>2281.0</v>
      </c>
      <c r="B808" s="1" t="s">
        <v>381</v>
      </c>
      <c r="C808" s="1" t="s">
        <v>790</v>
      </c>
      <c r="D808" s="1" t="str">
        <f>IFERROR(__xludf.DUMMYFUNCTION("CONCATENATE(GOOGLETRANSLATE(C808, ""en"", ""zh-cn""))
"),"女式波点印花圆领短袖超长连衣裙")</f>
        <v>女式波点印花圆领短袖超长连衣裙</v>
      </c>
      <c r="E808" s="1" t="str">
        <f>IFERROR(__xludf.DUMMYFUNCTION("CONCATENATE(GOOGLETRANSLATE(C808, ""en"", ""ko""))
"),"여성 폴카 도트 프린트 O 넥 반팔 맥시 드레스")</f>
        <v>여성 폴카 도트 프린트 O 넥 반팔 맥시 드레스</v>
      </c>
      <c r="F808" s="1" t="str">
        <f>IFERROR(__xludf.DUMMYFUNCTION("CONCATENATE(GOOGLETRANSLATE(C808, ""en"", ""ja""))"),"女性ポルカドットプリントOネック半袖マキシドレス")</f>
        <v>女性ポルカドットプリントOネック半袖マキシドレス</v>
      </c>
    </row>
    <row r="809" ht="15.75" customHeight="1">
      <c r="A809" s="1">
        <v>2282.0</v>
      </c>
      <c r="B809" s="1" t="s">
        <v>381</v>
      </c>
      <c r="C809" s="1" t="s">
        <v>791</v>
      </c>
      <c r="D809" s="1" t="str">
        <f>IFERROR(__xludf.DUMMYFUNCTION("CONCATENATE(GOOGLETRANSLATE(C809, ""en"", ""zh-cn""))
"),"女式复古花卉印花 3/4 袖迷你连衣裙")</f>
        <v>女式复古花卉印花 3/4 袖迷你连衣裙</v>
      </c>
      <c r="E809" s="1" t="str">
        <f>IFERROR(__xludf.DUMMYFUNCTION("CONCATENATE(GOOGLETRANSLATE(C809, ""en"", ""ko""))
"),"여성 빈티지 꽃무늬 프린트 3/4 슬리브 미니 드레스")</f>
        <v>여성 빈티지 꽃무늬 프린트 3/4 슬리브 미니 드레스</v>
      </c>
      <c r="F809" s="1" t="str">
        <f>IFERROR(__xludf.DUMMYFUNCTION("CONCATENATE(GOOGLETRANSLATE(C809, ""en"", ""ja""))"),"女性ヴィンテージ花柄プリント 3/4 袖ミニドレス")</f>
        <v>女性ヴィンテージ花柄プリント 3/4 袖ミニドレス</v>
      </c>
    </row>
    <row r="810" ht="15.75" customHeight="1">
      <c r="A810" s="1">
        <v>2283.0</v>
      </c>
      <c r="B810" s="1" t="s">
        <v>381</v>
      </c>
      <c r="C810" s="1" t="s">
        <v>792</v>
      </c>
      <c r="D810" s="1" t="str">
        <f>IFERROR(__xludf.DUMMYFUNCTION("CONCATENATE(GOOGLETRANSLATE(C810, ""en"", ""zh-cn""))
"),"女式复古涂鸦印花圆领百褶休闲长连衣裙")</f>
        <v>女式复古涂鸦印花圆领百褶休闲长连衣裙</v>
      </c>
      <c r="E810" s="1" t="str">
        <f>IFERROR(__xludf.DUMMYFUNCTION("CONCATENATE(GOOGLETRANSLATE(C810, ""en"", ""ko""))
"),"여성 복고풍 낙서 인쇄 라운드 넥 주름 캐주얼 맥시 드레스")</f>
        <v>여성 복고풍 낙서 인쇄 라운드 넥 주름 캐주얼 맥시 드레스</v>
      </c>
      <c r="F810" s="1" t="str">
        <f>IFERROR(__xludf.DUMMYFUNCTION("CONCATENATE(GOOGLETRANSLATE(C810, ""en"", ""ja""))"),"女性のレトロなグラフィティプリントラウンドネックプリーツカジュアルマキシドレス")</f>
        <v>女性のレトロなグラフィティプリントラウンドネックプリーツカジュアルマキシドレス</v>
      </c>
    </row>
    <row r="811" ht="15.75" customHeight="1">
      <c r="A811" s="1">
        <v>2284.0</v>
      </c>
      <c r="B811" s="1" t="s">
        <v>381</v>
      </c>
      <c r="C811" s="1" t="s">
        <v>793</v>
      </c>
      <c r="D811" s="1" t="str">
        <f>IFERROR(__xludf.DUMMYFUNCTION("CONCATENATE(GOOGLETRANSLATE(C811, ""en"", ""zh-cn""))
"),"女式休闲吊带纯色袖夏季连衣裙")</f>
        <v>女式休闲吊带纯色袖夏季连衣裙</v>
      </c>
      <c r="E811" s="1" t="str">
        <f>IFERROR(__xludf.DUMMYFUNCTION("CONCATENATE(GOOGLETRANSLATE(C811, ""en"", ""ko""))
"),"여성을 위한 캐주얼 서스펜더 솔리드 슬리브 여름 드레스")</f>
        <v>여성을 위한 캐주얼 서스펜더 솔리드 슬리브 여름 드레스</v>
      </c>
      <c r="F811" s="1" t="str">
        <f>IFERROR(__xludf.DUMMYFUNCTION("CONCATENATE(GOOGLETRANSLATE(C811, ""en"", ""ja""))"),"女性のためのカジュアルサスペンダーソリッドスリーブサマードレス")</f>
        <v>女性のためのカジュアルサスペンダーソリッドスリーブサマードレス</v>
      </c>
    </row>
    <row r="812" ht="15.75" customHeight="1">
      <c r="A812" s="1">
        <v>2285.0</v>
      </c>
      <c r="B812" s="1" t="s">
        <v>381</v>
      </c>
      <c r="C812" s="1" t="s">
        <v>794</v>
      </c>
      <c r="D812" s="1" t="str">
        <f>IFERROR(__xludf.DUMMYFUNCTION("CONCATENATE(GOOGLETRANSLATE(C812, ""en"", ""zh-cn""))
"),"女式短袖V领蕾丝镂空纯色休闲连衣裙")</f>
        <v>女式短袖V领蕾丝镂空纯色休闲连衣裙</v>
      </c>
      <c r="E812" s="1" t="str">
        <f>IFERROR(__xludf.DUMMYFUNCTION("CONCATENATE(GOOGLETRANSLATE(C812, ""en"", ""ko""))
"),"여성 반팔 v 넥 레이스 중공 솔리드 캐주얼 드레스")</f>
        <v>여성 반팔 v 넥 레이스 중공 솔리드 캐주얼 드레스</v>
      </c>
      <c r="F812" s="1" t="str">
        <f>IFERROR(__xludf.DUMMYFUNCTION("CONCATENATE(GOOGLETRANSLATE(C812, ""en"", ""ja""))"),"女性半袖 V ネックレース中空固体カジュアルドレス")</f>
        <v>女性半袖 V ネックレース中空固体カジュアルドレス</v>
      </c>
    </row>
    <row r="813" ht="15.75" customHeight="1">
      <c r="A813" s="1">
        <v>2286.0</v>
      </c>
      <c r="B813" s="1" t="s">
        <v>381</v>
      </c>
      <c r="C813" s="1" t="s">
        <v>795</v>
      </c>
      <c r="D813" s="1" t="str">
        <f>IFERROR(__xludf.DUMMYFUNCTION("CONCATENATE(GOOGLETRANSLATE(C813, ""en"", ""zh-cn""))
"),"女式短袖镂空长袍纯色长袍")</f>
        <v>女式短袖镂空长袍纯色长袍</v>
      </c>
      <c r="E813" s="1" t="str">
        <f>IFERROR(__xludf.DUMMYFUNCTION("CONCATENATE(GOOGLETRANSLATE(C813, ""en"", ""ko""))
"),"여성 반팔 중공 로브 카프 탄 솔리드 맥시 드레스")</f>
        <v>여성 반팔 중공 로브 카프 탄 솔리드 맥시 드레스</v>
      </c>
      <c r="F813" s="1" t="str">
        <f>IFERROR(__xludf.DUMMYFUNCTION("CONCATENATE(GOOGLETRANSLATE(C813, ""en"", ""ja""))"),"女性半袖中空ローブカフタンソリッドマキシドレス")</f>
        <v>女性半袖中空ローブカフタンソリッドマキシドレス</v>
      </c>
    </row>
    <row r="814" ht="15.75" customHeight="1">
      <c r="A814" s="1">
        <v>2287.0</v>
      </c>
      <c r="B814" s="1" t="s">
        <v>381</v>
      </c>
      <c r="C814" s="1" t="s">
        <v>796</v>
      </c>
      <c r="D814" s="1" t="str">
        <f>IFERROR(__xludf.DUMMYFUNCTION("CONCATENATE(GOOGLETRANSLATE(C814, ""en"", ""zh-cn""))
"),"女式休闲宽松格子印花O领半袖连衣裙")</f>
        <v>女式休闲宽松格子印花O领半袖连衣裙</v>
      </c>
      <c r="E814" s="1" t="str">
        <f>IFERROR(__xludf.DUMMYFUNCTION("CONCATENATE(GOOGLETRANSLATE(C814, ""en"", ""ko""))
"),"여성 캐주얼 루즈한 격자 무늬 프린트 O 넥 하프 슬리브 드레스")</f>
        <v>여성 캐주얼 루즈한 격자 무늬 프린트 O 넥 하프 슬리브 드레스</v>
      </c>
      <c r="F814" s="1" t="str">
        <f>IFERROR(__xludf.DUMMYFUNCTION("CONCATENATE(GOOGLETRANSLATE(C814, ""en"", ""ja""))"),"レディースカジュアルルーズチェック柄プリントOネック半袖ドレス")</f>
        <v>レディースカジュアルルーズチェック柄プリントOネック半袖ドレス</v>
      </c>
    </row>
    <row r="815" ht="15.75" customHeight="1">
      <c r="A815" s="1">
        <v>2288.0</v>
      </c>
      <c r="B815" s="1" t="s">
        <v>381</v>
      </c>
      <c r="C815" s="1" t="s">
        <v>797</v>
      </c>
      <c r="D815" s="1" t="str">
        <f>IFERROR(__xludf.DUMMYFUNCTION("CONCATENATE(GOOGLETRANSLATE(C815, ""en"", ""zh-cn""))
"),"女式休闲宽松棉质花卉印花短袖连衣裙")</f>
        <v>女式休闲宽松棉质花卉印花短袖连衣裙</v>
      </c>
      <c r="E815" s="1" t="str">
        <f>IFERROR(__xludf.DUMMYFUNCTION("CONCATENATE(GOOGLETRANSLATE(C815, ""en"", ""ko""))
"),"여성 캐주얼 루즈 코튼 꽃 프린트 반소매 드레스")</f>
        <v>여성 캐주얼 루즈 코튼 꽃 프린트 반소매 드레스</v>
      </c>
      <c r="F815" s="1" t="str">
        <f>IFERROR(__xludf.DUMMYFUNCTION("CONCATENATE(GOOGLETRANSLATE(C815, ""en"", ""ja""))"),"女性カジュアルルーズコットン花柄半袖ドレス")</f>
        <v>女性カジュアルルーズコットン花柄半袖ドレス</v>
      </c>
    </row>
    <row r="816" ht="15.75" customHeight="1">
      <c r="A816" s="1">
        <v>2289.0</v>
      </c>
      <c r="B816" s="1" t="s">
        <v>381</v>
      </c>
      <c r="C816" s="1" t="s">
        <v>798</v>
      </c>
      <c r="D816" s="1" t="str">
        <f>IFERROR(__xludf.DUMMYFUNCTION("CONCATENATE(GOOGLETRANSLATE(C816, ""en"", ""zh-cn""))
"),"女式纯色 V 领长袖休闲长连衣裙")</f>
        <v>女式纯色 V 领长袖休闲长连衣裙</v>
      </c>
      <c r="E816" s="1" t="str">
        <f>IFERROR(__xludf.DUMMYFUNCTION("CONCATENATE(GOOGLETRANSLATE(C816, ""en"", ""ko""))
"),"여성 솔리드 컬러 V 넥 긴 소매 인과 맥시 드레스")</f>
        <v>여성 솔리드 컬러 V 넥 긴 소매 인과 맥시 드레스</v>
      </c>
      <c r="F816" s="1" t="str">
        <f>IFERROR(__xludf.DUMMYFUNCTION("CONCATENATE(GOOGLETRANSLATE(C816, ""en"", ""ja""))"),"女性ソリッドカラー V ネック長袖カジュアルマキシドレス")</f>
        <v>女性ソリッドカラー V ネック長袖カジュアルマキシドレス</v>
      </c>
    </row>
    <row r="817" ht="15.75" customHeight="1">
      <c r="A817" s="1">
        <v>2290.0</v>
      </c>
      <c r="B817" s="1" t="s">
        <v>381</v>
      </c>
      <c r="C817" s="1" t="s">
        <v>799</v>
      </c>
      <c r="D817" s="1" t="str">
        <f>IFERROR(__xludf.DUMMYFUNCTION("CONCATENATE(GOOGLETRANSLATE(C817, ""en"", ""zh-cn""))
"),"条纹印花开衩下摆口袋 V 领连衣裙")</f>
        <v>条纹印花开衩下摆口袋 V 领连衣裙</v>
      </c>
      <c r="E817" s="1" t="str">
        <f>IFERROR(__xludf.DUMMYFUNCTION("CONCATENATE(GOOGLETRANSLATE(C817, ""en"", ""ko""))
"),"스트라이프 프린트 슬릿 밑단 포켓 브이넥 드레스")</f>
        <v>스트라이프 프린트 슬릿 밑단 포켓 브이넥 드레스</v>
      </c>
      <c r="F817" s="1" t="str">
        <f>IFERROR(__xludf.DUMMYFUNCTION("CONCATENATE(GOOGLETRANSLATE(C817, ""en"", ""ja""))"),"ストライププリント スリット裾ポケット Vネックワンピース")</f>
        <v>ストライププリント スリット裾ポケット Vネックワンピース</v>
      </c>
    </row>
    <row r="818" ht="15.75" customHeight="1">
      <c r="A818" s="1">
        <v>2291.0</v>
      </c>
      <c r="B818" s="1" t="s">
        <v>381</v>
      </c>
      <c r="C818" s="1" t="s">
        <v>800</v>
      </c>
      <c r="D818" s="1" t="str">
        <f>IFERROR(__xludf.DUMMYFUNCTION("CONCATENATE(GOOGLETRANSLATE(C818, ""en"", ""zh-cn""))
"),"蕾丝缝线 3/4 袖立领休闲连衣裙")</f>
        <v>蕾丝缝线 3/4 袖立领休闲连衣裙</v>
      </c>
      <c r="E818" s="1" t="str">
        <f>IFERROR(__xludf.DUMMYFUNCTION("CONCATENATE(GOOGLETRANSLATE(C818, ""en"", ""ko""))
"),"레이스 스티치 3/4 슬리브 스탠드 칼라 캐주얼 드레스")</f>
        <v>레이스 스티치 3/4 슬리브 스탠드 칼라 캐주얼 드레스</v>
      </c>
      <c r="F818" s="1" t="str">
        <f>IFERROR(__xludf.DUMMYFUNCTION("CONCATENATE(GOOGLETRANSLATE(C818, ""en"", ""ja""))"),"レースステッチ七分袖スタンドカラーカジュアルワンピース")</f>
        <v>レースステッチ七分袖スタンドカラーカジュアルワンピース</v>
      </c>
    </row>
    <row r="819" ht="15.75" customHeight="1">
      <c r="A819" s="1">
        <v>2292.0</v>
      </c>
      <c r="B819" s="1" t="s">
        <v>381</v>
      </c>
      <c r="C819" s="1" t="s">
        <v>801</v>
      </c>
      <c r="D819" s="1" t="str">
        <f>IFERROR(__xludf.DUMMYFUNCTION("CONCATENATE(GOOGLETRANSLATE(C819, ""en"", ""zh-cn""))
"),"圆点 V 领短袖印花开叉派对裹身超长连衣裙")</f>
        <v>圆点 V 领短袖印花开叉派对裹身超长连衣裙</v>
      </c>
      <c r="E819" s="1" t="str">
        <f>IFERROR(__xludf.DUMMYFUNCTION("CONCATENATE(GOOGLETRANSLATE(C819, ""en"", ""ko""))
"),"폴카 도트 V 넥 반팔 프린트 스플릿 파티 랩 맥시 드레스")</f>
        <v>폴카 도트 V 넥 반팔 프린트 스플릿 파티 랩 맥시 드레스</v>
      </c>
      <c r="F819" s="1" t="str">
        <f>IFERROR(__xludf.DUMMYFUNCTION("CONCATENATE(GOOGLETRANSLATE(C819, ""en"", ""ja""))"),"水玉 V ネック半袖プリント スプリット パーティー ラップ マキシ ドレス")</f>
        <v>水玉 V ネック半袖プリント スプリット パーティー ラップ マキシ ドレス</v>
      </c>
    </row>
    <row r="820" ht="15.75" customHeight="1">
      <c r="A820" s="1">
        <v>2293.0</v>
      </c>
      <c r="B820" s="1" t="s">
        <v>381</v>
      </c>
      <c r="C820" s="1" t="s">
        <v>802</v>
      </c>
      <c r="D820" s="1" t="str">
        <f>IFERROR(__xludf.DUMMYFUNCTION("CONCATENATE(GOOGLETRANSLATE(C820, ""en"", ""zh-cn""))
"),"女式豹纹 V 领泡泡袖系带超长连衣裙")</f>
        <v>女式豹纹 V 领泡泡袖系带超长连衣裙</v>
      </c>
      <c r="E820" s="1" t="str">
        <f>IFERROR(__xludf.DUMMYFUNCTION("CONCATENATE(GOOGLETRANSLATE(C820, ""en"", ""ko""))
"),"여성용 레오파드 프린트 V 넥 퍼프 슬리브 레이스 업 맥시 드레스")</f>
        <v>여성용 레오파드 프린트 V 넥 퍼프 슬리브 레이스 업 맥시 드레스</v>
      </c>
      <c r="F820" s="1" t="str">
        <f>IFERROR(__xludf.DUMMYFUNCTION("CONCATENATE(GOOGLETRANSLATE(C820, ""en"", ""ja""))"),"女性のためのヒョウ柄 V ネック パフ スリーブ レースアップ マキシ ドレス")</f>
        <v>女性のためのヒョウ柄 V ネック パフ スリーブ レースアップ マキシ ドレス</v>
      </c>
    </row>
    <row r="821" ht="15.75" customHeight="1">
      <c r="A821" s="1">
        <v>2294.0</v>
      </c>
      <c r="B821" s="1" t="s">
        <v>381</v>
      </c>
      <c r="C821" s="1" t="s">
        <v>803</v>
      </c>
      <c r="D821" s="1" t="str">
        <f>IFERROR(__xludf.DUMMYFUNCTION("CONCATENATE(GOOGLETRANSLATE(C821, ""en"", ""zh-cn""))
"),"女式 100% 纯棉纯色弧形下摆分驳领宽松衬衫连衣裙")</f>
        <v>女式 100% 纯棉纯色弧形下摆分驳领宽松衬衫连衣裙</v>
      </c>
      <c r="E821" s="1" t="str">
        <f>IFERROR(__xludf.DUMMYFUNCTION("CONCATENATE(GOOGLETRANSLATE(C821, ""en"", ""ko""))
"),"여성 100% 코튼 솔리드 컬러 곡선 밑단 분할 라펠 루즈핏 셔츠 드레스")</f>
        <v>여성 100% 코튼 솔리드 컬러 곡선 밑단 분할 라펠 루즈핏 셔츠 드레스</v>
      </c>
      <c r="F821" s="1" t="str">
        <f>IFERROR(__xludf.DUMMYFUNCTION("CONCATENATE(GOOGLETRANSLATE(C821, ""en"", ""ja""))"),"女性 100% コットンソリッドカラーカーブヘムスプリットラペルルーズフィットシャツドレス")</f>
        <v>女性 100% コットンソリッドカラーカーブヘムスプリットラペルルーズフィットシャツドレス</v>
      </c>
    </row>
    <row r="822" ht="15.75" customHeight="1">
      <c r="A822" s="1">
        <v>2295.0</v>
      </c>
      <c r="B822" s="1" t="s">
        <v>381</v>
      </c>
      <c r="C822" s="1" t="s">
        <v>804</v>
      </c>
      <c r="D822" s="1" t="str">
        <f>IFERROR(__xludf.DUMMYFUNCTION("CONCATENATE(GOOGLETRANSLATE(C822, ""en"", ""zh-cn""))
"),"女式休闲格子印花不规则开叉下摆超长衬衫连衣裙（带侧袋）")</f>
        <v>女式休闲格子印花不规则开叉下摆超长衬衫连衣裙（带侧袋）</v>
      </c>
      <c r="E822" s="1" t="str">
        <f>IFERROR(__xludf.DUMMYFUNCTION("CONCATENATE(GOOGLETRANSLATE(C822, ""en"", ""ko""))
"),"여성 캐주얼 격자 무늬 프린트 불규칙한 스플릿 밑단 맥시 셔츠 드레스(사이드 포켓 ​​포함)")</f>
        <v>여성 캐주얼 격자 무늬 프린트 불규칙한 스플릿 밑단 맥시 셔츠 드레스(사이드 포켓 ​​포함)</v>
      </c>
      <c r="F822" s="1" t="str">
        <f>IFERROR(__xludf.DUMMYFUNCTION("CONCATENATE(GOOGLETRANSLATE(C822, ""en"", ""ja""))"),"女性カジュアルチェック柄プリント不規則なスプリットヘムマキシシャツドレスサイドポケット付き")</f>
        <v>女性カジュアルチェック柄プリント不規則なスプリットヘムマキシシャツドレスサイドポケット付き</v>
      </c>
    </row>
    <row r="823" ht="15.75" customHeight="1">
      <c r="A823" s="1">
        <v>2296.0</v>
      </c>
      <c r="B823" s="1" t="s">
        <v>381</v>
      </c>
      <c r="C823" s="1" t="s">
        <v>805</v>
      </c>
      <c r="D823" s="1" t="str">
        <f>IFERROR(__xludf.DUMMYFUNCTION("CONCATENATE(GOOGLETRANSLATE(C823, ""en"", ""zh-cn""))
"),"女式纯棉荷叶边下摆分层 O 领分层连衣裙休闲长袖超长连衣裙")</f>
        <v>女式纯棉荷叶边下摆分层 O 领分层连衣裙休闲长袖超长连衣裙</v>
      </c>
      <c r="E823" s="1" t="str">
        <f>IFERROR(__xludf.DUMMYFUNCTION("CONCATENATE(GOOGLETRANSLATE(C823, ""en"", ""ko""))
"),"여성 솔리드 코튼 프릴 밑단 레이어드 O 넥 티어드 드레스 캐주얼 긴팔 맥시 드레스")</f>
        <v>여성 솔리드 코튼 프릴 밑단 레이어드 O 넥 티어드 드레스 캐주얼 긴팔 맥시 드레스</v>
      </c>
      <c r="F823" s="1" t="str">
        <f>IFERROR(__xludf.DUMMYFUNCTION("CONCATENATE(GOOGLETRANSLATE(C823, ""en"", ""ja""))"),"女性ソリッドコットンフリル裾レイヤードOネックティアードドレスカジュアル長袖マキシドレス")</f>
        <v>女性ソリッドコットンフリル裾レイヤードOネックティアードドレスカジュアル長袖マキシドレス</v>
      </c>
    </row>
    <row r="824" ht="15.75" customHeight="1">
      <c r="A824" s="1">
        <v>2297.0</v>
      </c>
      <c r="B824" s="1" t="s">
        <v>381</v>
      </c>
      <c r="C824" s="1" t="s">
        <v>806</v>
      </c>
      <c r="D824" s="1" t="str">
        <f>IFERROR(__xludf.DUMMYFUNCTION("CONCATENATE(GOOGLETRANSLATE(C824, ""en"", ""zh-cn""))
"),"女式休闲格子半纽扣长袖长连衣裙")</f>
        <v>女式休闲格子半纽扣长袖长连衣裙</v>
      </c>
      <c r="E824" s="1" t="str">
        <f>IFERROR(__xludf.DUMMYFUNCTION("CONCATENATE(GOOGLETRANSLATE(C824, ""en"", ""ko""))
"),"여성 캐주얼 격자 무늬 반 단추 전면 긴 소매 맥시 드레스")</f>
        <v>여성 캐주얼 격자 무늬 반 단추 전면 긴 소매 맥시 드레스</v>
      </c>
      <c r="F824" s="1" t="str">
        <f>IFERROR(__xludf.DUMMYFUNCTION("CONCATENATE(GOOGLETRANSLATE(C824, ""en"", ""ja""))"),"女性カジュアルチェック柄ハーフボタンフロント長袖マキシドレス")</f>
        <v>女性カジュアルチェック柄ハーフボタンフロント長袖マキシドレス</v>
      </c>
    </row>
    <row r="825" ht="15.75" customHeight="1">
      <c r="A825" s="1">
        <v>2298.0</v>
      </c>
      <c r="B825" s="1" t="s">
        <v>381</v>
      </c>
      <c r="C825" s="1" t="s">
        <v>807</v>
      </c>
      <c r="D825" s="1" t="str">
        <f>IFERROR(__xludf.DUMMYFUNCTION("CONCATENATE(GOOGLETRANSLATE(C825, ""en"", ""zh-cn""))
"),"女式休闲格子翻领长袖纽扣复古衬衫长连衣裙（带口袋）")</f>
        <v>女式休闲格子翻领长袖纽扣复古衬衫长连衣裙（带口袋）</v>
      </c>
      <c r="E825" s="1" t="str">
        <f>IFERROR(__xludf.DUMMYFUNCTION("CONCATENATE(GOOGLETRANSLATE(C825, ""en"", ""ko""))
"),"여성 캐주얼 격자 무늬 옷깃 긴 소매 단추 빈티지 셔츠 포켓이 있는 맥시 드레스")</f>
        <v>여성 캐주얼 격자 무늬 옷깃 긴 소매 단추 빈티지 셔츠 포켓이 있는 맥시 드레스</v>
      </c>
      <c r="F825" s="1" t="str">
        <f>IFERROR(__xludf.DUMMYFUNCTION("CONCATENATE(GOOGLETRANSLATE(C825, ""en"", ""ja""))"),"女性カジュアルチェック柄ラペル長袖ボタンヴィンテージシャツマキシドレスポケット付き")</f>
        <v>女性カジュアルチェック柄ラペル長袖ボタンヴィンテージシャツマキシドレスポケット付き</v>
      </c>
    </row>
    <row r="826" ht="15.75" customHeight="1">
      <c r="A826" s="1">
        <v>2299.0</v>
      </c>
      <c r="B826" s="1" t="s">
        <v>381</v>
      </c>
      <c r="C826" s="1" t="s">
        <v>808</v>
      </c>
      <c r="D826" s="1" t="str">
        <f>IFERROR(__xludf.DUMMYFUNCTION("CONCATENATE(GOOGLETRANSLATE(C826, ""en"", ""zh-cn""))
"),"女式花卉印花O领复古休闲长袖分层连衣裙（侧袋）")</f>
        <v>女式花卉印花O领复古休闲长袖分层连衣裙（侧袋）</v>
      </c>
      <c r="E826" s="1" t="str">
        <f>IFERROR(__xludf.DUMMYFUNCTION("CONCATENATE(GOOGLETRANSLATE(C826, ""en"", ""ko""))
"),"여성 꽃 프린트 O-넥 레트로 캐주얼 긴 소매 레이어드 드레스와 사이드 포켓")</f>
        <v>여성 꽃 프린트 O-넥 레트로 캐주얼 긴 소매 레이어드 드레스와 사이드 포켓</v>
      </c>
      <c r="F826" s="1" t="str">
        <f>IFERROR(__xludf.DUMMYFUNCTION("CONCATENATE(GOOGLETRANSLATE(C826, ""en"", ""ja""))"),"女性の花柄 O ネック レトロ カジュアル長袖レイヤード ドレス サイド ポケット付き")</f>
        <v>女性の花柄 O ネック レトロ カジュアル長袖レイヤード ドレス サイド ポケット付き</v>
      </c>
    </row>
    <row r="827" ht="15.75" customHeight="1">
      <c r="A827" s="1">
        <v>2300.0</v>
      </c>
      <c r="B827" s="1" t="s">
        <v>381</v>
      </c>
      <c r="C827" s="1" t="s">
        <v>809</v>
      </c>
      <c r="D827" s="1" t="str">
        <f>IFERROR(__xludf.DUMMYFUNCTION("CONCATENATE(GOOGLETRANSLATE(C827, ""en"", ""zh-cn""))
"),"女式豹纹翻领长袖侧袋衬衫超长连衣裙")</f>
        <v>女式豹纹翻领长袖侧袋衬衫超长连衣裙</v>
      </c>
      <c r="E827" s="1" t="str">
        <f>IFERROR(__xludf.DUMMYFUNCTION("CONCATENATE(GOOGLETRANSLATE(C827, ""en"", ""ko""))
"),"여성 레오파드 프린트 옷깃 긴 소매 사이드 포켓 ​​셔츠 맥시 드레스")</f>
        <v>여성 레오파드 프린트 옷깃 긴 소매 사이드 포켓 ​​셔츠 맥시 드레스</v>
      </c>
      <c r="F827" s="1" t="str">
        <f>IFERROR(__xludf.DUMMYFUNCTION("CONCATENATE(GOOGLETRANSLATE(C827, ""en"", ""ja""))"),"女性ヒョウ柄ラペル長袖サイドポケットシャツマキシドレス")</f>
        <v>女性ヒョウ柄ラペル長袖サイドポケットシャツマキシドレス</v>
      </c>
    </row>
    <row r="828" ht="15.75" customHeight="1">
      <c r="A828" s="1">
        <v>2301.0</v>
      </c>
      <c r="B828" s="1" t="s">
        <v>381</v>
      </c>
      <c r="C828" s="1" t="s">
        <v>810</v>
      </c>
      <c r="D828" s="1" t="str">
        <f>IFERROR(__xludf.DUMMYFUNCTION("CONCATENATE(GOOGLETRANSLATE(C828, ""en"", ""zh-cn""))
"),"纯色 V 领无袖荷叶边下摆褶裥超长连衣裙（带口袋）")</f>
        <v>纯色 V 领无袖荷叶边下摆褶裥超长连衣裙（带口袋）</v>
      </c>
      <c r="E828" s="1" t="str">
        <f>IFERROR(__xludf.DUMMYFUNCTION("CONCATENATE(GOOGLETRANSLATE(C828, ""en"", ""ko""))
"),"솔리드 컬러 V 넥 민소매 프릴 밑단 주름 맥시 드레스 포켓 포함")</f>
        <v>솔리드 컬러 V 넥 민소매 프릴 밑단 주름 맥시 드레스 포켓 포함</v>
      </c>
      <c r="F828" s="1" t="str">
        <f>IFERROR(__xludf.DUMMYFUNCTION("CONCATENATE(GOOGLETRANSLATE(C828, ""en"", ""ja""))"),"ソリッドカラー Vネック ノースリーブ フリル裾 ポケット付き プリーツ マキシドレス")</f>
        <v>ソリッドカラー Vネック ノースリーブ フリル裾 ポケット付き プリーツ マキシドレス</v>
      </c>
    </row>
    <row r="829" ht="15.75" customHeight="1">
      <c r="A829" s="1">
        <v>2302.0</v>
      </c>
      <c r="B829" s="1" t="s">
        <v>381</v>
      </c>
      <c r="C829" s="1" t="s">
        <v>811</v>
      </c>
      <c r="D829" s="1" t="str">
        <f>IFERROR(__xludf.DUMMYFUNCTION("CONCATENATE(GOOGLETRANSLATE(C829, ""en"", ""zh-cn""))
"),"女式短袖翻领带侧袋休闲度假连衣裙")</f>
        <v>女式短袖翻领带侧袋休闲度假连衣裙</v>
      </c>
      <c r="E829" s="1" t="str">
        <f>IFERROR(__xludf.DUMMYFUNCTION("CONCATENATE(GOOGLETRANSLATE(C829, ""en"", ""ko""))
"),"여자를 위한 옆 주머니 우연한 휴일 복장을 가진 짧은 소매 옷깃")</f>
        <v>여자를 위한 옆 주머니 우연한 휴일 복장을 가진 짧은 소매 옷깃</v>
      </c>
      <c r="F829" s="1" t="str">
        <f>IFERROR(__xludf.DUMMYFUNCTION("CONCATENATE(GOOGLETRANSLATE(C829, ""en"", ""ja""))"),"女性のためのサイドポケット付き半袖ラペルカジュアルホリデードレス")</f>
        <v>女性のためのサイドポケット付き半袖ラペルカジュアルホリデードレス</v>
      </c>
    </row>
    <row r="830" ht="15.75" customHeight="1">
      <c r="A830" s="1">
        <v>2303.0</v>
      </c>
      <c r="B830" s="1" t="s">
        <v>381</v>
      </c>
      <c r="C830" s="1" t="s">
        <v>812</v>
      </c>
      <c r="D830" s="1" t="str">
        <f>IFERROR(__xludf.DUMMYFUNCTION("CONCATENATE(GOOGLETRANSLATE(C830, ""en"", ""zh-cn""))
"),"女式泡泡袖荷叶边宽松 V 领休闲长连衣裙")</f>
        <v>女式泡泡袖荷叶边宽松 V 领休闲长连衣裙</v>
      </c>
      <c r="E830" s="1" t="str">
        <f>IFERROR(__xludf.DUMMYFUNCTION("CONCATENATE(GOOGLETRANSLATE(C830, ""en"", ""ko""))
"),"퍼프 슬리브 프릴 루즈핏 V 넥 레저 맥시 드레스 여성용")</f>
        <v>퍼프 슬리브 프릴 루즈핏 V 넥 레저 맥시 드레스 여성용</v>
      </c>
      <c r="F830" s="1" t="str">
        <f>IFERROR(__xludf.DUMMYFUNCTION("CONCATENATE(GOOGLETRANSLATE(C830, ""en"", ""ja""))"),"女性のためのパフスリーブフリルルーズフィットVネックレジャーマキシドレス")</f>
        <v>女性のためのパフスリーブフリルルーズフィットVネックレジャーマキシドレス</v>
      </c>
    </row>
    <row r="831" ht="15.75" customHeight="1">
      <c r="A831" s="1">
        <v>2304.0</v>
      </c>
      <c r="B831" s="1" t="s">
        <v>381</v>
      </c>
      <c r="C831" s="1" t="s">
        <v>813</v>
      </c>
      <c r="D831" s="1" t="str">
        <f>IFERROR(__xludf.DUMMYFUNCTION("CONCATENATE(GOOGLETRANSLATE(C831, ""en"", ""zh-cn""))
"),"女式 100% 棉长袍长袍蕾丝拼接休闲婚礼中长连衣裙")</f>
        <v>女式 100% 棉长袍长袍蕾丝拼接休闲婚礼中长连衣裙</v>
      </c>
      <c r="E831" s="1" t="str">
        <f>IFERROR(__xludf.DUMMYFUNCTION("CONCATENATE(GOOGLETRANSLATE(C831, ""en"", ""ko""))
"),"여성 100% 면 아바야 카프탄 레이스 패치워크 캐주얼 웨딩 미디 드레스")</f>
        <v>여성 100% 면 아바야 카프탄 레이스 패치워크 캐주얼 웨딩 미디 드레스</v>
      </c>
      <c r="F831" s="1" t="str">
        <f>IFERROR(__xludf.DUMMYFUNCTION("CONCATENATE(GOOGLETRANSLATE(C831, ""en"", ""ja""))"),"女性 100% コットンアバヤカフタンレースパッチワークカジュアルウェディングミディドレス")</f>
        <v>女性 100% コットンアバヤカフタンレースパッチワークカジュアルウェディングミディドレス</v>
      </c>
    </row>
    <row r="832" ht="15.75" customHeight="1">
      <c r="A832" s="1">
        <v>2305.0</v>
      </c>
      <c r="B832" s="1" t="s">
        <v>381</v>
      </c>
      <c r="C832" s="1" t="s">
        <v>814</v>
      </c>
      <c r="D832" s="1" t="str">
        <f>IFERROR(__xludf.DUMMYFUNCTION("CONCATENATE(GOOGLETRANSLATE(C832, ""en"", ""zh-cn""))
"),"纯色立领正面系扣休闲宽松长连衣裙（侧袋）")</f>
        <v>纯色立领正面系扣休闲宽松长连衣裙（侧袋）</v>
      </c>
      <c r="E832" s="1" t="str">
        <f>IFERROR(__xludf.DUMMYFUNCTION("CONCATENATE(GOOGLETRANSLATE(C832, ""en"", ""ko""))
"),"솔리드 컬러 스탠드 칼라 버튼 다운 프론트 레저 루즈 맥시 드레스(사이드 포켓 ​​포함)")</f>
        <v>솔리드 컬러 스탠드 칼라 버튼 다운 프론트 레저 루즈 맥시 드레스(사이드 포켓 ​​포함)</v>
      </c>
      <c r="F832" s="1" t="str">
        <f>IFERROR(__xludf.DUMMYFUNCTION("CONCATENATE(GOOGLETRANSLATE(C832, ""en"", ""ja""))"),"ソリッドカラー スタンドカラー ボタンダウン フロント レジャー ルーズ マキシ ドレス サイドポケット付き")</f>
        <v>ソリッドカラー スタンドカラー ボタンダウン フロント レジャー ルーズ マキシ ドレス サイドポケット付き</v>
      </c>
    </row>
    <row r="833" ht="15.75" customHeight="1">
      <c r="A833" s="1">
        <v>2306.0</v>
      </c>
      <c r="B833" s="1" t="s">
        <v>381</v>
      </c>
      <c r="C833" s="1" t="s">
        <v>815</v>
      </c>
      <c r="D833" s="1" t="str">
        <f>IFERROR(__xludf.DUMMYFUNCTION("CONCATENATE(GOOGLETRANSLATE(C833, ""en"", ""zh-cn""))
"),"女式花卉印花 O 领长袖波西米亚度假长连衣裙（带口袋）")</f>
        <v>女式花卉印花 O 领长袖波西米亚度假长连衣裙（带口袋）</v>
      </c>
      <c r="E833" s="1" t="str">
        <f>IFERROR(__xludf.DUMMYFUNCTION("CONCATENATE(GOOGLETRANSLATE(C833, ""en"", ""ko""))
"),"여성 꽃 프린트 O 넥 긴 소매 보헤미안 홀리데이 맥시 드레스 (포켓 포함)")</f>
        <v>여성 꽃 프린트 O 넥 긴 소매 보헤미안 홀리데이 맥시 드레스 (포켓 포함)</v>
      </c>
      <c r="F833" s="1" t="str">
        <f>IFERROR(__xludf.DUMMYFUNCTION("CONCATENATE(GOOGLETRANSLATE(C833, ""en"", ""ja""))"),"女性の花柄 O ネック長袖ボヘミアン ホリデー マキシ ドレス ポケット付き")</f>
        <v>女性の花柄 O ネック長袖ボヘミアン ホリデー マキシ ドレス ポケット付き</v>
      </c>
    </row>
    <row r="834" ht="15.75" customHeight="1">
      <c r="A834" s="1">
        <v>2307.0</v>
      </c>
      <c r="B834" s="1" t="s">
        <v>381</v>
      </c>
      <c r="C834" s="1" t="s">
        <v>816</v>
      </c>
      <c r="D834" s="1" t="str">
        <f>IFERROR(__xludf.DUMMYFUNCTION("CONCATENATE(GOOGLETRANSLATE(C834, ""en"", ""zh-cn""))
"),"蕾丝拼接 A 字型 O 领纯色长袖穆斯林连衣裙女式长袍长袍")</f>
        <v>蕾丝拼接 A 字型 O 领纯色长袖穆斯林连衣裙女式长袍长袍</v>
      </c>
      <c r="E834" s="1" t="str">
        <f>IFERROR(__xludf.DUMMYFUNCTION("CONCATENATE(GOOGLETRANSLATE(C834, ""en"", ""ko""))
"),"레이스 스티치 A라인 O-넥 솔리드 컬러 긴 소매 이슬람 드레스 Abaya Kaftan 여성용")</f>
        <v>레이스 스티치 A라인 O-넥 솔리드 컬러 긴 소매 이슬람 드레스 Abaya Kaftan 여성용</v>
      </c>
      <c r="F834" s="1" t="str">
        <f>IFERROR(__xludf.DUMMYFUNCTION("CONCATENATE(GOOGLETRANSLATE(C834, ""en"", ""ja""))"),"レースステッチ Aライン Oネック ソリッドカラー 長袖 イスラム教徒ドレス アバヤ カフタン 女性用")</f>
        <v>レースステッチ Aライン Oネック ソリッドカラー 長袖 イスラム教徒ドレス アバヤ カフタン 女性用</v>
      </c>
    </row>
    <row r="835" ht="15.75" customHeight="1">
      <c r="A835" s="1">
        <v>2308.0</v>
      </c>
      <c r="B835" s="1" t="s">
        <v>381</v>
      </c>
      <c r="C835" s="1" t="s">
        <v>817</v>
      </c>
      <c r="D835" s="1" t="str">
        <f>IFERROR(__xludf.DUMMYFUNCTION("CONCATENATE(GOOGLETRANSLATE(C835, ""en"", ""zh-cn""))
"),"女式长袍长袍两件式可拆卸外蝙蝠长袖超长连衣裙")</f>
        <v>女式长袍长袍两件式可拆卸外蝙蝠长袖超长连衣裙</v>
      </c>
      <c r="E835" s="1" t="str">
        <f>IFERROR(__xludf.DUMMYFUNCTION("CONCATENATE(GOOGLETRANSLATE(C835, ""en"", ""ko""))
"),"여성 Kaftan 튜닉 투피스 분리형 외부 박쥐 긴 소매 맥시 드레스")</f>
        <v>여성 Kaftan 튜닉 투피스 분리형 외부 박쥐 긴 소매 맥시 드레스</v>
      </c>
      <c r="F835" s="1" t="str">
        <f>IFERROR(__xludf.DUMMYFUNCTION("CONCATENATE(GOOGLETRANSLATE(C835, ""en"", ""ja""))"),"女性カフタンチュニックツーピース取り外し可能な外側バット長袖マキシドレス")</f>
        <v>女性カフタンチュニックツーピース取り外し可能な外側バット長袖マキシドレス</v>
      </c>
    </row>
    <row r="836" ht="15.75" customHeight="1">
      <c r="A836" s="1">
        <v>2309.0</v>
      </c>
      <c r="B836" s="1" t="s">
        <v>381</v>
      </c>
      <c r="C836" s="1" t="s">
        <v>818</v>
      </c>
      <c r="D836" s="1" t="str">
        <f>IFERROR(__xludf.DUMMYFUNCTION("CONCATENATE(GOOGLETRANSLATE(C836, ""en"", ""zh-cn""))
"),"女式复古条纹艺术 O 领短袖绿色中小腿连衣裙")</f>
        <v>女式复古条纹艺术 O 领短袖绿色中小腿连衣裙</v>
      </c>
      <c r="E836" s="1" t="str">
        <f>IFERROR(__xludf.DUMMYFUNCTION("CONCATENATE(GOOGLETRANSLATE(C836, ""en"", ""ko""))
"),"여성 빈티지 스트라이프 예술적인 O 넥 짧은 소매 녹색 종아리 중간 길이 드레스")</f>
        <v>여성 빈티지 스트라이프 예술적인 O 넥 짧은 소매 녹색 종아리 중간 길이 드레스</v>
      </c>
      <c r="F836" s="1" t="str">
        <f>IFERROR(__xludf.DUMMYFUNCTION("CONCATENATE(GOOGLETRANSLATE(C836, ""en"", ""ja""))"),"女性ヴィンテージストライプ芸術的 O ネック半袖グリーンふくらはぎ丈ドレス")</f>
        <v>女性ヴィンテージストライプ芸術的 O ネック半袖グリーンふくらはぎ丈ドレス</v>
      </c>
    </row>
    <row r="837" ht="15.75" customHeight="1">
      <c r="A837" s="1">
        <v>2310.0</v>
      </c>
      <c r="B837" s="1" t="s">
        <v>381</v>
      </c>
      <c r="C837" s="1" t="s">
        <v>819</v>
      </c>
      <c r="D837" s="1" t="str">
        <f>IFERROR(__xludf.DUMMYFUNCTION("CONCATENATE(GOOGLETRANSLATE(C837, ""en"", ""zh-cn""))
"),"口袋花卉印花圆领无袖超长连衣裙")</f>
        <v>口袋花卉印花圆领无袖超长连衣裙</v>
      </c>
      <c r="E837" s="1" t="str">
        <f>IFERROR(__xludf.DUMMYFUNCTION("CONCATENATE(GOOGLETRANSLATE(C837, ""en"", ""ko""))
"),"포켓 플로럴 프린트 라운드넥 민소매 맥시 드레스")</f>
        <v>포켓 플로럴 프린트 라운드넥 민소매 맥시 드레스</v>
      </c>
      <c r="F837" s="1" t="str">
        <f>IFERROR(__xludf.DUMMYFUNCTION("CONCATENATE(GOOGLETRANSLATE(C837, ""en"", ""ja""))"),"ポケット花柄ラウンドネックノースリーブマキシドレス")</f>
        <v>ポケット花柄ラウンドネックノースリーブマキシドレス</v>
      </c>
    </row>
    <row r="838" ht="15.75" customHeight="1">
      <c r="A838" s="1">
        <v>2311.0</v>
      </c>
      <c r="B838" s="1" t="s">
        <v>381</v>
      </c>
      <c r="C838" s="1" t="s">
        <v>820</v>
      </c>
      <c r="D838" s="1" t="str">
        <f>IFERROR(__xludf.DUMMYFUNCTION("CONCATENATE(GOOGLETRANSLATE(C838, ""en"", ""zh-cn""))
"),"格子拼色口袋纽扣褶皱短袖中长连衣裙")</f>
        <v>格子拼色口袋纽扣褶皱短袖中长连衣裙</v>
      </c>
      <c r="E838" s="1" t="str">
        <f>IFERROR(__xludf.DUMMYFUNCTION("CONCATENATE(GOOGLETRANSLATE(C838, ""en"", ""ko""))
"),"체크 무늬 컬러 블록 포켓 버튼 주름 장식 반소매 미디 드레스")</f>
        <v>체크 무늬 컬러 블록 포켓 버튼 주름 장식 반소매 미디 드레스</v>
      </c>
      <c r="F838" s="1" t="str">
        <f>IFERROR(__xludf.DUMMYFUNCTION("CONCATENATE(GOOGLETRANSLATE(C838, ""en"", ""ja""))"),"チェック柄カラーブロックポケットボタンシャーリング半袖ミディドレス")</f>
        <v>チェック柄カラーブロックポケットボタンシャーリング半袖ミディドレス</v>
      </c>
    </row>
    <row r="839" ht="15.75" customHeight="1">
      <c r="A839" s="1">
        <v>2312.0</v>
      </c>
      <c r="B839" s="1" t="s">
        <v>381</v>
      </c>
      <c r="C839" s="1" t="s">
        <v>821</v>
      </c>
      <c r="D839" s="1" t="str">
        <f>IFERROR(__xludf.DUMMYFUNCTION("CONCATENATE(GOOGLETRANSLATE(C839, ""en"", ""zh-cn""))
"),"花卉印花口袋半袖荷叶边休闲长连衣裙")</f>
        <v>花卉印花口袋半袖荷叶边休闲长连衣裙</v>
      </c>
      <c r="E839" s="1" t="str">
        <f>IFERROR(__xludf.DUMMYFUNCTION("CONCATENATE(GOOGLETRANSLATE(C839, ""en"", ""ko""))
"),"플로럴 프린트 포켓 하프 슬리브 러플 캐주얼 맥시 드레스")</f>
        <v>플로럴 프린트 포켓 하프 슬리브 러플 캐주얼 맥시 드레스</v>
      </c>
      <c r="F839" s="1" t="str">
        <f>IFERROR(__xludf.DUMMYFUNCTION("CONCATENATE(GOOGLETRANSLATE(C839, ""en"", ""ja""))"),"花柄ポケット五分袖フリルカジュアルマキシドレス")</f>
        <v>花柄ポケット五分袖フリルカジュアルマキシドレス</v>
      </c>
    </row>
    <row r="840" ht="15.75" customHeight="1">
      <c r="A840" s="1">
        <v>2313.0</v>
      </c>
      <c r="B840" s="1" t="s">
        <v>381</v>
      </c>
      <c r="C840" s="1" t="s">
        <v>822</v>
      </c>
      <c r="D840" s="1" t="str">
        <f>IFERROR(__xludf.DUMMYFUNCTION("CONCATENATE(GOOGLETRANSLATE(C840, ""en"", ""zh-cn""))
"),"抽象彩绘纽扣口袋无袖休闲中长连衣裙")</f>
        <v>抽象彩绘纽扣口袋无袖休闲中长连衣裙</v>
      </c>
      <c r="E840" s="1" t="str">
        <f>IFERROR(__xludf.DUMMYFUNCTION("CONCATENATE(GOOGLETRANSLATE(C840, ""en"", ""ko""))
"),"추상 페인팅 버튼 포켓 민소매 캐주얼 미디 드레스")</f>
        <v>추상 페인팅 버튼 포켓 민소매 캐주얼 미디 드레스</v>
      </c>
      <c r="F840" s="1" t="str">
        <f>IFERROR(__xludf.DUMMYFUNCTION("CONCATENATE(GOOGLETRANSLATE(C840, ""en"", ""ja""))"),"抽象的なペイント ボタン ポケット ノースリーブ カジュアル ミディ ドレス")</f>
        <v>抽象的なペイント ボタン ポケット ノースリーブ カジュアル ミディ ドレス</v>
      </c>
    </row>
    <row r="841" ht="15.75" customHeight="1">
      <c r="A841" s="1">
        <v>2314.0</v>
      </c>
      <c r="B841" s="1" t="s">
        <v>381</v>
      </c>
      <c r="C841" s="1" t="s">
        <v>823</v>
      </c>
      <c r="D841" s="1" t="str">
        <f>IFERROR(__xludf.DUMMYFUNCTION("CONCATENATE(GOOGLETRANSLATE(C841, ""en"", ""zh-cn""))
"),"纯色口袋短袖圆领棉质休闲连衣裙")</f>
        <v>纯色口袋短袖圆领棉质休闲连衣裙</v>
      </c>
      <c r="E841" s="1" t="str">
        <f>IFERROR(__xludf.DUMMYFUNCTION("CONCATENATE(GOOGLETRANSLATE(C841, ""en"", ""ko""))
"),"솔리드 포켓 반팔 라운드넥 코튼 캐주얼 드레스")</f>
        <v>솔리드 포켓 반팔 라운드넥 코튼 캐주얼 드레스</v>
      </c>
      <c r="F841" s="1" t="str">
        <f>IFERROR(__xludf.DUMMYFUNCTION("CONCATENATE(GOOGLETRANSLATE(C841, ""en"", ""ja""))"),"ソリッドポケット半袖ラウンドネックコットンカジュアルドレス")</f>
        <v>ソリッドポケット半袖ラウンドネックコットンカジュアルドレス</v>
      </c>
    </row>
    <row r="842" ht="15.75" customHeight="1">
      <c r="A842" s="1">
        <v>2315.0</v>
      </c>
      <c r="B842" s="1" t="s">
        <v>381</v>
      </c>
      <c r="C842" s="1" t="s">
        <v>824</v>
      </c>
      <c r="D842" s="1" t="str">
        <f>IFERROR(__xludf.DUMMYFUNCTION("CONCATENATE(GOOGLETRANSLATE(C842, ""en"", ""zh-cn""))
"),"印花纽扣口袋翻领短袖休闲中长连衣裙")</f>
        <v>印花纽扣口袋翻领短袖休闲中长连衣裙</v>
      </c>
      <c r="E842" s="1" t="str">
        <f>IFERROR(__xludf.DUMMYFUNCTION("CONCATENATE(GOOGLETRANSLATE(C842, ""en"", ""ko""))
"),"프린트 버튼 포켓 라펠 반소매 캐주얼 미디 드레스")</f>
        <v>프린트 버튼 포켓 라펠 반소매 캐주얼 미디 드레스</v>
      </c>
      <c r="F842" s="1" t="str">
        <f>IFERROR(__xludf.DUMMYFUNCTION("CONCATENATE(GOOGLETRANSLATE(C842, ""en"", ""ja""))"),"プリント ボタン ポケット ラペル 半袖 カジュアル ミディ ドレス")</f>
        <v>プリント ボタン ポケット ラペル 半袖 カジュアル ミディ ドレス</v>
      </c>
    </row>
    <row r="843" ht="15.75" customHeight="1">
      <c r="A843" s="1">
        <v>2316.0</v>
      </c>
      <c r="B843" s="1" t="s">
        <v>381</v>
      </c>
      <c r="C843" s="1" t="s">
        <v>825</v>
      </c>
      <c r="D843" s="1" t="str">
        <f>IFERROR(__xludf.DUMMYFUNCTION("CONCATENATE(GOOGLETRANSLATE(C843, ""en"", ""zh-cn""))
"),"隐形拉链纯色短袖圆领休闲连衣裙")</f>
        <v>隐形拉链纯色短袖圆领休闲连衣裙</v>
      </c>
      <c r="E843" s="1" t="str">
        <f>IFERROR(__xludf.DUMMYFUNCTION("CONCATENATE(GOOGLETRANSLATE(C843, ""en"", ""ko""))
"),"인비저블 지퍼 솔리드 반소매 크루넥 캐주얼 드레스")</f>
        <v>인비저블 지퍼 솔리드 반소매 크루넥 캐주얼 드레스</v>
      </c>
      <c r="F843" s="1" t="str">
        <f>IFERROR(__xludf.DUMMYFUNCTION("CONCATENATE(GOOGLETRANSLATE(C843, ""en"", ""ja""))"),"インビジブルジップソリッド半袖クルーネックカジュアルドレス")</f>
        <v>インビジブルジップソリッド半袖クルーネックカジュアルドレス</v>
      </c>
    </row>
    <row r="844" ht="15.75" customHeight="1">
      <c r="A844" s="1">
        <v>2317.0</v>
      </c>
      <c r="B844" s="1" t="s">
        <v>381</v>
      </c>
      <c r="C844" s="1" t="s">
        <v>826</v>
      </c>
      <c r="D844" s="1" t="str">
        <f>IFERROR(__xludf.DUMMYFUNCTION("CONCATENATE(GOOGLETRANSLATE(C844, ""en"", ""zh-cn""))
"),"女式纯色口袋细肩带露背连衣裙")</f>
        <v>女式纯色口袋细肩带露背连衣裙</v>
      </c>
      <c r="E844" s="1" t="str">
        <f>IFERROR(__xludf.DUMMYFUNCTION("CONCATENATE(GOOGLETRANSLATE(C844, ""en"", ""ko""))
"),"여성용 솔리드 포켓 스파게티 스트랩 백리스 드레스")</f>
        <v>여성용 솔리드 포켓 스파게티 스트랩 백리스 드레스</v>
      </c>
      <c r="F844" s="1" t="str">
        <f>IFERROR(__xludf.DUMMYFUNCTION("CONCATENATE(GOOGLETRANSLATE(C844, ""en"", ""ja""))"),"女性のためのソリッドポケットスパゲッティストラップバックレスドレス")</f>
        <v>女性のためのソリッドポケットスパゲッティストラップバックレスドレス</v>
      </c>
    </row>
    <row r="845" ht="15.75" customHeight="1">
      <c r="A845" s="1">
        <v>2318.0</v>
      </c>
      <c r="B845" s="1" t="s">
        <v>381</v>
      </c>
      <c r="C845" s="1" t="s">
        <v>827</v>
      </c>
      <c r="D845" s="1" t="str">
        <f>IFERROR(__xludf.DUMMYFUNCTION("CONCATENATE(GOOGLETRANSLATE(C845, ""en"", ""zh-cn""))
"),"纯色荷叶边下摆口袋短袖圆领休闲连衣裙")</f>
        <v>纯色荷叶边下摆口袋短袖圆领休闲连衣裙</v>
      </c>
      <c r="E845" s="1" t="str">
        <f>IFERROR(__xludf.DUMMYFUNCTION("CONCATENATE(GOOGLETRANSLATE(C845, ""en"", ""ko""))
"),"솔리드 프릴 밑단 포켓 반소매 크루넥 캐주얼 드레스")</f>
        <v>솔리드 프릴 밑단 포켓 반소매 크루넥 캐주얼 드레스</v>
      </c>
      <c r="F845" s="1" t="str">
        <f>IFERROR(__xludf.DUMMYFUNCTION("CONCATENATE(GOOGLETRANSLATE(C845, ""en"", ""ja""))"),"ソリッドフリル裾ポケット半袖クルーネックカジュアルドレス")</f>
        <v>ソリッドフリル裾ポケット半袖クルーネックカジュアルドレス</v>
      </c>
    </row>
    <row r="846" ht="15.75" customHeight="1">
      <c r="A846" s="1">
        <v>2319.0</v>
      </c>
      <c r="B846" s="1" t="s">
        <v>381</v>
      </c>
      <c r="C846" s="1" t="s">
        <v>828</v>
      </c>
      <c r="D846" s="1" t="str">
        <f>IFERROR(__xludf.DUMMYFUNCTION("CONCATENATE(GOOGLETRANSLATE(C846, ""en"", ""zh-cn""))
"),"纯色正面纽扣短袖翻领衬衫连衣裙")</f>
        <v>纯色正面纽扣短袖翻领衬衫连衣裙</v>
      </c>
      <c r="E846" s="1" t="str">
        <f>IFERROR(__xludf.DUMMYFUNCTION("CONCATENATE(GOOGLETRANSLATE(C846, ""en"", ""ko""))
"),"솔리드 버튼 프론트 반소매 라펠 셔츠 드레스")</f>
        <v>솔리드 버튼 프론트 반소매 라펠 셔츠 드레스</v>
      </c>
      <c r="F846" s="1" t="str">
        <f>IFERROR(__xludf.DUMMYFUNCTION("CONCATENATE(GOOGLETRANSLATE(C846, ""en"", ""ja""))"),"ソリッドボタンフロント半袖ラペルシャツドレス")</f>
        <v>ソリッドボタンフロント半袖ラペルシャツドレス</v>
      </c>
    </row>
    <row r="847" ht="15.75" customHeight="1">
      <c r="A847" s="1">
        <v>2320.0</v>
      </c>
      <c r="B847" s="1" t="s">
        <v>381</v>
      </c>
      <c r="C847" s="1" t="s">
        <v>829</v>
      </c>
      <c r="D847" s="1" t="str">
        <f>IFERROR(__xludf.DUMMYFUNCTION("CONCATENATE(GOOGLETRANSLATE(C847, ""en"", ""zh-cn""))
"),"女式纯色翻领时尚大摆休闲无袖超长连衣裙")</f>
        <v>女式纯色翻领时尚大摆休闲无袖超长连衣裙</v>
      </c>
      <c r="E847" s="1" t="str">
        <f>IFERROR(__xludf.DUMMYFUNCTION("CONCATENATE(GOOGLETRANSLATE(C847, ""en"", ""ko""))
"),"여성 퓨어 컬러 옷깃 세련된 빅 스윙 캐주얼 민소매 맥시 드레스")</f>
        <v>여성 퓨어 컬러 옷깃 세련된 빅 스윙 캐주얼 민소매 맥시 드레스</v>
      </c>
      <c r="F847" s="1" t="str">
        <f>IFERROR(__xludf.DUMMYFUNCTION("CONCATENATE(GOOGLETRANSLATE(C847, ""en"", ""ja""))"),"女性ピュアカラーラペルスタイリッシュなビッグスイングカジュアルノースリーブマキシドレス")</f>
        <v>女性ピュアカラーラペルスタイリッシュなビッグスイングカジュアルノースリーブマキシドレス</v>
      </c>
    </row>
    <row r="848" ht="15.75" customHeight="1">
      <c r="A848" s="1">
        <v>2321.0</v>
      </c>
      <c r="B848" s="1" t="s">
        <v>381</v>
      </c>
      <c r="C848" s="1" t="s">
        <v>830</v>
      </c>
      <c r="D848" s="1" t="str">
        <f>IFERROR(__xludf.DUMMYFUNCTION("CONCATENATE(GOOGLETRANSLATE(C848, ""en"", ""zh-cn""))
"),"圆点纽扣口袋短袖中长连衣裙")</f>
        <v>圆点纽扣口袋短袖中长连衣裙</v>
      </c>
      <c r="E848" s="1" t="str">
        <f>IFERROR(__xludf.DUMMYFUNCTION("CONCATENATE(GOOGLETRANSLATE(C848, ""en"", ""ko""))
"),"폴카 도트 버튼 포켓 반팔 미디 드레스")</f>
        <v>폴카 도트 버튼 포켓 반팔 미디 드레스</v>
      </c>
      <c r="F848" s="1" t="str">
        <f>IFERROR(__xludf.DUMMYFUNCTION("CONCATENATE(GOOGLETRANSLATE(C848, ""en"", ""ja""))"),"ポルカドットボタンポケット半袖ミディドレス")</f>
        <v>ポルカドットボタンポケット半袖ミディドレス</v>
      </c>
    </row>
    <row r="849" ht="15.75" customHeight="1">
      <c r="A849" s="1">
        <v>2322.0</v>
      </c>
      <c r="B849" s="1" t="s">
        <v>381</v>
      </c>
      <c r="C849" s="1" t="s">
        <v>831</v>
      </c>
      <c r="D849" s="1" t="str">
        <f>IFERROR(__xludf.DUMMYFUNCTION("CONCATENATE(GOOGLETRANSLATE(C849, ""en"", ""zh-cn""))
"),"女式纯色牛仔布系扣松紧袖口长袍宽松长裙")</f>
        <v>女式纯色牛仔布系扣松紧袖口长袍宽松长裙</v>
      </c>
      <c r="E849" s="1" t="str">
        <f>IFERROR(__xludf.DUMMYFUNCTION("CONCATENATE(GOOGLETRANSLATE(C849, ""en"", ""ko""))
"),"여성 솔리드 데님 버튼 다운 신축성 있는 커프스 카프탄 루즈 맥시 드레스")</f>
        <v>여성 솔리드 데님 버튼 다운 신축성 있는 커프스 카프탄 루즈 맥시 드레스</v>
      </c>
      <c r="F849" s="1" t="str">
        <f>IFERROR(__xludf.DUMMYFUNCTION("CONCATENATE(GOOGLETRANSLATE(C849, ""en"", ""ja""))"),"女性ソリッドデニムボタンダウン弾性袖口カフタンルーズマキシドレス")</f>
        <v>女性ソリッドデニムボタンダウン弾性袖口カフタンルーズマキシドレス</v>
      </c>
    </row>
    <row r="850" ht="15.75" customHeight="1">
      <c r="A850" s="1">
        <v>2323.0</v>
      </c>
      <c r="B850" s="1" t="s">
        <v>381</v>
      </c>
      <c r="C850" s="1" t="s">
        <v>832</v>
      </c>
      <c r="D850" s="1" t="str">
        <f>IFERROR(__xludf.DUMMYFUNCTION("CONCATENATE(GOOGLETRANSLATE(C850, ""en"", ""zh-cn""))
"),"女式全身花卉印花泡泡袖荷叶边下摆休闲度假分层连衣裙")</f>
        <v>女式全身花卉印花泡泡袖荷叶边下摆休闲度假分层连衣裙</v>
      </c>
      <c r="E850" s="1" t="str">
        <f>IFERROR(__xludf.DUMMYFUNCTION("CONCATENATE(GOOGLETRANSLATE(C850, ""en"", ""ko""))
"),"여성 올오버 꽃 프린트 퍼프 슬리브 러플 밑단 캐주얼 홀리데이 레이어드 드레스")</f>
        <v>여성 올오버 꽃 프린트 퍼프 슬리브 러플 밑단 캐주얼 홀리데이 레이어드 드레스</v>
      </c>
      <c r="F850" s="1" t="str">
        <f>IFERROR(__xludf.DUMMYFUNCTION("CONCATENATE(GOOGLETRANSLATE(C850, ""en"", ""ja""))"),"女性総花柄パフスリーブフリル裾カジュアルホリデーレイヤードドレス")</f>
        <v>女性総花柄パフスリーブフリル裾カジュアルホリデーレイヤードドレス</v>
      </c>
    </row>
    <row r="851" ht="15.75" customHeight="1">
      <c r="A851" s="1">
        <v>2324.0</v>
      </c>
      <c r="B851" s="1" t="s">
        <v>381</v>
      </c>
      <c r="C851" s="1" t="s">
        <v>833</v>
      </c>
      <c r="D851" s="1" t="str">
        <f>IFERROR(__xludf.DUMMYFUNCTION("CONCATENATE(GOOGLETRANSLATE(C851, ""en"", ""zh-cn""))
"),"女式竖条纹翻领长袖衬衫长裙配腰带")</f>
        <v>女式竖条纹翻领长袖衬衫长裙配腰带</v>
      </c>
      <c r="E851" s="1" t="str">
        <f>IFERROR(__xludf.DUMMYFUNCTION("CONCATENATE(GOOGLETRANSLATE(C851, ""en"", ""ko""))
"),"여성 수직 줄무늬 옷깃 Kaftan 긴 소매 셔츠 벨트와 맥시 드레스")</f>
        <v>여성 수직 줄무늬 옷깃 Kaftan 긴 소매 셔츠 벨트와 맥시 드레스</v>
      </c>
      <c r="F851" s="1" t="str">
        <f>IFERROR(__xludf.DUMMYFUNCTION("CONCATENATE(GOOGLETRANSLATE(C851, ""en"", ""ja""))"),"女性縦ストライプラペルカフタン長袖シャツマキシドレスベルト付き")</f>
        <v>女性縦ストライプラペルカフタン長袖シャツマキシドレスベルト付き</v>
      </c>
    </row>
    <row r="852" ht="15.75" customHeight="1">
      <c r="A852" s="1">
        <v>2325.0</v>
      </c>
      <c r="B852" s="1" t="s">
        <v>381</v>
      </c>
      <c r="C852" s="1" t="s">
        <v>834</v>
      </c>
      <c r="D852" s="1" t="str">
        <f>IFERROR(__xludf.DUMMYFUNCTION("CONCATENATE(GOOGLETRANSLATE(C852, ""en"", ""zh-cn""))
"),"女式 O 领花卉宽松波西米亚休闲夏季连衣裙")</f>
        <v>女式 O 领花卉宽松波西米亚休闲夏季连衣裙</v>
      </c>
      <c r="E852" s="1" t="str">
        <f>IFERROR(__xludf.DUMMYFUNCTION("CONCATENATE(GOOGLETRANSLATE(C852, ""en"", ""ko""))
"),"여성을 위한 O-넥 꽃무늬 루즈 보헤미안 캐주얼 여름 드레스")</f>
        <v>여성을 위한 O-넥 꽃무늬 루즈 보헤미안 캐주얼 여름 드레스</v>
      </c>
      <c r="F852" s="1" t="str">
        <f>IFERROR(__xludf.DUMMYFUNCTION("CONCATENATE(GOOGLETRANSLATE(C852, ""en"", ""ja""))"),"女性のための O ネック花柄ルーズボヘミアンカジュアルサマードレス")</f>
        <v>女性のための O ネック花柄ルーズボヘミアンカジュアルサマードレス</v>
      </c>
    </row>
    <row r="853" ht="15.75" customHeight="1">
      <c r="A853" s="1">
        <v>2326.0</v>
      </c>
      <c r="B853" s="1" t="s">
        <v>381</v>
      </c>
      <c r="C853" s="1" t="s">
        <v>835</v>
      </c>
      <c r="D853" s="1" t="str">
        <f>IFERROR(__xludf.DUMMYFUNCTION("CONCATENATE(GOOGLETRANSLATE(C853, ""en"", ""zh-cn""))
"),"女式花卉印花叠层连衣裙 O 领休闲长连衣裙（带侧袋）")</f>
        <v>女式花卉印花叠层连衣裙 O 领休闲长连衣裙（带侧袋）</v>
      </c>
      <c r="E853" s="1" t="str">
        <f>IFERROR(__xludf.DUMMYFUNCTION("CONCATENATE(GOOGLETRANSLATE(C853, ""en"", ""ko""))
"),"여성 꽃무늬 티어드 드레스 오넥 캐주얼 맥시 드레스(사이드 포켓 ​​포함)")</f>
        <v>여성 꽃무늬 티어드 드레스 오넥 캐주얼 맥시 드레스(사이드 포켓 ​​포함)</v>
      </c>
      <c r="F853" s="1" t="str">
        <f>IFERROR(__xludf.DUMMYFUNCTION("CONCATENATE(GOOGLETRANSLATE(C853, ""en"", ""ja""))"),"女性フローラルプリントティアードドレスOネックカジュアルマキシドレスサイドポケット付き")</f>
        <v>女性フローラルプリントティアードドレスOネックカジュアルマキシドレスサイドポケット付き</v>
      </c>
    </row>
    <row r="854" ht="15.75" customHeight="1">
      <c r="A854" s="1">
        <v>2327.0</v>
      </c>
      <c r="B854" s="1" t="s">
        <v>381</v>
      </c>
      <c r="C854" s="1" t="s">
        <v>836</v>
      </c>
      <c r="D854" s="1" t="str">
        <f>IFERROR(__xludf.DUMMYFUNCTION("CONCATENATE(GOOGLETRANSLATE(C854, ""en"", ""zh-cn""))
"),"纯色口袋短袖休闲中长连衣裙")</f>
        <v>纯色口袋短袖休闲中长连衣裙</v>
      </c>
      <c r="E854" s="1" t="str">
        <f>IFERROR(__xludf.DUMMYFUNCTION("CONCATENATE(GOOGLETRANSLATE(C854, ""en"", ""ko""))
"),"솔리드 포켓 반팔 캐주얼 미디 드레스")</f>
        <v>솔리드 포켓 반팔 캐주얼 미디 드레스</v>
      </c>
      <c r="F854" s="1" t="str">
        <f>IFERROR(__xludf.DUMMYFUNCTION("CONCATENATE(GOOGLETRANSLATE(C854, ""en"", ""ja""))"),"ソリッドポケット半袖カジュアルミディドレス")</f>
        <v>ソリッドポケット半袖カジュアルミディドレス</v>
      </c>
    </row>
    <row r="855" ht="15.75" customHeight="1">
      <c r="A855" s="1">
        <v>2328.0</v>
      </c>
      <c r="B855" s="1" t="s">
        <v>381</v>
      </c>
      <c r="C855" s="1" t="s">
        <v>837</v>
      </c>
      <c r="D855" s="1" t="str">
        <f>IFERROR(__xludf.DUMMYFUNCTION("CONCATENATE(GOOGLETRANSLATE(C855, ""en"", ""zh-cn""))
"),"女式复古圆领花卉印花无袖超长连衣裙")</f>
        <v>女式复古圆领花卉印花无袖超长连衣裙</v>
      </c>
      <c r="E855" s="1" t="str">
        <f>IFERROR(__xludf.DUMMYFUNCTION("CONCATENATE(GOOGLETRANSLATE(C855, ""en"", ""ko""))
"),"여성 복고풍 O 넥 꽃 프린트 민소매 맥시 드레스")</f>
        <v>여성 복고풍 O 넥 꽃 프린트 민소매 맥시 드레스</v>
      </c>
      <c r="F855" s="1" t="str">
        <f>IFERROR(__xludf.DUMMYFUNCTION("CONCATENATE(GOOGLETRANSLATE(C855, ""en"", ""ja""))"),"女性のレトロな O ネック花柄ノースリーブ マキシドレス")</f>
        <v>女性のレトロな O ネック花柄ノースリーブ マキシドレス</v>
      </c>
    </row>
    <row r="856" ht="15.75" customHeight="1">
      <c r="A856" s="1">
        <v>2329.0</v>
      </c>
      <c r="B856" s="1" t="s">
        <v>381</v>
      </c>
      <c r="C856" s="1" t="s">
        <v>838</v>
      </c>
      <c r="D856" s="1" t="str">
        <f>IFERROR(__xludf.DUMMYFUNCTION("CONCATENATE(GOOGLETRANSLATE(C856, ""en"", ""zh-cn""))
"),"Blitzwolf® BW-VP1-Pro 液晶投影仪 2800 流明手机同屏版本支持 1080P 输入杜比音频无线便携式智能家庭影院投影仪投影仪")</f>
        <v>Blitzwolf® BW-VP1-Pro 液晶投影仪 2800 流明手机同屏版本支持 1080P 输入杜比音频无线便携式智能家庭影院投影仪投影仪</v>
      </c>
      <c r="E856" s="1" t="str">
        <f>IFERROR(__xludf.DUMMYFUNCTION("CONCATENATE(GOOGLETRANSLATE(C856, ""en"", ""ko""))
"),"Blitzwolf® BW-VP1-Pro LCD 프로젝터 2800 루멘 전화 동일한 화면 버전 지원 1080P 입력 Dolby Audio 무선 휴대용 스마트 홈 시어터 프로젝터 비머")</f>
        <v>Blitzwolf® BW-VP1-Pro LCD 프로젝터 2800 루멘 전화 동일한 화면 버전 지원 1080P 입력 Dolby Audio 무선 휴대용 스마트 홈 시어터 프로젝터 비머</v>
      </c>
      <c r="F856" s="1" t="str">
        <f>IFERROR(__xludf.DUMMYFUNCTION("CONCATENATE(GOOGLETRANSLATE(C856, ""en"", ""ja""))"),"Blitzwolf® BW-VP1-Pro LCD プロジェクター 2800 ルーメン 携帯電話 同じスクリーン バージョン サポート 1080P 入力 ドルビー オーディオ ワイヤレス ポータブル スマート ホーム シアター プロジェクター ビーマー")</f>
        <v>Blitzwolf® BW-VP1-Pro LCD プロジェクター 2800 ルーメン 携帯電話 同じスクリーン バージョン サポート 1080P 入力 ドルビー オーディオ ワイヤレス ポータブル スマート ホーム シアター プロジェクター ビーマー</v>
      </c>
    </row>
    <row r="857" ht="15.75" customHeight="1">
      <c r="A857" s="1">
        <v>2330.0</v>
      </c>
      <c r="B857" s="1" t="s">
        <v>381</v>
      </c>
      <c r="C857" s="1" t="s">
        <v>839</v>
      </c>
      <c r="D857" s="1" t="str">
        <f>IFERROR(__xludf.DUMMYFUNCTION("CONCATENATE(GOOGLETRANSLATE(C857, ""en"", ""zh-cn""))
"),"TWO TREES® 灯丝断裂检测模块，带 1M 电缆跳动传感器材料跳动检测器，适用于 Ender 3 CR10 3D 打印机")</f>
        <v>TWO TREES® 灯丝断裂检测模块，带 1M 电缆跳动传感器材料跳动检测器，适用于 Ender 3 CR10 3D 打印机</v>
      </c>
      <c r="E857" s="1" t="str">
        <f>IFERROR(__xludf.DUMMYFUNCTION("CONCATENATE(GOOGLETRANSLATE(C857, ""en"", ""ko""))
"),"Ender 3 CR10 3D 프린터용 1M 케이블 런아웃 센서가 있는 TWO TREES® 필라멘트 파손 감지 모듈 재료 런아웃 감지기")</f>
        <v>Ender 3 CR10 3D 프린터용 1M 케이블 런아웃 센서가 있는 TWO TREES® 필라멘트 파손 감지 모듈 재료 런아웃 감지기</v>
      </c>
      <c r="F857" s="1" t="str">
        <f>IFERROR(__xludf.DUMMYFUNCTION("CONCATENATE(GOOGLETRANSLATE(C857, ""en"", ""ja""))"),"TWO TREES® フィラメント断線検出モジュール 1M ケーブル振れセンサー付き Ender 3 CR10 3D プリンタ用材料振れ検出器")</f>
        <v>TWO TREES® フィラメント断線検出モジュール 1M ケーブル振れセンサー付き Ender 3 CR10 3D プリンタ用材料振れ検出器</v>
      </c>
    </row>
    <row r="858" ht="15.75" customHeight="1">
      <c r="A858" s="1">
        <v>2331.0</v>
      </c>
      <c r="B858" s="1" t="s">
        <v>381</v>
      </c>
      <c r="C858" s="1" t="s">
        <v>840</v>
      </c>
      <c r="D858" s="1" t="str">
        <f>IFERROR(__xludf.DUMMYFUNCTION("CONCATENATE(GOOGLETRANSLATE(C858, ""en"", ""zh-cn""))
"),"GAMAKAY MK61有线机械键盘Gateron光学开关布丁键帽RGB 61键热插拔游戏键盘新版")</f>
        <v>GAMAKAY MK61有线机械键盘Gateron光学开关布丁键帽RGB 61键热插拔游戏键盘新版</v>
      </c>
      <c r="E858" s="1" t="str">
        <f>IFERROR(__xludf.DUMMYFUNCTION("CONCATENATE(GOOGLETRANSLATE(C858, ""en"", ""ko""))
"),"GAMAKAY MK61 유선 기계식 키보드 Gateron 광 스위치 푸딩 키 캡 RGB 61 키 핫 스왑 가능 게임용 키보드 새 버전")</f>
        <v>GAMAKAY MK61 유선 기계식 키보드 Gateron 광 스위치 푸딩 키 캡 RGB 61 키 핫 스왑 가능 게임용 키보드 새 버전</v>
      </c>
      <c r="F858" s="1" t="str">
        <f>IFERROR(__xludf.DUMMYFUNCTION("CONCATENATE(GOOGLETRANSLATE(C858, ""en"", ""ja""))"),"GAMAKAY MK61 有線メカニカルキーボード Gateron 光学スイッチプディングキーキャップ RGB 61 キーホットスワップ可能なゲーミングキーボード新バージョン")</f>
        <v>GAMAKAY MK61 有線メカニカルキーボード Gateron 光学スイッチプディングキーキャップ RGB 61 キーホットスワップ可能なゲーミングキーボード新バージョン</v>
      </c>
    </row>
    <row r="859" ht="15.75" customHeight="1">
      <c r="A859" s="1">
        <v>2332.0</v>
      </c>
      <c r="B859" s="1" t="s">
        <v>381</v>
      </c>
      <c r="C859" s="1" t="s">
        <v>841</v>
      </c>
      <c r="D859" s="1" t="str">
        <f>IFERROR(__xludf.DUMMYFUNCTION("CONCATENATE(GOOGLETRANSLATE(C859, ""en"", ""zh-cn""))
"),"Creativity® 4 件 3D 打印机零件弹簧加热床调平 8X20mm 10X25 热板 3D 打印机零件 Reprap 进口适用于 Ender3 CR10 MK2A")</f>
        <v>Creativity® 4 件 3D 打印机零件弹簧加热床调平 8X20mm 10X25 热板 3D 打印机零件 Reprap 进口适用于 Ender3 CR10 MK2A</v>
      </c>
      <c r="E859" s="1" t="str">
        <f>IFERROR(__xludf.DUMMYFUNCTION("CONCATENATE(GOOGLETRANSLATE(C859, ""en"", ""ko""))
"),"Creativity® 4pcs 3D 프린터 부품 스프링 가열 베드 레벨링 8X20mm 10X25 핫 플레이트 3D 프린터 부품 Reprap Ender3 CR10 MK2A로 수입됨")</f>
        <v>Creativity® 4pcs 3D 프린터 부품 스프링 가열 베드 레벨링 8X20mm 10X25 핫 플레이트 3D 프린터 부품 Reprap Ender3 CR10 MK2A로 수입됨</v>
      </c>
      <c r="F859" s="1" t="str">
        <f>IFERROR(__xludf.DUMMYFUNCTION("CONCATENATE(GOOGLETRANSLATE(C859, ""en"", ""ja""))"),"Creativity® 4 個 3D プリンタ部品スプリング加熱ベッドレベリング 8X20mm 10X25 ホットプレート 3D プリンタ部品 Reprap 輸入 Ender3 CR10 MK2A")</f>
        <v>Creativity® 4 個 3D プリンタ部品スプリング加熱ベッドレベリング 8X20mm 10X25 ホットプレート 3D プリンタ部品 Reprap 輸入 Ender3 CR10 MK2A</v>
      </c>
    </row>
    <row r="860" ht="15.75" customHeight="1">
      <c r="A860" s="1">
        <v>2333.0</v>
      </c>
      <c r="B860" s="1" t="s">
        <v>381</v>
      </c>
      <c r="C860" s="1" t="s">
        <v>842</v>
      </c>
      <c r="D860" s="1" t="str">
        <f>IFERROR(__xludf.DUMMYFUNCTION("CONCATENATE(GOOGLETRANSLATE(C860, ""en"", ""zh-cn""))
"),"70 件/包 Gateron 光学开关线性点击开关键盘开关适用于光学机械游戏键盘")</f>
        <v>70 件/包 Gateron 光学开关线性点击开关键盘开关适用于光学机械游戏键盘</v>
      </c>
      <c r="E860" s="1" t="str">
        <f>IFERROR(__xludf.DUMMYFUNCTION("CONCATENATE(GOOGLETRANSLATE(C860, ""en"", ""ko""))
"),"광학 기계식 게임용 키보드 용 70 개/갑 Gateron 광학 스위치 선형 Clicky 스위치 키보드 스위치")</f>
        <v>광학 기계식 게임용 키보드 용 70 개/갑 Gateron 광학 스위치 선형 Clicky 스위치 키보드 스위치</v>
      </c>
      <c r="F860" s="1" t="str">
        <f>IFERROR(__xludf.DUMMYFUNCTION("CONCATENATE(GOOGLETRANSLATE(C860, ""en"", ""ja""))"),"70 ピース/パック Gateron 光学スイッチリニアクリッキースイッチキーボードスイッチ光学機械式ゲーミングキーボード用")</f>
        <v>70 ピース/パック Gateron 光学スイッチリニアクリッキースイッチキーボードスイッチ光学機械式ゲーミングキーボード用</v>
      </c>
    </row>
    <row r="861" ht="15.75" customHeight="1">
      <c r="A861" s="1">
        <v>2334.0</v>
      </c>
      <c r="B861" s="1" t="s">
        <v>381</v>
      </c>
      <c r="C861" s="1" t="s">
        <v>843</v>
      </c>
      <c r="D861" s="1" t="str">
        <f>IFERROR(__xludf.DUMMYFUNCTION("CONCATENATE(GOOGLETRANSLATE(C861, ""en"", ""zh-cn""))
"),"TWO TREES® CNC 扩展板 + UNO R3 板 +4x A4988 步进电机驱动器 +4x 3D 打印机用 4401 步进电机套件")</f>
        <v>TWO TREES® CNC 扩展板 + UNO R3 板 +4x A4988 步进电机驱动器 +4x 3D 打印机用 4401 步进电机套件</v>
      </c>
      <c r="E861" s="1" t="str">
        <f>IFERROR(__xludf.DUMMYFUNCTION("CONCATENATE(GOOGLETRANSLATE(C861, ""en"", ""ko""))
"),"TWO TREES® CNC 실드 + UNO R3 보드 +4x A4988 스테퍼 모터 드라이버 +4x 4401 3D 프린터용 스테퍼 모터 키트")</f>
        <v>TWO TREES® CNC 실드 + UNO R3 보드 +4x A4988 스테퍼 모터 드라이버 +4x 4401 3D 프린터용 스테퍼 모터 키트</v>
      </c>
      <c r="F861" s="1" t="str">
        <f>IFERROR(__xludf.DUMMYFUNCTION("CONCATENATE(GOOGLETRANSLATE(C861, ""en"", ""ja""))"),"TWO TREES® CNC シールド + UNO R3 ボード + 4x A4988 ステッピング モーター ドライバー + 4x 4401 ステッピング モーター キット (3D プリンター用)")</f>
        <v>TWO TREES® CNC シールド + UNO R3 ボード + 4x A4988 ステッピング モーター ドライバー + 4x 4401 ステッピング モーター キット (3D プリンター用)</v>
      </c>
    </row>
    <row r="862" ht="15.75" customHeight="1">
      <c r="A862" s="1">
        <v>2335.0</v>
      </c>
      <c r="B862" s="1" t="s">
        <v>381</v>
      </c>
      <c r="C862" s="1" t="s">
        <v>844</v>
      </c>
      <c r="D862" s="1" t="str">
        <f>IFERROR(__xludf.DUMMYFUNCTION("CONCATENATE(GOOGLETRANSLATE(C862, ""en"", ""zh-cn""))
"),"BlitzWolf® BW-KC1 儿童相机 2.4 英寸 1080P 视频高清自拍便携式数字游戏儿童相机适合女孩和男孩生日圣诞礼物好运带 16GB TF 卡")</f>
        <v>BlitzWolf® BW-KC1 儿童相机 2.4 英寸 1080P 视频高清自拍便携式数字游戏儿童相机适合女孩和男孩生日圣诞礼物好运带 16GB TF 卡</v>
      </c>
      <c r="E862" s="1" t="str">
        <f>IFERROR(__xludf.DUMMYFUNCTION("CONCATENATE(GOOGLETRANSLATE(C862, ""en"", ""ko""))
"),"BlitzWolf® BW-KC1 어린이용 카메라 2.4인치 1080P 비디오 HD 셀카 휴대용 디지털 게임 소녀와 소년을 위한 어린이 카메라 생일 크리스마스 선물 16GB TF 카드로 행운을 빌어요")</f>
        <v>BlitzWolf® BW-KC1 어린이용 카메라 2.4인치 1080P 비디오 HD 셀카 휴대용 디지털 게임 소녀와 소년을 위한 어린이 카메라 생일 크리스마스 선물 16GB TF 카드로 행운을 빌어요</v>
      </c>
      <c r="F862" s="1" t="str">
        <f>IFERROR(__xludf.DUMMYFUNCTION("CONCATENATE(GOOGLETRANSLATE(C862, ""en"", ""ja""))"),"BlitzWolf® BW-KC1 子供用カメラ 2.4 インチ 1080P ビデオ HD 自撮り ポータブル デジタル ゲーム 子供用カメラ 女の子と男の子用 誕生日 クリスマス ギフト 幸運を祈る 16GB TF カード付き")</f>
        <v>BlitzWolf® BW-KC1 子供用カメラ 2.4 インチ 1080P ビデオ HD 自撮り ポータブル デジタル ゲーム 子供用カメラ 女の子と男の子用 誕生日 クリスマス ギフト 幸運を祈る 16GB TF カード付き</v>
      </c>
    </row>
    <row r="863" ht="15.75" customHeight="1">
      <c r="A863" s="1">
        <v>2336.0</v>
      </c>
      <c r="B863" s="1" t="s">
        <v>381</v>
      </c>
      <c r="C863" s="1" t="s">
        <v>845</v>
      </c>
      <c r="D863" s="1" t="str">
        <f>IFERROR(__xludf.DUMMYFUNCTION("CONCATENATE(GOOGLETRANSLATE(C863, ""en"", ""zh-cn""))
"),"140 键蜂蜜牛奶 PBT 键帽套装 XDA 热升华英文/日文机械键盘键帽")</f>
        <v>140 键蜂蜜牛奶 PBT 键帽套装 XDA 热升华英文/日文机械键盘键帽</v>
      </c>
      <c r="E863" s="1" t="str">
        <f>IFERROR(__xludf.DUMMYFUNCTION("CONCATENATE(GOOGLETRANSLATE(C863, ""en"", ""ko""))
"),"140 키 허니 밀크 PBT 키캡 세트 XDA 프로필 승화 기계식 키보드 용 영어/일본어 키캡")</f>
        <v>140 키 허니 밀크 PBT 키캡 세트 XDA 프로필 승화 기계식 키보드 용 영어/일본어 키캡</v>
      </c>
      <c r="F863" s="1" t="str">
        <f>IFERROR(__xludf.DUMMYFUNCTION("CONCATENATE(GOOGLETRANSLATE(C863, ""en"", ""ja""))"),"140 キーハニーミルク PBT キーキャップセット XDA プロファイル昇華英語/日本語キーキャップメカニカルキーボード用")</f>
        <v>140 キーハニーミルク PBT キーキャップセット XDA プロファイル昇華英語/日本語キーキャップメカニカルキーボード用</v>
      </c>
    </row>
    <row r="864" ht="15.75" customHeight="1">
      <c r="A864" s="1">
        <v>2337.0</v>
      </c>
      <c r="B864" s="1" t="s">
        <v>381</v>
      </c>
      <c r="C864" s="1" t="s">
        <v>846</v>
      </c>
      <c r="D864" s="1" t="str">
        <f>IFERROR(__xludf.DUMMYFUNCTION("CONCATENATE(GOOGLETRANSLATE(C864, ""en"", ""zh-cn""))
"),"SIMAX3D® 13/24 件聚碳酸酯滑轮塑料滑轮直线轴承适用于 Creality CR10 Ender 3 3D 打印机零件")</f>
        <v>SIMAX3D® 13/24 件聚碳酸酯滑轮塑料滑轮直线轴承适用于 Creality CR10 Ender 3 3D 打印机零件</v>
      </c>
      <c r="E864" s="1" t="str">
        <f>IFERROR(__xludf.DUMMYFUNCTION("CONCATENATE(GOOGLETRANSLATE(C864, ""en"", ""ko""))
"),"SIMAX3D® 13/24Pcs 폴리카보네이트 풀리 휠 Creality CR10 Ender 3 3D 프린터 부품용 플라스틱 풀리 선형 베어링")</f>
        <v>SIMAX3D® 13/24Pcs 폴리카보네이트 풀리 휠 Creality CR10 Ender 3 3D 프린터 부품용 플라스틱 풀리 선형 베어링</v>
      </c>
      <c r="F864" s="1" t="str">
        <f>IFERROR(__xludf.DUMMYFUNCTION("CONCATENATE(GOOGLETRANSLATE(C864, ""en"", ""ja""))"),"SIMAX3D® 13/24 個ポリカーボネートプーリーホイールプラスチックプーリーリニアベアリング Creality CR10 Ender 3 3D プリンター部品用")</f>
        <v>SIMAX3D® 13/24 個ポリカーボネートプーリーホイールプラスチックプーリーリニアベアリング Creality CR10 Ender 3 3D プリンター部品用</v>
      </c>
    </row>
    <row r="865" ht="15.75" customHeight="1">
      <c r="A865" s="1">
        <v>2338.0</v>
      </c>
      <c r="B865" s="1" t="s">
        <v>381</v>
      </c>
      <c r="C865" s="1" t="s">
        <v>847</v>
      </c>
      <c r="D865" s="1" t="str">
        <f>IFERROR(__xludf.DUMMYFUNCTION("CONCATENATE(GOOGLETRANSLATE(C865, ""en"", ""zh-cn""))
"),"70 件/包 Gateron 开关线性机械黄色/红色 Pro 开关预润滑键盘开关适用于 DIY 机械游戏键盘")</f>
        <v>70 件/包 Gateron 开关线性机械黄色/红色 Pro 开关预润滑键盘开关适用于 DIY 机械游戏键盘</v>
      </c>
      <c r="E865" s="1" t="str">
        <f>IFERROR(__xludf.DUMMYFUNCTION("CONCATENATE(GOOGLETRANSLATE(C865, ""en"", ""ko""))
"),"70 개/갑 Gateron 스위치 선형 기계식 노란색/빨간색 프로 스위치 DIY 기계식 게임용 키보드 용 사전 윤활 키보드 스위치")</f>
        <v>70 개/갑 Gateron 스위치 선형 기계식 노란색/빨간색 프로 스위치 DIY 기계식 게임용 키보드 용 사전 윤활 키보드 스위치</v>
      </c>
      <c r="F865" s="1" t="str">
        <f>IFERROR(__xludf.DUMMYFUNCTION("CONCATENATE(GOOGLETRANSLATE(C865, ""en"", ""ja""))"),"70 ピース/パック Gateron スイッチリニアメカニカルイエロー/レッドプロスイッチ事前潤滑キーボードスイッチ DIY メカニカルゲーミングキーボード用")</f>
        <v>70 ピース/パック Gateron スイッチリニアメカニカルイエロー/レッドプロスイッチ事前潤滑キーボードスイッチ DIY メカニカルゲーミングキーボード用</v>
      </c>
    </row>
    <row r="866" ht="15.75" customHeight="1">
      <c r="A866" s="1">
        <v>2339.0</v>
      </c>
      <c r="B866" s="1" t="s">
        <v>381</v>
      </c>
      <c r="C866" s="1" t="s">
        <v>848</v>
      </c>
      <c r="D866" s="1" t="str">
        <f>IFERROR(__xludf.DUMMYFUNCTION("CONCATENATE(GOOGLETRANSLATE(C866, ""en"", ""zh-cn""))
"),"木制铅笔笔收纳盒可倾斜桌面文具架收纳盒家庭办公用品收纳架")</f>
        <v>木制铅笔笔收纳盒可倾斜桌面文具架收纳盒家庭办公用品收纳架</v>
      </c>
      <c r="E866" s="1" t="str">
        <f>IFERROR(__xludf.DUMMYFUNCTION("CONCATENATE(GOOGLETRANSLATE(C866, ""en"", ""ko""))
"),"나무 연필 펜 보관 상자 기울이기 데스크탑 고정 홀더 주최자 홈 오피스 용품 보관 랙")</f>
        <v>나무 연필 펜 보관 상자 기울이기 데스크탑 고정 홀더 주최자 홈 오피스 용품 보관 랙</v>
      </c>
      <c r="F866" s="1" t="str">
        <f>IFERROR(__xludf.DUMMYFUNCTION("CONCATENATE(GOOGLETRANSLATE(C866, ""en"", ""ja""))"),"木製鉛筆ペン収納ボックス傾斜デスクトップ文房具ホルダーオーガナイザーホームオフィス用品収納ラック")</f>
        <v>木製鉛筆ペン収納ボックス傾斜デスクトップ文房具ホルダーオーガナイザーホームオフィス用品収納ラック</v>
      </c>
    </row>
    <row r="867" ht="15.75" customHeight="1">
      <c r="A867" s="1">
        <v>2340.0</v>
      </c>
      <c r="B867" s="1" t="s">
        <v>381</v>
      </c>
      <c r="C867" s="1" t="s">
        <v>849</v>
      </c>
      <c r="D867" s="1" t="str">
        <f>IFERROR(__xludf.DUMMYFUNCTION("CONCATENATE(GOOGLETRANSLATE(C867, ""en"", ""zh-cn""))
"),"GamaKay K61 机械键盘 61 键 60 键盘热插拔 Type-C 3.1 有线 USB 半透明玻璃底座 Gateron 开关 ABS 二色键帽 NKRO RGB 游戏键盘")</f>
        <v>GamaKay K61 机械键盘 61 键 60 键盘热插拔 Type-C 3.1 有线 USB 半透明玻璃底座 Gateron 开关 ABS 二色键帽 NKRO RGB 游戏键盘</v>
      </c>
      <c r="E867" s="1" t="str">
        <f>IFERROR(__xludf.DUMMYFUNCTION("CONCATENATE(GOOGLETRANSLATE(C867, ""en"", ""ko""))
"),"GamaKay K61 기계식 키보드 61 키 60 키보드 핫 스왑 가능 Type-C 3.1 유선 USB 반투명 유리 베이스 Gateron 스위치 ABS 2색 키 캡 NKRO RGB 게임용 키보드")</f>
        <v>GamaKay K61 기계식 키보드 61 키 60 키보드 핫 스왑 가능 Type-C 3.1 유선 USB 반투명 유리 베이스 Gateron 스위치 ABS 2색 키 캡 NKRO RGB 게임용 키보드</v>
      </c>
      <c r="F867" s="1" t="str">
        <f>IFERROR(__xludf.DUMMYFUNCTION("CONCATENATE(GOOGLETRANSLATE(C867, ""en"", ""ja""))"),"GamaKay K61 メカニカルキーボード 61 キー 60 キーボード ホットスワップ可能 Type-C 3.1 有線 USB 半透明ガラスベース Gateron スイッチ ABS 2 色キーキャップ NKRO RGB ゲーミングキーボード")</f>
        <v>GamaKay K61 メカニカルキーボード 61 キー 60 キーボード ホットスワップ可能 Type-C 3.1 有線 USB 半透明ガラスベース Gateron スイッチ ABS 2 色キーキャップ NKRO RGB ゲーミングキーボード</v>
      </c>
    </row>
    <row r="868" ht="15.75" customHeight="1">
      <c r="A868" s="1">
        <v>2341.0</v>
      </c>
      <c r="B868" s="1" t="s">
        <v>381</v>
      </c>
      <c r="C868" s="1" t="s">
        <v>850</v>
      </c>
      <c r="D868" s="1" t="str">
        <f>IFERROR(__xludf.DUMMYFUNCTION("CONCATENATE(GOOGLETRANSLATE(C868, ""en"", ""zh-cn""))
"),"70 件装 3 针 Gateron 线性黄色开关 键盘开关适用于机械游戏键盘")</f>
        <v>70 件装 3 针 Gateron 线性黄色开关 键盘开关适用于机械游戏键盘</v>
      </c>
      <c r="E868" s="1" t="str">
        <f>IFERROR(__xludf.DUMMYFUNCTION("CONCATENATE(GOOGLETRANSLATE(C868, ""en"", ""ko""))
"),"기계식 게임용 키보드 용 70PCS 팩 3Pin Gateron 선형 노란색 스위치 키보드 스위치")</f>
        <v>기계식 게임용 키보드 용 70PCS 팩 3Pin Gateron 선형 노란색 스위치 키보드 스위치</v>
      </c>
      <c r="F868" s="1" t="str">
        <f>IFERROR(__xludf.DUMMYFUNCTION("CONCATENATE(GOOGLETRANSLATE(C868, ""en"", ""ja""))"),"70 個パック 3Pin Gateron リニア イエロー スイッチ キーボード スイッチ メカニカル ゲーミング キーボード用")</f>
        <v>70 個パック 3Pin Gateron リニア イエロー スイッチ キーボード スイッチ メカニカル ゲーミング キーボード用</v>
      </c>
    </row>
    <row r="869" ht="15.75" customHeight="1">
      <c r="A869" s="1">
        <v>2342.0</v>
      </c>
      <c r="B869" s="1" t="s">
        <v>381</v>
      </c>
      <c r="C869" s="1" t="s">
        <v>851</v>
      </c>
      <c r="D869" s="1" t="str">
        <f>IFERROR(__xludf.DUMMYFUNCTION("CONCATENATE(GOOGLETRANSLATE(C869, ""en"", ""zh-cn""))
"),"128 键珊瑚海键帽套装 XDA Profile PBT 热升华键帽适用于 DIY 机械键盘")</f>
        <v>128 键珊瑚海键帽套装 XDA Profile PBT 热升华键帽适用于 DIY 机械键盘</v>
      </c>
      <c r="E869" s="1" t="str">
        <f>IFERROR(__xludf.DUMMYFUNCTION("CONCATENATE(GOOGLETRANSLATE(C869, ""en"", ""ko""))
"),"128 키 산호 바다 키 캡 세트 DIY 기계식 키보드 용 XDA 프로필 PBT 승화 키 캡")</f>
        <v>128 키 산호 바다 키 캡 세트 DIY 기계식 키보드 용 XDA 프로필 PBT 승화 키 캡</v>
      </c>
      <c r="F869" s="1" t="str">
        <f>IFERROR(__xludf.DUMMYFUNCTION("CONCATENATE(GOOGLETRANSLATE(C869, ""en"", ""ja""))"),"128 キー珊瑚海キーキャップセット XDA プロファイル PBT 昇華キーキャップ DIY メカニカルキーボード用")</f>
        <v>128 キー珊瑚海キーキャップセット XDA プロファイル PBT 昇華キーキャップ DIY メカニカルキーボード用</v>
      </c>
    </row>
    <row r="870" ht="15.75" customHeight="1">
      <c r="A870" s="1">
        <v>2343.0</v>
      </c>
      <c r="B870" s="1" t="s">
        <v>381</v>
      </c>
      <c r="C870" s="1" t="s">
        <v>852</v>
      </c>
      <c r="D870" s="1" t="str">
        <f>IFERROR(__xludf.DUMMYFUNCTION("CONCATENATE(GOOGLETRANSLATE(C870, ""en"", ""zh-cn""))
"),"Creality 3D® Ender-3 S1 pro 3D 打印机套件")</f>
        <v>Creality 3D® Ender-3 S1 pro 3D 打印机套件</v>
      </c>
      <c r="E870" s="1" t="str">
        <f>IFERROR(__xludf.DUMMYFUNCTION("CONCATENATE(GOOGLETRANSLATE(C870, ""en"", ""ko""))
"),"Creality 3D® Ender-3 S1 pro 3D 프린터 키트")</f>
        <v>Creality 3D® Ender-3 S1 pro 3D 프린터 키트</v>
      </c>
      <c r="F870" s="1" t="str">
        <f>IFERROR(__xludf.DUMMYFUNCTION("CONCATENATE(GOOGLETRANSLATE(C870, ""en"", ""ja""))"),"Creality 3D® Ender-3 S1 pro 3D プリンター キット")</f>
        <v>Creality 3D® Ender-3 S1 pro 3D プリンター キット</v>
      </c>
    </row>
    <row r="871" ht="15.75" customHeight="1">
      <c r="A871" s="1">
        <v>2344.0</v>
      </c>
      <c r="B871" s="1" t="s">
        <v>381</v>
      </c>
      <c r="C871" s="1" t="s">
        <v>853</v>
      </c>
      <c r="D871" s="1" t="str">
        <f>IFERROR(__xludf.DUMMYFUNCTION("CONCATENATE(GOOGLETRANSLATE(C871, ""en"", ""zh-cn""))
"),"MARCO 12 色专业彩色铅笔套装木质彩色蜡笔绘画绘画笔学校美术文具用品")</f>
        <v>MARCO 12 色专业彩色铅笔套装木质彩色蜡笔绘画绘画笔学校美术文具用品</v>
      </c>
      <c r="E871" s="1" t="str">
        <f>IFERROR(__xludf.DUMMYFUNCTION("CONCATENATE(GOOGLETRANSLATE(C871, ""en"", ""ko""))
"),"마르코 12 색 전문 컬러 연필 세트 나무 색 크레용 그리기 그림 펜 학교 미술 문구 용품")</f>
        <v>마르코 12 색 전문 컬러 연필 세트 나무 색 크레용 그리기 그림 펜 학교 미술 문구 용품</v>
      </c>
      <c r="F871" s="1" t="str">
        <f>IFERROR(__xludf.DUMMYFUNCTION("CONCATENATE(GOOGLETRANSLATE(C871, ""en"", ""ja""))"),"マルコ 12 色プロフェッショナル色鉛筆セット木製カラークレヨン描画絵画ペンスクールアート文具用品")</f>
        <v>マルコ 12 色プロフェッショナル色鉛筆セット木製カラークレヨン描画絵画ペンスクールアート文具用品</v>
      </c>
    </row>
    <row r="872" ht="15.75" customHeight="1">
      <c r="A872" s="1">
        <v>2345.0</v>
      </c>
      <c r="B872" s="1" t="s">
        <v>381</v>
      </c>
      <c r="C872" s="1" t="s">
        <v>854</v>
      </c>
      <c r="D872" s="1" t="str">
        <f>IFERROR(__xludf.DUMMYFUNCTION("CONCATENATE(GOOGLETRANSLATE(C872, ""en"", ""zh-cn""))
"),"TENWIN桌面吸尘器电动桌面橡胶除尘器小型家用车载键盘除尘器")</f>
        <v>TENWIN桌面吸尘器电动桌面橡胶除尘器小型家用车载键盘除尘器</v>
      </c>
      <c r="E872" s="1" t="str">
        <f>IFERROR(__xludf.DUMMYFUNCTION("CONCATENATE(GOOGLETRANSLATE(C872, ""en"", ""ko""))
"),"TENWIN 데스크탑 진공 청소기 전기 데스크탑 고무 먼지 청소기 소형 가정용 자동차 키보드 먼지 청소기")</f>
        <v>TENWIN 데스크탑 진공 청소기 전기 데스크탑 고무 먼지 청소기 소형 가정용 자동차 키보드 먼지 청소기</v>
      </c>
      <c r="F872" s="1" t="str">
        <f>IFERROR(__xludf.DUMMYFUNCTION("CONCATENATE(GOOGLETRANSLATE(C872, ""en"", ""ja""))"),"TENWIN デスクトップ掃除機電動デスクトップゴムダストクリーナー小型家庭用車のキーボードダストクリーナー")</f>
        <v>TENWIN デスクトップ掃除機電動デスクトップゴムダストクリーナー小型家庭用車のキーボードダストクリーナー</v>
      </c>
    </row>
    <row r="873" ht="15.75" customHeight="1">
      <c r="A873" s="1">
        <v>2346.0</v>
      </c>
      <c r="B873" s="1" t="s">
        <v>381</v>
      </c>
      <c r="C873" s="1" t="s">
        <v>855</v>
      </c>
      <c r="D873" s="1" t="str">
        <f>IFERROR(__xludf.DUMMYFUNCTION("CONCATENATE(GOOGLETRANSLATE(C873, ""en"", ""zh-cn""))
"),"单扣风琴包 A4 多层文件夹多功能便携式文件夹")</f>
        <v>单扣风琴包 A4 多层文件夹多功能便携式文件夹</v>
      </c>
      <c r="E873" s="1" t="str">
        <f>IFERROR(__xludf.DUMMYFUNCTION("CONCATENATE(GOOGLETRANSLATE(C873, ""en"", ""ko""))
"),"단일 버튼 오르간 가방 A4 다층 폴더 다기능 휴대용 파일 폴더")</f>
        <v>단일 버튼 오르간 가방 A4 다층 폴더 다기능 휴대용 파일 폴더</v>
      </c>
      <c r="F873" s="1" t="str">
        <f>IFERROR(__xludf.DUMMYFUNCTION("CONCATENATE(GOOGLETRANSLATE(C873, ""en"", ""ja""))"),"シングルボタンオルガンバッグ A4 多層フォルダー多機能ポータブルファイルフォルダー")</f>
        <v>シングルボタンオルガンバッグ A4 多層フォルダー多機能ポータブルファイルフォルダー</v>
      </c>
    </row>
    <row r="874" ht="15.75" customHeight="1">
      <c r="A874" s="1">
        <v>2347.0</v>
      </c>
      <c r="B874" s="1" t="s">
        <v>381</v>
      </c>
      <c r="C874" s="1" t="s">
        <v>856</v>
      </c>
      <c r="D874" s="1" t="str">
        <f>IFERROR(__xludf.DUMMYFUNCTION("CONCATENATE(GOOGLETRANSLATE(C874, ""en"", ""zh-cn""))
"),"文库 WK-1020B 一体式旋转电容手写笔 适用于 IOS 安卓 平板电脑 智能手机")</f>
        <v>文库 WK-1020B 一体式旋转电容手写笔 适用于 IOS 安卓 平板电脑 智能手机</v>
      </c>
      <c r="E874" s="1" t="str">
        <f>IFERROR(__xludf.DUMMYFUNCTION("CONCATENATE(GOOGLETRANSLATE(C874, ""en"", ""ko""))
"),"IOS 안드로이드 태블릿 스마트폰용 Wenku WK-1020B 통합 로터리 커패시터 스타일러스 펜")</f>
        <v>IOS 안드로이드 태블릿 스마트폰용 Wenku WK-1020B 통합 로터리 커패시터 스타일러스 펜</v>
      </c>
      <c r="F874" s="1" t="str">
        <f>IFERROR(__xludf.DUMMYFUNCTION("CONCATENATE(GOOGLETRANSLATE(C874, ""en"", ""ja""))"),"Wenku WK-1020B IOS Android タブレット スマートフォン用統合ロータリー コンデンサー スタイラス ペン")</f>
        <v>Wenku WK-1020B IOS Android タブレット スマートフォン用統合ロータリー コンデンサー スタイラス ペン</v>
      </c>
    </row>
    <row r="875" ht="15.75" customHeight="1">
      <c r="A875" s="1">
        <v>2348.0</v>
      </c>
      <c r="B875" s="1" t="s">
        <v>381</v>
      </c>
      <c r="C875" s="1" t="s">
        <v>857</v>
      </c>
      <c r="D875" s="1" t="str">
        <f>IFERROR(__xludf.DUMMYFUNCTION("CONCATENATE(GOOGLETRANSLATE(C875, ""en"", ""zh-cn""))
"),"NASUM 花园椅套保护套牛津聚酯 210D 牛津材料带抽绳附件夹防水防寒")</f>
        <v>NASUM 花园椅套保护套牛津聚酯 210D 牛津材料带抽绳附件夹防水防寒</v>
      </c>
      <c r="E875" s="1" t="str">
        <f>IFERROR(__xludf.DUMMYFUNCTION("CONCATENATE(GOOGLETRANSLATE(C875, ""en"", ""ko""))
"),"정원 의자용 NASUM 커버 보호 커버 옥스포드 폴리에스테르 210D 옥스포드 소재 조임끈 부착 클립 포함 방수 방한")</f>
        <v>정원 의자용 NASUM 커버 보호 커버 옥스포드 폴리에스테르 210D 옥스포드 소재 조임끈 부착 클립 포함 방수 방한</v>
      </c>
      <c r="F875" s="1" t="str">
        <f>IFERROR(__xludf.DUMMYFUNCTION("CONCATENATE(GOOGLETRANSLATE(C875, ""en"", ""ja""))"),"NASUM ガーデンチェア用カバー 保護カバー オックスフォード ポリエステル 210D オックスフォード素材 巾着アタッチメントクリップ付き 防水 防寒")</f>
        <v>NASUM ガーデンチェア用カバー 保護カバー オックスフォード ポリエステル 210D オックスフォード素材 巾着アタッチメントクリップ付き 防水 防寒</v>
      </c>
    </row>
    <row r="876" ht="15.75" customHeight="1">
      <c r="A876" s="1">
        <v>2349.0</v>
      </c>
      <c r="B876" s="1" t="s">
        <v>381</v>
      </c>
      <c r="C876" s="1" t="s">
        <v>858</v>
      </c>
      <c r="D876" s="1" t="str">
        <f>IFERROR(__xludf.DUMMYFUNCTION("CONCATENATE(GOOGLETRANSLATE(C876, ""en"", ""zh-cn""))
"),"Fothwin 19.5V 45w 2.31A 接口 4.5*3.0 蓝色插针 适用于惠普笔记本电脑台式机笔记本电脑电源适配器添加交流线")</f>
        <v>Fothwin 19.5V 45w 2.31A 接口 4.5*3.0 蓝色插针 适用于惠普笔记本电脑台式机笔记本电脑电源适配器添加交流线</v>
      </c>
      <c r="E876" s="1" t="str">
        <f>IFERROR(__xludf.DUMMYFUNCTION("CONCATENATE(GOOGLETRANSLATE(C876, ""en"", ""ko""))
"),"Fothwin 19.5V 45w 2.31A 인터페이스 4.5*3.0 HP 노트북 데스크탑 노트북 전원 어댑터용 블루 핀 AC 라인 추가")</f>
        <v>Fothwin 19.5V 45w 2.31A 인터페이스 4.5*3.0 HP 노트북 데스크탑 노트북 전원 어댑터용 블루 핀 AC 라인 추가</v>
      </c>
      <c r="F876" s="1" t="str">
        <f>IFERROR(__xludf.DUMMYFUNCTION("CONCATENATE(GOOGLETRANSLATE(C876, ""en"", ""ja""))"),"Fothwin 19.5V 45 ワット 2.31A インターフェイス 4.5*3.0 ブルーピン HP ラップトップデスクトップラップトップ電源アダプタ AC ラインを追加")</f>
        <v>Fothwin 19.5V 45 ワット 2.31A インターフェイス 4.5*3.0 ブルーピン HP ラップトップデスクトップラップトップ電源アダプタ AC ラインを追加</v>
      </c>
    </row>
    <row r="877" ht="15.75" customHeight="1">
      <c r="A877" s="1">
        <v>2350.0</v>
      </c>
      <c r="B877" s="1" t="s">
        <v>381</v>
      </c>
      <c r="C877" s="1" t="s">
        <v>859</v>
      </c>
      <c r="D877" s="1" t="str">
        <f>IFERROR(__xludf.DUMMYFUNCTION("CONCATENATE(GOOGLETRANSLATE(C877, ""en"", ""zh-cn""))
"),"3 件装 16T GT2 铝制正时驱动滑轮适用于 DIY 3D 打印机")</f>
        <v>3 件装 16T GT2 铝制正时驱动滑轮适用于 DIY 3D 打印机</v>
      </c>
      <c r="E877" s="1" t="str">
        <f>IFERROR(__xludf.DUMMYFUNCTION("CONCATENATE(GOOGLETRANSLATE(C877, ""en"", ""ko""))
"),"DIY 3D 프린터용 3PCS 16T GT2 알루미늄 타이밍 드라이브 풀리")</f>
        <v>DIY 3D 프린터용 3PCS 16T GT2 알루미늄 타이밍 드라이브 풀리</v>
      </c>
      <c r="F877" s="1" t="str">
        <f>IFERROR(__xludf.DUMMYFUNCTION("CONCATENATE(GOOGLETRANSLATE(C877, ""en"", ""ja""))"),"DIY 3D プリンター用 3 個 16T GT2 アルミ タイミング ドライブ プーリー")</f>
        <v>DIY 3D プリンター用 3 個 16T GT2 アルミ タイミング ドライブ プーリー</v>
      </c>
    </row>
    <row r="878" ht="15.75" customHeight="1">
      <c r="A878" s="1">
        <v>2351.0</v>
      </c>
      <c r="B878" s="1" t="s">
        <v>381</v>
      </c>
      <c r="C878" s="1" t="s">
        <v>860</v>
      </c>
      <c r="D878" s="1" t="str">
        <f>IFERROR(__xludf.DUMMYFUNCTION("CONCATENATE(GOOGLETRANSLATE(C878, ""en"", ""zh-cn""))
"),"多功能家居装饰毛毡书桌文具收纳盒儿童玩具收纳袋办公室 ")</f>
        <v>多功能家居装饰毛毡书桌文具收纳盒儿童玩具收纳袋办公室 </v>
      </c>
      <c r="E878" s="1" t="str">
        <f>IFERROR(__xludf.DUMMYFUNCTION("CONCATENATE(GOOGLETRANSLATE(C878, ""en"", ""ko""))
"),"다기능 홈 장식 펠트 책상 편지지 보관 상자 어린이 장난감 보관 가방 사무실 ")</f>
        <v>다기능 홈 장식 펠트 책상 편지지 보관 상자 어린이 장난감 보관 가방 사무실 </v>
      </c>
      <c r="F878" s="1" t="str">
        <f>IFERROR(__xludf.DUMMYFUNCTION("CONCATENATE(GOOGLETRANSLATE(C878, ""en"", ""ja""))"),"多機能ホーム装飾フェルトデスク文具収納ボックス子供のおもちゃ収納袋オフィス ")</f>
        <v>多機能ホーム装飾フェルトデスク文具収納ボックス子供のおもちゃ収納袋オフィス </v>
      </c>
    </row>
    <row r="879" ht="15.75" customHeight="1">
      <c r="A879" s="1">
        <v>2352.0</v>
      </c>
      <c r="B879" s="1" t="s">
        <v>381</v>
      </c>
      <c r="C879" s="1" t="s">
        <v>861</v>
      </c>
      <c r="D879" s="1" t="str">
        <f>IFERROR(__xludf.DUMMYFUNCTION("CONCATENATE(GOOGLETRANSLATE(C879, ""en"", ""zh-cn""))
"),"USB 4 端口交流壁式充电站家用适配器支架适用于平板电脑手机")</f>
        <v>USB 4 端口交流壁式充电站家用适配器支架适用于平板电脑手机</v>
      </c>
      <c r="E879" s="1" t="str">
        <f>IFERROR(__xludf.DUMMYFUNCTION("CONCATENATE(GOOGLETRANSLATE(C879, ""en"", ""ko""))
"),"태블릿 휴대폰용 USB 4 포트 AC 벽 충전 스테이션 가정용 어댑터 스탠드")</f>
        <v>태블릿 휴대폰용 USB 4 포트 AC 벽 충전 스테이션 가정용 어댑터 스탠드</v>
      </c>
      <c r="F879" s="1" t="str">
        <f>IFERROR(__xludf.DUMMYFUNCTION("CONCATENATE(GOOGLETRANSLATE(C879, ""en"", ""ja""))"),"USB 4 ポート AC 壁充電ステーションホームアダプタスタンドタブレット携帯電話用")</f>
        <v>USB 4 ポート AC 壁充電ステーションホームアダプタスタンドタブレット携帯電話用</v>
      </c>
    </row>
    <row r="880" ht="15.75" customHeight="1">
      <c r="A880" s="1">
        <v>2353.0</v>
      </c>
      <c r="B880" s="1" t="s">
        <v>381</v>
      </c>
      <c r="C880" s="1" t="s">
        <v>862</v>
      </c>
      <c r="D880" s="1" t="str">
        <f>IFERROR(__xludf.DUMMYFUNCTION("CONCATENATE(GOOGLETRANSLATE(C880, ""en"", ""zh-cn""))
"),"2022年新款挂历黑暗森林农历桌面装饰办公室家居")</f>
        <v>2022年新款挂历黑暗森林农历桌面装饰办公室家居</v>
      </c>
      <c r="E880" s="1" t="str">
        <f>IFERROR(__xludf.DUMMYFUNCTION("CONCATENATE(GOOGLETRANSLATE(C880, ""en"", ""ko""))
"),"2022 새로운 벽 달력 어두운 숲 음력 달력 데스크탑 장식 사무실 홈")</f>
        <v>2022 새로운 벽 달력 어두운 숲 음력 달력 데스크탑 장식 사무실 홈</v>
      </c>
      <c r="F880" s="1" t="str">
        <f>IFERROR(__xludf.DUMMYFUNCTION("CONCATENATE(GOOGLETRANSLATE(C880, ""en"", ""ja""))"),"2022 新しい壁掛けカレンダーダークフォレスト月カレンダーデスクトップ装飾オフィスホーム")</f>
        <v>2022 新しい壁掛けカレンダーダークフォレスト月カレンダーデスクトップ装飾オフィスホーム</v>
      </c>
    </row>
    <row r="881" ht="15.75" customHeight="1">
      <c r="A881" s="1">
        <v>2354.0</v>
      </c>
      <c r="B881" s="1" t="s">
        <v>381</v>
      </c>
      <c r="C881" s="1" t="s">
        <v>863</v>
      </c>
      <c r="D881" s="1" t="str">
        <f>IFERROR(__xludf.DUMMYFUNCTION("CONCATENATE(GOOGLETRANSLATE(C881, ""en"", ""zh-cn""))
"),"对开 PU 皮革支架卡套保护套适用于 Microsoft Surface Pro3")</f>
        <v>对开 PU 皮革支架卡套保护套适用于 Microsoft Surface Pro3</v>
      </c>
      <c r="E881" s="1" t="str">
        <f>IFERROR(__xludf.DUMMYFUNCTION("CONCATENATE(GOOGLETRANSLATE(C881, ""en"", ""ko""))
"),"Microsoft Surface Pro3용 폴리오 PU 가죽 스탠드 카드 케이스 커버")</f>
        <v>Microsoft Surface Pro3용 폴리오 PU 가죽 스탠드 카드 케이스 커버</v>
      </c>
      <c r="F881" s="1" t="str">
        <f>IFERROR(__xludf.DUMMYFUNCTION("CONCATENATE(GOOGLETRANSLATE(C881, ""en"", ""ja""))"),"Microsoft Surface Pro3用フォリオPUレザースタンドカードケースカバー")</f>
        <v>Microsoft Surface Pro3用フォリオPUレザースタンドカードケースカバー</v>
      </c>
    </row>
    <row r="882" ht="15.75" customHeight="1">
      <c r="A882" s="1">
        <v>2355.0</v>
      </c>
      <c r="B882" s="1" t="s">
        <v>381</v>
      </c>
      <c r="C882" s="1" t="s">
        <v>864</v>
      </c>
      <c r="D882" s="1" t="str">
        <f>IFERROR(__xludf.DUMMYFUNCTION("CONCATENATE(GOOGLETRANSLATE(C882, ""en"", ""zh-cn""))
"),"对开 PU 皮套折叠支架保护套适用于昂达 V975W V989  ")</f>
        <v>对开 PU 皮套折叠支架保护套适用于昂达 V975W V989  </v>
      </c>
      <c r="E882" s="1" t="str">
        <f>IFERROR(__xludf.DUMMYFUNCTION("CONCATENATE(GOOGLETRANSLATE(C882, ""en"", ""ko""))
"),"Onda V975W V989용 폴리오 PU 가죽 케이스 접이식 스탠드 커버  ")</f>
        <v>Onda V975W V989용 폴리오 PU 가죽 케이스 접이식 스탠드 커버  </v>
      </c>
      <c r="F882" s="1" t="str">
        <f>IFERROR(__xludf.DUMMYFUNCTION("CONCATENATE(GOOGLETRANSLATE(C882, ""en"", ""ja""))"),"Onda V975W V989 用フォリオ PU レザーケース折りたたみスタンドカバー  ")</f>
        <v>Onda V975W V989 用フォリオ PU レザーケース折りたたみスタンドカバー  </v>
      </c>
    </row>
    <row r="883" ht="15.75" customHeight="1">
      <c r="A883" s="1">
        <v>2356.0</v>
      </c>
      <c r="B883" s="1" t="s">
        <v>381</v>
      </c>
      <c r="C883" s="1" t="s">
        <v>865</v>
      </c>
      <c r="D883" s="1" t="str">
        <f>IFERROR(__xludf.DUMMYFUNCTION("CONCATENATE(GOOGLETRANSLATE(C883, ""en"", ""zh-cn""))
"),"4 风扇可调节笔记本电脑散热垫冷却器便携式支架适用于 14-17 英寸笔记本电脑")</f>
        <v>4 风扇可调节笔记本电脑散热垫冷却器便携式支架适用于 14-17 英寸笔记本电脑</v>
      </c>
      <c r="E883" s="1" t="str">
        <f>IFERROR(__xludf.DUMMYFUNCTION("CONCATENATE(GOOGLETRANSLATE(C883, ""en"", ""ko""))
"),"14-17인치 노트북용 팬 4개 조정 가능한 노트북 냉각 패드 쿨러 휴대용 스탠드")</f>
        <v>14-17인치 노트북용 팬 4개 조정 가능한 노트북 냉각 패드 쿨러 휴대용 스탠드</v>
      </c>
      <c r="F883" s="1" t="str">
        <f>IFERROR(__xludf.DUMMYFUNCTION("CONCATENATE(GOOGLETRANSLATE(C883, ""en"", ""ja""))"),"4 ファン調整可能なラップトップ冷却パッドクーラーポータブルスタンド 14-17 インチのラップトップ用")</f>
        <v>4 ファン調整可能なラップトップ冷却パッドクーラーポータブルスタンド 14-17 インチのラップトップ用</v>
      </c>
    </row>
    <row r="884" ht="15.75" customHeight="1">
      <c r="A884" s="1">
        <v>2357.0</v>
      </c>
      <c r="B884" s="1" t="s">
        <v>381</v>
      </c>
      <c r="C884" s="1" t="s">
        <v>866</v>
      </c>
      <c r="D884" s="1" t="str">
        <f>IFERROR(__xludf.DUMMYFUNCTION("CONCATENATE(GOOGLETRANSLATE(C884, ""en"", ""zh-cn""))
"),"适用于 Sidewinder X2 和 GPro 3D 打印机自动热床水平仪备件的 Artillery® ABL 自动调平组件")</f>
        <v>适用于 Sidewinder X2 和 GPro 3D 打印机自动热床水平仪备件的 Artillery® ABL 自动调平组件</v>
      </c>
      <c r="E884" s="1" t="str">
        <f>IFERROR(__xludf.DUMMYFUNCTION("CONCATENATE(GOOGLETRANSLATE(C884, ""en"", ""ko""))
"),"Sidewinder X2 및 GPro 3D 프린터 자동 히트베드 레벨 예비 부품용 Artillery® ABL 자동 레벨링 어셈블리")</f>
        <v>Sidewinder X2 및 GPro 3D 프린터 자동 히트베드 레벨 예비 부품용 Artillery® ABL 자동 레벨링 어셈블리</v>
      </c>
      <c r="F884" s="1" t="str">
        <f>IFERROR(__xludf.DUMMYFUNCTION("CONCATENATE(GOOGLETRANSLATE(C884, ""en"", ""ja""))"),"Artillery® ABL 自動レベリング アセンブリ (Sidewinder X2 および GPro 3D プリンタ用) 自動ヒートベッド レベル スペアパーツ")</f>
        <v>Artillery® ABL 自動レベリング アセンブリ (Sidewinder X2 および GPro 3D プリンタ用) 自動ヒートベッド レベル スペアパーツ</v>
      </c>
    </row>
    <row r="885" ht="15.75" customHeight="1">
      <c r="A885" s="1">
        <v>2358.0</v>
      </c>
      <c r="B885" s="1" t="s">
        <v>381</v>
      </c>
      <c r="C885" s="1" t="s">
        <v>867</v>
      </c>
      <c r="D885" s="1" t="str">
        <f>IFERROR(__xludf.DUMMYFUNCTION("CONCATENATE(GOOGLETRANSLATE(C885, ""en"", ""zh-cn""))
"),"1 件 M6 螺纹铜喷嘴 0.3/0.4/0.5MM 适用于 1.75mm 耗材 3D 打印机")</f>
        <v>1 件 M6 螺纹铜喷嘴 0.3/0.4/0.5MM 适用于 1.75mm 耗材 3D 打印机</v>
      </c>
      <c r="E885" s="1" t="str">
        <f>IFERROR(__xludf.DUMMYFUNCTION("CONCATENATE(GOOGLETRANSLATE(C885, ""en"", ""ko""))
"),"1.75mm 소모품 3D 프린터용 M6 스레드 구리 노즐 0.3/0.4/0.5MM 1개")</f>
        <v>1.75mm 소모품 3D 프린터용 M6 스레드 구리 노즐 0.3/0.4/0.5MM 1개</v>
      </c>
      <c r="F885" s="1" t="str">
        <f>IFERROR(__xludf.DUMMYFUNCTION("CONCATENATE(GOOGLETRANSLATE(C885, ""en"", ""ja""))"),"1 個 M6 ネジ付き銅ノズル 0.3/0.4/0.5 ミリメートル 1.75 ミリメートル供給 3D プリンタ用")</f>
        <v>1 個 M6 ネジ付き銅ノズル 0.3/0.4/0.5 ミリメートル 1.75 ミリメートル供給 3D プリンタ用</v>
      </c>
    </row>
    <row r="886" ht="15.75" customHeight="1">
      <c r="A886" s="1">
        <v>2359.0</v>
      </c>
      <c r="B886" s="1" t="s">
        <v>381</v>
      </c>
      <c r="C886" s="1" t="s">
        <v>868</v>
      </c>
      <c r="D886" s="1" t="str">
        <f>IFERROR(__xludf.DUMMYFUNCTION("CONCATENATE(GOOGLETRANSLATE(C886, ""en"", ""zh-cn""))
"),"Onda V703I V701S 对开 PU 皮套折叠支架保护套")</f>
        <v>Onda V703I V701S 对开 PU 皮套折叠支架保护套</v>
      </c>
      <c r="E886" s="1" t="str">
        <f>IFERROR(__xludf.DUMMYFUNCTION("CONCATENATE(GOOGLETRANSLATE(C886, ""en"", ""ko""))
"),"Onda V703I V701S용 폴리오 PU 가죽 케이스 접이식 스탠드 커버")</f>
        <v>Onda V703I V701S용 폴리오 PU 가죽 케이스 접이식 스탠드 커버</v>
      </c>
      <c r="F886" s="1" t="str">
        <f>IFERROR(__xludf.DUMMYFUNCTION("CONCATENATE(GOOGLETRANSLATE(C886, ""en"", ""ja""))"),"Onda V703I V701S 用フォリオ PU レザーケース折りたたみスタンドカバー")</f>
        <v>Onda V703I V701S 用フォリオ PU レザーケース折りたたみスタンドカバー</v>
      </c>
    </row>
    <row r="887" ht="15.75" customHeight="1">
      <c r="A887" s="1">
        <v>2360.0</v>
      </c>
      <c r="B887" s="1" t="s">
        <v>381</v>
      </c>
      <c r="C887" s="1" t="s">
        <v>869</v>
      </c>
      <c r="D887" s="1" t="str">
        <f>IFERROR(__xludf.DUMMYFUNCTION("CONCATENATE(GOOGLETRANSLATE(C887, ""en"", ""zh-cn""))
"),"11 件/套现代壁挂相框套装艺术家居装饰家庭图片展示客厅走廊卧室墙壁装饰")</f>
        <v>11 件/套现代壁挂相框套装艺术家居装饰家庭图片展示客厅走廊卧室墙壁装饰</v>
      </c>
      <c r="E887" s="1" t="str">
        <f>IFERROR(__xludf.DUMMYFUNCTION("CONCATENATE(GOOGLETRANSLATE(C887, ""en"", ""ko""))
"),"11 개/대 현대 벽 교수형 사진 프레임 세트 아트 홈 장식 가족 그림 디스플레이 거실 복도 침실 벽 장식")</f>
        <v>11 개/대 현대 벽 교수형 사진 프레임 세트 아트 홈 장식 가족 그림 디스플레이 거실 복도 침실 벽 장식</v>
      </c>
      <c r="F887" s="1" t="str">
        <f>IFERROR(__xludf.DUMMYFUNCTION("CONCATENATE(GOOGLETRANSLATE(C887, ""en"", ""ja""))"),"11 ピース/セット現代壁掛けフォトフレームセットアート家の装飾家族写真ディスプレイリビングルーム廊下寝室の壁の装飾")</f>
        <v>11 ピース/セット現代壁掛けフォトフレームセットアート家の装飾家族写真ディスプレイリビングルーム廊下寝室の壁の装飾</v>
      </c>
    </row>
    <row r="888" ht="15.75" customHeight="1">
      <c r="A888" s="1">
        <v>2361.0</v>
      </c>
      <c r="B888" s="1" t="s">
        <v>381</v>
      </c>
      <c r="C888" s="1" t="s">
        <v>870</v>
      </c>
      <c r="D888" s="1" t="str">
        <f>IFERROR(__xludf.DUMMYFUNCTION("CONCATENATE(GOOGLETRANSLATE(C888, ""en"", ""zh-cn""))
"),"精美绘画工具笔座 49 孔架笔办公用品美术笔")</f>
        <v>精美绘画工具笔座 49 孔架笔办公用品美术笔</v>
      </c>
      <c r="E888" s="1" t="str">
        <f>IFERROR(__xludf.DUMMYFUNCTION("CONCATENATE(GOOGLETRANSLATE(C888, ""en"", ""ko""))
"),"섬세한 그림 도구 펜 홀더 49 홀 랙 펜 사무용품 아트 펜")</f>
        <v>섬세한 그림 도구 펜 홀더 49 홀 랙 펜 사무용품 아트 펜</v>
      </c>
      <c r="F888" s="1" t="str">
        <f>IFERROR(__xludf.DUMMYFUNCTION("CONCATENATE(GOOGLETRANSLATE(C888, ""en"", ""ja""))"),"繊細なペイントツールペンホルダー 49 穴ラックペン事務用品アートペン")</f>
        <v>繊細なペイントツールペンホルダー 49 穴ラックペン事務用品アートペン</v>
      </c>
    </row>
    <row r="889" ht="15.75" customHeight="1">
      <c r="A889" s="1">
        <v>2362.0</v>
      </c>
      <c r="B889" s="1" t="s">
        <v>381</v>
      </c>
      <c r="C889" s="1" t="s">
        <v>871</v>
      </c>
      <c r="D889" s="1" t="str">
        <f>IFERROR(__xludf.DUMMYFUNCTION("CONCATENATE(GOOGLETRANSLATE(C889, ""en"", ""zh-cn""))
"),"便携式迷你可爱 USB 可充电散热风扇静音手持 USB 风扇学校办公室散热用品")</f>
        <v>便携式迷你可爱 USB 可充电散热风扇静音手持 USB 风扇学校办公室散热用品</v>
      </c>
      <c r="E889" s="1" t="str">
        <f>IFERROR(__xludf.DUMMYFUNCTION("CONCATENATE(GOOGLETRANSLATE(C889, ""en"", ""ko""))
"),"휴대용 미니 귀여운 USB 충전식 냉각 팬 음소거 손잡이 USB 팬 학교 사무실 냉각 용품")</f>
        <v>휴대용 미니 귀여운 USB 충전식 냉각 팬 음소거 손잡이 USB 팬 학교 사무실 냉각 용품</v>
      </c>
      <c r="F889" s="1" t="str">
        <f>IFERROR(__xludf.DUMMYFUNCTION("CONCATENATE(GOOGLETRANSLATE(C889, ""en"", ""ja""))"),"ポータブルミニかわいいUSB充電式冷却ファンミュートハンドホールドUSBファン学校オフィス冷却用品")</f>
        <v>ポータブルミニかわいいUSB充電式冷却ファンミュートハンドホールドUSBファン学校オフィス冷却用品</v>
      </c>
    </row>
    <row r="890" ht="15.75" customHeight="1">
      <c r="A890" s="1">
        <v>2363.0</v>
      </c>
      <c r="B890" s="1" t="s">
        <v>381</v>
      </c>
      <c r="C890" s="1" t="s">
        <v>872</v>
      </c>
      <c r="D890" s="1" t="str">
        <f>IFERROR(__xludf.DUMMYFUNCTION("CONCATENATE(GOOGLETRANSLATE(C890, ""en"", ""zh-cn""))
"),"通用汽车桌面安装支架适用于平板电脑手机")</f>
        <v>通用汽车桌面安装支架适用于平板电脑手机</v>
      </c>
      <c r="E890" s="1" t="str">
        <f>IFERROR(__xludf.DUMMYFUNCTION("CONCATENATE(GOOGLETRANSLATE(C890, ""en"", ""ko""))
"),"태블릿 휴대폰용 범용 자동차 데스크 마운트 크래들 홀더 스탠드")</f>
        <v>태블릿 휴대폰용 범용 자동차 데스크 마운트 크래들 홀더 스탠드</v>
      </c>
      <c r="F890" s="1" t="str">
        <f>IFERROR(__xludf.DUMMYFUNCTION("CONCATENATE(GOOGLETRANSLATE(C890, ""en"", ""ja""))"),"タブレット携帯電話用ユニバーサルカーデスクマウントクレードルホルダースタンド")</f>
        <v>タブレット携帯電話用ユニバーサルカーデスクマウントクレードルホルダースタンド</v>
      </c>
    </row>
    <row r="891" ht="15.75" customHeight="1">
      <c r="A891" s="1">
        <v>2364.0</v>
      </c>
      <c r="B891" s="1" t="s">
        <v>381</v>
      </c>
      <c r="C891" s="1" t="s">
        <v>873</v>
      </c>
      <c r="D891" s="1" t="str">
        <f>IFERROR(__xludf.DUMMYFUNCTION("CONCATENATE(GOOGLETRANSLATE(C891, ""en"", ""zh-cn""))
"),"2MM 10 件/颜色闪光海绵纸泡沫纸幼儿园手工海绵纸艺术")</f>
        <v>2MM 10 件/颜色闪光海绵纸泡沫纸幼儿园手工海绵纸艺术</v>
      </c>
      <c r="E891" s="1" t="str">
        <f>IFERROR(__xludf.DUMMYFUNCTION("CONCATENATE(GOOGLETRANSLATE(C891, ""en"", ""ko""))
"),"2MM 10 Pcs/색상 플래시 라이트 스폰지 종이 거품 종이 유치원 수제 스폰지 종이 아트")</f>
        <v>2MM 10 Pcs/색상 플래시 라이트 스폰지 종이 거품 종이 유치원 수제 스폰지 종이 아트</v>
      </c>
      <c r="F891" s="1" t="str">
        <f>IFERROR(__xludf.DUMMYFUNCTION("CONCATENATE(GOOGLETRANSLATE(C891, ""en"", ""ja""))"),"2 ミリメートル 10 ピース/色フラッシュライトスポンジ紙発泡紙幼稚園手作りスポンジ紙アート")</f>
        <v>2 ミリメートル 10 ピース/色フラッシュライトスポンジ紙発泡紙幼稚園手作りスポンジ紙アート</v>
      </c>
    </row>
    <row r="892" ht="15.75" customHeight="1">
      <c r="A892" s="1">
        <v>2365.0</v>
      </c>
      <c r="B892" s="1" t="s">
        <v>381</v>
      </c>
      <c r="C892" s="1" t="s">
        <v>874</v>
      </c>
      <c r="D892" s="1" t="str">
        <f>IFERROR(__xludf.DUMMYFUNCTION("CONCATENATE(GOOGLETRANSLATE(C892, ""en"", ""zh-cn""))
"),"多彩DIY方形闪光纸折纸彩色手工纸幼儿园家用纸艺用品")</f>
        <v>多彩DIY方形闪光纸折纸彩色手工纸幼儿园家用纸艺用品</v>
      </c>
      <c r="E892" s="1" t="str">
        <f>IFERROR(__xludf.DUMMYFUNCTION("CONCATENATE(GOOGLETRANSLATE(C892, ""en"", ""ko""))
"),"다채로운 DIY 광장 반짝이 종이 종이 접기 색상 수제 종이 유치원 홈 종이 미술 용품")</f>
        <v>다채로운 DIY 광장 반짝이 종이 종이 접기 색상 수제 종이 유치원 홈 종이 미술 용품</v>
      </c>
      <c r="F892" s="1" t="str">
        <f>IFERROR(__xludf.DUMMYFUNCTION("CONCATENATE(GOOGLETRANSLATE(C892, ""en"", ""ja""))"),"カラフルな DIY 正方形グリッター紙折り紙カラー手作り紙幼稚園ホーム紙アート用品")</f>
        <v>カラフルな DIY 正方形グリッター紙折り紙カラー手作り紙幼稚園ホーム紙アート用品</v>
      </c>
    </row>
    <row r="893" ht="15.75" customHeight="1">
      <c r="A893" s="1">
        <v>2366.0</v>
      </c>
      <c r="B893" s="1" t="s">
        <v>381</v>
      </c>
      <c r="C893" s="1" t="s">
        <v>875</v>
      </c>
      <c r="D893" s="1" t="str">
        <f>IFERROR(__xludf.DUMMYFUNCTION("CONCATENATE(GOOGLETRANSLATE(C893, ""en"", ""zh-cn""))
"),"鳄鱼图案保护套适用于华为 Mediapad 10 FHD/10 Link 平板电脑")</f>
        <v>鳄鱼图案保护套适用于华为 Mediapad 10 FHD/10 Link 平板电脑</v>
      </c>
      <c r="E893" s="1" t="str">
        <f>IFERROR(__xludf.DUMMYFUNCTION("CONCATENATE(GOOGLETRANSLATE(C893, ""en"", ""ko""))
"),"화웨이 미디어패드 10 FHD/10 링크 태블릿용 악어 패턴 케이스 커버")</f>
        <v>화웨이 미디어패드 10 FHD/10 링크 태블릿용 악어 패턴 케이스 커버</v>
      </c>
      <c r="F893" s="1" t="str">
        <f>IFERROR(__xludf.DUMMYFUNCTION("CONCATENATE(GOOGLETRANSLATE(C893, ""en"", ""ja""))"),"Huawei Mediapad 10 FHD/10 Link タブレット用アリゲーターパターンケースカバー")</f>
        <v>Huawei Mediapad 10 FHD/10 Link タブレット用アリゲーターパターンケースカバー</v>
      </c>
    </row>
    <row r="894" ht="15.75" customHeight="1">
      <c r="A894" s="1">
        <v>2367.0</v>
      </c>
      <c r="B894" s="1" t="s">
        <v>381</v>
      </c>
      <c r="C894" s="1" t="s">
        <v>876</v>
      </c>
      <c r="D894" s="1" t="str">
        <f>IFERROR(__xludf.DUMMYFUNCTION("CONCATENATE(GOOGLETRANSLATE(C894, ""en"", ""zh-cn""))
"),"PIPO P1 对开 PU 皮套折叠支架套")</f>
        <v>PIPO P1 对开 PU 皮套折叠支架套</v>
      </c>
      <c r="E894" s="1" t="str">
        <f>IFERROR(__xludf.DUMMYFUNCTION("CONCATENATE(GOOGLETRANSLATE(C894, ""en"", ""ko""))
"),"PIPO P1용 폴리오 PU 가죽 케이스 접이식 스탠드 커버")</f>
        <v>PIPO P1용 폴리오 PU 가죽 케이스 접이식 스탠드 커버</v>
      </c>
      <c r="F894" s="1" t="str">
        <f>IFERROR(__xludf.DUMMYFUNCTION("CONCATENATE(GOOGLETRANSLATE(C894, ""en"", ""ja""))"),"PIPO P1用フォリオPUレザーケース折りたたみスタンドカバー")</f>
        <v>PIPO P1用フォリオPUレザーケース折りたたみスタンドカバー</v>
      </c>
    </row>
    <row r="895" ht="15.75" customHeight="1">
      <c r="A895" s="1">
        <v>2368.0</v>
      </c>
      <c r="B895" s="1" t="s">
        <v>381</v>
      </c>
      <c r="C895" s="1" t="s">
        <v>877</v>
      </c>
      <c r="D895" s="1" t="str">
        <f>IFERROR(__xludf.DUMMYFUNCTION("CONCATENATE(GOOGLETRANSLATE(C895, ""en"", ""zh-cn""))
"),"Artillery® 一体式单挤出机，带 ABL 套件替换挤出套件适合 Sidewinder X2&amp;G Pro 3D 打印机")</f>
        <v>Artillery® 一体式单挤出机，带 ABL 套件替换挤出套件适合 Sidewinder X2&amp;G Pro 3D 打印机</v>
      </c>
      <c r="E895" s="1" t="str">
        <f>IFERROR(__xludf.DUMMYFUNCTION("CONCATENATE(GOOGLETRANSLATE(C895, ""en"", ""ko""))
"),"ABL 키트 교체 압출 키트가 포함된 Artillery® 올인원 단일 압출기 Sidewinder X2&amp;G Pro 3D 프린터에 적합")</f>
        <v>ABL 키트 교체 압출 키트가 포함된 Artillery® 올인원 단일 압출기 Sidewinder X2&amp;G Pro 3D 프린터에 적합</v>
      </c>
      <c r="F895" s="1" t="str">
        <f>IFERROR(__xludf.DUMMYFUNCTION("CONCATENATE(GOOGLETRANSLATE(C895, ""en"", ""ja""))"),"Artillery® オールインワン シングル押出機 ABL キット付き 交換用押出キットは Sidewinder X2&amp;G Pro 3D プリンタに適合")</f>
        <v>Artillery® オールインワン シングル押出機 ABL キット付き 交換用押出キットは Sidewinder X2&amp;G Pro 3D プリンタに適合</v>
      </c>
    </row>
    <row r="896" ht="15.75" customHeight="1">
      <c r="A896" s="1">
        <v>2369.0</v>
      </c>
      <c r="B896" s="1" t="s">
        <v>381</v>
      </c>
      <c r="C896" s="1" t="s">
        <v>878</v>
      </c>
      <c r="D896" s="1" t="str">
        <f>IFERROR(__xludf.DUMMYFUNCTION("CONCATENATE(GOOGLETRANSLATE(C896, ""en"", ""zh-cn""))
"),"15 色 DIY 手工纸制作材料彩色皱纸玫瑰花手工纸")</f>
        <v>15 色 DIY 手工纸制作材料彩色皱纸玫瑰花手工纸</v>
      </c>
      <c r="E896" s="1" t="str">
        <f>IFERROR(__xludf.DUMMYFUNCTION("CONCATENATE(GOOGLETRANSLATE(C896, ""en"", ""ko""))
"),"15 가지 색상 DIY 수제 종이 만들기 재료 색상 구겨진 종이 장미 꽃 수제 종이")</f>
        <v>15 가지 색상 DIY 수제 종이 만들기 재료 색상 구겨진 종이 장미 꽃 수제 종이</v>
      </c>
      <c r="F896" s="1" t="str">
        <f>IFERROR(__xludf.DUMMYFUNCTION("CONCATENATE(GOOGLETRANSLATE(C896, ""en"", ""ja""))"),"15 色 DIY 手作り紙作り材料カラーしわくちゃ紙ローズフラワー手作り紙")</f>
        <v>15 色 DIY 手作り紙作り材料カラーしわくちゃ紙ローズフラワー手作り紙</v>
      </c>
    </row>
    <row r="897" ht="15.75" customHeight="1">
      <c r="A897" s="1">
        <v>2370.0</v>
      </c>
      <c r="B897" s="1" t="s">
        <v>381</v>
      </c>
      <c r="C897" s="1" t="s">
        <v>879</v>
      </c>
      <c r="D897" s="1" t="str">
        <f>IFERROR(__xludf.DUMMYFUNCTION("CONCATENATE(GOOGLETRANSLATE(C897, ""en"", ""zh-cn""))
"),"6色25M气球纸卷打褶纸卷彩纸皱纹丝带气球飘带彩纸艺术装饰手工")</f>
        <v>6色25M气球纸卷打褶纸卷彩纸皱纹丝带气球飘带彩纸艺术装饰手工</v>
      </c>
      <c r="E897" s="1" t="str">
        <f>IFERROR(__xludf.DUMMYFUNCTION("CONCATENATE(GOOGLETRANSLATE(C897, ""en"", ""ko""))
"),"6 색 25M 풍선 종이 롤 Pleated 종이 롤 색종이 주름진 리본 풍선 스 트리머 색종이 예술 장식 수제")</f>
        <v>6 색 25M 풍선 종이 롤 Pleated 종이 롤 색종이 주름진 리본 풍선 스 트리머 색종이 예술 장식 수제</v>
      </c>
      <c r="F897" s="1" t="str">
        <f>IFERROR(__xludf.DUMMYFUNCTION("CONCATENATE(GOOGLETRANSLATE(C897, ""en"", ""ja""))"),"6 色 25 メートルバルーン紙ロールプリーツ紙ロール色紙しわリボンバルーンストリーマー色紙アート装飾手作り")</f>
        <v>6 色 25 メートルバルーン紙ロールプリーツ紙ロール色紙しわリボンバルーンストリーマー色紙アート装飾手作り</v>
      </c>
    </row>
    <row r="898" ht="15.75" customHeight="1">
      <c r="A898" s="1">
        <v>2371.0</v>
      </c>
      <c r="B898" s="1" t="s">
        <v>381</v>
      </c>
      <c r="C898" s="1" t="s">
        <v>880</v>
      </c>
      <c r="D898" s="1" t="str">
        <f>IFERROR(__xludf.DUMMYFUNCTION("CONCATENATE(GOOGLETRANSLATE(C898, ""en"", ""zh-cn""))
"),"优雅有线显示适配器 1080P 高清适配器 Miracast AirPlay 镜像电缆 适用于 iPhone")</f>
        <v>优雅有线显示适配器 1080P 高清适配器 Miracast AirPlay 镜像电缆 适用于 iPhone</v>
      </c>
      <c r="E898" s="1" t="str">
        <f>IFERROR(__xludf.DUMMYFUNCTION("CONCATENATE(GOOGLETRANSLATE(C898, ""en"", ""ko""))
"),"iPhone용 우아한 유선 디스플레이 동글 1080P HD 어댑터 Miracast AirPlay 미러링 케이블")</f>
        <v>iPhone용 우아한 유선 디스플레이 동글 1080P HD 어댑터 Miracast AirPlay 미러링 케이블</v>
      </c>
      <c r="F898" s="1" t="str">
        <f>IFERROR(__xludf.DUMMYFUNCTION("CONCATENATE(GOOGLETRANSLATE(C898, ""en"", ""ja""))"),"ELEGIANT 有線ディスプレイドングル 1080P HD アダプター Miracast AirPlay ミラーリングケーブル iPhone 用")</f>
        <v>ELEGIANT 有線ディスプレイドングル 1080P HD アダプター Miracast AirPlay ミラーリングケーブル iPhone 用</v>
      </c>
    </row>
    <row r="899" ht="15.75" customHeight="1">
      <c r="A899" s="1">
        <v>2372.0</v>
      </c>
      <c r="B899" s="1" t="s">
        <v>381</v>
      </c>
      <c r="C899" s="1" t="s">
        <v>881</v>
      </c>
      <c r="D899" s="1" t="str">
        <f>IFERROR(__xludf.DUMMYFUNCTION("CONCATENATE(GOOGLETRANSLATE(C899, ""en"", ""zh-cn""))
"),"猫头鹰图案对开 PU 皮套折叠支架保护套适用于三星 T800")</f>
        <v>猫头鹰图案对开 PU 皮套折叠支架保护套适用于三星 T800</v>
      </c>
      <c r="E899" s="1" t="str">
        <f>IFERROR(__xludf.DUMMYFUNCTION("CONCATENATE(GOOGLETRANSLATE(C899, ""en"", ""ko""))
"),"삼성 T800용 올빼미 패턴 폴리오 PU 가죽 케이스 접이식 스탠드 커버")</f>
        <v>삼성 T800용 올빼미 패턴 폴리오 PU 가죽 케이스 접이식 스탠드 커버</v>
      </c>
      <c r="F899" s="1" t="str">
        <f>IFERROR(__xludf.DUMMYFUNCTION("CONCATENATE(GOOGLETRANSLATE(C899, ""en"", ""ja""))"),"フクロウ柄フォリオPUレザーケース折りたたみスタンドカバーSamsung T800用")</f>
        <v>フクロウ柄フォリオPUレザーケース折りたたみスタンドカバーSamsung T800用</v>
      </c>
    </row>
    <row r="900" ht="15.75" customHeight="1">
      <c r="A900" s="1">
        <v>2373.0</v>
      </c>
      <c r="B900" s="1" t="s">
        <v>381</v>
      </c>
      <c r="C900" s="1" t="s">
        <v>882</v>
      </c>
      <c r="D900" s="1" t="str">
        <f>IFERROR(__xludf.DUMMYFUNCTION("CONCATENATE(GOOGLETRANSLATE(C900, ""en"", ""zh-cn""))
"),"猫头鹰图案对开 PU 皮套折叠支架保护套适用于三星 T530")</f>
        <v>猫头鹰图案对开 PU 皮套折叠支架保护套适用于三星 T530</v>
      </c>
      <c r="E900" s="1" t="str">
        <f>IFERROR(__xludf.DUMMYFUNCTION("CONCATENATE(GOOGLETRANSLATE(C900, ""en"", ""ko""))
"),"삼성 T530용 올빼미 패턴 폴리오 PU 가죽 케이스 접이식 스탠드 커버")</f>
        <v>삼성 T530용 올빼미 패턴 폴리오 PU 가죽 케이스 접이식 스탠드 커버</v>
      </c>
      <c r="F900" s="1" t="str">
        <f>IFERROR(__xludf.DUMMYFUNCTION("CONCATENATE(GOOGLETRANSLATE(C900, ""en"", ""ja""))"),"フクロウ柄フォリオPUレザーケース折りたたみスタンドカバーSamsung T530用")</f>
        <v>フクロウ柄フォリオPUレザーケース折りたたみスタンドカバーSamsung T530用</v>
      </c>
    </row>
    <row r="901" ht="15.75" customHeight="1">
      <c r="A901" s="1">
        <v>2374.0</v>
      </c>
      <c r="B901" s="1" t="s">
        <v>381</v>
      </c>
      <c r="C901" s="1" t="s">
        <v>883</v>
      </c>
      <c r="D901" s="1" t="str">
        <f>IFERROR(__xludf.DUMMYFUNCTION("CONCATENATE(GOOGLETRANSLATE(C901, ""en"", ""zh-cn""))
"),"荔枝图案折叠支架 PU 皮套 适合三星 Tab 8.4 T700")</f>
        <v>荔枝图案折叠支架 PU 皮套 适合三星 Tab 8.4 T700</v>
      </c>
      <c r="E901" s="1" t="str">
        <f>IFERROR(__xludf.DUMMYFUNCTION("CONCATENATE(GOOGLETRANSLATE(C901, ""en"", ""ko""))
"),"삼성 탭 8.4 T700용 Lichee 패턴 접이식 스탠드 PU 가죽 케이스")</f>
        <v>삼성 탭 8.4 T700용 Lichee 패턴 접이식 스탠드 PU 가죽 케이스</v>
      </c>
      <c r="F901" s="1" t="str">
        <f>IFERROR(__xludf.DUMMYFUNCTION("CONCATENATE(GOOGLETRANSLATE(C901, ""en"", ""ja""))"),"ライチ柄折りたたみスタンド PU レザーケース Samsung Tab 8.4 T700 用")</f>
        <v>ライチ柄折りたたみスタンド PU レザーケース Samsung Tab 8.4 T700 用</v>
      </c>
    </row>
    <row r="902" ht="15.75" customHeight="1">
      <c r="A902" s="1">
        <v>2375.0</v>
      </c>
      <c r="B902" s="1" t="s">
        <v>381</v>
      </c>
      <c r="C902" s="1" t="s">
        <v>884</v>
      </c>
      <c r="D902" s="1" t="str">
        <f>IFERROR(__xludf.DUMMYFUNCTION("CONCATENATE(GOOGLETRANSLATE(C902, ""en"", ""zh-cn""))
"),"旋转支架 PU 皮革保护套 适合三星 Tab 8.4 T700")</f>
        <v>旋转支架 PU 皮革保护套 适合三星 Tab 8.4 T700</v>
      </c>
      <c r="E902" s="1" t="str">
        <f>IFERROR(__xludf.DUMMYFUNCTION("CONCATENATE(GOOGLETRANSLATE(C902, ""en"", ""ko""))
"),"삼성 탭 8.4 T700용 회전 스탠드 PU 가죽 케이스 커버")</f>
        <v>삼성 탭 8.4 T700용 회전 스탠드 PU 가죽 케이스 커버</v>
      </c>
      <c r="F902" s="1" t="str">
        <f>IFERROR(__xludf.DUMMYFUNCTION("CONCATENATE(GOOGLETRANSLATE(C902, ""en"", ""ja""))"),"Samsung Tab 8.4 T700用回転スタンドPUレザーケースカバー")</f>
        <v>Samsung Tab 8.4 T700用回転スタンドPUレザーケースカバー</v>
      </c>
    </row>
    <row r="903" ht="15.75" customHeight="1">
      <c r="A903" s="1">
        <v>2376.0</v>
      </c>
      <c r="B903" s="1" t="s">
        <v>381</v>
      </c>
      <c r="C903" s="1" t="s">
        <v>885</v>
      </c>
      <c r="D903" s="1" t="str">
        <f>IFERROR(__xludf.DUMMYFUNCTION("CONCATENATE(GOOGLETRANSLATE(C903, ""en"", ""zh-cn""))
"),"折叠支架 PU 皮革保护套 适合三星 Tab 10.5 T800 ")</f>
        <v>折叠支架 PU 皮革保护套 适合三星 Tab 10.5 T800 </v>
      </c>
      <c r="E903" s="1" t="str">
        <f>IFERROR(__xludf.DUMMYFUNCTION("CONCATENATE(GOOGLETRANSLATE(C903, ""en"", ""ko""))
"),"삼성 탭 10.5 T800용 접이식 스탠드 PU 가죽 케이스 커버 ")</f>
        <v>삼성 탭 10.5 T800용 접이식 스탠드 PU 가죽 케이스 커버 </v>
      </c>
      <c r="F903" s="1" t="str">
        <f>IFERROR(__xludf.DUMMYFUNCTION("CONCATENATE(GOOGLETRANSLATE(C903, ""en"", ""ja""))"),"Samsung Tab 10.5 T800用折りたたみスタンドPUレザーケースカバー ")</f>
        <v>Samsung Tab 10.5 T800用折りたたみスタンドPUレザーケースカバー </v>
      </c>
    </row>
    <row r="904" ht="15.75" customHeight="1">
      <c r="A904" s="1">
        <v>2377.0</v>
      </c>
      <c r="B904" s="1" t="s">
        <v>381</v>
      </c>
      <c r="C904" s="1" t="s">
        <v>886</v>
      </c>
      <c r="D904" s="1" t="str">
        <f>IFERROR(__xludf.DUMMYFUNCTION("CONCATENATE(GOOGLETRANSLATE(C904, ""en"", ""zh-cn""))
"),"荔枝纹 PU 皮套 折叠支架保护套 适合华硕 ME176")</f>
        <v>荔枝纹 PU 皮套 折叠支架保护套 适合华硕 ME176</v>
      </c>
      <c r="E904" s="1" t="str">
        <f>IFERROR(__xludf.DUMMYFUNCTION("CONCATENATE(GOOGLETRANSLATE(C904, ""en"", ""ko""))
"),"Asus ME176용 Lichee 패턴 PU 가죽 케이스 접이식 스탠드 커버")</f>
        <v>Asus ME176용 Lichee 패턴 PU 가죽 케이스 접이식 스탠드 커버</v>
      </c>
      <c r="F904" s="1" t="str">
        <f>IFERROR(__xludf.DUMMYFUNCTION("CONCATENATE(GOOGLETRANSLATE(C904, ""en"", ""ja""))"),"Asus ME176用ライチパターンPUレザーケース折りたたみスタンドカバー")</f>
        <v>Asus ME176用ライチパターンPUレザーケース折りたたみスタンドカバー</v>
      </c>
    </row>
    <row r="905" ht="15.75" customHeight="1">
      <c r="A905" s="1">
        <v>2378.0</v>
      </c>
      <c r="B905" s="1" t="s">
        <v>381</v>
      </c>
      <c r="C905" s="1" t="s">
        <v>887</v>
      </c>
      <c r="D905" s="1" t="str">
        <f>IFERROR(__xludf.DUMMYFUNCTION("CONCATENATE(GOOGLETRANSLATE(C905, ""en"", ""zh-cn""))
"),"超薄三折 PU 皮革保护套，适用于华硕 ME181c 平板电脑")</f>
        <v>超薄三折 PU 皮革保护套，适用于华硕 ME181c 平板电脑</v>
      </c>
      <c r="E905" s="1" t="str">
        <f>IFERROR(__xludf.DUMMYFUNCTION("CONCATENATE(GOOGLETRANSLATE(C905, ""en"", ""ko""))
"),"Asus ME181c 태블릿용 초박형 3단 PU 가죽 케이스 커버")</f>
        <v>Asus ME181c 태블릿용 초박형 3단 PU 가죽 케이스 커버</v>
      </c>
      <c r="F905" s="1" t="str">
        <f>IFERROR(__xludf.DUMMYFUNCTION("CONCATENATE(GOOGLETRANSLATE(C905, ""en"", ""ja""))"),"Asus ME181c タブレット用超薄型三つ折り PU レザーケースカバー")</f>
        <v>Asus ME181c タブレット用超薄型三つ折り PU レザーケースカバー</v>
      </c>
    </row>
    <row r="906" ht="15.75" customHeight="1">
      <c r="A906" s="1">
        <v>2379.0</v>
      </c>
      <c r="B906" s="1" t="s">
        <v>381</v>
      </c>
      <c r="C906" s="1" t="s">
        <v>888</v>
      </c>
      <c r="D906" s="1" t="str">
        <f>IFERROR(__xludf.DUMMYFUNCTION("CONCATENATE(GOOGLETRANSLATE(C906, ""en"", ""zh-cn""))
"),"Folio PU 皮革折叠支架卡套保护套适用于华硕 ME181c 平板电脑")</f>
        <v>Folio PU 皮革折叠支架卡套保护套适用于华硕 ME181c 平板电脑</v>
      </c>
      <c r="E906" s="1" t="str">
        <f>IFERROR(__xludf.DUMMYFUNCTION("CONCATENATE(GOOGLETRANSLATE(C906, ""en"", ""ko""))
"),"Asus ME181c 태블릿용 폴리오 PU 가죽 접이식 스탠드 카드 케이스 커버")</f>
        <v>Asus ME181c 태블릿용 폴리오 PU 가죽 접이식 스탠드 카드 케이스 커버</v>
      </c>
      <c r="F906" s="1" t="str">
        <f>IFERROR(__xludf.DUMMYFUNCTION("CONCATENATE(GOOGLETRANSLATE(C906, ""en"", ""ja""))"),"Asus ME181c タブレット用フォリオ PU レザー折りたたみスタンド カード ケース カバー")</f>
        <v>Asus ME181c タブレット用フォリオ PU レザー折りたたみスタンド カード ケース カバー</v>
      </c>
    </row>
    <row r="907" ht="15.75" customHeight="1">
      <c r="A907" s="1">
        <v>2380.0</v>
      </c>
      <c r="B907" s="1" t="s">
        <v>381</v>
      </c>
      <c r="C907" s="1" t="s">
        <v>889</v>
      </c>
      <c r="D907" s="1" t="str">
        <f>IFERROR(__xludf.DUMMYFUNCTION("CONCATENATE(GOOGLETRANSLATE(C907, ""en"", ""zh-cn""))
"),"三角形蓝牙防丢失设备钥匙儿童追踪器查找器适用于平板电脑手机")</f>
        <v>三角形蓝牙防丢失设备钥匙儿童追踪器查找器适用于平板电脑手机</v>
      </c>
      <c r="E907" s="1" t="str">
        <f>IFERROR(__xludf.DUMMYFUNCTION("CONCATENATE(GOOGLETRANSLATE(C907, ""en"", ""ko""))
"),"삼각형 블루투스 태블릿 휴대폰용 장치 키 분실 방지 어린이 추적기 찾기")</f>
        <v>삼각형 블루투스 태블릿 휴대폰용 장치 키 분실 방지 어린이 추적기 찾기</v>
      </c>
      <c r="F907" s="1" t="str">
        <f>IFERROR(__xludf.DUMMYFUNCTION("CONCATENATE(GOOGLETRANSLATE(C907, ""en"", ""ja""))"),"タブレット携帯電話用三角形 Bluetooth アンチロストデバイスキーキッズトレーサーファインダー")</f>
        <v>タブレット携帯電話用三角形 Bluetooth アンチロストデバイスキーキッズトレーサーファインダー</v>
      </c>
    </row>
    <row r="908" ht="15.75" customHeight="1">
      <c r="A908" s="1">
        <v>2381.0</v>
      </c>
      <c r="B908" s="1" t="s">
        <v>381</v>
      </c>
      <c r="C908" s="1" t="s">
        <v>890</v>
      </c>
      <c r="D908" s="1" t="str">
        <f>IFERROR(__xludf.DUMMYFUNCTION("CONCATENATE(GOOGLETRANSLATE(C908, ""en"", ""zh-cn""))
"),"MK7/MK8 20*20*10mm 3D打印机铝制加热块")</f>
        <v>MK7/MK8 20*20*10mm 3D打印机铝制加热块</v>
      </c>
      <c r="E908" s="1" t="str">
        <f>IFERROR(__xludf.DUMMYFUNCTION("CONCATENATE(GOOGLETRANSLATE(C908, ""en"", ""ko""))
"),"3D 프린터용 MK7/MK8 20*20*10mm 알루미늄 가열 블록")</f>
        <v>3D 프린터용 MK7/MK8 20*20*10mm 알루미늄 가열 블록</v>
      </c>
      <c r="F908" s="1" t="str">
        <f>IFERROR(__xludf.DUMMYFUNCTION("CONCATENATE(GOOGLETRANSLATE(C908, ""en"", ""ja""))"),"MK7/MK8 20*20*10 ミリメートル 3D プリンタ用アルミ加熱ブロック")</f>
        <v>MK7/MK8 20*20*10 ミリメートル 3D プリンタ用アルミ加熱ブロック</v>
      </c>
    </row>
    <row r="909" ht="15.75" customHeight="1">
      <c r="A909" s="1">
        <v>2382.0</v>
      </c>
      <c r="B909" s="1" t="s">
        <v>381</v>
      </c>
      <c r="C909" s="1" t="s">
        <v>891</v>
      </c>
      <c r="D909" s="1" t="str">
        <f>IFERROR(__xludf.DUMMYFUNCTION("CONCATENATE(GOOGLETRANSLATE(C909, ""en"", ""zh-cn""))
"),"家用通用存储平板手机车载支架")</f>
        <v>家用通用存储平板手机车载支架</v>
      </c>
      <c r="E909" s="1" t="str">
        <f>IFERROR(__xludf.DUMMYFUNCTION("CONCATENATE(GOOGLETRANSLATE(C909, ""en"", ""ko""))
"),"태블릿 휴대폰용 가정용 범용 스토리지 자동차 홀더")</f>
        <v>태블릿 휴대폰용 가정용 범용 스토리지 자동차 홀더</v>
      </c>
      <c r="F909" s="1" t="str">
        <f>IFERROR(__xludf.DUMMYFUNCTION("CONCATENATE(GOOGLETRANSLATE(C909, ""en"", ""ja""))"),"タブレット携帯電話用家庭用ユニバーサルストレージカーホルダー")</f>
        <v>タブレット携帯電話用家庭用ユニバーサルストレージカーホルダー</v>
      </c>
    </row>
    <row r="910" ht="15.75" customHeight="1">
      <c r="A910" s="1">
        <v>2383.0</v>
      </c>
      <c r="B910" s="1" t="s">
        <v>381</v>
      </c>
      <c r="C910" s="1" t="s">
        <v>892</v>
      </c>
      <c r="D910" s="1" t="str">
        <f>IFERROR(__xludf.DUMMYFUNCTION("CONCATENATE(GOOGLETRANSLATE(C910, ""en"", ""zh-cn""))
"),"三折对开 PU 皮革保护套 支架保护套 适用于 Onda v820w    ")</f>
        <v>三折对开 PU 皮革保护套 支架保护套 适用于 Onda v820w    </v>
      </c>
      <c r="E910" s="1" t="str">
        <f>IFERROR(__xludf.DUMMYFUNCTION("CONCATENATE(GOOGLETRANSLATE(C910, ""en"", ""ko""))
"),"Onda v820w용 3단 폴리오 PU 가죽 케이스 스탠드 커버    ")</f>
        <v>Onda v820w용 3단 폴리오 PU 가죽 케이스 스탠드 커버    </v>
      </c>
      <c r="F910" s="1" t="str">
        <f>IFERROR(__xludf.DUMMYFUNCTION("CONCATENATE(GOOGLETRANSLATE(C910, ""en"", ""ja""))"),"Onda v820w用三つ折りフォリオPUレザーケーススタンドカバー    ")</f>
        <v>Onda v820w用三つ折りフォリオPUレザーケーススタンドカバー    </v>
      </c>
    </row>
    <row r="911" ht="15.75" customHeight="1">
      <c r="A911" s="1">
        <v>2384.0</v>
      </c>
      <c r="B911" s="1" t="s">
        <v>381</v>
      </c>
      <c r="C911" s="1" t="s">
        <v>893</v>
      </c>
      <c r="D911" s="1" t="str">
        <f>IFERROR(__xludf.DUMMYFUNCTION("CONCATENATE(GOOGLETRANSLATE(C911, ""en"", ""zh-cn""))
"),"世界地图 PU 皮革钱包式保护套 适合 Google Nexus 7 第二代")</f>
        <v>世界地图 PU 皮革钱包式保护套 适合 Google Nexus 7 第二代</v>
      </c>
      <c r="E911" s="1" t="str">
        <f>IFERROR(__xludf.DUMMYFUNCTION("CONCATENATE(GOOGLETRANSLATE(C911, ""en"", ""ko""))
"),"Google Nexus 7 2세대용 세계 지도 PU 가죽 지갑 케이스")</f>
        <v>Google Nexus 7 2세대용 세계 지도 PU 가죽 지갑 케이스</v>
      </c>
      <c r="F911" s="1" t="str">
        <f>IFERROR(__xludf.DUMMYFUNCTION("CONCATENATE(GOOGLETRANSLATE(C911, ""en"", ""ja""))"),"Google Nexus 7 第 2 世代用世界地図 PU レザー ウォレット ケース")</f>
        <v>Google Nexus 7 第 2 世代用世界地図 PU レザー ウォレット ケース</v>
      </c>
    </row>
    <row r="912" ht="15.75" customHeight="1">
      <c r="A912" s="1">
        <v>2385.0</v>
      </c>
      <c r="B912" s="1" t="s">
        <v>381</v>
      </c>
      <c r="C912" s="1" t="s">
        <v>894</v>
      </c>
      <c r="D912" s="1" t="str">
        <f>IFERROR(__xludf.DUMMYFUNCTION("CONCATENATE(GOOGLETRANSLATE(C912, ""en"", ""zh-cn""))
"),"32 英寸球衣展示柜暗盒框架运动足球棒球")</f>
        <v>32 英寸球衣展示柜暗盒框架运动足球棒球</v>
      </c>
      <c r="E912" s="1" t="str">
        <f>IFERROR(__xludf.DUMMYFUNCTION("CONCATENATE(GOOGLETRANSLATE(C912, ""en"", ""ko""))
"),"32'' 저지 디스플레이 케이스 섀도우 박스 프레임 스포츠 축구 야구")</f>
        <v>32'' 저지 디스플레이 케이스 섀도우 박스 프레임 스포츠 축구 야구</v>
      </c>
      <c r="F912" s="1" t="str">
        <f>IFERROR(__xludf.DUMMYFUNCTION("CONCATENATE(GOOGLETRANSLATE(C912, ""en"", ""ja""))"),"32 インチ ジャージ ディスプレイ ケース シャドー ボックス フレーム スポーツ サッカー 野球")</f>
        <v>32 インチ ジャージ ディスプレイ ケース シャドー ボックス フレーム スポーツ サッカー 野球</v>
      </c>
    </row>
    <row r="913" ht="15.75" customHeight="1">
      <c r="A913" s="1">
        <v>2386.0</v>
      </c>
      <c r="B913" s="1" t="s">
        <v>381</v>
      </c>
      <c r="C913" s="1" t="s">
        <v>895</v>
      </c>
      <c r="D913" s="1" t="str">
        <f>IFERROR(__xludf.DUMMYFUNCTION("CONCATENATE(GOOGLETRANSLATE(C913, ""en"", ""zh-cn""))
"),"PIPO P1专用Folio PU皮套折叠支架")</f>
        <v>PIPO P1专用Folio PU皮套折叠支架</v>
      </c>
      <c r="E913" s="1" t="str">
        <f>IFERROR(__xludf.DUMMYFUNCTION("CONCATENATE(GOOGLETRANSLATE(C913, ""en"", ""ko""))
"),"PIPO P1용 전문 폴리오 PU 가죽 케이스 접이식 스탠드")</f>
        <v>PIPO P1용 전문 폴리오 PU 가죽 케이스 접이식 스탠드</v>
      </c>
      <c r="F913" s="1" t="str">
        <f>IFERROR(__xludf.DUMMYFUNCTION("CONCATENATE(GOOGLETRANSLATE(C913, ""en"", ""ja""))"),"PIPO P1 専用フォリオ PU レザーケース折りたたみスタンド")</f>
        <v>PIPO P1 専用フォリオ PU レザーケース折りたたみスタンド</v>
      </c>
    </row>
    <row r="914" ht="15.75" customHeight="1">
      <c r="A914" s="1">
        <v>2387.0</v>
      </c>
      <c r="B914" s="1" t="s">
        <v>381</v>
      </c>
      <c r="C914" s="1" t="s">
        <v>896</v>
      </c>
      <c r="D914" s="1" t="str">
        <f>IFERROR(__xludf.DUMMYFUNCTION("CONCATENATE(GOOGLETRANSLATE(C914, ""en"", ""zh-cn""))
"),"7.9 英寸热定型保护套适用于 Acer A1-830 平板电脑")</f>
        <v>7.9 英寸热定型保护套适用于 Acer A1-830 平板电脑</v>
      </c>
      <c r="E914" s="1" t="str">
        <f>IFERROR(__xludf.DUMMYFUNCTION("CONCATENATE(GOOGLETRANSLATE(C914, ""en"", ""ko""))
"),"Acer A1-830 태블릿용 7.9인치 열 스타일링 케이스 커버")</f>
        <v>Acer A1-830 태블릿용 7.9인치 열 스타일링 케이스 커버</v>
      </c>
      <c r="F914" s="1" t="str">
        <f>IFERROR(__xludf.DUMMYFUNCTION("CONCATENATE(GOOGLETRANSLATE(C914, ""en"", ""ja""))"),"Acer A1-830 タブレット用 7.9 インチ ヒート スタイリング ケース カバー")</f>
        <v>Acer A1-830 タブレット用 7.9 インチ ヒート スタイリング ケース カバー</v>
      </c>
    </row>
    <row r="915" ht="15.75" customHeight="1">
      <c r="A915" s="1">
        <v>2388.0</v>
      </c>
      <c r="B915" s="1" t="s">
        <v>381</v>
      </c>
      <c r="C915" s="1" t="s">
        <v>897</v>
      </c>
      <c r="D915" s="1" t="str">
        <f>IFERROR(__xludf.DUMMYFUNCTION("CONCATENATE(GOOGLETRANSLATE(C915, ""en"", ""zh-cn""))
"),"100 件装木质磁性拼图人物动物车辆马戏团画板 5 种款式盒装拼图玩具礼品")</f>
        <v>100 件装木质磁性拼图人物动物车辆马戏团画板 5 种款式盒装拼图玩具礼品</v>
      </c>
      <c r="E915" s="1" t="str">
        <f>IFERROR(__xludf.DUMMYFUNCTION("CONCATENATE(GOOGLETRANSLATE(C915, ""en"", ""ko""))
"),"100 PCS 나무 자기 퍼즐 그림 동물 차량 서커스 드로잉 보드 5 스타일 상자 퍼즐 장난감 선물")</f>
        <v>100 PCS 나무 자기 퍼즐 그림 동물 차량 서커스 드로잉 보드 5 스타일 상자 퍼즐 장난감 선물</v>
      </c>
      <c r="F915" s="1" t="str">
        <f>IFERROR(__xludf.DUMMYFUNCTION("CONCATENATE(GOOGLETRANSLATE(C915, ""en"", ""ja""))"),"100 個木製磁気パズルフィギュア動物車両サーカス製図板 5 スタイルボックスパズルおもちゃギフト")</f>
        <v>100 個木製磁気パズルフィギュア動物車両サーカス製図板 5 スタイルボックスパズルおもちゃギフト</v>
      </c>
    </row>
    <row r="916" ht="15.75" customHeight="1">
      <c r="A916" s="1">
        <v>2389.0</v>
      </c>
      <c r="B916" s="1" t="s">
        <v>381</v>
      </c>
      <c r="C916" s="1" t="s">
        <v>898</v>
      </c>
      <c r="D916" s="1" t="str">
        <f>IFERROR(__xludf.DUMMYFUNCTION("CONCATENATE(GOOGLETRANSLATE(C916, ""en"", ""zh-cn""))
"),"4 件装海绵邮票儿童益智玩具儿童小男孩男孩女孩工艺品绘画学习着色绘画套装")</f>
        <v>4 件装海绵邮票儿童益智玩具儿童小男孩男孩女孩工艺品绘画学习着色绘画套装</v>
      </c>
      <c r="E916" s="1" t="str">
        <f>IFERROR(__xludf.DUMMYFUNCTION("CONCATENATE(GOOGLETRANSLATE(C916, ""en"", ""ko""))
"),"4pcs 스폰지 우표 어린이 교육 장난감 어린이 작은 소년 소년과 소녀 수공예품 그림 학습 색칠 그리기 세트")</f>
        <v>4pcs 스폰지 우표 어린이 교육 장난감 어린이 작은 소년 소년과 소녀 수공예품 그림 학습 색칠 그리기 세트</v>
      </c>
      <c r="F916" s="1" t="str">
        <f>IFERROR(__xludf.DUMMYFUNCTION("CONCATENATE(GOOGLETRANSLATE(C916, ""en"", ""ja""))"),"4 個スポンジスタンプ子供の知育玩具子供の小さな男の子男の子と女の子の手工芸品絵画学習ぬりえ描画セット")</f>
        <v>4 個スポンジスタンプ子供の知育玩具子供の小さな男の子男の子と女の子の手工芸品絵画学習ぬりえ描画セット</v>
      </c>
    </row>
    <row r="917" ht="15.75" customHeight="1">
      <c r="A917" s="1">
        <v>2390.0</v>
      </c>
      <c r="B917" s="1" t="s">
        <v>381</v>
      </c>
      <c r="C917" s="1" t="s">
        <v>899</v>
      </c>
      <c r="D917" s="1" t="str">
        <f>IFERROR(__xludf.DUMMYFUNCTION("CONCATENATE(GOOGLETRANSLATE(C917, ""en"", ""zh-cn""))
"),"三星 T230 平板电脑对开磨砂 PU 皮革保护套")</f>
        <v>三星 T230 平板电脑对开磨砂 PU 皮革保护套</v>
      </c>
      <c r="E917" s="1" t="str">
        <f>IFERROR(__xludf.DUMMYFUNCTION("CONCATENATE(GOOGLETRANSLATE(C917, ""en"", ""ko""))
"),"삼성 T230 태블릿용 폴리오 스크럽 PU 가죽 케이스 커버")</f>
        <v>삼성 T230 태블릿용 폴리오 스크럽 PU 가죽 케이스 커버</v>
      </c>
      <c r="F917" s="1" t="str">
        <f>IFERROR(__xludf.DUMMYFUNCTION("CONCATENATE(GOOGLETRANSLATE(C917, ""en"", ""ja""))"),"サムスン T230 タブレット用フォリオ スクラブ PU レザー ケース カバー")</f>
        <v>サムスン T230 タブレット用フォリオ スクラブ PU レザー ケース カバー</v>
      </c>
    </row>
    <row r="918" ht="15.75" customHeight="1">
      <c r="A918" s="1">
        <v>2391.0</v>
      </c>
      <c r="B918" s="1" t="s">
        <v>381</v>
      </c>
      <c r="C918" s="1" t="s">
        <v>900</v>
      </c>
      <c r="D918" s="1" t="str">
        <f>IFERROR(__xludf.DUMMYFUNCTION("CONCATENATE(GOOGLETRANSLATE(C918, ""en"", ""zh-cn""))
"),"三星 T310 平板电脑对开磨砂 PU 皮革保护套")</f>
        <v>三星 T310 平板电脑对开磨砂 PU 皮革保护套</v>
      </c>
      <c r="E918" s="1" t="str">
        <f>IFERROR(__xludf.DUMMYFUNCTION("CONCATENATE(GOOGLETRANSLATE(C918, ""en"", ""ko""))
"),"삼성 T310 태블릿용 폴리오 스크럽 PU 가죽 케이스 커버")</f>
        <v>삼성 T310 태블릿용 폴리오 스크럽 PU 가죽 케이스 커버</v>
      </c>
      <c r="F918" s="1" t="str">
        <f>IFERROR(__xludf.DUMMYFUNCTION("CONCATENATE(GOOGLETRANSLATE(C918, ""en"", ""ja""))"),"サムスン T310 タブレット用フォリオ スクラブ PU レザー ケース カバー")</f>
        <v>サムスン T310 タブレット用フォリオ スクラブ PU レザー ケース カバー</v>
      </c>
    </row>
    <row r="919" ht="15.75" customHeight="1">
      <c r="A919" s="1">
        <v>2392.0</v>
      </c>
      <c r="B919" s="1" t="s">
        <v>381</v>
      </c>
      <c r="C919" s="1" t="s">
        <v>901</v>
      </c>
      <c r="D919" s="1" t="str">
        <f>IFERROR(__xludf.DUMMYFUNCTION("CONCATENATE(GOOGLETRANSLATE(C919, ""en"", ""zh-cn""))
"),"三星 P3200 平板电脑对开磨砂 PU 皮革保护套")</f>
        <v>三星 P3200 平板电脑对开磨砂 PU 皮革保护套</v>
      </c>
      <c r="E919" s="1" t="str">
        <f>IFERROR(__xludf.DUMMYFUNCTION("CONCATENATE(GOOGLETRANSLATE(C919, ""en"", ""ko""))
"),"삼성 P3200 태블릿용 폴리오 스크럽 PU 가죽 케이스 커버")</f>
        <v>삼성 P3200 태블릿용 폴리오 스크럽 PU 가죽 케이스 커버</v>
      </c>
      <c r="F919" s="1" t="str">
        <f>IFERROR(__xludf.DUMMYFUNCTION("CONCATENATE(GOOGLETRANSLATE(C919, ""en"", ""ja""))"),"サムスン P3200 タブレット用フォリオ スクラブ PU レザー ケース カバー")</f>
        <v>サムスン P3200 タブレット用フォリオ スクラブ PU レザー ケース カバー</v>
      </c>
    </row>
    <row r="920" ht="15.75" customHeight="1">
      <c r="A920" s="1">
        <v>2393.0</v>
      </c>
      <c r="B920" s="1" t="s">
        <v>381</v>
      </c>
      <c r="C920" s="1" t="s">
        <v>902</v>
      </c>
      <c r="D920" s="1" t="str">
        <f>IFERROR(__xludf.DUMMYFUNCTION("CONCATENATE(GOOGLETRANSLATE(C920, ""en"", ""zh-cn""))
"),"6 件装勾线笔套装画笔水彩画绘画笔画笔油性丙烯")</f>
        <v>6 件装勾线笔套装画笔水彩画绘画笔画笔油性丙烯</v>
      </c>
      <c r="E920" s="1" t="str">
        <f>IFERROR(__xludf.DUMMYFUNCTION("CONCATENATE(GOOGLETRANSLATE(C920, ""en"", ""ko""))
"),"6 PCS 후크 라인 펜 세트 그림 브러시 수채화 그림 그리기 펜 브러쉬 오일 아크릴")</f>
        <v>6 PCS 후크 라인 펜 세트 그림 브러시 수채화 그림 그리기 펜 브러쉬 오일 아크릴</v>
      </c>
      <c r="F920" s="1" t="str">
        <f>IFERROR(__xludf.DUMMYFUNCTION("CONCATENATE(GOOGLETRANSLATE(C920, ""en"", ""ja""))"),"6 個フックラインペンセット絵画ブラシ水彩画描画ペンブラシ油アクリル")</f>
        <v>6 個フックラインペンセット絵画ブラシ水彩画描画ペンブラシ油アクリル</v>
      </c>
    </row>
    <row r="921" ht="15.75" customHeight="1">
      <c r="A921" s="1">
        <v>2394.0</v>
      </c>
      <c r="B921" s="1" t="s">
        <v>381</v>
      </c>
      <c r="C921" s="1" t="s">
        <v>903</v>
      </c>
      <c r="D921" s="1" t="str">
        <f>IFERROR(__xludf.DUMMYFUNCTION("CONCATENATE(GOOGLETRANSLATE(C921, ""en"", ""zh-cn""))
"),"适用于 iPad Mini 平板电脑的皮革蓝牙键盘保护套")</f>
        <v>适用于 iPad Mini 平板电脑的皮革蓝牙键盘保护套</v>
      </c>
      <c r="E921" s="1" t="str">
        <f>IFERROR(__xludf.DUMMYFUNCTION("CONCATENATE(GOOGLETRANSLATE(C921, ""en"", ""ko""))
"),"아이패드 미니 태블릿용 가죽 블루투스 키보드 케이스")</f>
        <v>아이패드 미니 태블릿용 가죽 블루투스 키보드 케이스</v>
      </c>
      <c r="F921" s="1" t="str">
        <f>IFERROR(__xludf.DUMMYFUNCTION("CONCATENATE(GOOGLETRANSLATE(C921, ""en"", ""ja""))"),"iPad Miniタブレット用レザーBluetoothキーボードケース")</f>
        <v>iPad Miniタブレット用レザーBluetoothキーボードケース</v>
      </c>
    </row>
    <row r="922" ht="15.75" customHeight="1">
      <c r="A922" s="1">
        <v>2395.0</v>
      </c>
      <c r="B922" s="1" t="s">
        <v>381</v>
      </c>
      <c r="C922" s="1" t="s">
        <v>904</v>
      </c>
      <c r="D922" s="1" t="str">
        <f>IFERROR(__xludf.DUMMYFUNCTION("CONCATENATE(GOOGLETRANSLATE(C922, ""en"", ""zh-cn""))
"),"通用美国 5V 2A 微端口 USB 数据线平板电脑充电器 ")</f>
        <v>通用美国 5V 2A 微端口 USB 数据线平板电脑充电器 </v>
      </c>
      <c r="E922" s="1" t="str">
        <f>IFERROR(__xludf.DUMMYFUNCTION("CONCATENATE(GOOGLETRANSLATE(C922, ""en"", ""ko""))
"),"태블릿용 범용 미국 5V 2A 마이크로 포트 USB 케이블 충전기 ")</f>
        <v>태블릿용 범용 미국 5V 2A 마이크로 포트 USB 케이블 충전기 </v>
      </c>
      <c r="F922" s="1" t="str">
        <f>IFERROR(__xludf.DUMMYFUNCTION("CONCATENATE(GOOGLETRANSLATE(C922, ""en"", ""ja""))"),"タブレット用ユニバーサル米国5V 2AマイクロポートUSBケーブル充電器 ")</f>
        <v>タブレット用ユニバーサル米国5V 2AマイクロポートUSBケーブル充電器 </v>
      </c>
    </row>
    <row r="923" ht="15.75" customHeight="1">
      <c r="A923" s="1">
        <v>2396.0</v>
      </c>
      <c r="B923" s="1" t="s">
        <v>381</v>
      </c>
      <c r="C923" s="1" t="s">
        <v>905</v>
      </c>
      <c r="D923" s="1" t="str">
        <f>IFERROR(__xludf.DUMMYFUNCTION("CONCATENATE(GOOGLETRANSLATE(C923, ""en"", ""zh-cn""))
"),"Colorfly E708 Q1 平板电脑专用对开 PU 皮革保护套")</f>
        <v>Colorfly E708 Q1 平板电脑专用对开 PU 皮革保护套</v>
      </c>
      <c r="E923" s="1" t="str">
        <f>IFERROR(__xludf.DUMMYFUNCTION("CONCATENATE(GOOGLETRANSLATE(C923, ""en"", ""ko""))
"),"Colorfly E708 Q1 태블릿용 특수 폴리오 PU 가죽 케이스 커버")</f>
        <v>Colorfly E708 Q1 태블릿용 특수 폴리오 PU 가죽 케이스 커버</v>
      </c>
      <c r="F923" s="1" t="str">
        <f>IFERROR(__xludf.DUMMYFUNCTION("CONCATENATE(GOOGLETRANSLATE(C923, ""en"", ""ja""))"),"Colorfly E708 Q1 タブレット用の特殊フォリオ PU レザーケースカバー")</f>
        <v>Colorfly E708 Q1 タブレット用の特殊フォリオ PU レザーケースカバー</v>
      </c>
    </row>
    <row r="924" ht="15.75" customHeight="1">
      <c r="A924" s="1">
        <v>2397.0</v>
      </c>
      <c r="B924" s="1" t="s">
        <v>381</v>
      </c>
      <c r="C924" s="1" t="s">
        <v>906</v>
      </c>
      <c r="D924" s="1" t="str">
        <f>IFERROR(__xludf.DUMMYFUNCTION("CONCATENATE(GOOGLETRANSLATE(C924, ""en"", ""zh-cn""))
"),"三星 T310 平板电脑对开 PU 皮革折叠支架保护套")</f>
        <v>三星 T310 平板电脑对开 PU 皮革折叠支架保护套</v>
      </c>
      <c r="E924" s="1" t="str">
        <f>IFERROR(__xludf.DUMMYFUNCTION("CONCATENATE(GOOGLETRANSLATE(C924, ""en"", ""ko""))
"),"삼성 T310 태블릿용 폴리오 PU 가죽 접이식 스탠드 케이스 커버")</f>
        <v>삼성 T310 태블릿용 폴리오 PU 가죽 접이식 스탠드 케이스 커버</v>
      </c>
      <c r="F924" s="1" t="str">
        <f>IFERROR(__xludf.DUMMYFUNCTION("CONCATENATE(GOOGLETRANSLATE(C924, ""en"", ""ja""))"),"サムスン T310 タブレット用フォリオ PU レザー折りたたみスタンド ケース カバー")</f>
        <v>サムスン T310 タブレット用フォリオ PU レザー折りたたみスタンド ケース カバー</v>
      </c>
    </row>
    <row r="925" ht="15.75" customHeight="1">
      <c r="A925" s="1">
        <v>2398.0</v>
      </c>
      <c r="B925" s="1" t="s">
        <v>381</v>
      </c>
      <c r="C925" s="1" t="s">
        <v>907</v>
      </c>
      <c r="D925" s="1" t="str">
        <f>IFERROR(__xludf.DUMMYFUNCTION("CONCATENATE(GOOGLETRANSLATE(C925, ""en"", ""zh-cn""))
"),"适用于Colorfly E708 Q1 Q2 透明光面屏幕保护膜")</f>
        <v>适用于Colorfly E708 Q1 Q2 透明光面屏幕保护膜</v>
      </c>
      <c r="E925" s="1" t="str">
        <f>IFERROR(__xludf.DUMMYFUNCTION("CONCATENATE(GOOGLETRANSLATE(C925, ""en"", ""ko""))
"),"Colorfly E708 Q1 Q2용 투명 광택 화면 보호 필름")</f>
        <v>Colorfly E708 Q1 Q2용 투명 광택 화면 보호 필름</v>
      </c>
      <c r="F925" s="1" t="str">
        <f>IFERROR(__xludf.DUMMYFUNCTION("CONCATENATE(GOOGLETRANSLATE(C925, ""en"", ""ja""))"),"Colorfly E708 Q1 Q2 用の透明な光沢のあるスクリーン保護フィルム")</f>
        <v>Colorfly E708 Q1 Q2 用の透明な光沢のあるスクリーン保護フィルム</v>
      </c>
    </row>
    <row r="926" ht="15.75" customHeight="1">
      <c r="A926" s="1">
        <v>2399.0</v>
      </c>
      <c r="B926" s="1" t="s">
        <v>381</v>
      </c>
      <c r="C926" s="1" t="s">
        <v>908</v>
      </c>
      <c r="D926" s="1" t="str">
        <f>IFERROR(__xludf.DUMMYFUNCTION("CONCATENATE(GOOGLETRANSLATE(C926, ""en"", ""zh-cn""))
"),"Voyo WinPad A1 蓝牙保护键盘保护套")</f>
        <v>Voyo WinPad A1 蓝牙保护键盘保护套</v>
      </c>
      <c r="E926" s="1" t="str">
        <f>IFERROR(__xludf.DUMMYFUNCTION("CONCATENATE(GOOGLETRANSLATE(C926, ""en"", ""ko""))
"),"Voyo WinPad A1용 블루투스 보호 키보드 케이스 커버")</f>
        <v>Voyo WinPad A1용 블루투스 보호 키보드 케이스 커버</v>
      </c>
      <c r="F926" s="1" t="str">
        <f>IFERROR(__xludf.DUMMYFUNCTION("CONCATENATE(GOOGLETRANSLATE(C926, ""en"", ""ja""))"),"Voyo WinPad A1 用 Bluetooth 保護キーボードケースカバー")</f>
        <v>Voyo WinPad A1 用 Bluetooth 保護キーボードケースカバー</v>
      </c>
    </row>
    <row r="927" ht="15.75" customHeight="1">
      <c r="A927" s="1">
        <v>2400.0</v>
      </c>
      <c r="B927" s="1" t="s">
        <v>381</v>
      </c>
      <c r="C927" s="1" t="s">
        <v>909</v>
      </c>
      <c r="D927" s="1" t="str">
        <f>IFERROR(__xludf.DUMMYFUNCTION("CONCATENATE(GOOGLETRANSLATE(C927, ""en"", ""zh-cn""))
"),"40*50帆布防水脏衣篮儿童玩具收纳篮卡通布艺浴室脏衣桶杂物收纳桶")</f>
        <v>40*50帆布防水脏衣篮儿童玩具收纳篮卡通布艺浴室脏衣桶杂物收纳桶</v>
      </c>
      <c r="E927" s="1" t="str">
        <f>IFERROR(__xludf.DUMMYFUNCTION("CONCATENATE(GOOGLETRANSLATE(C927, ""en"", ""ko""))
"),"40*50 캔버스 방수 더러운 옷 바구니 어린이 장난감 보관 바구니 만화 패브릭 욕실 더러운 옷 양동이 잡화 보관 통")</f>
        <v>40*50 캔버스 방수 더러운 옷 바구니 어린이 장난감 보관 바구니 만화 패브릭 욕실 더러운 옷 양동이 잡화 보관 통</v>
      </c>
      <c r="F927" s="1" t="str">
        <f>IFERROR(__xludf.DUMMYFUNCTION("CONCATENATE(GOOGLETRANSLATE(C927, ""en"", ""ja""))"),"40*50 キャンバス防水汚れた衣類バスケット子供のおもちゃ収納バスケット漫画生地浴室汚れた服バケツ雑貨収納バケツ")</f>
        <v>40*50 キャンバス防水汚れた衣類バスケット子供のおもちゃ収納バスケット漫画生地浴室汚れた服バケツ雑貨収納バケツ</v>
      </c>
    </row>
    <row r="928" ht="15.75" customHeight="1">
      <c r="A928" s="1">
        <v>2401.0</v>
      </c>
      <c r="B928" s="1" t="s">
        <v>381</v>
      </c>
      <c r="C928" s="1" t="s">
        <v>910</v>
      </c>
      <c r="D928" s="1" t="str">
        <f>IFERROR(__xludf.DUMMYFUNCTION("CONCATENATE(GOOGLETRANSLATE(C928, ""en"", ""zh-cn""))
"),"PIPO W4透明屏幕保护膜")</f>
        <v>PIPO W4透明屏幕保护膜</v>
      </c>
      <c r="E928" s="1" t="str">
        <f>IFERROR(__xludf.DUMMYFUNCTION("CONCATENATE(GOOGLETRANSLATE(C928, ""en"", ""ko""))
"),"PIPO W4용 투명 화면 보호 필름")</f>
        <v>PIPO W4용 투명 화면 보호 필름</v>
      </c>
      <c r="F928" s="1" t="str">
        <f>IFERROR(__xludf.DUMMYFUNCTION("CONCATENATE(GOOGLETRANSLATE(C928, ""en"", ""ja""))"),"PIPO W4用透明スクリーンプロテクターフィルム")</f>
        <v>PIPO W4用透明スクリーンプロテクターフィルム</v>
      </c>
    </row>
    <row r="929" ht="15.75" customHeight="1">
      <c r="A929" s="1">
        <v>2402.0</v>
      </c>
      <c r="B929" s="1" t="s">
        <v>381</v>
      </c>
      <c r="C929" s="1" t="s">
        <v>911</v>
      </c>
      <c r="D929" s="1" t="str">
        <f>IFERROR(__xludf.DUMMYFUNCTION("CONCATENATE(GOOGLETRANSLATE(C929, ""en"", ""zh-cn""))
"),"蓝魔I9S透明屏幕保护膜")</f>
        <v>蓝魔I9S透明屏幕保护膜</v>
      </c>
      <c r="E929" s="1" t="str">
        <f>IFERROR(__xludf.DUMMYFUNCTION("CONCATENATE(GOOGLETRANSLATE(C929, ""en"", ""ko""))
"),"Ramos I9S용 투명 화면 보호 필름")</f>
        <v>Ramos I9S용 투명 화면 보호 필름</v>
      </c>
      <c r="F929" s="1" t="str">
        <f>IFERROR(__xludf.DUMMYFUNCTION("CONCATENATE(GOOGLETRANSLATE(C929, ""en"", ""ja""))"),"Ramos I9S 用透明スクリーン保護フィルム")</f>
        <v>Ramos I9S 用透明スクリーン保護フィルム</v>
      </c>
    </row>
    <row r="930" ht="15.75" customHeight="1">
      <c r="A930" s="1">
        <v>2403.0</v>
      </c>
      <c r="B930" s="1" t="s">
        <v>381</v>
      </c>
      <c r="C930" s="1" t="s">
        <v>912</v>
      </c>
      <c r="D930" s="1" t="str">
        <f>IFERROR(__xludf.DUMMYFUNCTION("CONCATENATE(GOOGLETRANSLATE(C930, ""en"", ""zh-cn""))
"),"19V 3.16A 60W 笔记本电脑交流电源适配器 SAMUNG CPA09-004A")</f>
        <v>19V 3.16A 60W 笔记本电脑交流电源适配器 SAMUNG CPA09-004A</v>
      </c>
      <c r="E930" s="1" t="str">
        <f>IFERROR(__xludf.DUMMYFUNCTION("CONCATENATE(GOOGLETRANSLATE(C930, ""en"", ""ko""))
"),"노트북용 19V 3.16A 60W AC 전원 어댑터 SAMUNG CPA09-004A")</f>
        <v>노트북용 19V 3.16A 60W AC 전원 어댑터 SAMUNG CPA09-004A</v>
      </c>
      <c r="F930" s="1" t="str">
        <f>IFERROR(__xludf.DUMMYFUNCTION("CONCATENATE(GOOGLETRANSLATE(C930, ""en"", ""ja""))"),"ラップトップ用 19V 3.16A 60W AC 電源アダプタ SAMUNG CPA09-004A")</f>
        <v>ラップトップ用 19V 3.16A 60W AC 電源アダプタ SAMUNG CPA09-004A</v>
      </c>
    </row>
    <row r="931" ht="15.75" customHeight="1">
      <c r="A931" s="1">
        <v>2404.0</v>
      </c>
      <c r="B931" s="1" t="s">
        <v>381</v>
      </c>
      <c r="C931" s="1" t="s">
        <v>913</v>
      </c>
      <c r="D931" s="1" t="str">
        <f>IFERROR(__xludf.DUMMYFUNCTION("CONCATENATE(GOOGLETRANSLATE(C931, ""en"", ""zh-cn""))
"),"华为 S8-701u 对开 PU 皮套折叠支架保护套")</f>
        <v>华为 S8-701u 对开 PU 皮套折叠支架保护套</v>
      </c>
      <c r="E931" s="1" t="str">
        <f>IFERROR(__xludf.DUMMYFUNCTION("CONCATENATE(GOOGLETRANSLATE(C931, ""en"", ""ko""))
"),"화웨이 S8-701u용 폴리오 PU 가죽 케이스 접이식 스탠드 커버")</f>
        <v>화웨이 S8-701u용 폴리오 PU 가죽 케이스 접이식 스탠드 커버</v>
      </c>
      <c r="F931" s="1" t="str">
        <f>IFERROR(__xludf.DUMMYFUNCTION("CONCATENATE(GOOGLETRANSLATE(C931, ""en"", ""ja""))"),"HUAWEI S8-701u用フォリオPUレザーケース折りたたみスタンドカバー")</f>
        <v>HUAWEI S8-701u用フォリオPUレザーケース折りたたみスタンドカバー</v>
      </c>
    </row>
    <row r="932" ht="15.75" customHeight="1">
      <c r="A932" s="1">
        <v>2405.0</v>
      </c>
      <c r="B932" s="1" t="s">
        <v>381</v>
      </c>
      <c r="C932" s="1" t="s">
        <v>914</v>
      </c>
      <c r="D932" s="1" t="str">
        <f>IFERROR(__xludf.DUMMYFUNCTION("CONCATENATE(GOOGLETRANSLATE(C932, ""en"", ""zh-cn""))
"),"MECO 300Mbps 2.4GHz 无线 Wifi 中继器 LAN 端口 WIFI 信号放大器 WLAN 增强器 WiFi 范围扩展器")</f>
        <v>MECO 300Mbps 2.4GHz 无线 Wifi 中继器 LAN 端口 WIFI 信号放大器 WLAN 增强器 WiFi 范围扩展器</v>
      </c>
      <c r="E932" s="1" t="str">
        <f>IFERROR(__xludf.DUMMYFUNCTION("CONCATENATE(GOOGLETRANSLATE(C932, ""en"", ""ko""))
"),"MECO 300Mbps 2.4GHz 무선 Wifi 리피터 LAN 포트 WIFI 신호 증폭기 WLAN 부스터 WiFi 범위 확장기")</f>
        <v>MECO 300Mbps 2.4GHz 무선 Wifi 리피터 LAN 포트 WIFI 신호 증폭기 WLAN 부스터 WiFi 범위 확장기</v>
      </c>
      <c r="F932" s="1" t="str">
        <f>IFERROR(__xludf.DUMMYFUNCTION("CONCATENATE(GOOGLETRANSLATE(C932, ""en"", ""ja""))"),"MECO 300Mbps 2.4GHz ワイヤレス Wifi リピーター LAN ポート WIFI 信号増幅器 WLAN ブースター WiFi レンジエクステンダー")</f>
        <v>MECO 300Mbps 2.4GHz ワイヤレス Wifi リピーター LAN ポート WIFI 信号増幅器 WLAN ブースター WiFi レンジエクステンダー</v>
      </c>
    </row>
    <row r="933" ht="15.75" customHeight="1">
      <c r="A933" s="1">
        <v>2406.0</v>
      </c>
      <c r="B933" s="1" t="s">
        <v>381</v>
      </c>
      <c r="C933" s="1" t="s">
        <v>915</v>
      </c>
      <c r="D933" s="1" t="str">
        <f>IFERROR(__xludf.DUMMYFUNCTION("CONCATENATE(GOOGLETRANSLATE(C933, ""en"", ""zh-cn""))
"),"超薄三折 PU 皮套适用于 Acer Iconia One7 B1-740")</f>
        <v>超薄三折 PU 皮套适用于 Acer Iconia One7 B1-740</v>
      </c>
      <c r="E933" s="1" t="str">
        <f>IFERROR(__xludf.DUMMYFUNCTION("CONCATENATE(GOOGLETRANSLATE(C933, ""en"", ""ko""))
"),"Acer Iconia One7 B1-740용 초박형 3단 PU 가죽 케이스")</f>
        <v>Acer Iconia One7 B1-740용 초박형 3단 PU 가죽 케이스</v>
      </c>
      <c r="F933" s="1" t="str">
        <f>IFERROR(__xludf.DUMMYFUNCTION("CONCATENATE(GOOGLETRANSLATE(C933, ""en"", ""ja""))"),"Acer Iconia One7 B1-740用超薄型三つ折りPUレザーケース")</f>
        <v>Acer Iconia One7 B1-740用超薄型三つ折りPUレザーケース</v>
      </c>
    </row>
    <row r="934" ht="15.75" customHeight="1">
      <c r="A934" s="1">
        <v>2407.0</v>
      </c>
      <c r="B934" s="1" t="s">
        <v>381</v>
      </c>
      <c r="C934" s="1" t="s">
        <v>916</v>
      </c>
      <c r="D934" s="1" t="str">
        <f>IFERROR(__xludf.DUMMYFUNCTION("CONCATENATE(GOOGLETRANSLATE(C934, ""en"", ""zh-cn""))
"),"Avanc HD 720P USB 网络摄像头，带麦克风，适用于笔记本电脑")</f>
        <v>Avanc HD 720P USB 网络摄像头，带麦克风，适用于笔记本电脑</v>
      </c>
      <c r="E934" s="1" t="str">
        <f>IFERROR(__xludf.DUMMYFUNCTION("CONCATENATE(GOOGLETRANSLATE(C934, ""en"", ""ko""))
"),"PC 노트북용 마이크가 포함된 Avanc HD 720P USB 웹캠")</f>
        <v>PC 노트북용 마이크가 포함된 Avanc HD 720P USB 웹캠</v>
      </c>
      <c r="F934" s="1" t="str">
        <f>IFERROR(__xludf.DUMMYFUNCTION("CONCATENATE(GOOGLETRANSLATE(C934, ""en"", ""ja""))"),"Avanc HD 720P USB ウェブカメラ マイク付き PC ラップトップ用")</f>
        <v>Avanc HD 720P USB ウェブカメラ マイク付き PC ラップトップ用</v>
      </c>
    </row>
    <row r="935" ht="15.75" customHeight="1">
      <c r="A935" s="1">
        <v>2408.0</v>
      </c>
      <c r="B935" s="1" t="s">
        <v>381</v>
      </c>
      <c r="C935" s="1" t="s">
        <v>917</v>
      </c>
      <c r="D935" s="1" t="str">
        <f>IFERROR(__xludf.DUMMYFUNCTION("CONCATENATE(GOOGLETRANSLATE(C935, ""en"", ""zh-cn""))
"),"INSMA 8K HDMI 2.1 电缆 0.5/1/1.5/2/3m HDMI 公头转 HDMI 公头电缆 1080P 8K 60HZ 48Gbps 镀金连接器")</f>
        <v>INSMA 8K HDMI 2.1 电缆 0.5/1/1.5/2/3m HDMI 公头转 HDMI 公头电缆 1080P 8K 60HZ 48Gbps 镀金连接器</v>
      </c>
      <c r="E935" s="1" t="str">
        <f>IFERROR(__xludf.DUMMYFUNCTION("CONCATENATE(GOOGLETRANSLATE(C935, ""en"", ""ko""))
"),"INSMA 8K HDMI 2.1 케이블 0.5/1/1.5/2/3m HDMI 남성-HDMI 남성 케이블 1080P 8K 60HZ 48Gbps 금도금 커넥터")</f>
        <v>INSMA 8K HDMI 2.1 케이블 0.5/1/1.5/2/3m HDMI 남성-HDMI 남성 케이블 1080P 8K 60HZ 48Gbps 금도금 커넥터</v>
      </c>
      <c r="F935" s="1" t="str">
        <f>IFERROR(__xludf.DUMMYFUNCTION("CONCATENATE(GOOGLETRANSLATE(C935, ""en"", ""ja""))"),"INSMA 8K HDMI 2.1 ケーブル 0.5/1/1.5/2/3m HDMI オス - HDMI オスケーブル 1080P 8K 60HZ 48Gbps 金メッキコネクタ")</f>
        <v>INSMA 8K HDMI 2.1 ケーブル 0.5/1/1.5/2/3m HDMI オス - HDMI オスケーブル 1080P 8K 60HZ 48Gbps 金メッキコネクタ</v>
      </c>
    </row>
    <row r="936" ht="15.75" customHeight="1">
      <c r="A936" s="1">
        <v>2409.0</v>
      </c>
      <c r="B936" s="1" t="s">
        <v>381</v>
      </c>
      <c r="C936" s="1" t="s">
        <v>918</v>
      </c>
      <c r="D936" s="1" t="str">
        <f>IFERROR(__xludf.DUMMYFUNCTION("CONCATENATE(GOOGLETRANSLATE(C936, ""en"", ""zh-cn""))
"),"360 度旋转保护壳适用于三星 GALAXY Tab 3 Lite T110")</f>
        <v>360 度旋转保护壳适用于三星 GALAXY Tab 3 Lite T110</v>
      </c>
      <c r="E936" s="1" t="str">
        <f>IFERROR(__xludf.DUMMYFUNCTION("CONCATENATE(GOOGLETRANSLATE(C936, ""en"", ""ko""))
"),"삼성 갤럭시 탭 3 라이트 T110용 360도 회전 케이스 커버")</f>
        <v>삼성 갤럭시 탭 3 라이트 T110용 360도 회전 케이스 커버</v>
      </c>
      <c r="F936" s="1" t="str">
        <f>IFERROR(__xludf.DUMMYFUNCTION("CONCATENATE(GOOGLETRANSLATE(C936, ""en"", ""ja""))"),"Samsung GALAXY Tab 3 Lite T110用の360度回転ケースカバー")</f>
        <v>Samsung GALAXY Tab 3 Lite T110用の360度回転ケースカバー</v>
      </c>
    </row>
    <row r="937" ht="15.75" customHeight="1">
      <c r="A937" s="1">
        <v>2410.0</v>
      </c>
      <c r="B937" s="1" t="s">
        <v>381</v>
      </c>
      <c r="C937" s="1" t="s">
        <v>919</v>
      </c>
      <c r="D937" s="1" t="str">
        <f>IFERROR(__xludf.DUMMYFUNCTION("CONCATENATE(GOOGLETRANSLATE(C937, ""en"", ""zh-cn""))
"),"三星 T110 平板电脑对开磨砂 PU 皮革保护套")</f>
        <v>三星 T110 平板电脑对开磨砂 PU 皮革保护套</v>
      </c>
      <c r="E937" s="1" t="str">
        <f>IFERROR(__xludf.DUMMYFUNCTION("CONCATENATE(GOOGLETRANSLATE(C937, ""en"", ""ko""))
"),"삼성 T110 태블릿용 폴리오 스크럽 PU 가죽 케이스 커버")</f>
        <v>삼성 T110 태블릿용 폴리오 스크럽 PU 가죽 케이스 커버</v>
      </c>
      <c r="F937" s="1" t="str">
        <f>IFERROR(__xludf.DUMMYFUNCTION("CONCATENATE(GOOGLETRANSLATE(C937, ""en"", ""ja""))"),"サムスン T110 タブレット用フォリオ スクラブ PU レザー ケース カバー")</f>
        <v>サムスン T110 タブレット用フォリオ スクラブ PU レザー ケース カバー</v>
      </c>
    </row>
    <row r="938" ht="15.75" customHeight="1">
      <c r="A938" s="1">
        <v>2411.0</v>
      </c>
      <c r="B938" s="1" t="s">
        <v>381</v>
      </c>
      <c r="C938" s="1" t="s">
        <v>920</v>
      </c>
      <c r="D938" s="1" t="str">
        <f>IFERROR(__xludf.DUMMYFUNCTION("CONCATENATE(GOOGLETRANSLATE(C938, ""en"", ""zh-cn""))
"),"9.7 英寸 Ainol Spark II 平板电脑透明屏幕保护膜")</f>
        <v>9.7 英寸 Ainol Spark II 平板电脑透明屏幕保护膜</v>
      </c>
      <c r="E938" s="1" t="str">
        <f>IFERROR(__xludf.DUMMYFUNCTION("CONCATENATE(GOOGLETRANSLATE(C938, ""en"", ""ko""))
"),"9.7인치 Ainol Spark II 태블릿용 투명 화면 보호 필름")</f>
        <v>9.7인치 Ainol Spark II 태블릿용 투명 화면 보호 필름</v>
      </c>
      <c r="F938" s="1" t="str">
        <f>IFERROR(__xludf.DUMMYFUNCTION("CONCATENATE(GOOGLETRANSLATE(C938, ""en"", ""ja""))"),"9.7インチAinol Spark IIタブレット用透明スクリーンプロテクターフィルム")</f>
        <v>9.7インチAinol Spark IIタブレット用透明スクリーンプロテクターフィルム</v>
      </c>
    </row>
    <row r="939" ht="15.75" customHeight="1">
      <c r="A939" s="1">
        <v>2412.0</v>
      </c>
      <c r="B939" s="1" t="s">
        <v>381</v>
      </c>
      <c r="C939" s="1" t="s">
        <v>921</v>
      </c>
      <c r="D939" s="1" t="str">
        <f>IFERROR(__xludf.DUMMYFUNCTION("CONCATENATE(GOOGLETRANSLATE(C939, ""en"", ""zh-cn""))
"),"得力 5302 A4 商用文件夹 双强力夹 双夹")</f>
        <v>得力 5302 A4 商用文件夹 双强力夹 双夹</v>
      </c>
      <c r="E939" s="1" t="str">
        <f>IFERROR(__xludf.DUMMYFUNCTION("CONCATENATE(GOOGLETRANSLATE(C939, ""en"", ""ko""))
"),"Deli 5302 A4 상업용 파일 폴더 이중 강력한 클립 이중 클램프")</f>
        <v>Deli 5302 A4 상업용 파일 폴더 이중 강력한 클립 이중 클램프</v>
      </c>
      <c r="F939" s="1" t="str">
        <f>IFERROR(__xludf.DUMMYFUNCTION("CONCATENATE(GOOGLETRANSLATE(C939, ""en"", ""ja""))"),"デリ A4業務用ファイルフォルダー ダブル強力クリップ ダブルクランプ 5302")</f>
        <v>デリ A4業務用ファイルフォルダー ダブル強力クリップ ダブルクランプ 5302</v>
      </c>
    </row>
    <row r="940" ht="15.75" customHeight="1">
      <c r="A940" s="1">
        <v>2413.0</v>
      </c>
      <c r="B940" s="1" t="s">
        <v>381</v>
      </c>
      <c r="C940" s="1" t="s">
        <v>922</v>
      </c>
      <c r="D940" s="1" t="str">
        <f>IFERROR(__xludf.DUMMYFUNCTION("CONCATENATE(GOOGLETRANSLATE(C940, ""en"", ""zh-cn""))
"),"INSMA 8K HDMI 2.1 电缆 0.5/1/1.5/2/3m HDMI 公头转 HDMI 公头电缆 1080P 8K 60HZ 48Gbps 连接器")</f>
        <v>INSMA 8K HDMI 2.1 电缆 0.5/1/1.5/2/3m HDMI 公头转 HDMI 公头电缆 1080P 8K 60HZ 48Gbps 连接器</v>
      </c>
      <c r="E940" s="1" t="str">
        <f>IFERROR(__xludf.DUMMYFUNCTION("CONCATENATE(GOOGLETRANSLATE(C940, ""en"", ""ko""))
"),"INSMA 8K HDMI 2.1 케이블 0.5/1/1.5/2/3m HDMI 남성-HDMI 남성 케이블 1080P 8K 60HZ 48Gbps 커넥터")</f>
        <v>INSMA 8K HDMI 2.1 케이블 0.5/1/1.5/2/3m HDMI 남성-HDMI 남성 케이블 1080P 8K 60HZ 48Gbps 커넥터</v>
      </c>
      <c r="F940" s="1" t="str">
        <f>IFERROR(__xludf.DUMMYFUNCTION("CONCATENATE(GOOGLETRANSLATE(C940, ""en"", ""ja""))"),"INSMA 8K HDMI 2.1 ケーブル 0.5/1/1.5/2/3m HDMI オス - HDMI オスケーブル 1080P 8K 60HZ 48Gbps コネクタ")</f>
        <v>INSMA 8K HDMI 2.1 ケーブル 0.5/1/1.5/2/3m HDMI オス - HDMI オスケーブル 1080P 8K 60HZ 48Gbps コネクタ</v>
      </c>
    </row>
    <row r="941" ht="15.75" customHeight="1">
      <c r="A941" s="1">
        <v>2414.0</v>
      </c>
      <c r="B941" s="1" t="s">
        <v>381</v>
      </c>
      <c r="C941" s="1" t="s">
        <v>923</v>
      </c>
      <c r="D941" s="1" t="str">
        <f>IFERROR(__xludf.DUMMYFUNCTION("CONCATENATE(GOOGLETRANSLATE(C941, ""en"", ""zh-cn""))
"),"金属网状化妆刷笔办公桌面收纳盒")</f>
        <v>金属网状化妆刷笔办公桌面收纳盒</v>
      </c>
      <c r="E941" s="1" t="str">
        <f>IFERROR(__xludf.DUMMYFUNCTION("CONCATENATE(GOOGLETRANSLATE(C941, ""en"", ""ko""))
"),"금속 메쉬 화장품 메이크업 브러쉬 펜 사무실 데스크탑 보관함")</f>
        <v>금속 메쉬 화장품 메이크업 브러쉬 펜 사무실 데스크탑 보관함</v>
      </c>
      <c r="F941" s="1" t="str">
        <f>IFERROR(__xludf.DUMMYFUNCTION("CONCATENATE(GOOGLETRANSLATE(C941, ""en"", ""ja""))"),"メタルメッシュ化粧ブラシペンオフィスデスクトップ収納ボックス")</f>
        <v>メタルメッシュ化粧ブラシペンオフィスデスクトップ収納ボックス</v>
      </c>
    </row>
    <row r="942" ht="15.75" customHeight="1">
      <c r="A942" s="1">
        <v>2415.0</v>
      </c>
      <c r="B942" s="1" t="s">
        <v>381</v>
      </c>
      <c r="C942" s="1" t="s">
        <v>924</v>
      </c>
      <c r="D942" s="1" t="str">
        <f>IFERROR(__xludf.DUMMYFUNCTION("CONCATENATE(GOOGLETRANSLATE(C942, ""en"", ""zh-cn""))
"),"牛仔设计对开 PU 皮革保护套 适合三星 Galaxy T110")</f>
        <v>牛仔设计对开 PU 皮革保护套 适合三星 Galaxy T110</v>
      </c>
      <c r="E942" s="1" t="str">
        <f>IFERROR(__xludf.DUMMYFUNCTION("CONCATENATE(GOOGLETRANSLATE(C942, ""en"", ""ko""))
"),"삼성 갤럭시 T110용 데님 디자인 폴리오 PU 가죽 케이스 커버")</f>
        <v>삼성 갤럭시 T110용 데님 디자인 폴리오 PU 가죽 케이스 커버</v>
      </c>
      <c r="F942" s="1" t="str">
        <f>IFERROR(__xludf.DUMMYFUNCTION("CONCATENATE(GOOGLETRANSLATE(C942, ""en"", ""ja""))"),"Samsung Galaxy T110用デニムデザインフォリオPUレザーケースカバー")</f>
        <v>Samsung Galaxy T110用デニムデザインフォリオPUレザーケースカバー</v>
      </c>
    </row>
    <row r="943" ht="15.75" customHeight="1">
      <c r="A943" s="1">
        <v>2416.0</v>
      </c>
      <c r="B943" s="1" t="s">
        <v>381</v>
      </c>
      <c r="C943" s="1" t="s">
        <v>925</v>
      </c>
      <c r="D943" s="1" t="str">
        <f>IFERROR(__xludf.DUMMYFUNCTION("CONCATENATE(GOOGLETRANSLATE(C943, ""en"", ""zh-cn""))
"),"三折对开 PU 皮套 支架保护套 适用于 ALLDOCUBE Cube U80 超级版平板电脑")</f>
        <v>三折对开 PU 皮套 支架保护套 适用于 ALLDOCUBE Cube U80 超级版平板电脑</v>
      </c>
      <c r="E943" s="1" t="str">
        <f>IFERROR(__xludf.DUMMYFUNCTION("CONCATENATE(GOOGLETRANSLATE(C943, ""en"", ""ko""))
"),"ALLDOCUBE Cube U80 슈퍼 버전 태블릿용 3단 폴리오 PU 가죽 케이스 스탠드 커버")</f>
        <v>ALLDOCUBE Cube U80 슈퍼 버전 태블릿용 3단 폴리오 PU 가죽 케이스 스탠드 커버</v>
      </c>
      <c r="F943" s="1" t="str">
        <f>IFERROR(__xludf.DUMMYFUNCTION("CONCATENATE(GOOGLETRANSLATE(C943, ""en"", ""ja""))"),"三つ折りフォリオ PU レザーケーススタンドカバー ALLDOCUBE キューブ U80 スーパーバージョンタブレット用")</f>
        <v>三つ折りフォリオ PU レザーケーススタンドカバー ALLDOCUBE キューブ U80 スーパーバージョンタブレット用</v>
      </c>
    </row>
    <row r="944" ht="15.75" customHeight="1">
      <c r="A944" s="1">
        <v>2417.0</v>
      </c>
      <c r="B944" s="1" t="s">
        <v>381</v>
      </c>
      <c r="C944" s="1" t="s">
        <v>926</v>
      </c>
      <c r="D944" s="1" t="str">
        <f>IFERROR(__xludf.DUMMYFUNCTION("CONCATENATE(GOOGLETRANSLATE(C944, ""en"", ""zh-cn""))
"),"俄语键盘皮套带支架适用于 9.7 英寸平板电脑")</f>
        <v>俄语键盘皮套带支架适用于 9.7 英寸平板电脑</v>
      </c>
      <c r="E944" s="1" t="str">
        <f>IFERROR(__xludf.DUMMYFUNCTION("CONCATENATE(GOOGLETRANSLATE(C944, ""en"", ""ko""))
"),"9.7인치 태블릿 PC용 스탠드가 있는 러시아어 키보드 가죽 케이스 파우치")</f>
        <v>9.7인치 태블릿 PC용 스탠드가 있는 러시아어 키보드 가죽 케이스 파우치</v>
      </c>
      <c r="F944" s="1" t="str">
        <f>IFERROR(__xludf.DUMMYFUNCTION("CONCATENATE(GOOGLETRANSLATE(C944, ""en"", ""ja""))"),"9.7インチタブレットPC用スタンド付きロシア語キーボードレザーケースポーチ")</f>
        <v>9.7インチタブレットPC用スタンド付きロシア語キーボードレザーケースポーチ</v>
      </c>
    </row>
    <row r="945" ht="15.75" customHeight="1">
      <c r="A945" s="1">
        <v>2418.0</v>
      </c>
      <c r="B945" s="1" t="s">
        <v>381</v>
      </c>
      <c r="C945" s="1" t="s">
        <v>927</v>
      </c>
      <c r="D945" s="1" t="str">
        <f>IFERROR(__xludf.DUMMYFUNCTION("CONCATENATE(GOOGLETRANSLATE(C945, ""en"", ""zh-cn""))
"),"通用三折 PU 折叠支架保护套适用于 CUBE Talk 7X")</f>
        <v>通用三折 PU 折叠支架保护套适用于 CUBE Talk 7X</v>
      </c>
      <c r="E945" s="1" t="str">
        <f>IFERROR(__xludf.DUMMYFUNCTION("CONCATENATE(GOOGLETRANSLATE(C945, ""en"", ""ko""))
"),"CUBE Talk 7X용 범용 삼단 PU 접이식 스탠드 케이스 커버")</f>
        <v>CUBE Talk 7X용 범용 삼단 PU 접이식 스탠드 케이스 커버</v>
      </c>
      <c r="F945" s="1" t="str">
        <f>IFERROR(__xludf.DUMMYFUNCTION("CONCATENATE(GOOGLETRANSLATE(C945, ""en"", ""ja""))"),"CUBE Talk 7X用ユニバーサル三つ折りPU折りたたみスタンドケースカバー")</f>
        <v>CUBE Talk 7X用ユニバーサル三つ折りPU折りたたみスタンドケースカバー</v>
      </c>
    </row>
    <row r="946" ht="15.75" customHeight="1">
      <c r="A946" s="1">
        <v>2419.0</v>
      </c>
      <c r="B946" s="1" t="s">
        <v>381</v>
      </c>
      <c r="C946" s="1" t="s">
        <v>928</v>
      </c>
      <c r="D946" s="1" t="str">
        <f>IFERROR(__xludf.DUMMYFUNCTION("CONCATENATE(GOOGLETRANSLATE(C946, ""en"", ""zh-cn""))
"),"疯马设计折叠支架保护壳适用于三星 Galaxy Tab4 T330")</f>
        <v>疯马设计折叠支架保护壳适用于三星 Galaxy Tab4 T330</v>
      </c>
      <c r="E946" s="1" t="str">
        <f>IFERROR(__xludf.DUMMYFUNCTION("CONCATENATE(GOOGLETRANSLATE(C946, ""en"", ""ko""))
"),"삼성 갤럭시 탭4 T330용 크레이지 호스 디자인 접이식 스탠드 케이스")</f>
        <v>삼성 갤럭시 탭4 T330용 크레이지 호스 디자인 접이식 스탠드 케이스</v>
      </c>
      <c r="F946" s="1" t="str">
        <f>IFERROR(__xludf.DUMMYFUNCTION("CONCATENATE(GOOGLETRANSLATE(C946, ""en"", ""ja""))"),"Crazy Horse デザイン折りたたみスタンド ケース Samsung Galaxy Tab4 T330 用")</f>
        <v>Crazy Horse デザイン折りたたみスタンド ケース Samsung Galaxy Tab4 T330 用</v>
      </c>
    </row>
    <row r="947" ht="15.75" customHeight="1">
      <c r="A947" s="1">
        <v>2420.0</v>
      </c>
      <c r="B947" s="1" t="s">
        <v>381</v>
      </c>
      <c r="C947" s="1" t="s">
        <v>929</v>
      </c>
      <c r="D947" s="1" t="str">
        <f>IFERROR(__xludf.DUMMYFUNCTION("CONCATENATE(GOOGLETRANSLATE(C947, ""en"", ""zh-cn""))
"),"复古设计折叠支架保护套适用于三星 Galaxy Tab4 T530")</f>
        <v>复古设计折叠支架保护套适用于三星 Galaxy Tab4 T530</v>
      </c>
      <c r="E947" s="1" t="str">
        <f>IFERROR(__xludf.DUMMYFUNCTION("CONCATENATE(GOOGLETRANSLATE(C947, ""en"", ""ko""))
"),"삼성 갤럭시 탭4 T530용 빈티지 디자인 접이식 스탠드 케이스 커버")</f>
        <v>삼성 갤럭시 탭4 T530용 빈티지 디자인 접이식 스탠드 케이스 커버</v>
      </c>
      <c r="F947" s="1" t="str">
        <f>IFERROR(__xludf.DUMMYFUNCTION("CONCATENATE(GOOGLETRANSLATE(C947, ""en"", ""ja""))"),"Samsung Galaxy Tab4 T530用ヴィンテージデザイン折りたたみスタンドケースカバー")</f>
        <v>Samsung Galaxy Tab4 T530用ヴィンテージデザイン折りたたみスタンドケースカバー</v>
      </c>
    </row>
    <row r="948" ht="15.75" customHeight="1">
      <c r="A948" s="1">
        <v>2421.0</v>
      </c>
      <c r="B948" s="1" t="s">
        <v>381</v>
      </c>
      <c r="C948" s="1" t="s">
        <v>930</v>
      </c>
      <c r="D948" s="1" t="str">
        <f>IFERROR(__xludf.DUMMYFUNCTION("CONCATENATE(GOOGLETRANSLATE(C948, ""en"", ""zh-cn""))
"),"折叠支架 PU 皮革保护套 适合三星 Galaxy Tab4 T530")</f>
        <v>折叠支架 PU 皮革保护套 适合三星 Galaxy Tab4 T530</v>
      </c>
      <c r="E948" s="1" t="str">
        <f>IFERROR(__xludf.DUMMYFUNCTION("CONCATENATE(GOOGLETRANSLATE(C948, ""en"", ""ko""))
"),"삼성 갤럭시 탭4 T530용 접이식 스탠드 PU 가죽 케이스 커버")</f>
        <v>삼성 갤럭시 탭4 T530용 접이식 스탠드 PU 가죽 케이스 커버</v>
      </c>
      <c r="F948" s="1" t="str">
        <f>IFERROR(__xludf.DUMMYFUNCTION("CONCATENATE(GOOGLETRANSLATE(C948, ""en"", ""ja""))"),"Samsung Galaxy Tab4 T530用折りたたみスタンドPUレザーケースカバー")</f>
        <v>Samsung Galaxy Tab4 T530用折りたたみスタンドPUレザーケースカバー</v>
      </c>
    </row>
    <row r="949" ht="15.75" customHeight="1">
      <c r="A949" s="1">
        <v>2422.0</v>
      </c>
      <c r="B949" s="1" t="s">
        <v>381</v>
      </c>
      <c r="C949" s="1" t="s">
        <v>931</v>
      </c>
      <c r="D949" s="1" t="str">
        <f>IFERROR(__xludf.DUMMYFUNCTION("CONCATENATE(GOOGLETRANSLATE(C949, ""en"", ""zh-cn""))
"),"Beta Pen 免费墨水笔创意金属签字中性笔无限循环使用铅笔")</f>
        <v>Beta Pen 免费墨水笔创意金属签字中性笔无限循环使用铅笔</v>
      </c>
      <c r="E949" s="1" t="str">
        <f>IFERROR(__xludf.DUMMYFUNCTION("CONCATENATE(GOOGLETRANSLATE(C949, ""en"", ""ko""))
"),"베타 펜 무료 잉크 펜 창의적인 금속 시그니처 젤 펜 연필을 사용하는 무한 루프")</f>
        <v>베타 펜 무료 잉크 펜 창의적인 금속 시그니처 젤 펜 연필을 사용하는 무한 루프</v>
      </c>
      <c r="F949" s="1" t="str">
        <f>IFERROR(__xludf.DUMMYFUNCTION("CONCATENATE(GOOGLETRANSLATE(C949, ""en"", ""ja""))"),"ベータペンフリーインクペンクリエイティブメタル署名ゲルペン無限ループ鉛筆を使用")</f>
        <v>ベータペンフリーインクペンクリエイティブメタル署名ゲルペン無限ループ鉛筆を使用</v>
      </c>
    </row>
    <row r="950" ht="15.75" customHeight="1">
      <c r="A950" s="1">
        <v>2423.0</v>
      </c>
      <c r="B950" s="1" t="s">
        <v>381</v>
      </c>
      <c r="C950" s="1" t="s">
        <v>932</v>
      </c>
      <c r="D950" s="1" t="str">
        <f>IFERROR(__xludf.DUMMYFUNCTION("CONCATENATE(GOOGLETRANSLATE(C950, ""en"", ""zh-cn""))
"),"2.4G 路由器天线 14DBI 高增益天线 RP-SMA 连接器 ")</f>
        <v>2.4G 路由器天线 14DBI 高增益天线 RP-SMA 连接器 </v>
      </c>
      <c r="E950" s="1" t="str">
        <f>IFERROR(__xludf.DUMMYFUNCTION("CONCATENATE(GOOGLETRANSLATE(C950, ""en"", ""ko""))
"),"2.4G 라우터 안테나 14DBI 고이득 안테나 RP-SMA 커넥터 ")</f>
        <v>2.4G 라우터 안테나 14DBI 고이득 안테나 RP-SMA 커넥터 </v>
      </c>
      <c r="F950" s="1" t="str">
        <f>IFERROR(__xludf.DUMMYFUNCTION("CONCATENATE(GOOGLETRANSLATE(C950, ""en"", ""ja""))"),"2.4G ルーター アンテナ 14DBI 高利得アンテナ RP-SMA コネクタ ")</f>
        <v>2.4G ルーター アンテナ 14DBI 高利得アンテナ RP-SMA コネクタ </v>
      </c>
    </row>
    <row r="951" ht="15.75" customHeight="1">
      <c r="A951" s="1">
        <v>2424.0</v>
      </c>
      <c r="B951" s="1" t="s">
        <v>381</v>
      </c>
      <c r="C951" s="1" t="s">
        <v>933</v>
      </c>
      <c r="D951" s="1" t="str">
        <f>IFERROR(__xludf.DUMMYFUNCTION("CONCATENATE(GOOGLETRANSLATE(C951, ""en"", ""zh-cn""))
"),"魔法少女 Folio PU 皮革折叠支架保护套 适用于 Ramos W41 W42 ")</f>
        <v>魔法少女 Folio PU 皮革折叠支架保护套 适用于 Ramos W41 W42 </v>
      </c>
      <c r="E951" s="1" t="str">
        <f>IFERROR(__xludf.DUMMYFUNCTION("CONCATENATE(GOOGLETRANSLATE(C951, ""en"", ""ko""))
"),"라모스 W41 W42용 마법 소녀 폴리오 PU 가죽 접이식 스탠드 케이스 ")</f>
        <v>라모스 W41 W42용 마법 소녀 폴리오 PU 가죽 접이식 스탠드 케이스 </v>
      </c>
      <c r="F951" s="1" t="str">
        <f>IFERROR(__xludf.DUMMYFUNCTION("CONCATENATE(GOOGLETRANSLATE(C951, ""en"", ""ja""))"),"魔法少女フォリオ PU レザー折りたたみスタンドケース Ramos W41 W42 用 ")</f>
        <v>魔法少女フォリオ PU レザー折りたたみスタンドケース Ramos W41 W42 用 </v>
      </c>
    </row>
    <row r="952" ht="15.75" customHeight="1">
      <c r="A952" s="1">
        <v>2425.0</v>
      </c>
      <c r="B952" s="1" t="s">
        <v>381</v>
      </c>
      <c r="C952" s="1" t="s">
        <v>934</v>
      </c>
      <c r="D952" s="1" t="str">
        <f>IFERROR(__xludf.DUMMYFUNCTION("CONCATENATE(GOOGLETRANSLATE(C952, ""en"", ""zh-cn""))
"),"Folio PU 皮革折叠支架保护套适用于 PIPO M7 平板电脑")</f>
        <v>Folio PU 皮革折叠支架保护套适用于 PIPO M7 平板电脑</v>
      </c>
      <c r="E952" s="1" t="str">
        <f>IFERROR(__xludf.DUMMYFUNCTION("CONCATENATE(GOOGLETRANSLATE(C952, ""en"", ""ko""))
"),"PIPO M7 태블릿용 폴리오 PU 가죽 접이식 스탠드 케이스 커버")</f>
        <v>PIPO M7 태블릿용 폴리오 PU 가죽 접이식 스탠드 케이스 커버</v>
      </c>
      <c r="F952" s="1" t="str">
        <f>IFERROR(__xludf.DUMMYFUNCTION("CONCATENATE(GOOGLETRANSLATE(C952, ""en"", ""ja""))"),"PIPO M7 タブレット用フォリオ PU レザー折りたたみスタンド ケース カバー")</f>
        <v>PIPO M7 タブレット用フォリオ PU レザー折りたたみスタンド ケース カバー</v>
      </c>
    </row>
    <row r="953" ht="15.75" customHeight="1">
      <c r="A953" s="1">
        <v>2426.0</v>
      </c>
      <c r="B953" s="1" t="s">
        <v>381</v>
      </c>
      <c r="C953" s="1" t="s">
        <v>935</v>
      </c>
      <c r="D953" s="1" t="str">
        <f>IFERROR(__xludf.DUMMYFUNCTION("CONCATENATE(GOOGLETRANSLATE(C953, ""en"", ""zh-cn""))
"),"Folio PU 皮革折叠支架保护套适用于 Chuwi V99 平板电脑")</f>
        <v>Folio PU 皮革折叠支架保护套适用于 Chuwi V99 平板电脑</v>
      </c>
      <c r="E953" s="1" t="str">
        <f>IFERROR(__xludf.DUMMYFUNCTION("CONCATENATE(GOOGLETRANSLATE(C953, ""en"", ""ko""))
"),"Chuwi V99 태블릿용 폴리오 PU 가죽 접이식 스탠드 케이스 커버")</f>
        <v>Chuwi V99 태블릿용 폴리오 PU 가죽 접이식 스탠드 케이스 커버</v>
      </c>
      <c r="F953" s="1" t="str">
        <f>IFERROR(__xludf.DUMMYFUNCTION("CONCATENATE(GOOGLETRANSLATE(C953, ""en"", ""ja""))"),"Chuwi V99 タブレット用フォリオ PU レザー折りたたみスタンド ケース カバー")</f>
        <v>Chuwi V99 タブレット用フォリオ PU レザー折りたたみスタンド ケース カバー</v>
      </c>
    </row>
    <row r="954" ht="15.75" customHeight="1">
      <c r="A954" s="1">
        <v>2427.0</v>
      </c>
      <c r="B954" s="1" t="s">
        <v>381</v>
      </c>
      <c r="C954" s="1" t="s">
        <v>936</v>
      </c>
      <c r="D954" s="1" t="str">
        <f>IFERROR(__xludf.DUMMYFUNCTION("CONCATENATE(GOOGLETRANSLATE(C954, ""en"", ""zh-cn""))
"),"PIPO M9 三折超薄对开 PU 皮革折叠支架保护套")</f>
        <v>PIPO M9 三折超薄对开 PU 皮革折叠支架保护套</v>
      </c>
      <c r="E954" s="1" t="str">
        <f>IFERROR(__xludf.DUMMYFUNCTION("CONCATENATE(GOOGLETRANSLATE(C954, ""en"", ""ko""))
"),"PIPO M9용 삼중 초박형 폴리오 PU 가죽 접이식 스탠드 케이스")</f>
        <v>PIPO M9용 삼중 초박형 폴리오 PU 가죽 접이식 스탠드 케이스</v>
      </c>
      <c r="F954" s="1" t="str">
        <f>IFERROR(__xludf.DUMMYFUNCTION("CONCATENATE(GOOGLETRANSLATE(C954, ""en"", ""ja""))"),"PIPO M9用三つ折り超薄型フォリオPUレザー折りたたみスタンドケース")</f>
        <v>PIPO M9用三つ折り超薄型フォリオPUレザー折りたたみスタンドケース</v>
      </c>
    </row>
    <row r="955" ht="15.75" customHeight="1">
      <c r="A955" s="1">
        <v>2428.0</v>
      </c>
      <c r="B955" s="1" t="s">
        <v>381</v>
      </c>
      <c r="C955" s="1" t="s">
        <v>937</v>
      </c>
      <c r="D955" s="1" t="str">
        <f>IFERROR(__xludf.DUMMYFUNCTION("CONCATENATE(GOOGLETRANSLATE(C955, ""en"", ""zh-cn""))
"),"简单折叠支架保护套适用于 AMPE A88 SANEI N82 平板电脑")</f>
        <v>简单折叠支架保护套适用于 AMPE A88 SANEI N82 平板电脑</v>
      </c>
      <c r="E955" s="1" t="str">
        <f>IFERROR(__xludf.DUMMYFUNCTION("CONCATENATE(GOOGLETRANSLATE(C955, ""en"", ""ko""))
"),"AMPE A88 SANEI N82 태블릿용 간단한 접이식 스탠드 케이스 커버")</f>
        <v>AMPE A88 SANEI N82 태블릿용 간단한 접이식 스탠드 케이스 커버</v>
      </c>
      <c r="F955" s="1" t="str">
        <f>IFERROR(__xludf.DUMMYFUNCTION("CONCATENATE(GOOGLETRANSLATE(C955, ""en"", ""ja""))"),"AMPE A88 SANEI N82 タブレット用シンプル折りたたみスタンドケースカバー")</f>
        <v>AMPE A88 SANEI N82 タブレット用シンプル折りたたみスタンドケースカバー</v>
      </c>
    </row>
    <row r="956" ht="15.75" customHeight="1">
      <c r="A956" s="1">
        <v>2429.0</v>
      </c>
      <c r="B956" s="1" t="s">
        <v>381</v>
      </c>
      <c r="C956" s="1" t="s">
        <v>938</v>
      </c>
      <c r="D956" s="1" t="str">
        <f>IFERROR(__xludf.DUMMYFUNCTION("CONCATENATE(GOOGLETRANSLATE(C956, ""en"", ""zh-cn""))
"),"撞色 PU 皮套带卡夹适用于 Google Nexus 7 2nd")</f>
        <v>撞色 PU 皮套带卡夹适用于 Google Nexus 7 2nd</v>
      </c>
      <c r="E956" s="1" t="str">
        <f>IFERROR(__xludf.DUMMYFUNCTION("CONCATENATE(GOOGLETRANSLATE(C956, ""en"", ""ko""))
"),"Google Nexus 7 2용 카드 홀더가 있는 대비색 PU 가죽 케이스")</f>
        <v>Google Nexus 7 2용 카드 홀더가 있는 대비색 PU 가죽 케이스</v>
      </c>
      <c r="F956" s="1" t="str">
        <f>IFERROR(__xludf.DUMMYFUNCTION("CONCATENATE(GOOGLETRANSLATE(C956, ""en"", ""ja""))"),"Google Nexus 7 2nd用カードホルダー付きコントラストカラーPUレザーケース")</f>
        <v>Google Nexus 7 2nd用カードホルダー付きコントラストカラーPUレザーケース</v>
      </c>
    </row>
    <row r="957" ht="15.75" customHeight="1">
      <c r="A957" s="1">
        <v>2430.0</v>
      </c>
      <c r="B957" s="1" t="s">
        <v>381</v>
      </c>
      <c r="C957" s="1" t="s">
        <v>939</v>
      </c>
      <c r="D957" s="1" t="str">
        <f>IFERROR(__xludf.DUMMYFUNCTION("CONCATENATE(GOOGLETRANSLATE(C957, ""en"", ""zh-cn""))
"),"三折超薄对开 PU 皮套 适用于驰为 V88 V88S")</f>
        <v>三折超薄对开 PU 皮套 适用于驰为 V88 V88S</v>
      </c>
      <c r="E957" s="1" t="str">
        <f>IFERROR(__xludf.DUMMYFUNCTION("CONCATENATE(GOOGLETRANSLATE(C957, ""en"", ""ko""))
"),"Chuwi V88 V88S용 삼중 초박형 폴리오 PU 가죽 케이스")</f>
        <v>Chuwi V88 V88S용 삼중 초박형 폴리오 PU 가죽 케이스</v>
      </c>
      <c r="F957" s="1" t="str">
        <f>IFERROR(__xludf.DUMMYFUNCTION("CONCATENATE(GOOGLETRANSLATE(C957, ""en"", ""ja""))"),"Chuwi V88 V88S 用三つ折り超薄型フォリオ PU レザーケース")</f>
        <v>Chuwi V88 V88S 用三つ折り超薄型フォリオ PU レザーケース</v>
      </c>
    </row>
    <row r="958" ht="15.75" customHeight="1">
      <c r="A958" s="1">
        <v>2431.0</v>
      </c>
      <c r="B958" s="1" t="s">
        <v>381</v>
      </c>
      <c r="C958" s="1" t="s">
        <v>940</v>
      </c>
      <c r="D958" s="1" t="str">
        <f>IFERROR(__xludf.DUMMYFUNCTION("CONCATENATE(GOOGLETRANSLATE(C958, ""en"", ""zh-cn""))
"),"足球足球裁判笔记本用铅笔黄牌和红牌")</f>
        <v>足球足球裁判笔记本用铅笔黄牌和红牌</v>
      </c>
      <c r="E958" s="1" t="str">
        <f>IFERROR(__xludf.DUMMYFUNCTION("CONCATENATE(GOOGLETRANSLATE(C958, ""en"", ""ko""))
"),"연필 노란색과 빨간색 카드가 포함된 축구-축구 심판 노트")</f>
        <v>연필 노란색과 빨간색 카드가 포함된 축구-축구 심판 노트</v>
      </c>
      <c r="F958" s="1" t="str">
        <f>IFERROR(__xludf.DUMMYFUNCTION("CONCATENATE(GOOGLETRANSLATE(C958, ""en"", ""ja""))"),"サッカー フットボール審判ノート 鉛筆イエローカードとレッドカード付き")</f>
        <v>サッカー フットボール審判ノート 鉛筆イエローカードとレッドカード付き</v>
      </c>
    </row>
    <row r="959" ht="15.75" customHeight="1">
      <c r="A959" s="1">
        <v>2432.0</v>
      </c>
      <c r="B959" s="1" t="s">
        <v>381</v>
      </c>
      <c r="C959" s="1" t="s">
        <v>941</v>
      </c>
      <c r="D959" s="1" t="str">
        <f>IFERROR(__xludf.DUMMYFUNCTION("CONCATENATE(GOOGLETRANSLATE(C959, ""en"", ""zh-cn""))
"),"0.2mm 0.35mm 0.4mm 0.5mm 3D打印机挤出机黄铜喷嘴喷头")</f>
        <v>0.2mm 0.35mm 0.4mm 0.5mm 3D打印机挤出机黄铜喷嘴喷头</v>
      </c>
      <c r="E959" s="1" t="str">
        <f>IFERROR(__xludf.DUMMYFUNCTION("CONCATENATE(GOOGLETRANSLATE(C959, ""en"", ""ko""))
"),"0.2mm 0.35mm 0.4mm 0.5mm 3D 프린터 압출기 황동 노즐 스프링클러 헤드")</f>
        <v>0.2mm 0.35mm 0.4mm 0.5mm 3D 프린터 압출기 황동 노즐 스프링클러 헤드</v>
      </c>
      <c r="F959" s="1" t="str">
        <f>IFERROR(__xludf.DUMMYFUNCTION("CONCATENATE(GOOGLETRANSLATE(C959, ""en"", ""ja""))"),"0.2 ミリメートル 0.35 ミリメートル 0.4 ミリメートル 0.5 ミリメートル 3D プリンタ押出機真鍮ノズルスプリンクラーヘッド")</f>
        <v>0.2 ミリメートル 0.35 ミリメートル 0.4 ミリメートル 0.5 ミリメートル 3D プリンタ押出機真鍮ノズルスプリンクラーヘッド</v>
      </c>
    </row>
    <row r="960" ht="15.75" customHeight="1">
      <c r="A960" s="1">
        <v>2433.0</v>
      </c>
      <c r="B960" s="1" t="s">
        <v>381</v>
      </c>
      <c r="C960" s="1" t="s">
        <v>942</v>
      </c>
      <c r="D960" s="1" t="str">
        <f>IFERROR(__xludf.DUMMYFUNCTION("CONCATENATE(GOOGLETRANSLATE(C960, ""en"", ""zh-cn""))
"),"防震球硅胶套 适用于 Google Nexus 7 II")</f>
        <v>防震球硅胶套 适用于 Google Nexus 7 II</v>
      </c>
      <c r="E960" s="1" t="str">
        <f>IFERROR(__xludf.DUMMYFUNCTION("CONCATENATE(GOOGLETRANSLATE(C960, ""en"", ""ko""))
"),"Google Nexus 7 II용 충격 방지 볼 실리콘 케이스")</f>
        <v>Google Nexus 7 II용 충격 방지 볼 실리콘 케이스</v>
      </c>
      <c r="F960" s="1" t="str">
        <f>IFERROR(__xludf.DUMMYFUNCTION("CONCATENATE(GOOGLETRANSLATE(C960, ""en"", ""ja""))"),"Google Nexus 7 II 用耐衝撃ボールシリコンケース")</f>
        <v>Google Nexus 7 II 用耐衝撃ボールシリコンケース</v>
      </c>
    </row>
    <row r="961" ht="15.75" customHeight="1">
      <c r="A961" s="1">
        <v>2434.0</v>
      </c>
      <c r="B961" s="1" t="s">
        <v>381</v>
      </c>
      <c r="C961" s="1" t="s">
        <v>943</v>
      </c>
      <c r="D961" s="1" t="str">
        <f>IFERROR(__xludf.DUMMYFUNCTION("CONCATENATE(GOOGLETRANSLATE(C961, ""en"", ""zh-cn""))
"),"2.5寸酒店脚轮定向万向刹车静音轮")</f>
        <v>2.5寸酒店脚轮定向万向刹车静音轮</v>
      </c>
      <c r="E961" s="1" t="str">
        <f>IFERROR(__xludf.DUMMYFUNCTION("CONCATENATE(GOOGLETRANSLATE(C961, ""en"", ""ko""))
"),"2.5인치 호텔 캐스터 방향성 범용 브레이크 음소거 휠")</f>
        <v>2.5인치 호텔 캐스터 방향성 범용 브레이크 음소거 휠</v>
      </c>
      <c r="F961" s="1" t="str">
        <f>IFERROR(__xludf.DUMMYFUNCTION("CONCATENATE(GOOGLETRANSLATE(C961, ""en"", ""ja""))"),"2.5インチホテルキャスター方向性ユニバーサルブレーキミュートホイール")</f>
        <v>2.5インチホテルキャスター方向性ユニバーサルブレーキミュートホイール</v>
      </c>
    </row>
    <row r="962" ht="15.75" customHeight="1">
      <c r="A962" s="1">
        <v>2435.0</v>
      </c>
      <c r="B962" s="1" t="s">
        <v>381</v>
      </c>
      <c r="C962" s="1" t="s">
        <v>944</v>
      </c>
      <c r="D962" s="1" t="str">
        <f>IFERROR(__xludf.DUMMYFUNCTION("CONCATENATE(GOOGLETRANSLATE(C962, ""en"", ""zh-cn""))
"),"PIPO W6 对开 PU 皮套折叠支架套")</f>
        <v>PIPO W6 对开 PU 皮套折叠支架套</v>
      </c>
      <c r="E962" s="1" t="str">
        <f>IFERROR(__xludf.DUMMYFUNCTION("CONCATENATE(GOOGLETRANSLATE(C962, ""en"", ""ko""))
"),"PIPO W6용 폴리오 PU 가죽 케이스 접이식 스탠드 커버")</f>
        <v>PIPO W6용 폴리오 PU 가죽 케이스 접이식 스탠드 커버</v>
      </c>
      <c r="F962" s="1" t="str">
        <f>IFERROR(__xludf.DUMMYFUNCTION("CONCATENATE(GOOGLETRANSLATE(C962, ""en"", ""ja""))"),"PIPO W6用フォリオPUレザーケース折りたたみスタンドカバー")</f>
        <v>PIPO W6用フォリオPUレザーケース折りたたみスタンドカバー</v>
      </c>
    </row>
    <row r="963" ht="15.75" customHeight="1">
      <c r="A963" s="1">
        <v>2436.0</v>
      </c>
      <c r="B963" s="1" t="s">
        <v>381</v>
      </c>
      <c r="C963" s="1" t="s">
        <v>945</v>
      </c>
      <c r="D963" s="1" t="str">
        <f>IFERROR(__xludf.DUMMYFUNCTION("CONCATENATE(GOOGLETRANSLATE(C963, ""en"", ""zh-cn""))
"),"PIPO M9 平板电脑外部 LCD 显示屏更换维修零件")</f>
        <v>PIPO M9 平板电脑外部 LCD 显示屏更换维修零件</v>
      </c>
      <c r="E963" s="1" t="str">
        <f>IFERROR(__xludf.DUMMYFUNCTION("CONCATENATE(GOOGLETRANSLATE(C963, ""en"", ""ko""))
"),"PIPO M9 태블릿용 외부 LCD 디스플레이 화면 교체 수리부품")</f>
        <v>PIPO M9 태블릿용 외부 LCD 디스플레이 화면 교체 수리부품</v>
      </c>
      <c r="F963" s="1" t="str">
        <f>IFERROR(__xludf.DUMMYFUNCTION("CONCATENATE(GOOGLETRANSLATE(C963, ""en"", ""ja""))"),"PIPO M9 タブレット用外側 LCD ディスプレイ画面交換修理部品")</f>
        <v>PIPO M9 タブレット用外側 LCD ディスプレイ画面交換修理部品</v>
      </c>
    </row>
    <row r="964" ht="15.75" customHeight="1">
      <c r="A964" s="1">
        <v>2437.0</v>
      </c>
      <c r="B964" s="1" t="s">
        <v>381</v>
      </c>
      <c r="C964" s="1" t="s">
        <v>946</v>
      </c>
      <c r="D964" s="1" t="str">
        <f>IFERROR(__xludf.DUMMYFUNCTION("CONCATENATE(GOOGLETRANSLATE(C964, ""en"", ""zh-cn""))
"),"9.7 英寸 PIPO M6 平板电脑皮套带折叠支架")</f>
        <v>9.7 英寸 PIPO M6 平板电脑皮套带折叠支架</v>
      </c>
      <c r="E964" s="1" t="str">
        <f>IFERROR(__xludf.DUMMYFUNCTION("CONCATENATE(GOOGLETRANSLATE(C964, ""en"", ""ko""))
"),"PIPO M6 태블릿용 접이식 스탠드가 있는 9.7인치 가죽 케이스")</f>
        <v>PIPO M6 태블릿용 접이식 스탠드가 있는 9.7인치 가죽 케이스</v>
      </c>
      <c r="F964" s="1" t="str">
        <f>IFERROR(__xludf.DUMMYFUNCTION("CONCATENATE(GOOGLETRANSLATE(C964, ""en"", ""ja""))"),"PIPO M6 タブレット用折りたたみスタンド付き 9.7 インチ レザーケース")</f>
        <v>PIPO M6 タブレット用折りたたみスタンド付き 9.7 インチ レザーケース</v>
      </c>
    </row>
    <row r="965" ht="15.75" customHeight="1">
      <c r="A965" s="1">
        <v>2438.0</v>
      </c>
      <c r="B965" s="1" t="s">
        <v>381</v>
      </c>
      <c r="C965" s="1" t="s">
        <v>947</v>
      </c>
      <c r="D965" s="1" t="str">
        <f>IFERROR(__xludf.DUMMYFUNCTION("CONCATENATE(GOOGLETRANSLATE(C965, ""en"", ""zh-cn""))
"),"9 英寸 PU 皮套带折叠支架适用于联想 A2109 平板电脑")</f>
        <v>9 英寸 PU 皮套带折叠支架适用于联想 A2109 平板电脑</v>
      </c>
      <c r="E965" s="1" t="str">
        <f>IFERROR(__xludf.DUMMYFUNCTION("CONCATENATE(GOOGLETRANSLATE(C965, ""en"", ""ko""))
"),"Lenovo A2109 태블릿 PC용 접이식 스탠드가 있는 9인치 PU 가죽 케이스")</f>
        <v>Lenovo A2109 태블릿 PC용 접이식 스탠드가 있는 9인치 PU 가죽 케이스</v>
      </c>
      <c r="F965" s="1" t="str">
        <f>IFERROR(__xludf.DUMMYFUNCTION("CONCATENATE(GOOGLETRANSLATE(C965, ""en"", ""ja""))"),"Lenovo A2109 タブレット PC 用折りたたみスタンド付き 9 インチ PU レザーケース")</f>
        <v>Lenovo A2109 タブレット PC 用折りたたみスタンド付き 9 インチ PU レザーケース</v>
      </c>
    </row>
    <row r="966" ht="15.75" customHeight="1">
      <c r="A966" s="1">
        <v>2439.0</v>
      </c>
      <c r="B966" s="1" t="s">
        <v>381</v>
      </c>
      <c r="C966" s="1" t="s">
        <v>948</v>
      </c>
      <c r="D966" s="1" t="str">
        <f>IFERROR(__xludf.DUMMYFUNCTION("CONCATENATE(GOOGLETRANSLATE(C966, ""en"", ""zh-cn""))
"),"卡哇伊可爱动物卡通翻转线圈随身携带迷你便携式笔记本口袋记事本学校办公文具用品学生")</f>
        <v>卡哇伊可爱动物卡通翻转线圈随身携带迷你便携式笔记本口袋记事本学校办公文具用品学生</v>
      </c>
      <c r="E966" s="1" t="str">
        <f>IFERROR(__xludf.DUMMYFUNCTION("CONCATENATE(GOOGLETRANSLATE(C966, ""en"", ""ko""))
"),"Kawaii 귀여운 동물 만화 롤오버 코일 운반 미니 휴대용 노트북 포켓 메모장 학생을위한 학교 사무용품 용품")</f>
        <v>Kawaii 귀여운 동물 만화 롤오버 코일 운반 미니 휴대용 노트북 포켓 메모장 학생을위한 학교 사무용품 용품</v>
      </c>
      <c r="F966" s="1" t="str">
        <f>IFERROR(__xludf.DUMMYFUNCTION("CONCATENATE(GOOGLETRANSLATE(C966, ""en"", ""ja""))"),"かわいいかわいい動物漫画ロールオーバーコイルキャリーミニポータブルノートブックポケットメモ帳スクールオフィス文具用品学生のための")</f>
        <v>かわいいかわいい動物漫画ロールオーバーコイルキャリーミニポータブルノートブックポケットメモ帳スクールオフィス文具用品学生のための</v>
      </c>
    </row>
    <row r="967" ht="15.75" customHeight="1">
      <c r="A967" s="1">
        <v>2440.0</v>
      </c>
      <c r="B967" s="1" t="s">
        <v>381</v>
      </c>
      <c r="C967" s="1" t="s">
        <v>949</v>
      </c>
      <c r="D967" s="1" t="str">
        <f>IFERROR(__xludf.DUMMYFUNCTION("CONCATENATE(GOOGLETRANSLATE(C967, ""en"", ""zh-cn""))
"),"PIPO U8 平板电脑对开 PU 皮套折叠支架")</f>
        <v>PIPO U8 平板电脑对开 PU 皮套折叠支架</v>
      </c>
      <c r="E967" s="1" t="str">
        <f>IFERROR(__xludf.DUMMYFUNCTION("CONCATENATE(GOOGLETRANSLATE(C967, ""en"", ""ko""))
"),"PIPO U8 태블릿용 폴리오 PU 가죽 케이스 접이식 스탠드")</f>
        <v>PIPO U8 태블릿용 폴리오 PU 가죽 케이스 접이식 스탠드</v>
      </c>
      <c r="F967" s="1" t="str">
        <f>IFERROR(__xludf.DUMMYFUNCTION("CONCATENATE(GOOGLETRANSLATE(C967, ""en"", ""ja""))"),"PIPO U8タブレット用フォリオPUレザーケース折りたたみスタンド")</f>
        <v>PIPO U8タブレット用フォリオPUレザーケース折りたたみスタンド</v>
      </c>
    </row>
    <row r="968" ht="15.75" customHeight="1">
      <c r="A968" s="1">
        <v>2441.0</v>
      </c>
      <c r="B968" s="1" t="s">
        <v>381</v>
      </c>
      <c r="C968" s="1" t="s">
        <v>950</v>
      </c>
      <c r="D968" s="1" t="str">
        <f>IFERROR(__xludf.DUMMYFUNCTION("CONCATENATE(GOOGLETRANSLATE(C968, ""en"", ""zh-cn""))
"),"车载充电器适配器适用于华硕 Eee Pad TF101 TF201 TF300 TF700")</f>
        <v>车载充电器适配器适用于华硕 Eee Pad TF101 TF201 TF300 TF700</v>
      </c>
      <c r="E968" s="1" t="str">
        <f>IFERROR(__xludf.DUMMYFUNCTION("CONCATENATE(GOOGLETRANSLATE(C968, ""en"", ""ko""))
"),"ASUS Eee Pad TF101 TF201 TF300 TF700용 차량용 충전기 어댑터")</f>
        <v>ASUS Eee Pad TF101 TF201 TF300 TF700용 차량용 충전기 어댑터</v>
      </c>
      <c r="F968" s="1" t="str">
        <f>IFERROR(__xludf.DUMMYFUNCTION("CONCATENATE(GOOGLETRANSLATE(C968, ""en"", ""ja""))"),"車の充電アダプタ Asus Eee パッド TF101 TF201 TF300 TF700")</f>
        <v>車の充電アダプタ Asus Eee パッド TF101 TF201 TF300 TF700</v>
      </c>
    </row>
    <row r="969" ht="15.75" customHeight="1">
      <c r="A969" s="1">
        <v>2442.0</v>
      </c>
      <c r="B969" s="1" t="s">
        <v>381</v>
      </c>
      <c r="C969" s="1" t="s">
        <v>951</v>
      </c>
      <c r="D969" s="1" t="str">
        <f>IFERROR(__xludf.DUMMYFUNCTION("CONCATENATE(GOOGLETRANSLATE(C969, ""en"", ""zh-cn""))
"),"疯马纹 PU 折叠支架保护套 适用于三星 T110")</f>
        <v>疯马纹 PU 折叠支架保护套 适用于三星 T110</v>
      </c>
      <c r="E969" s="1" t="str">
        <f>IFERROR(__xludf.DUMMYFUNCTION("CONCATENATE(GOOGLETRANSLATE(C969, ""en"", ""ko""))
"),"삼성 T110용 크레이지 호스 그레인 PU 접이식 스탠드 홀더 케이스")</f>
        <v>삼성 T110용 크레이지 호스 그레인 PU 접이식 스탠드 홀더 케이스</v>
      </c>
      <c r="F969" s="1" t="str">
        <f>IFERROR(__xludf.DUMMYFUNCTION("CONCATENATE(GOOGLETRANSLATE(C969, ""en"", ""ja""))"),"SAMSUNG T110用Crazy Horse Grain PU折りたたみスタンドホルダーケース")</f>
        <v>SAMSUNG T110用Crazy Horse Grain PU折りたたみスタンドホルダーケース</v>
      </c>
    </row>
    <row r="970" ht="15.75" customHeight="1">
      <c r="A970" s="1">
        <v>2443.0</v>
      </c>
      <c r="B970" s="1" t="s">
        <v>381</v>
      </c>
      <c r="C970" s="1" t="s">
        <v>952</v>
      </c>
      <c r="D970" s="1" t="str">
        <f>IFERROR(__xludf.DUMMYFUNCTION("CONCATENATE(GOOGLETRANSLATE(C970, ""en"", ""zh-cn""))
"),"INSMA 4K HDMI 1.4 电缆 0.5/1/1.5/2/3m HDMI 公头转 HDMI 公头电缆 1080P 120HZ 18Gbps 镀金连接器")</f>
        <v>INSMA 4K HDMI 1.4 电缆 0.5/1/1.5/2/3m HDMI 公头转 HDMI 公头电缆 1080P 120HZ 18Gbps 镀金连接器</v>
      </c>
      <c r="E970" s="1" t="str">
        <f>IFERROR(__xludf.DUMMYFUNCTION("CONCATENATE(GOOGLETRANSLATE(C970, ""en"", ""ko""))
"),"INSMA 4K HDMI 1.4 케이블 0.5/1/1.5/2/3m HDMI 남성-HDMI 남성 케이블 1080P 120HZ 18Gbps 금도금 커넥터")</f>
        <v>INSMA 4K HDMI 1.4 케이블 0.5/1/1.5/2/3m HDMI 남성-HDMI 남성 케이블 1080P 120HZ 18Gbps 금도금 커넥터</v>
      </c>
      <c r="F970" s="1" t="str">
        <f>IFERROR(__xludf.DUMMYFUNCTION("CONCATENATE(GOOGLETRANSLATE(C970, ""en"", ""ja""))"),"INSMA 4K HDMI 1.4 ケーブル 0.5/1/1.5/2/3m HDMI オス - HDMI オスケーブル 1080P 120HZ 18Gbps 金メッキコネクタ")</f>
        <v>INSMA 4K HDMI 1.4 ケーブル 0.5/1/1.5/2/3m HDMI オス - HDMI オスケーブル 1080P 120HZ 18Gbps 金メッキコネクタ</v>
      </c>
    </row>
    <row r="971" ht="15.75" customHeight="1">
      <c r="A971" s="1">
        <v>2444.0</v>
      </c>
      <c r="B971" s="1" t="s">
        <v>381</v>
      </c>
      <c r="C971" s="1" t="s">
        <v>953</v>
      </c>
      <c r="D971" s="1" t="str">
        <f>IFERROR(__xludf.DUMMYFUNCTION("CONCATENATE(GOOGLETRANSLATE(C971, ""en"", ""zh-cn""))
"),"对开式皮革保护套，带支架，适用于 Ampe A78 Sanei N79 平板电脑")</f>
        <v>对开式皮革保护套，带支架，适用于 Ampe A78 Sanei N79 平板电脑</v>
      </c>
      <c r="E971" s="1" t="str">
        <f>IFERROR(__xludf.DUMMYFUNCTION("CONCATENATE(GOOGLETRANSLATE(C971, ""en"", ""ko""))
"),"Ampe A78 Sanei N79 태블릿용 스탠드가 있는 폴리오 가죽 케이스")</f>
        <v>Ampe A78 Sanei N79 태블릿용 스탠드가 있는 폴리오 가죽 케이스</v>
      </c>
      <c r="F971" s="1" t="str">
        <f>IFERROR(__xludf.DUMMYFUNCTION("CONCATENATE(GOOGLETRANSLATE(C971, ""en"", ""ja""))"),"Ampe A78 Sanei N79 タブレット用スタンド付きフォリオレザーケース")</f>
        <v>Ampe A78 Sanei N79 タブレット用スタンド付きフォリオレザーケース</v>
      </c>
    </row>
    <row r="972" ht="15.75" customHeight="1">
      <c r="A972" s="1">
        <v>2445.0</v>
      </c>
      <c r="B972" s="1" t="s">
        <v>381</v>
      </c>
      <c r="C972" s="1" t="s">
        <v>954</v>
      </c>
      <c r="D972" s="1" t="str">
        <f>IFERROR(__xludf.DUMMYFUNCTION("CONCATENATE(GOOGLETRANSLATE(C972, ""en"", ""zh-cn""))
"),"对开皮套，带折叠支架，适用于 Ainol Hero 平板电脑")</f>
        <v>对开皮套，带折叠支架，适用于 Ainol Hero 平板电脑</v>
      </c>
      <c r="E972" s="1" t="str">
        <f>IFERROR(__xludf.DUMMYFUNCTION("CONCATENATE(GOOGLETRANSLATE(C972, ""en"", ""ko""))
"),"Ainol Hero 태블릿용 접이식 스탠드가 있는 폴리오 가죽 케이스 파우치")</f>
        <v>Ainol Hero 태블릿용 접이식 스탠드가 있는 폴리오 가죽 케이스 파우치</v>
      </c>
      <c r="F972" s="1" t="str">
        <f>IFERROR(__xludf.DUMMYFUNCTION("CONCATENATE(GOOGLETRANSLATE(C972, ""en"", ""ja""))"),"Ainol Hero タブレット用折りたたみスタンド付きフォリオレザーケースポーチ")</f>
        <v>Ainol Hero タブレット用折りたたみスタンド付きフォリオレザーケースポーチ</v>
      </c>
    </row>
    <row r="973" ht="15.75" customHeight="1">
      <c r="A973" s="1">
        <v>2446.0</v>
      </c>
      <c r="B973" s="1" t="s">
        <v>381</v>
      </c>
      <c r="C973" s="1" t="s">
        <v>955</v>
      </c>
      <c r="D973" s="1" t="str">
        <f>IFERROR(__xludf.DUMMYFUNCTION("CONCATENATE(GOOGLETRANSLATE(C973, ""en"", ""zh-cn""))
"),"Q8 平板电脑外部 LCD 显示屏更换维修零件")</f>
        <v>Q8 平板电脑外部 LCD 显示屏更换维修零件</v>
      </c>
      <c r="E973" s="1" t="str">
        <f>IFERROR(__xludf.DUMMYFUNCTION("CONCATENATE(GOOGLETRANSLATE(C973, ""en"", ""ko""))
"),"Q8 태블릿용 외부 LCD 디스플레이 화면 교체 수리부품")</f>
        <v>Q8 태블릿용 외부 LCD 디스플레이 화면 교체 수리부품</v>
      </c>
      <c r="F973" s="1" t="str">
        <f>IFERROR(__xludf.DUMMYFUNCTION("CONCATENATE(GOOGLETRANSLATE(C973, ""en"", ""ja""))"),"Q8 タブレット用外側 LCD ディスプレイ画面交換修理部品")</f>
        <v>Q8 タブレット用外側 LCD ディスプレイ画面交換修理部品</v>
      </c>
    </row>
    <row r="974" ht="15.75" customHeight="1">
      <c r="A974" s="1">
        <v>2447.0</v>
      </c>
      <c r="B974" s="1" t="s">
        <v>381</v>
      </c>
      <c r="C974" s="1" t="s">
        <v>956</v>
      </c>
      <c r="D974" s="1" t="str">
        <f>IFERROR(__xludf.DUMMYFUNCTION("CONCATENATE(GOOGLETRANSLATE(C974, ""en"", ""zh-cn""))
"),"平板电脑通用 14CM 高清公转 VGA 母转接线 ")</f>
        <v>平板电脑通用 14CM 高清公转 VGA 母转接线 </v>
      </c>
      <c r="E974" s="1" t="str">
        <f>IFERROR(__xludf.DUMMYFUNCTION("CONCATENATE(GOOGLETRANSLATE(C974, ""en"", ""ko""))
"),"태블릿 PC용 VGA 여성 전환 케이블에 대한 범용 14CM HD 남성 ")</f>
        <v>태블릿 PC용 VGA 여성 전환 케이블에 대한 범용 14CM HD 남성 </v>
      </c>
      <c r="F974" s="1" t="str">
        <f>IFERROR(__xludf.DUMMYFUNCTION("CONCATENATE(GOOGLETRANSLATE(C974, ""en"", ""ja""))"),"ユニバーサル 14 センチメートル HD オス - VGA メス移行ケーブル (タブレット PC 用) ")</f>
        <v>ユニバーサル 14 センチメートル HD オス - VGA メス移行ケーブル (タブレット PC 用) </v>
      </c>
    </row>
    <row r="975" ht="15.75" customHeight="1">
      <c r="A975" s="1">
        <v>2448.0</v>
      </c>
      <c r="B975" s="1" t="s">
        <v>381</v>
      </c>
      <c r="C975" s="1" t="s">
        <v>957</v>
      </c>
      <c r="D975" s="1" t="str">
        <f>IFERROR(__xludf.DUMMYFUNCTION("CONCATENATE(GOOGLETRANSLATE(C975, ""en"", ""zh-cn""))
"),"15 *15CM 6 件帆布画板亚麻籽油画框画板初学者油画用品")</f>
        <v>15 *15CM 6 件帆布画板亚麻籽油画框画板初学者油画用品</v>
      </c>
      <c r="E975" s="1" t="str">
        <f>IFERROR(__xludf.DUMMYFUNCTION("CONCATENATE(GOOGLETRANSLATE(C975, ""en"", ""ko""))
"),"15*15CM 6Pcs 캔버스 아트 보드 아마씨 유화 프레임 드로잉 보드 초보자를위한 유화 용품")</f>
        <v>15*15CM 6Pcs 캔버스 아트 보드 아마씨 유화 프레임 드로잉 보드 초보자를위한 유화 용품</v>
      </c>
      <c r="F975" s="1" t="str">
        <f>IFERROR(__xludf.DUMMYFUNCTION("CONCATENATE(GOOGLETRANSLATE(C975, ""en"", ""ja""))"),"15*15 センチメートル 6 個キャンバスアートボード亜麻仁油絵フレーム描画ボード初心者のための油絵用品")</f>
        <v>15*15 センチメートル 6 個キャンバスアートボード亜麻仁油絵フレーム描画ボード初心者のための油絵用品</v>
      </c>
    </row>
    <row r="976" ht="15.75" customHeight="1">
      <c r="A976" s="1">
        <v>2449.0</v>
      </c>
      <c r="B976" s="1" t="s">
        <v>381</v>
      </c>
      <c r="C976" s="1" t="s">
        <v>958</v>
      </c>
      <c r="D976" s="1" t="str">
        <f>IFERROR(__xludf.DUMMYFUNCTION("CONCATENATE(GOOGLETRANSLATE(C976, ""en"", ""zh-cn""))
"),"Cidy 1 件标签贴纸打印机色带便利标签条热敏迷你可爱打印贴纸适用于 Tepra Lite LR5C 标签打印机")</f>
        <v>Cidy 1 件标签贴纸打印机色带便利标签条热敏迷你可爱打印贴纸适用于 Tepra Lite LR5C 标签打印机</v>
      </c>
      <c r="E976" s="1" t="str">
        <f>IFERROR(__xludf.DUMMYFUNCTION("CONCATENATE(GOOGLETRANSLATE(C976, ""en"", ""ko""))
"),"Cidy 1Pcs 라벨 스티커 프린터 리본 편의 라벨 스트립 Tepra Lite LR5C 라벨 프린터 용 열 미니 귀여운 인쇄 스티커")</f>
        <v>Cidy 1Pcs 라벨 스티커 프린터 리본 편의 라벨 스트립 Tepra Lite LR5C 라벨 프린터 용 열 미니 귀여운 인쇄 스티커</v>
      </c>
      <c r="F976" s="1" t="str">
        <f>IFERROR(__xludf.DUMMYFUNCTION("CONCATENATE(GOOGLETRANSLATE(C976, ""en"", ""ja""))"),"Cidy 1 個ラベルステッカープリンタリボンコンビニエンスラベルストリップサーマルミニかわいい印刷ステッカー Tepra Lite LR5C ラベルプリンタ用")</f>
        <v>Cidy 1 個ラベルステッカープリンタリボンコンビニエンスラベルストリップサーマルミニかわいい印刷ステッカー Tepra Lite LR5C ラベルプリンタ用</v>
      </c>
    </row>
    <row r="977" ht="15.75" customHeight="1">
      <c r="A977" s="1">
        <v>2450.0</v>
      </c>
      <c r="B977" s="1" t="s">
        <v>381</v>
      </c>
      <c r="C977" s="1" t="s">
        <v>959</v>
      </c>
      <c r="D977" s="1" t="str">
        <f>IFERROR(__xludf.DUMMYFUNCTION("CONCATENATE(GOOGLETRANSLATE(C977, ""en"", ""zh-cn""))
"),"儿童防蓝光眼镜玩电脑手机防辐射男女平光镜片硅胶护目镜软框")</f>
        <v>儿童防蓝光眼镜玩电脑手机防辐射男女平光镜片硅胶护目镜软框</v>
      </c>
      <c r="E977" s="1" t="str">
        <f>IFERROR(__xludf.DUMMYFUNCTION("CONCATENATE(GOOGLETRANSLATE(C977, ""en"", ""ko""))
"),"어린이 안티 블루 라이트 안경 컴퓨터 전화 재생 안티 방사선 남성과 여성의 평면 렌즈 실리콘 고글 소프트 프레임")</f>
        <v>어린이 안티 블루 라이트 안경 컴퓨터 전화 재생 안티 방사선 남성과 여성의 평면 렌즈 실리콘 고글 소프트 프레임</v>
      </c>
      <c r="F977" s="1" t="str">
        <f>IFERROR(__xludf.DUMMYFUNCTION("CONCATENATE(GOOGLETRANSLATE(C977, ""en"", ""ja""))"),"子供の抗青色光メガネ、コンピュータ電話の再生抗放射線男性と女性のフラットレンズシリコーンゴーグルソフトフレーム")</f>
        <v>子供の抗青色光メガネ、コンピュータ電話の再生抗放射線男性と女性のフラットレンズシリコーンゴーグルソフトフレーム</v>
      </c>
    </row>
    <row r="978" ht="15.75" customHeight="1">
      <c r="A978" s="1">
        <v>2451.0</v>
      </c>
      <c r="B978" s="1" t="s">
        <v>381</v>
      </c>
      <c r="C978" s="1" t="s">
        <v>960</v>
      </c>
      <c r="D978" s="1" t="str">
        <f>IFERROR(__xludf.DUMMYFUNCTION("CONCATENATE(GOOGLETRANSLATE(C978, ""en"", ""zh-cn""))
"),"帆布油画板白板油画画框亚克力棉帆布画板艺术创作绘画用品画板")</f>
        <v>帆布油画板白板油画画框亚克力棉帆布画板艺术创作绘画用品画板</v>
      </c>
      <c r="E978" s="1" t="str">
        <f>IFERROR(__xludf.DUMMYFUNCTION("CONCATENATE(GOOGLETRANSLATE(C978, ""en"", ""ko""))
"),"캔버스 유화 보드 화이트 보드 유화 캔버스 프레임 아크릴 코튼 캔버스 Artboard 예술적 창조 그림 공급 드로잉 보드")</f>
        <v>캔버스 유화 보드 화이트 보드 유화 캔버스 프레임 아크릴 코튼 캔버스 Artboard 예술적 창조 그림 공급 드로잉 보드</v>
      </c>
      <c r="F978" s="1" t="str">
        <f>IFERROR(__xludf.DUMMYFUNCTION("CONCATENATE(GOOGLETRANSLATE(C978, ""en"", ""ja""))"),"キャンバス油絵ボード ホワイトボード油絵キャンバスフレーム アクリル綿キャンバスアートボード 芸術的創造用 絵画用品 製図板")</f>
        <v>キャンバス油絵ボード ホワイトボード油絵キャンバスフレーム アクリル綿キャンバスアートボード 芸術的創造用 絵画用品 製図板</v>
      </c>
    </row>
    <row r="979" ht="15.75" customHeight="1">
      <c r="A979" s="1">
        <v>2452.0</v>
      </c>
      <c r="B979" s="1" t="s">
        <v>381</v>
      </c>
      <c r="C979" s="1" t="s">
        <v>961</v>
      </c>
      <c r="D979" s="1" t="str">
        <f>IFERROR(__xludf.DUMMYFUNCTION("CONCATENATE(GOOGLETRANSLATE(C979, ""en"", ""zh-cn""))
"),"10 件装木质黑板通用留言板套装迷你黑板便携式婚礼派对装饰品装饰部件")</f>
        <v>10 件装木质黑板通用留言板套装迷你黑板便携式婚礼派对装饰品装饰部件</v>
      </c>
      <c r="E979" s="1" t="str">
        <f>IFERROR(__xludf.DUMMYFUNCTION("CONCATENATE(GOOGLETRANSLATE(C979, ""en"", ""ko""))
"),"10 Pcs 나무 칠판 범용 메시지 보드 세트 미니 칠판 휴대용 웨딩 파티 장식 장식 부품")</f>
        <v>10 Pcs 나무 칠판 범용 메시지 보드 세트 미니 칠판 휴대용 웨딩 파티 장식 장식 부품</v>
      </c>
      <c r="F979" s="1" t="str">
        <f>IFERROR(__xludf.DUMMYFUNCTION("CONCATENATE(GOOGLETRANSLATE(C979, ""en"", ""ja""))"),"10 個木製黒板ユニバーサルメッセージボードセットミニ黒板ポータブルウェディングパーティーの装飾装飾部品")</f>
        <v>10 個木製黒板ユニバーサルメッセージボードセットミニ黒板ポータブルウェディングパーティーの装飾装飾部品</v>
      </c>
    </row>
    <row r="980" ht="15.75" customHeight="1">
      <c r="A980" s="1">
        <v>2453.0</v>
      </c>
      <c r="B980" s="1" t="s">
        <v>381</v>
      </c>
      <c r="C980" s="1" t="s">
        <v>962</v>
      </c>
      <c r="D980" s="1" t="str">
        <f>IFERROR(__xludf.DUMMYFUNCTION("CONCATENATE(GOOGLETRANSLATE(C980, ""en"", ""zh-cn""))
"),"10 件装画笔混合头尼龙画笔组合套装油画专业美术用品")</f>
        <v>10 件装画笔混合头尼龙画笔组合套装油画专业美术用品</v>
      </c>
      <c r="E980" s="1" t="str">
        <f>IFERROR(__xludf.DUMMYFUNCTION("CONCATENATE(GOOGLETRANSLATE(C980, ""en"", ""ko""))
"),"10 Pcs 그림 브러시 혼합 머리 나일론 브러시 조합 세트 유화 직업 미술 용품")</f>
        <v>10 Pcs 그림 브러시 혼합 머리 나일론 브러시 조합 세트 유화 직업 미술 용품</v>
      </c>
      <c r="F980" s="1" t="str">
        <f>IFERROR(__xludf.DUMMYFUNCTION("CONCATENATE(GOOGLETRANSLATE(C980, ""en"", ""ja""))"),"10 個絵画ブラシ混合ヘッドナイロンブラシ組み合わせセット油絵専門画材")</f>
        <v>10 個絵画ブラシ混合ヘッドナイロンブラシ組み合わせセット油絵専門画材</v>
      </c>
    </row>
    <row r="981" ht="15.75" customHeight="1">
      <c r="A981" s="1">
        <v>2454.0</v>
      </c>
      <c r="B981" s="1" t="s">
        <v>381</v>
      </c>
      <c r="C981" s="1" t="s">
        <v>963</v>
      </c>
      <c r="D981" s="1" t="str">
        <f>IFERROR(__xludf.DUMMYFUNCTION("CONCATENATE(GOOGLETRANSLATE(C981, ""en"", ""zh-cn""))
"),"12 支画笔珍珠蓝色画笔水彩亚克力画笔套装专业油画工具美术用品")</f>
        <v>12 支画笔珍珠蓝色画笔水彩亚克力画笔套装专业油画工具美术用品</v>
      </c>
      <c r="E981" s="1" t="str">
        <f>IFERROR(__xludf.DUMMYFUNCTION("CONCATENATE(GOOGLETRANSLATE(C981, ""en"", ""ko""))
"),"12Pcs 그림 브러시 진주 블루 드로잉 브러시 수채화 아크릴 브러시 세트 전문 유화 도구 미술 용품")</f>
        <v>12Pcs 그림 브러시 진주 블루 드로잉 브러시 수채화 아크릴 브러시 세트 전문 유화 도구 미술 용품</v>
      </c>
      <c r="F981" s="1" t="str">
        <f>IFERROR(__xludf.DUMMYFUNCTION("CONCATENATE(GOOGLETRANSLATE(C981, ""en"", ""ja""))"),"12 個ペイントブラシパールブルー描画ブラシ水彩アクリルブラシセットプロの油絵ツール画材")</f>
        <v>12 個ペイントブラシパールブルー描画ブラシ水彩アクリルブラシセットプロの油絵ツール画材</v>
      </c>
    </row>
    <row r="982" ht="15.75" customHeight="1">
      <c r="A982" s="1">
        <v>2455.0</v>
      </c>
      <c r="B982" s="1" t="s">
        <v>381</v>
      </c>
      <c r="C982" s="1" t="s">
        <v>964</v>
      </c>
      <c r="D982" s="1" t="str">
        <f>IFERROR(__xludf.DUMMYFUNCTION("CONCATENATE(GOOGLETRANSLATE(C982, ""en"", ""zh-cn""))
"),"10 件装混合头画笔尼龙画笔组合套装油画水彩画专业艺术用品")</f>
        <v>10 件装混合头画笔尼龙画笔组合套装油画水彩画专业艺术用品</v>
      </c>
      <c r="E982" s="1" t="str">
        <f>IFERROR(__xludf.DUMMYFUNCTION("CONCATENATE(GOOGLETRANSLATE(C982, ""en"", ""ko""))
"),"10 Pcs 혼합 머리 그림 브러시 나일론 브러시 조합 세트 오일 수채화 그림 직업 미술 용품")</f>
        <v>10 Pcs 혼합 머리 그림 브러시 나일론 브러시 조합 세트 오일 수채화 그림 직업 미술 용품</v>
      </c>
      <c r="F982" s="1" t="str">
        <f>IFERROR(__xludf.DUMMYFUNCTION("CONCATENATE(GOOGLETRANSLATE(C982, ""en"", ""ja""))"),"10 個混合ヘッドペイントブラシナイロンブラシ組み合わせセット油水彩画職業画材")</f>
        <v>10 個混合ヘッドペイントブラシナイロンブラシ組み合わせセット油水彩画職業画材</v>
      </c>
    </row>
    <row r="983" ht="15.75" customHeight="1">
      <c r="A983" s="1">
        <v>2456.0</v>
      </c>
      <c r="B983" s="1" t="s">
        <v>381</v>
      </c>
      <c r="C983" s="1" t="s">
        <v>965</v>
      </c>
      <c r="D983" s="1" t="str">
        <f>IFERROR(__xludf.DUMMYFUNCTION("CONCATENATE(GOOGLETRANSLATE(C983, ""en"", ""zh-cn""))
"),"可爱双孔卷笔刀化妆笔卷笔刀送女孩礼物学习用品必备文具")</f>
        <v>可爱双孔卷笔刀化妆笔卷笔刀送女孩礼物学习用品必备文具</v>
      </c>
      <c r="E983" s="1" t="str">
        <f>IFERROR(__xludf.DUMMYFUNCTION("CONCATENATE(GOOGLETRANSLATE(C983, ""en"", ""ko""))
"),"귀여운 더블 홀 연필 깎이 메이크업 펜 연필 깎이 소녀 선물 학교 용품 필수 문구")</f>
        <v>귀여운 더블 홀 연필 깎이 메이크업 펜 연필 깎이 소녀 선물 학교 용품 필수 문구</v>
      </c>
      <c r="F983" s="1" t="str">
        <f>IFERROR(__xludf.DUMMYFUNCTION("CONCATENATE(GOOGLETRANSLATE(C983, ""en"", ""ja""))"),"かわいい二穴鉛筆削りメイクアップペン鉛筆削り女の子のギフト学用品必須の文房具を与える")</f>
        <v>かわいい二穴鉛筆削りメイクアップペン鉛筆削り女の子のギフト学用品必須の文房具を与える</v>
      </c>
    </row>
    <row r="984" ht="15.75" customHeight="1">
      <c r="A984" s="1">
        <v>2457.0</v>
      </c>
      <c r="B984" s="1" t="s">
        <v>381</v>
      </c>
      <c r="C984" s="1" t="s">
        <v>966</v>
      </c>
      <c r="D984" s="1" t="str">
        <f>IFERROR(__xludf.DUMMYFUNCTION("CONCATENATE(GOOGLETRANSLATE(C984, ""en"", ""zh-cn""))
"),"25 件装点画工具带曼陀罗套装笔点画模板套件球笔粘土雕刻雕刻工具适用于粘土陶器工艺绘画岩石着色艺术绘画")</f>
        <v>25 件装点画工具带曼陀罗套装笔点画模板套件球笔粘土雕刻雕刻工具适用于粘土陶器工艺绘画岩石着色艺术绘画</v>
      </c>
      <c r="E984" s="1" t="str">
        <f>IFERROR(__xludf.DUMMYFUNCTION("CONCATENATE(GOOGLETRANSLATE(C984, ""en"", ""ko""))
"),"만다라 세트가있는 25Pcs 도트 페인팅 도구 펜 도트 스텐실 키트 볼 스타일러스 클레이 조각 클레이 도자기 공예 페인팅 록스 색칠 아트 드로잉을위한 조각 도구")</f>
        <v>만다라 세트가있는 25Pcs 도트 페인팅 도구 펜 도트 스텐실 키트 볼 스타일러스 클레이 조각 클레이 도자기 공예 페인팅 록스 색칠 아트 드로잉을위한 조각 도구</v>
      </c>
      <c r="F984" s="1" t="str">
        <f>IFERROR(__xludf.DUMMYFUNCTION("CONCATENATE(GOOGLETRANSLATE(C984, ""en"", ""ja""))"),"25個 点在ペイントツール マンダラセット付き ペン 点在ステンシルキット ボールスタイラス 粘土彫刻彫刻ツール 粘土陶器クラフトペインティングロック 着色アート描画用")</f>
        <v>25個 点在ペイントツール マンダラセット付き ペン 点在ステンシルキット ボールスタイラス 粘土彫刻彫刻ツール 粘土陶器クラフトペインティングロック 着色アート描画用</v>
      </c>
    </row>
    <row r="985" ht="15.75" customHeight="1">
      <c r="A985" s="1">
        <v>2458.0</v>
      </c>
      <c r="B985" s="1" t="s">
        <v>381</v>
      </c>
      <c r="C985" s="1" t="s">
        <v>967</v>
      </c>
      <c r="D985" s="1" t="str">
        <f>IFERROR(__xludf.DUMMYFUNCTION("CONCATENATE(GOOGLETRANSLATE(C985, ""en"", ""zh-cn""))
"),"6 件装尼龙画笔艺术绘画水彩笔软不同头尺寸绘画刷用品")</f>
        <v>6 件装尼龙画笔艺术绘画水彩笔软不同头尺寸绘画刷用品</v>
      </c>
      <c r="E985" s="1" t="str">
        <f>IFERROR(__xludf.DUMMYFUNCTION("CONCATENATE(GOOGLETRANSLATE(C985, ""en"", ""ko""))
"),"6Pcs 나일론 그림 브러시 아트 드로잉 수채화 브러시 소프트 다른 머리 크기 그림 브러쉬 용품")</f>
        <v>6Pcs 나일론 그림 브러시 아트 드로잉 수채화 브러시 소프트 다른 머리 크기 그림 브러쉬 용품</v>
      </c>
      <c r="F985" s="1" t="str">
        <f>IFERROR(__xludf.DUMMYFUNCTION("CONCATENATE(GOOGLETRANSLATE(C985, ""en"", ""ja""))"),"6 個ナイロン絵画ブラシアート描画水彩ブラシソフト異なるヘッドサイズ絵画ブラシ用品")</f>
        <v>6 個ナイロン絵画ブラシアート描画水彩ブラシソフト異なるヘッドサイズ絵画ブラシ用品</v>
      </c>
    </row>
    <row r="986" ht="15.75" customHeight="1">
      <c r="A986" s="1">
        <v>2459.0</v>
      </c>
      <c r="B986" s="1" t="s">
        <v>381</v>
      </c>
      <c r="C986" s="1" t="s">
        <v>968</v>
      </c>
      <c r="D986" s="1" t="str">
        <f>IFERROR(__xludf.DUMMYFUNCTION("CONCATENATE(GOOGLETRANSLATE(C986, ""en"", ""zh-cn""))
"),"35 件装曼陀罗打点工具模板球笔刷油漆托盘用于绘画岩石着色绘画和绘图")</f>
        <v>35 件装曼陀罗打点工具模板球笔刷油漆托盘用于绘画岩石着色绘画和绘图</v>
      </c>
      <c r="E986" s="1" t="str">
        <f>IFERROR(__xludf.DUMMYFUNCTION("CONCATENATE(GOOGLETRANSLATE(C986, ""en"", ""ko""))
"),"35 PCS 만다라 도트 도구 스텐실 볼 스타일러스 브러쉬 페인트 트레이 그림 바위 색칠 그리기 및 제도")</f>
        <v>35 PCS 만다라 도트 도구 스텐실 볼 스타일러스 브러쉬 페인트 트레이 그림 바위 색칠 그리기 및 제도</v>
      </c>
      <c r="F986" s="1" t="str">
        <f>IFERROR(__xludf.DUMMYFUNCTION("CONCATENATE(GOOGLETRANSLATE(C986, ""en"", ""ja""))"),"35 個のマンダラドットツールステンシルボールスタイラスブラシペイントトレイ岩の着色描画と製図用")</f>
        <v>35 個のマンダラドットツールステンシルボールスタイラスブラシペイントトレイ岩の着色描画と製図用</v>
      </c>
    </row>
    <row r="987" ht="15.75" customHeight="1">
      <c r="A987" s="1">
        <v>2460.0</v>
      </c>
      <c r="B987" s="1" t="s">
        <v>381</v>
      </c>
      <c r="C987" s="1" t="s">
        <v>969</v>
      </c>
      <c r="D987" s="1" t="str">
        <f>IFERROR(__xludf.DUMMYFUNCTION("CONCATENATE(GOOGLETRANSLATE(C987, ""en"", ""zh-cn""))
"),"64*35 厘米多功能可折叠多角度调节电脑笔记本电脑桌电视床电脑 Macbook 桌面支架")</f>
        <v>64*35 厘米多功能可折叠多角度调节电脑笔记本电脑桌电视床电脑 Macbook 桌面支架</v>
      </c>
      <c r="E987" s="1" t="str">
        <f>IFERROR(__xludf.DUMMYFUNCTION("CONCATENATE(GOOGLETRANSLATE(C987, ""en"", ""ko""))
"),"64*35cm 다기능 접이식 멀티 각도 조정 컴퓨터 노트북 책상 테이블 TV 침대 컴퓨터 Mackbook 데스크탑 홀더")</f>
        <v>64*35cm 다기능 접이식 멀티 각도 조정 컴퓨터 노트북 책상 테이블 TV 침대 컴퓨터 Mackbook 데스크탑 홀더</v>
      </c>
      <c r="F987" s="1" t="str">
        <f>IFERROR(__xludf.DUMMYFUNCTION("CONCATENATE(GOOGLETRANSLATE(C987, ""en"", ""ja""))"),"64*35 センチメートル多機能折りたたみマルチ角度調整コンピュータのラップトップデスクテーブルテレビベッドコンピュータ Mackbook デスクトップホルダー")</f>
        <v>64*35 センチメートル多機能折りたたみマルチ角度調整コンピュータのラップトップデスクテーブルテレビベッドコンピュータ Mackbook デスクトップホルダー</v>
      </c>
    </row>
    <row r="988" ht="15.75" customHeight="1">
      <c r="A988" s="1">
        <v>2461.0</v>
      </c>
      <c r="B988" s="1" t="s">
        <v>381</v>
      </c>
      <c r="C988" s="1" t="s">
        <v>970</v>
      </c>
      <c r="D988" s="1" t="str">
        <f>IFERROR(__xludf.DUMMYFUNCTION("CONCATENATE(GOOGLETRANSLATE(C988, ""en"", ""zh-cn""))
"),"三星 Galaxy Tab P580 触摸屏数字化仪更换件")</f>
        <v>三星 Galaxy Tab P580 触摸屏数字化仪更换件</v>
      </c>
      <c r="E988" s="1" t="str">
        <f>IFERROR(__xludf.DUMMYFUNCTION("CONCATENATE(GOOGLETRANSLATE(C988, ""en"", ""ko""))
"),"삼성 갤럭시탭 P580 터치스크린 디지타이저 교체")</f>
        <v>삼성 갤럭시탭 P580 터치스크린 디지타이저 교체</v>
      </c>
      <c r="F988" s="1" t="str">
        <f>IFERROR(__xludf.DUMMYFUNCTION("CONCATENATE(GOOGLETRANSLATE(C988, ""en"", ""ja""))"),"Samsung Galaxy Tab P580用タッチスクリーンデジタイザー交換品")</f>
        <v>Samsung Galaxy Tab P580用タッチスクリーンデジタイザー交換品</v>
      </c>
    </row>
    <row r="989" ht="15.75" customHeight="1">
      <c r="A989" s="1">
        <v>2462.0</v>
      </c>
      <c r="B989" s="1" t="s">
        <v>381</v>
      </c>
      <c r="C989" s="1" t="s">
        <v>971</v>
      </c>
      <c r="D989" s="1" t="str">
        <f>IFERROR(__xludf.DUMMYFUNCTION("CONCATENATE(GOOGLETRANSLATE(C989, ""en"", ""zh-cn""))
"),"8 件装彩色亚克力杆扭杆点刷实心圆棒点陶艺辅助工具曼陀罗点画工具")</f>
        <v>8 件装彩色亚克力杆扭杆点刷实心圆棒点陶艺辅助工具曼陀罗点画工具</v>
      </c>
      <c r="E989" s="1" t="str">
        <f>IFERROR(__xludf.DUMMYFUNCTION("CONCATENATE(GOOGLETRANSLATE(C989, ""en"", ""ko""))
"),"8Pcs 다채로운 아크릴 막대 트위스트 바 포인트 브러시 솔리드 라운드 스틱 포인트 도자기 보조 도구 만다라 도트 도구")</f>
        <v>8Pcs 다채로운 아크릴 막대 트위스트 바 포인트 브러시 솔리드 라운드 스틱 포인트 도자기 보조 도구 만다라 도트 도구</v>
      </c>
      <c r="F989" s="1" t="str">
        <f>IFERROR(__xludf.DUMMYFUNCTION("CONCATENATE(GOOGLETRANSLATE(C989, ""en"", ""ja""))"),"8 個のカラフルなアクリルロッドツイストバーポイントブラシソリッドラウンドスティックポイント陶器補助ツール曼荼羅点在ツール")</f>
        <v>8 個のカラフルなアクリルロッドツイストバーポイントブラシソリッドラウンドスティックポイント陶器補助ツール曼荼羅点在ツール</v>
      </c>
    </row>
    <row r="990" ht="15.75" customHeight="1">
      <c r="A990" s="1">
        <v>2463.0</v>
      </c>
      <c r="B990" s="1" t="s">
        <v>381</v>
      </c>
      <c r="C990" s="1" t="s">
        <v>972</v>
      </c>
      <c r="D990" s="1" t="str">
        <f>IFERROR(__xludf.DUMMYFUNCTION("CONCATENATE(GOOGLETRANSLATE(C990, ""en"", ""zh-cn""))
"),"5 件装彩色手柄打点工具螺旋杆双头尖钉笔压痕笔尖花钻工具")</f>
        <v>5 件装彩色手柄打点工具螺旋杆双头尖钉笔压痕笔尖花钻工具</v>
      </c>
      <c r="E990" s="1" t="str">
        <f>IFERROR(__xludf.DUMMYFUNCTION("CONCATENATE(GOOGLETRANSLATE(C990, ""en"", ""ko""))
"),"5Pcs 색상 핸들 도트 도구 나선형 막대 더블 엔드 포인트 네일 펜 들여 쓰기 펜 포인트 꽃 드릴 도구")</f>
        <v>5Pcs 색상 핸들 도트 도구 나선형 막대 더블 엔드 포인트 네일 펜 들여 쓰기 펜 포인트 꽃 드릴 도구</v>
      </c>
      <c r="F990" s="1" t="str">
        <f>IFERROR(__xludf.DUMMYFUNCTION("CONCATENATE(GOOGLETRANSLATE(C990, ""en"", ""ja""))"),"5 個カラーハンドルドットツールスパイラルロッドダブルエンドポイントネイルペンインデントペンポイントフラワードリルツール")</f>
        <v>5 個カラーハンドルドットツールスパイラルロッドダブルエンドポイントネイルペンインデントペンポイントフラワードリルツール</v>
      </c>
    </row>
    <row r="991" ht="15.75" customHeight="1">
      <c r="A991" s="1">
        <v>2464.0</v>
      </c>
      <c r="B991" s="1" t="s">
        <v>381</v>
      </c>
      <c r="C991" s="1" t="s">
        <v>973</v>
      </c>
      <c r="D991" s="1" t="str">
        <f>IFERROR(__xludf.DUMMYFUNCTION("CONCATENATE(GOOGLETRANSLATE(C991, ""en"", ""zh-cn""))
"),"得力3572 A4 500张打印纸双面2574克草稿纸书写绘图纸家庭办公用纸用品")</f>
        <v>得力3572 A4 500张打印纸双面2574克草稿纸书写绘图纸家庭办公用纸用品</v>
      </c>
      <c r="E991" s="1" t="str">
        <f>IFERROR(__xludf.DUMMYFUNCTION("CONCATENATE(GOOGLETRANSLATE(C991, ""en"", ""ko""))
"),"Deli 3572 A4 500 매 프린터 용지 양면 2574g 스크래치 용지 쓰기 도면 용지 홈 오피스 용지 용품")</f>
        <v>Deli 3572 A4 500 매 프린터 용지 양면 2574g 스크래치 용지 쓰기 도면 용지 홈 오피스 용지 용품</v>
      </c>
      <c r="F991" s="1" t="str">
        <f>IFERROR(__xludf.DUMMYFUNCTION("CONCATENATE(GOOGLETRANSLATE(C991, ""en"", ""ja""))"),"デリ 3572 A4 500 枚プリンタ用紙両面 2574 グラムスクラッチ紙筆記画用紙ホームオフィス用紙用品")</f>
        <v>デリ 3572 A4 500 枚プリンタ用紙両面 2574 グラムスクラッチ紙筆記画用紙ホームオフィス用紙用品</v>
      </c>
    </row>
    <row r="992" ht="15.75" customHeight="1">
      <c r="A992" s="1">
        <v>2465.0</v>
      </c>
      <c r="B992" s="1" t="s">
        <v>381</v>
      </c>
      <c r="C992" s="1" t="s">
        <v>974</v>
      </c>
      <c r="D992" s="1" t="str">
        <f>IFERROR(__xludf.DUMMYFUNCTION("CONCATENATE(GOOGLETRANSLATE(C992, ""en"", ""zh-cn""))
"),"得力A4打印纸加厚500张2000克书写绘图纸双面草稿纸打印纸办公家用纸耗材")</f>
        <v>得力A4打印纸加厚500张2000克书写绘图纸双面草稿纸打印纸办公家用纸耗材</v>
      </c>
      <c r="E992" s="1" t="str">
        <f>IFERROR(__xludf.DUMMYFUNCTION("CONCATENATE(GOOGLETRANSLATE(C992, ""en"", ""ko""))
"),"델리 A4 프린터 용지 두꺼운 500 매 2000g 쓰기 도면 용지 양면 스크래치 용지 프린터 용지 사무실 홈 종이 용품")</f>
        <v>델리 A4 프린터 용지 두꺼운 500 매 2000g 쓰기 도면 용지 양면 스크래치 용지 프린터 용지 사무실 홈 종이 용품</v>
      </c>
      <c r="F992" s="1" t="str">
        <f>IFERROR(__xludf.DUMMYFUNCTION("CONCATENATE(GOOGLETRANSLATE(C992, ""en"", ""ja""))"),"デリ A4 プリンタ用紙厚手 500 枚 2000 グラム画用紙両面スクラッチ紙プリンタ用紙オフィス家庭用紙用品")</f>
        <v>デリ A4 プリンタ用紙厚手 500 枚 2000 グラム画用紙両面スクラッチ紙プリンタ用紙オフィス家庭用紙用品</v>
      </c>
    </row>
    <row r="993" ht="15.75" customHeight="1">
      <c r="A993" s="1">
        <v>2466.0</v>
      </c>
      <c r="B993" s="1" t="s">
        <v>381</v>
      </c>
      <c r="C993" s="1" t="s">
        <v>975</v>
      </c>
      <c r="D993" s="1" t="str">
        <f>IFERROR(__xludf.DUMMYFUNCTION("CONCATENATE(GOOGLETRANSLATE(C993, ""en"", ""zh-cn""))
"),"编织壁挂挂毯婚礼悬挂背景波西米亚壁画纱线挂毯带流苏客厅家庭办公室装饰品")</f>
        <v>编织壁挂挂毯婚礼悬挂背景波西米亚壁画纱线挂毯带流苏客厅家庭办公室装饰品</v>
      </c>
      <c r="E993" s="1" t="str">
        <f>IFERROR(__xludf.DUMMYFUNCTION("CONCATENATE(GOOGLETRANSLATE(C993, ""en"", ""ko""))
"),"짠 벽 매달려 태피스트리 웨딩 매달려 배경 보헤미안 벽 벽화 원사 태피스트리 술 거실 홈 오피스 장식")</f>
        <v>짠 벽 매달려 태피스트리 웨딩 매달려 배경 보헤미안 벽 벽화 원사 태피스트리 술 거실 홈 오피스 장식</v>
      </c>
      <c r="F993" s="1" t="str">
        <f>IFERROR(__xludf.DUMMYFUNCTION("CONCATENATE(GOOGLETRANSLATE(C993, ""en"", ""ja""))"),"織物壁掛けタペストリー ウェディングハンギング背景 ボヘミアン壁壁画糸タペストリー タッセル付き リビングルーム ホームオフィス装飾")</f>
        <v>織物壁掛けタペストリー ウェディングハンギング背景 ボヘミアン壁壁画糸タペストリー タッセル付き リビングルーム ホームオフィス装飾</v>
      </c>
    </row>
    <row r="994" ht="15.75" customHeight="1">
      <c r="A994" s="1">
        <v>2467.0</v>
      </c>
      <c r="B994" s="1" t="s">
        <v>381</v>
      </c>
      <c r="C994" s="1" t="s">
        <v>976</v>
      </c>
      <c r="D994" s="1" t="str">
        <f>IFERROR(__xludf.DUMMYFUNCTION("CONCATENATE(GOOGLETRANSLATE(C994, ""en"", ""zh-cn""))
"),"创意收纳家用客厅桌面收纳垃圾桶厨房收纳盒迷你办公室垃圾桶咖啡桌纸篮")</f>
        <v>创意收纳家用客厅桌面收纳垃圾桶厨房收纳盒迷你办公室垃圾桶咖啡桌纸篮</v>
      </c>
      <c r="E994" s="1" t="str">
        <f>IFERROR(__xludf.DUMMYFUNCTION("CONCATENATE(GOOGLETRANSLATE(C994, ""en"", ""ko""))
"),"크리 에이 티브 스토리지 홈 거실 데스크탑 스토리지 쓰레기통 주방 주최자 미니 오피스 쓰레기통 커피 테이블 종이 바구니")</f>
        <v>크리 에이 티브 스토리지 홈 거실 데스크탑 스토리지 쓰레기통 주방 주최자 미니 오피스 쓰레기통 커피 테이블 종이 바구니</v>
      </c>
      <c r="F994" s="1" t="str">
        <f>IFERROR(__xludf.DUMMYFUNCTION("CONCATENATE(GOOGLETRANSLATE(C994, ""en"", ""ja""))"),"クリエイティブストレージホームリビングルームデスクトップストレージゴミ箱キッチンオーガナイザーミニオフィスゴミ箱コーヒーテーブル紙バスケット")</f>
        <v>クリエイティブストレージホームリビングルームデスクトップストレージゴミ箱キッチンオーガナイザーミニオフィスゴミ箱コーヒーテーブル紙バスケット</v>
      </c>
    </row>
    <row r="995" ht="15.75" customHeight="1">
      <c r="A995" s="1">
        <v>2468.0</v>
      </c>
      <c r="B995" s="1" t="s">
        <v>381</v>
      </c>
      <c r="C995" s="1" t="s">
        <v>977</v>
      </c>
      <c r="D995" s="1" t="str">
        <f>IFERROR(__xludf.DUMMYFUNCTION("CONCATENATE(GOOGLETRANSLATE(C995, ""en"", ""zh-cn""))
"),"双层垃圾桶按压式桌面垃圾桶桌面塑料办公垃圾桶垃圾箱杂物桶箱")</f>
        <v>双层垃圾桶按压式桌面垃圾桶桌面塑料办公垃圾桶垃圾箱杂物桶箱</v>
      </c>
      <c r="E995" s="1" t="str">
        <f>IFERROR(__xludf.DUMMYFUNCTION("CONCATENATE(GOOGLETRANSLATE(C995, ""en"", ""ko""))
"),"더블 레이어 쓰레기통 프레싱 유형 데스크탑 쓰레기 바구니 테이블 플라스틱 사무실 쓰레기통 쓰레기통 잡화 배럴 상자")</f>
        <v>더블 레이어 쓰레기통 프레싱 유형 데스크탑 쓰레기 바구니 테이블 플라스틱 사무실 쓰레기통 쓰레기통 잡화 배럴 상자</v>
      </c>
      <c r="F995" s="1" t="str">
        <f>IFERROR(__xludf.DUMMYFUNCTION("CONCATENATE(GOOGLETRANSLATE(C995, ""en"", ""ja""))"),"二層ゴミ箱プレス式デスクトップゴミバスケットテーブルプラスチックオフィスゴミ箱ゴミ箱雑貨バレルボックス")</f>
        <v>二層ゴミ箱プレス式デスクトップゴミバスケットテーブルプラスチックオフィスゴミ箱ゴミ箱雑貨バレルボックス</v>
      </c>
    </row>
    <row r="996" ht="15.75" customHeight="1">
      <c r="A996" s="1">
        <v>2469.0</v>
      </c>
      <c r="B996" s="1" t="s">
        <v>381</v>
      </c>
      <c r="C996" s="1" t="s">
        <v>978</v>
      </c>
      <c r="D996" s="1" t="str">
        <f>IFERROR(__xludf.DUMMYFUNCTION("CONCATENATE(GOOGLETRANSLATE(C996, ""en"", ""zh-cn""))
"),"4 层植物架花盆储物架户外室内花园架装饰品展示架书架带抽屉")</f>
        <v>4 层植物架花盆储物架户外室内花园架装饰品展示架书架带抽屉</v>
      </c>
      <c r="E996" s="1" t="str">
        <f>IFERROR(__xludf.DUMMYFUNCTION("CONCATENATE(GOOGLETRANSLATE(C996, ""en"", ""ko""))
"),"4 레이어 식물 스탠드 꽃 냄비 스토리지 랙 야외 실내 정원 선반 장식 디스플레이 스탠드 서랍과 책장")</f>
        <v>4 레이어 식물 스탠드 꽃 냄비 스토리지 랙 야외 실내 정원 선반 장식 디스플레이 스탠드 서랍과 책장</v>
      </c>
      <c r="F996" s="1" t="str">
        <f>IFERROR(__xludf.DUMMYFUNCTION("CONCATENATE(GOOGLETRANSLATE(C996, ""en"", ""ja""))"),"4 層植物スタンド植木鉢収納ラック屋外屋内ガーデン棚装飾ディスプレイスタンド本棚引き出し付き")</f>
        <v>4 層植物スタンド植木鉢収納ラック屋外屋内ガーデン棚装飾ディスプレイスタンド本棚引き出し付き</v>
      </c>
    </row>
    <row r="997" ht="15.75" customHeight="1">
      <c r="A997" s="1">
        <v>2470.0</v>
      </c>
      <c r="B997" s="1" t="s">
        <v>381</v>
      </c>
      <c r="C997" s="1" t="s">
        <v>979</v>
      </c>
      <c r="D997" s="1" t="str">
        <f>IFERROR(__xludf.DUMMYFUNCTION("CONCATENATE(GOOGLETRANSLATE(C997, ""en"", ""zh-cn""))
"),"AIMOS USB HDMI KVM 切换盒视频切换显示器 4K 分配器 KVM 切换器适用于 2 台电脑共享切换器键盘鼠标打印机即插即用")</f>
        <v>AIMOS USB HDMI KVM 切换盒视频切换显示器 4K 分配器 KVM 切换器适用于 2 台电脑共享切换器键盘鼠标打印机即插即用</v>
      </c>
      <c r="E997" s="1" t="str">
        <f>IFERROR(__xludf.DUMMYFUNCTION("CONCATENATE(GOOGLETRANSLATE(C997, ""en"", ""ko""))
"),"AIMOS USB HDMI KVM 스위치 박스 비디오 스위치 디스플레이 4K 분배기 KVM 스위치 2 PC 공유 스위처 키보드 마우스 프린터 플러그 앤 플레이")</f>
        <v>AIMOS USB HDMI KVM 스위치 박스 비디오 스위치 디스플레이 4K 분배기 KVM 스위치 2 PC 공유 스위처 키보드 마우스 프린터 플러그 앤 플레이</v>
      </c>
      <c r="F997" s="1" t="str">
        <f>IFERROR(__xludf.DUMMYFUNCTION("CONCATENATE(GOOGLETRANSLATE(C997, ""en"", ""ja""))"),"AIMOS USB HDMI KVM スイッチボックス ビデオスイッチディスプレイ 4K スプリッター KVM スイッチ 2 PC 共有スイッチャー キーボード マウス プリンター プラグアンドプレイ")</f>
        <v>AIMOS USB HDMI KVM スイッチボックス ビデオスイッチディスプレイ 4K スプリッター KVM スイッチ 2 PC 共有スイッチャー キーボード マウス プリンター プラグアンドプレイ</v>
      </c>
    </row>
    <row r="998" ht="15.75" customHeight="1">
      <c r="A998" s="1">
        <v>2471.0</v>
      </c>
      <c r="B998" s="1" t="s">
        <v>381</v>
      </c>
      <c r="C998" s="1" t="s">
        <v>980</v>
      </c>
      <c r="D998" s="1" t="str">
        <f>IFERROR(__xludf.DUMMYFUNCTION("CONCATENATE(GOOGLETRANSLATE(C998, ""en"", ""zh-cn""))
"),"6 个挂钩柜下马克杯架 304 不锈钢免打孔咖啡杯收纳架")</f>
        <v>6 个挂钩柜下马克杯架 304 不锈钢免打孔咖啡杯收纳架</v>
      </c>
      <c r="E998" s="1" t="str">
        <f>IFERROR(__xludf.DUMMYFUNCTION("CONCATENATE(GOOGLETRANSLATE(C998, ""en"", ""ko""))
"),"캐비닛 머그 홀더 아래 후크 6개 304 스테인레스 스틸 펀치 없는 커피 컵 보관함")</f>
        <v>캐비닛 머그 홀더 아래 후크 6개 304 스테인레스 스틸 펀치 없는 커피 컵 보관함</v>
      </c>
      <c r="F998" s="1" t="str">
        <f>IFERROR(__xludf.DUMMYFUNCTION("CONCATENATE(GOOGLETRANSLATE(C998, ""en"", ""ja""))"),"6 フックアンダーキャビネットマグホルダー 304 ステンレス鋼パンチフリーコーヒーカップ収納ラック")</f>
        <v>6 フックアンダーキャビネットマグホルダー 304 ステンレス鋼パンチフリーコーヒーカップ収納ラック</v>
      </c>
    </row>
    <row r="999" ht="15.75" customHeight="1">
      <c r="A999" s="1">
        <v>2472.0</v>
      </c>
      <c r="B999" s="1" t="s">
        <v>381</v>
      </c>
      <c r="C999" s="1" t="s">
        <v>981</v>
      </c>
      <c r="D999" s="1" t="str">
        <f>IFERROR(__xludf.DUMMYFUNCTION("CONCATENATE(GOOGLETRANSLATE(C999, ""en"", ""zh-cn""))
"),"壁挂挂毯室内绿色植物挂毯家庭办公室酒店墙壁装饰")</f>
        <v>壁挂挂毯室内绿色植物挂毯家庭办公室酒店墙壁装饰</v>
      </c>
      <c r="E999" s="1" t="str">
        <f>IFERROR(__xludf.DUMMYFUNCTION("CONCATENATE(GOOGLETRANSLATE(C999, ""en"", ""ko""))
"),"벽걸이 태피스트리 홈 오피스 호텔을 위한 실내 녹색 식물 태피스트리 벽 장식")</f>
        <v>벽걸이 태피스트리 홈 오피스 호텔을 위한 실내 녹색 식물 태피스트리 벽 장식</v>
      </c>
      <c r="F999" s="1" t="str">
        <f>IFERROR(__xludf.DUMMYFUNCTION("CONCATENATE(GOOGLETRANSLATE(C999, ""en"", ""ja""))"),"壁掛けタペストリー屋内緑の植物タペストリー壁の装飾ホームオフィスホテル")</f>
        <v>壁掛けタペストリー屋内緑の植物タペストリー壁の装飾ホームオフィスホテル</v>
      </c>
    </row>
    <row r="1000" ht="15.75" customHeight="1">
      <c r="A1000" s="1">
        <v>2473.0</v>
      </c>
      <c r="B1000" s="1" t="s">
        <v>381</v>
      </c>
      <c r="C1000" s="1" t="s">
        <v>982</v>
      </c>
      <c r="D1000" s="1" t="str">
        <f>IFERROR(__xludf.DUMMYFUNCTION("CONCATENATE(GOOGLETRANSLATE(C1000, ""en"", ""zh-cn""))
"),"多功能桌面收纳架个性化收纳架木质桌面电脑键盘多层板物品整理收纳架")</f>
        <v>多功能桌面收纳架个性化收纳架木质桌面电脑键盘多层板物品整理收纳架</v>
      </c>
      <c r="E1000" s="1" t="str">
        <f>IFERROR(__xludf.DUMMYFUNCTION("CONCATENATE(GOOGLETRANSLATE(C1000, ""en"", ""ko""))
"),"다기능 데스크탑 주최자 맞춤형 스토리지 랙 나무 데스크탑 컴퓨터 키보드 다층 보드 항목 스토리지 랙 마무리")</f>
        <v>다기능 데스크탑 주최자 맞춤형 스토리지 랙 나무 데스크탑 컴퓨터 키보드 다층 보드 항목 스토리지 랙 마무리</v>
      </c>
      <c r="F1000" s="1" t="str">
        <f>IFERROR(__xludf.DUMMYFUNCTION("CONCATENATE(GOOGLETRANSLATE(C1000, ""en"", ""ja""))"),"多機能デスクトップオーガナイザーパーソナライズされた収納ラック木製デスクトップコンピュータキーボード多層ボードアイテム仕上げ収納ラック")</f>
        <v>多機能デスクトップオーガナイザーパーソナライズされた収納ラック木製デスクトップコンピュータキーボード多層ボードアイテム仕上げ収納ラック</v>
      </c>
    </row>
    <row r="1001" ht="15.75" customHeight="1">
      <c r="A1001" s="1">
        <v>2474.0</v>
      </c>
      <c r="B1001" s="1" t="s">
        <v>381</v>
      </c>
      <c r="C1001" s="1" t="s">
        <v>983</v>
      </c>
      <c r="D1001" s="1" t="str">
        <f>IFERROR(__xludf.DUMMYFUNCTION("CONCATENATE(GOOGLETRANSLATE(C1001, ""en"", ""zh-cn""))
"),"57x50 毫米热敏打印机付款收据打印纸白色")</f>
        <v>57x50 毫米热敏打印机付款收据打印纸白色</v>
      </c>
      <c r="E1001" s="1" t="str">
        <f>IFERROR(__xludf.DUMMYFUNCTION("CONCATENATE(GOOGLETRANSLATE(C1001, ""en"", ""ko""))
"),"열전사 프린터 흰색용 57x50mm 지불 영수증 인쇄 용지")</f>
        <v>열전사 프린터 흰색용 57x50mm 지불 영수증 인쇄 용지</v>
      </c>
      <c r="F1001" s="1" t="str">
        <f>IFERROR(__xludf.DUMMYFUNCTION("CONCATENATE(GOOGLETRANSLATE(C1001, ""en"", ""ja""))"),"57x50mm サーマルプリンター用支払い領収書印刷用紙 ホワイト")</f>
        <v>57x50mm サーマルプリンター用支払い領収書印刷用紙 ホワイト</v>
      </c>
    </row>
  </sheetData>
  <printOptions/>
  <pageMargins bottom="0.75" footer="0.0" header="0.0" left="0.7" right="0.7" top="0.75"/>
  <pageSetup orientation="portrait"/>
  <drawing r:id="rId1"/>
</worksheet>
</file>