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ySheet" sheetId="1" r:id="rId4"/>
  </sheets>
  <definedNames/>
  <calcPr/>
</workbook>
</file>

<file path=xl/sharedStrings.xml><?xml version="1.0" encoding="utf-8"?>
<sst xmlns="http://schemas.openxmlformats.org/spreadsheetml/2006/main" count="12565" uniqueCount="5180">
  <si>
    <t>product_id</t>
  </si>
  <si>
    <t>unit</t>
  </si>
  <si>
    <t>en-name</t>
  </si>
  <si>
    <t>cn-name</t>
  </si>
  <si>
    <t>kr-name</t>
  </si>
  <si>
    <t>jp-name</t>
  </si>
  <si>
    <t>Pc</t>
  </si>
  <si>
    <t xml:space="preserve">Manufacturer Wholesale Orange Ladies Dresses Office Wear Ad Dress For Women Formal </t>
  </si>
  <si>
    <t>Manufacturer Wholesale Orange Ladies Dresses Office Wear Ad Dress For Women Formal</t>
  </si>
  <si>
    <t xml:space="preserve">2022 Hot Sell Oem Quick Dry Casual Jogging Sport Custom Sweatpants Trousers For Men Pants </t>
  </si>
  <si>
    <t xml:space="preserve">Streetwear Clothing Puff Print Hoodie Custom Logo Hoodie Fashion Superdry Clothing Moda Casual Para Mulheres Dress Suit Huddies </t>
  </si>
  <si>
    <t xml:space="preserve">Custom Casual Plaid Pattern Red And Black Color 100% Cotton Soft Breathable Popular Style Long Sleeve Shirts </t>
  </si>
  <si>
    <t xml:space="preserve">Wholesale Outdoor Light Warm Duck Custom Logo Nylon Black Hooded Winter Bubble Puff Filled Down Puffer Jackets For Men </t>
  </si>
  <si>
    <t xml:space="preserve">Outdoor Sport Men 2 Piece Set Casual Heavy Duty Hoodie Sets Polyester And Cotton Tracksuit </t>
  </si>
  <si>
    <t>11</t>
  </si>
  <si>
    <t>pc</t>
  </si>
  <si>
    <t>Kitchen Tile Stickers Bathroom Modern Style Sticker Self-adhesive Wall Decoration</t>
  </si>
  <si>
    <t>Hammock Chair Seat Cushion Hanging Swing Seat Pad Thick Hanging Chair Back Pillow Home Office Furniture Accessories</t>
  </si>
  <si>
    <t xml:space="preserve">20 pcs  M2.5 Black Nylon Screws Phillips Plastic Round Head Screw Bolt </t>
  </si>
  <si>
    <t>1/2/3/4 Seaters Elastic Sofa Cover Chair Seat Protector Stretch Couch Slipcover Home Office Furniture Accessories Decorations</t>
  </si>
  <si>
    <t>1/2/3 Seaters Velvet Sofa Cover Pure Color Elastic Chair Seat Protector Couch Case Stretch Slipcover Home Office Furniture Decorations</t>
  </si>
  <si>
    <t>Gray Wallpaper Sticker Wall Cloth Wallpaper Self-Adhesive Waterproof Pvc Retro Brick Pattern Stone Wall Decoration</t>
  </si>
  <si>
    <t>9pcs/27pcs/54pcs Wall Sticker Kitchen Tile Stickers Bathroom Self-adhesive Wall Decor Home DIY</t>
  </si>
  <si>
    <t>Suleve™ M4AN6 10Pcs M4 Cup Head Hex Screw Gasket Washer Nuts Aluminum Alloy Multicolor Optional</t>
  </si>
  <si>
    <t>Rotating Display Stand Rack 70 Hook Spin Jewelery Bag Hanger for Storage</t>
  </si>
  <si>
    <t>Rocking Chair Cushion Seat Back Cushion Non-Skid Chair Pad Rocking Chair Recliner Mat for Office Sofa Home</t>
  </si>
  <si>
    <t>1/2/3/4 Seaters Elastic Sofa Cover Universal Chair Seat Protector Couch Case Stretch Slipcover Home Office Furniture  Multicolor Simple Sofa CoverDecoration</t>
  </si>
  <si>
    <t>Recliner Chair Cover Non-slip Massage Sofa Cover Stretch Chair Seat  Protector Pure Color All-inclusive Elastic Seat Slipcover for Home Office</t>
  </si>
  <si>
    <t>Office Chair Cover Elastic Computer Chair Cover Stretch Arm Chair Seat Cover</t>
  </si>
  <si>
    <t>Self-adhesive Kitchen Wallpaper Oil-Proof Aluminum Foil Wall Sticker  Cabinet</t>
  </si>
  <si>
    <t>Bathroom Storage Rack Floor Cabinet Toilet Bath Organizer Drawer Shelf-White</t>
  </si>
  <si>
    <t>12Pcs/Set PVC 3D Wall Panels Embossed Home Room Decal Background Decor 12x12inch</t>
  </si>
  <si>
    <t>45cm*2m Static Glueless Reusable Removable Flower Window Glass Film Home Decoration</t>
  </si>
  <si>
    <t>Soft Seat Pads Cushion Tie On Non-slip Dining Chair Cushion Indoor Outdoor Seat Pads for Garden Patio Home Office</t>
  </si>
  <si>
    <t>Large Sofa Back Cushion Bed Couch Seat Rest Pad Waist Support Backrest Pillow Home Office Furniture Decorations</t>
  </si>
  <si>
    <t>Magical Running Horse Removable PVC Wall Sticker Background Kids Bedroom Decals</t>
  </si>
  <si>
    <t>2 Seaters Elastic Velvet Sofa Cover Universal Chair Seat Protector Couch Case Stretch Slipcover Home Office Furniture Decoration</t>
  </si>
  <si>
    <t>Suleve™ MXSN1 50Pcs Stainless Steel Metric Coarse Pitch Screw Thread Hexagon Nuts M2 M3 M4 M5 M6</t>
  </si>
  <si>
    <t>3D Self Adhesive Tile Stickers Art Decals DIY Wall Sticker Home Kitchen Decoration</t>
  </si>
  <si>
    <t>Static Cling Glueless Reusable Removable Privacy Frosted Decor Window Glass Film</t>
  </si>
  <si>
    <t>3D DIY Brick Pattern Wallpaper Waterproof Home Living Room Bed Room Kitchen Wallpaper</t>
  </si>
  <si>
    <t>High Back Cushion Soft Rocking Recliner Chair Seat Cushion Bench Backrest Pad Waist Support Pillow Mat Home Office Furniture Decorations</t>
  </si>
  <si>
    <t>2/3-Tier Storage Rack Triangle Corner Shelf Holder Bathroom Kitchen MAX 19KG</t>
  </si>
  <si>
    <t>Triangular Headboard Pillow,Triangle Bedside Cushion Reading Pillow Bolster Backrest Positioning Support Pillow for Sofa Bed Home Office Furniture Decorations</t>
  </si>
  <si>
    <t>Hanging Basket Outdoor Swing Hanging Chair Indoor Leisure Cradle Woven Tassel Balcony</t>
  </si>
  <si>
    <t>Suleve 50Pcs M4ZN1 M4 Zinc Alloy Wood Furniture Hex Socket Drive Head Screw-in Threaded Insert Nut</t>
  </si>
  <si>
    <t>Antique Cast Iron Pipe Door Handle Drawer Gate Pull Handle Industrial Punk Wall Holder</t>
  </si>
  <si>
    <t>PU Leather Display Case Watches Storage Box Plastic Organizer for Jewelry Watch Accessories</t>
  </si>
  <si>
    <t xml:space="preserve">1/2/3 Layers Plastic Desktop Organizer Drawer Makeup Holder Box Make Sundry Storage Box Container </t>
  </si>
  <si>
    <t>Suleve™ M3SH5 50Pcs M3 Stainless Steel Hex Socket Cap Head Screws Bolts 4-20mm Optional Length</t>
  </si>
  <si>
    <t>BVSOIVIA Hot &amp; Cold Bathroom Automatic Touch Free Infrared Sensor Faucets Touchless Water Saving Inductive Electric Water Tap Mixer Power</t>
  </si>
  <si>
    <t>360° Rotate Tap Bubbler Filter Aerator Net Water Saving Device Nozzle Faucet Fitting</t>
  </si>
  <si>
    <t>Nordic Marble Shell Cabinet Handle Knobs Drawer and Wardrobe Door Pulls</t>
  </si>
  <si>
    <t>Grey Nordic Marble Shell Cabinet Handle Knobs Drawer and Wardrobe Door Pulls</t>
  </si>
  <si>
    <t>Antique Bronze Handle Retro Drawer Cabinet Door Pulls Furniture Hardware</t>
  </si>
  <si>
    <t>13M Self Adhesive Tape White Board Grid Gridding Marking Tape</t>
  </si>
  <si>
    <t>Head Fishing Nets Brail Nano Titanium Alloy Landing Net Removable Hand Net</t>
  </si>
  <si>
    <t>Acrylic DIY Frame Bezel Pendant Black Plastic UV Resin Box Christmas Decoration Gift 8 Pattern with Hole</t>
  </si>
  <si>
    <t>Fine Copper Angle Valve Cold Hot Water Universal Bathroom Kitchen Valve Eight-Character Fashion Design</t>
  </si>
  <si>
    <t>40*40cm Polyester Chair Cushion Square Soft Padded Pad Home Office Decor Dining</t>
  </si>
  <si>
    <t>XL Size Swivel Computer Chair Cover Stretch With 2 Armrest Covers Armchair Slipcover Seat</t>
  </si>
  <si>
    <t>Nordic Print Round Cotton Chair Cushion Soft Pad Dining Home Office Patio Garden</t>
  </si>
  <si>
    <t>EDC Portable  Door Opener Elevator Handle Key Aluminum Alloy</t>
  </si>
  <si>
    <t>Black Contactless EDC Door Opener Handheld Keychain Press Elevator Tool Anti-Bacterial Sanitary</t>
  </si>
  <si>
    <t>60 x 40 x 28cm Bed Tray Desk Folding Computer Desk With Card Slot And Cup Holder</t>
  </si>
  <si>
    <t>Modern Cupboard Pull Drawer Knobs Zinc Alloy Furniture Wardrobe Round Handle Pulls</t>
  </si>
  <si>
    <t>Desktop Table Organizer Office Storage Folder Rack File Wood Display Shelf Stand</t>
  </si>
  <si>
    <t>Free Bending Water Barrier Water Stopper Silicone 50/60/90/120/150/200cm</t>
  </si>
  <si>
    <t>2Pcs Elastic Office Chair Cover Computer Rotating Chair Protector Stretch Armchair Seat Slipcover Home Office Furniture Decoration</t>
  </si>
  <si>
    <t>Elastic Office Chair Cover Washable Computer Chair Protector Stretch Armchair Dining Chair Seat Slipcover Home Office Furniture Decoration</t>
  </si>
  <si>
    <t>Suleve™ M3ASH3 10pcs M3 Hex Socket Cap Head Screws Alloy Steel Titanium Plated 12.9 Grade</t>
  </si>
  <si>
    <t>10pcs EAS System Retail Shop Display Security Hook Stop Lock 4-5mm</t>
  </si>
  <si>
    <t>Diagonal Tile Floor Sticker Self-adhesive Wall Ground Cabinets Decals Home Decor</t>
  </si>
  <si>
    <t>Metal Adjustable Shelf Holder Bracket For Glass or Wood Shelves</t>
  </si>
  <si>
    <t>5Pcs 5x30mm 304 Stainless Steel Round O Ring Welded Marine Rigging Strapping Hardware</t>
  </si>
  <si>
    <t>130Pcs Picture Photo Hangers Kit Frame Hanging Hooks</t>
  </si>
  <si>
    <t xml:space="preserve">27m Florist Floristry Floral Stem Flower Tape Colour Corsages Craft 12mm </t>
  </si>
  <si>
    <t>1/2 3/4 1 Inch 12V Electric Solenoid Valve Pneumatic Valve for Water Air Gas Brass Valve Air Valves</t>
  </si>
  <si>
    <t>Suleve™ M4AH1 50Pcs Titanium Plated M4 Hex Socket Cap Head Screws Alloy Steel 12.9 Grade Screw Bolt M4*10</t>
  </si>
  <si>
    <t>Suleve™ M4AH2 50Pcs Titanium Plated M4 Hex Socket Flat Countersunk  Head Screws Alloy Steel 12.9 Grade Screw Bolt M4*10</t>
  </si>
  <si>
    <t>Tatami Seat Cushion Round Chair Cushion Mat Pillow Home Car Decorations Soft Sofa Cushion for Home Office Simple Fashion Round Cushion</t>
  </si>
  <si>
    <t>7Pcs Animal Ceramic Furniture Knobs Drawer Cabinet Cupboard Door Pull Handle Set</t>
  </si>
  <si>
    <t>Multifunction Kitchen Storage Organizer Dish Drainer Drying Rack Iron Sink Holder Tray For Plate Cup Bowl Tableware Shelf Basket</t>
  </si>
  <si>
    <t xml:space="preserve">Paper Tapes for Metal Frame DIY Crystal Dropping Glue Tool Non-trace Adhesive </t>
  </si>
  <si>
    <t xml:space="preserve">Suleve™ M4AN1 10Pcs M4 Self-locking Nylon Nut Aluminum Alloy Multi-color </t>
  </si>
  <si>
    <t>100Pcs 1.0/1.5/2.0/3.0mm Tile Leveling System Spacer Clips Floor Wall Tiling Tool</t>
  </si>
  <si>
    <t>Solid Brass Arc Button Stud Screw Nail 4-15mm Screw Back Leather Belt Button Screws</t>
  </si>
  <si>
    <t>2Pcs/1Set Chair Seat Covers Farley Short Plush Universal Elastic Stretch Washable</t>
  </si>
  <si>
    <t>Patio Protective Furniture Cover Black Rectangular Extra Large Waterproof Dustproof Folding Cover</t>
  </si>
  <si>
    <t>Garden Patio Rectangular Table Chairs Protective Cover Waterproof Dustproof Folding Furnitur Cover</t>
  </si>
  <si>
    <t>Oxford Polyester Tarpaulin Protective Cover For Sun Umbrella Waterproof Dustproof Floding Cover</t>
  </si>
  <si>
    <t>20Pcs/Set 3D Brick Wall Sticker Self-adhesive Panel Decal Waterproof PE Foam Wallpaper for TV Walls Sofa Background Wall Decor</t>
  </si>
  <si>
    <t>1 Pc Elastic Office Chair Seat Cover Computer Rotating Chair Seat Protector Stretch Armchair Slipcover Home Office Furniture Decoration</t>
  </si>
  <si>
    <t>Suleve™ MXNW2 100pcs M2 M3 M4 M5 White Nylon Flat Washer Gasket Thickness 1mm</t>
  </si>
  <si>
    <t>Suleve™ M3NR2 50pcs M3 Black Nylon Round Phillips Screw Bolts 6/15/20/25mm</t>
  </si>
  <si>
    <t>Suleve™ MXSW2 50Pcs Metric Stainless Steel Flat Washer Gasket M3/M4/M5/M6/M8</t>
  </si>
  <si>
    <t xml:space="preserve">Plastic Desktop Organizer Makeup Organizer Cosmetic Storage Box Stationery Holder Home Decorations </t>
  </si>
  <si>
    <t>Foldable Height Angle Adjustable USB Cooling Fan Bed Laptop Desk, Adjustable Height, Easy to Fold</t>
  </si>
  <si>
    <t>50/60cm Square Simple Coffee Table Storage Small Table Easy Installation, Large Loading Capacity</t>
  </si>
  <si>
    <t>50/60cm Triangle Simple Coffee Table Storage Small Table Easy Installation, Large Loading Capacity</t>
  </si>
  <si>
    <t>9Pcs 30-100A ABS+Copper Auto Male Female Fuse 7 Colors PAL Replacement Accessories</t>
  </si>
  <si>
    <t>10Pcs Stainless Steel Stemball Swage Hand-Crimp Metal Post 1/8" Cable Railing Screw</t>
  </si>
  <si>
    <t>Single/Double Top/Bottom/Tiers Desktop Plastic Organizer Makeup Cosmetic Storage Box</t>
  </si>
  <si>
    <t>20pcs M3 to M6 PC Transparent Screws Nylon Screws Plastic Screws Nuts</t>
  </si>
  <si>
    <t>Portable Smart Keyless Luggage Door Lock Anti Theft Fingerprint Security Padlock</t>
  </si>
  <si>
    <t>4 Bill 5 Coin Cash Drawer Tray Storage Box for Cashier Money Security Lock Safe Box</t>
  </si>
  <si>
    <t>Suleve™ M3AH6 10Pcs M3×8mm Hex Socket Screws Round Head Cap Screws 7075 Aluminum Alloy</t>
  </si>
  <si>
    <t>Suleve™ M3AH7 10Pcs M3×10mm Hex Socket Screws Round Head Cap Screw 7075 Aluminum Alloy</t>
  </si>
  <si>
    <t>Kitchen Pull Out Cool Painted Finish Flexible Hot and Cold Mixer Taps Deck Mount Swivel</t>
  </si>
  <si>
    <t>Kitchen Spray Head Swivel Sink Pull Down Pre-Rinse Faucet Tap Sprayer Repalcement Part</t>
  </si>
  <si>
    <t>Suleve™ M2NH2 M2 Nylon Screw White Hex Screw Nut Nylon PCB Standoff Assortment Kit 140Pcs</t>
  </si>
  <si>
    <t>Dining Room Chair Seat Covers Slip Stretch Wedding Banquet Party Removable Stretch Polar Fleece Twill Bar Stool Chair Cover Slipcovers Hotel Counter Decor</t>
  </si>
  <si>
    <t>Suleve™ CJ40 T Slot 3 Way 90 Degree Inside Corner Connector Joint Bracket for 4040 Series Aluminum Profile</t>
  </si>
  <si>
    <t>7 PCS/Set 3D Wall Decals Stickers Self-adhesive Waterproof Panels Wallpaper</t>
  </si>
  <si>
    <t>Hammock Chair Hanging Kit Swing Chair Fixing Accessory Stainless Steel</t>
  </si>
  <si>
    <t xml:space="preserve">Kitchen Basin Sink Faucet 360° Rotation Pull Out Sprayer Hot Cold Mixer Tap Single Handle Brass Finish Deck Mount </t>
  </si>
  <si>
    <t>DC 12V 60kg Visible Installation Door Cabinet Magnetic Lock Access Control System</t>
  </si>
  <si>
    <t>Foldable Clear Plastic Shoe Boxes Storage Organizer Stackable Tidy Display Box Baskets</t>
  </si>
  <si>
    <t>Upgrade Lifting Footstool 6 Gears Adjustable Height Foot Stepping Platform for Home Office</t>
  </si>
  <si>
    <t>2 Piece Wingback Chair Slipcover Sofa Chair Cover Spandex Stretch Elastic Wing back Slip Chair Cover Recliner Arm Chair Protector</t>
  </si>
  <si>
    <t>Adjustable Movable Base Laundry Pedestal Stand Bracket for Washing Machine Dryer Refrigerator</t>
  </si>
  <si>
    <t>Portable Nylon Travel Storage Bag Pouch Bag Case Luggage Cosmetic Organizer</t>
  </si>
  <si>
    <t>Makeup Drawer Storage Box Cosmetic Jewelry Desktop Plastic Home Organizer Case</t>
  </si>
  <si>
    <t xml:space="preserve">25 pcs  M3 Female Thread  Hexagon Isolation Column Brass Standoff Spacer </t>
  </si>
  <si>
    <t xml:space="preserve">Suleve™ M2NC1 20pcs M2 Black Round Nylon Screws Cross Round Head Screws Bolt </t>
  </si>
  <si>
    <t>Metal Bookshelf Letter Magazine Storage Rack Tray Holder Desk Organization</t>
  </si>
  <si>
    <t xml:space="preserve">4pcs Antique Buckets Foot Nail Spikes Brads luggage Bag Suitcase Ail Decoration Nail Foot </t>
  </si>
  <si>
    <t>100pcs Poly Mailers Envelopes Shipping Packing Plastic Self Seal Ring Bags</t>
  </si>
  <si>
    <t xml:space="preserve">Toilet Portable Bidet Seat Spray Water Female Self Cleaning Bathroom With Water Tube Set </t>
  </si>
  <si>
    <t>Tall/Short Type Stainless Steel Bathroom Basin Faucet Single Handle Single Hole Lead Free Hot And Cold Mixer Taps With Hoses</t>
  </si>
  <si>
    <t>Clean-n-Fresh 30Pcs/set Dishwasher-specific Automatic Flush Cleaner Soap Contains Active Oxygen Factor Dish Washing Machine Cleaner</t>
  </si>
  <si>
    <t>50mm PVC Water Outlet Hose Connector Converter Pipe Adapter</t>
  </si>
  <si>
    <t>1/2'' 3/4'' S60x6 IBC Water Tank Adapter Nozzle Quick Connect Coarse Thread Hose Pipe Tap Replacement Valve Fitting Parts</t>
  </si>
  <si>
    <t>4 Floors Foldable Clothes Drying Rack With 4 Wheels For Indoor/Outdoor Use</t>
  </si>
  <si>
    <t>240/258/385/360cm Outdoor Garden Durable PE Swimming Pool Cover Waterproof Rainproof Dustproof Cover Blue Round Swimming Pool &amp; Accessories</t>
  </si>
  <si>
    <t>1/2 Inch Turn Ceramic Disc Cartridge Tap Valves Hot Cold Repair Replacement Kit</t>
  </si>
  <si>
    <t>Portable 3 Layers Shoe Rack Storage Shoe Rack Sandals Slippers Space Saving</t>
  </si>
  <si>
    <t>4 Tiers Metal Kitchen Spice Rack Jars Bottle Organizer Bathroom Storage Shelf</t>
  </si>
  <si>
    <t>10pcs Bronze  Bubble Nails Decorative Sofa Vesicles Box Bubble Nail Tack</t>
  </si>
  <si>
    <t>Suleve™ M2NH4 50Pcs M2 Nylon Hex Hexagonal Female Thread PCB Standoff Spacers 10/15/20/25mm</t>
  </si>
  <si>
    <t>1.0-4.0mm Plastic Easy Storage Screw Setter Anti Static for DIY Model RC 14x9x2cm</t>
  </si>
  <si>
    <t>Wooden Succulent Flower Pot Stand Indoor Balcony Floor Stand Garden Decoration</t>
  </si>
  <si>
    <t>Folding Notebook Computer Desk Stand Portable Plastic Learning Desk Multifunctional Storage Desk For Laptop Notebook Bedroom Desk</t>
  </si>
  <si>
    <t>1/4 Inch Male Thread Pipe Barb Hose Tail Connector Adapter 6mm To 12mm</t>
  </si>
  <si>
    <t>Retro Black Metal Folding Plant Shelf Unit Flower Rack Stand Shoe Stand For Garden Patio Balcony</t>
  </si>
  <si>
    <t>Waterproof Heavy Duty Proof Sun Canopy Shade Sail Cloth Rectangle Outdoor</t>
  </si>
  <si>
    <t>Wooden Plant Stand Garden Planter Flower Pots Stand Shelf Indoor Outdoor</t>
  </si>
  <si>
    <t>Metal Plant Stand Shelf Flower Pot for Indoor Garden Kitchen Rack Space Saving Shoe Organizers Storage Home Decoration For Indoor Outdoor</t>
  </si>
  <si>
    <t>Multi Tier Wood Flower Rack Plant Stand Wood Shelves Bonsai Display Shelf Indoor</t>
  </si>
  <si>
    <t>Waterproof Wall Sticker for Living Room Bedroom DIY Wall Decor Self Adhesive</t>
  </si>
  <si>
    <t>Plant Stand Multi-Layer Flower Stand Floor Stand Flower Pot Rack</t>
  </si>
  <si>
    <t>4 Tier Flower Stand Iron Plant Pot Shelf Balcony Floor Stand Garden Home Decor Planter Holder</t>
  </si>
  <si>
    <t>Plastic Cosmetic Makeup Storage Box Organizer Case Holder Jewelry with Drawer</t>
  </si>
  <si>
    <t>Black Silver Swive Spout Basin Faucet Bathroom Vessel Sink Mixer Tap Single Lever 360 Rotate Hot Cold Water Tap</t>
  </si>
  <si>
    <t>2Pcs Portable Foldable Tripod TV Stand Adjustable Height Monitor Bracket Mount for 26" to 50" Flat Screen</t>
  </si>
  <si>
    <t>160x50x25CM Toilet Bathroom Shelf Steel Pipe Material Perforation-Free Storage Shelf With Paper Towel Rack &amp; Towel Rack</t>
  </si>
  <si>
    <t>32Pcs Galvanized Threaded Nail Expansion Screw Nails Door Frame and Safety Speed Bump Fixing Pull Burst Nail</t>
  </si>
  <si>
    <t>Matte Black Cabinet Pull Door Handles Steel Kitchen Hardware Drawer Knob T Bar</t>
  </si>
  <si>
    <t>2/3/4/5 Tier Foldable Flower Pot Plant Stand Planter Display Rack Shelf Organizer Garden Balcony</t>
  </si>
  <si>
    <t>3/16" Stainless Steel Hand Swage Stud Turn Buckle Deck Toggle Tensioner for 3/16 Inch Cable Railing</t>
  </si>
  <si>
    <t>12.5CM Vintage Iron Coat Towel Hanging Hook Wall Bathroom Rack Door Home Decor</t>
  </si>
  <si>
    <t>Rustic Wood Pipe Frame Floating Shelf Bracket Rack Holder Wall Mounted Storage</t>
  </si>
  <si>
    <t>Roll Copper Steel 25 ft. 3/16" Brake Line Pipe Tubing with 20 Pcs Kit Fittings Brake Female Male Nut</t>
  </si>
  <si>
    <t>iBeauty Sauna Convenient Folding Chair Camping Portable Chair</t>
  </si>
  <si>
    <t>Iron Toggle Latch Catch Hasp Clamp Clip Duck Billed Buckles for Wood Box Case</t>
  </si>
  <si>
    <t>Foldable ECO Grocery Bag Magic Folding Shopping Bag Reusable Recycle Cloth Shopper Bag Large</t>
  </si>
  <si>
    <t>Suleve™ M5AN2 10Pcs M5 Cup Head Hex Screw Gasket Washer Nuts Aluminum Alloy Multicolor</t>
  </si>
  <si>
    <t>Suleve™ AJ40 4Pcs Corner Bracket Cast Aluminum Angle Corner Joint 40x40mm</t>
  </si>
  <si>
    <t xml:space="preserve">Baby Boys Potty Toilet Kids Toddler Urinal Bathroom Hanging Pee Trainer </t>
  </si>
  <si>
    <t>Knobs Pull Ring for Drawer Cabinet Cupboard Door Furniture Handle Furniture Component</t>
  </si>
  <si>
    <t>20pcs PPR Teeth Plug PPR External Wire Plug DN20 Pipe Fittings of Hot Water</t>
  </si>
  <si>
    <t>Kitchen Sink Faucet 360°Swivel Pull Out Water Tap Deck Mounted Cold Hot Mixer With Hose</t>
  </si>
  <si>
    <t>Brushed Gold Kitchen Sink Faucet Pull Out Water Tap Single Handle Mixer Tap 360 Rotate</t>
  </si>
  <si>
    <t>Vacuum Cleaner Stand Fits For Dyson V6 V7 V8 V10</t>
  </si>
  <si>
    <t>Adjustable Laptop Stand Folding Portable Computer for Bed Sofa Desk Holder Table</t>
  </si>
  <si>
    <t>Aluminum Alloy Cabinet Feet Adjustable Furniture Foot Bed Cabinet Legs Coffee Table Fixed Feet</t>
  </si>
  <si>
    <t>Garden Anti Bird Net Insect Netting Poultry Plant Vegetable Outdoor Crop Fruit Protective Mesh Net</t>
  </si>
  <si>
    <t>Modern White Flower Bedroom Bedside Table Rack Cabinet Organizer Night Stand Storage Baskets</t>
  </si>
  <si>
    <t>Black Wood Looking Textured Self Adhesive Decor Contact Paper Vinyl Shelf Liner Wall Paper</t>
  </si>
  <si>
    <t>Waterproof Stacking Chair Covers Outdoor Garden Parkland Patio Office Furniture</t>
  </si>
  <si>
    <t>2Pcs/Set Rainfall Handheld Shower Head Silica Gel Outlet Pressurized Shower set</t>
  </si>
  <si>
    <t xml:space="preserve">FRAP Silver Double Handle Faucet Kitchen Sink Faucet and Kitchen </t>
  </si>
  <si>
    <t>TMOK 1" 1-1/4" Manual Internal Threaded Brass Temperature Gauge Ball Valves for Thermometer</t>
  </si>
  <si>
    <t xml:space="preserve">TMOK TK201 1/2" 3/4" 1" Female Brass Two Piece Full Port Thread Ball Valves with Vinyl Handle </t>
  </si>
  <si>
    <t>TMOK 1/2" 3/4" External Wire Manual PPR Brass Ball Valve Nickel Handle PPR Male Thread Valves</t>
  </si>
  <si>
    <t>Suleve™ MXHN1 50Pcs Transparent Acrylic Nuts Hex Plastic Nut Washer Hexagonal Lock Nuts M6</t>
  </si>
  <si>
    <t>76.2mm to 57.6mm Stainless Exhaust Pipe to Component Adapter Reducer Connector Pipe Tube</t>
  </si>
  <si>
    <t>M22 Male to 1/4" Male Adapter Brass Pressure Washer Hose Quick Connect Coupling Fitting for Karcher</t>
  </si>
  <si>
    <t xml:space="preserve">10Pcs 8x12 Inch Adhesive Glitter Paper Card Assorted Colors Scrapbooking Crafts </t>
  </si>
  <si>
    <t>LED Light Strip 50/100/150/200cm RGB 5050SMD LED Strip Light Battery Operated Waterproof 3 Modes Color Change</t>
  </si>
  <si>
    <t>15/25/37mm Width PVA Wide Wire Mesh Coarse Fishing Baits Bag Stocking Plunger Stick Tube 7m Length</t>
  </si>
  <si>
    <t>TMOK 3/4" 1" 1-1/4" PPR Brass Ball Valve Heat Fusion Double Union Socket Plumbing Fitting</t>
  </si>
  <si>
    <t>Heavy Duty Aluminium Rotating Bearing Turntable Turn Table Round Plate Tableware</t>
  </si>
  <si>
    <t>Mini Decorative Jewelry Box Chest Case Cabinet Drawer Door Pull Knobs Handle</t>
  </si>
  <si>
    <t xml:space="preserve">CHENGSHE Bamboo Tea Tray Mat Kung Fu Tea Making Tools from </t>
  </si>
  <si>
    <t xml:space="preserve">20Pcs Stainless Steel Clips Tent  Windproof Securing Hook Buckle </t>
  </si>
  <si>
    <t>Dual Purpose Bidet Airbrush Set Plastic ABS Electroplating Toilet Companion Flusher Bidet Nozzle</t>
  </si>
  <si>
    <t>Handheld Toilet Bidet Sprayer Bathroom Nozzle Shower Water Spray Head Bidet Booster Kit With Switch</t>
  </si>
  <si>
    <t>Swivel Seat Cover Elastic Computer Office Chair Cover Washable Removable Arm Chair Cover Home Buisness Office Supplies</t>
  </si>
  <si>
    <t>Steel Wire Rope Balustrade Kit Jaw Swage Fork Eye Bolt Terminal Turnbuckle Saddle</t>
  </si>
  <si>
    <t>1/2/3/4 Seaters Elastic Sofa Cover Universal Bohemian Chair Seat Protector Couch Case Stretch Slipcover Home Office Furniture Decorations</t>
  </si>
  <si>
    <t>4Pcs 10/15cm European Solid Wood Carving Furniture Foot Legs Unpainted Couch Cabinet Sofa Seat Feets</t>
  </si>
  <si>
    <t>Stretch Chair Cover Dining Room Chair Slipcovers Stretch Furniture Protector Covers Removable  Kitchen Chair Cover Seat for Hotel Ceremony Banquet Wedding Party</t>
  </si>
  <si>
    <t>4Pcs 10/15cm European Solid Wood Carving Furniture Foot Legs Unpainted Cabinet Feets Wood Decal</t>
  </si>
  <si>
    <t>25FT Air Hose Fittings Recoil Pneumatic Airline Compressor 200PSI Quick Coupler</t>
  </si>
  <si>
    <t>1/2/3 Seaters Elastic Sofa Cover Universal Pure Color Chair Seat Protector Couch Case Stretch Slipcover Home Office Furniture Decorations</t>
  </si>
  <si>
    <t>60/90/120/150/200cm Bathroom/Kitchen Shower Water Barrier silicone Dry And Wet Separation Water Blocking Strips</t>
  </si>
  <si>
    <t>Elastic Chair Cover Home Office Hotel Modern Removable Floral Chair Slipcover Table Chair Home Furnishing Decorations</t>
  </si>
  <si>
    <t>4Pcs 10/15cm European Solid Wood Carving Furniture Foot Legs Unpainted Table Cabinet Feets</t>
  </si>
  <si>
    <t>4Pcs 10/15cm European Solid Wood Carving Furniture Foot Legs Unpainted Cabinet Sofa Seat Feets</t>
  </si>
  <si>
    <t>10Pcs Vinyl Siding Hooks Hanger Stainless Steel No-Hole Needed Vinyl Siding Clips for Hanging Home Outdoor Decorations</t>
  </si>
  <si>
    <t>25×1100×0.75mm Anti Slip Tennis Racket Grip Tapes Badminton Racket Grip Tape Squash Tape</t>
  </si>
  <si>
    <t>Metal Oval Shape Clasp Turn Twist Lock for DIY Handbag Bag Purse</t>
  </si>
  <si>
    <t>9 Size M4 M5 M6 M8 M10 Hex Drive Screw In Threaded Insert For Wood Type E</t>
  </si>
  <si>
    <t>Suleve™ AC30 30×30mm Aluminum Angle Connector Junction Corner Bracket 3030 Series Aluminum Profile</t>
  </si>
  <si>
    <t>Suleve™ AC20 20×20mm Aluminum Angle Corner Connector T Sloted Profile 2020 Series Aluminum Profile</t>
  </si>
  <si>
    <t>Suleve™ AC40 40×40mm Aluminum Angle Connector Junction Corner Bracket  4040 Series Aluminum Profile</t>
  </si>
  <si>
    <t>1/2 Inch 3.5cm Hose Adapter Brass Coupling Quick Fittings Coupler</t>
  </si>
  <si>
    <t>Thick Hanging Basket Seat Cushion Hanging Egg Chair Cushions Chair Cushions BRS</t>
  </si>
  <si>
    <t>220lbs Hammock Hanging Chair Rope Relax Macrame Swing Seat Cotton Home</t>
  </si>
  <si>
    <t>Moveable Computer Laptop Desk Height Adjustable Writing Study Table Book Storage Shelf Workstation with Wheels Home Office Furniture</t>
  </si>
  <si>
    <t>Garden Bench Patio SEAT PADS Chair Cushion Swing 3 Seater OUTDOOR 150x50x10CM</t>
  </si>
  <si>
    <t>Portable Inflatable Chair Outdoor Plush Pneumatic Stool Bean Bag Round Shape Home furniture</t>
  </si>
  <si>
    <t>8-24mm Stainless Steel Spring Link Bar Pins For Watch Band Strap</t>
  </si>
  <si>
    <t>10pcs 1/4inch Male/Female BSP Adapter Compressed Air Quick Coupling Hose</t>
  </si>
  <si>
    <t>18m×48mm PVC Roll Self Adhesive Warning Tape Decorative Tape</t>
  </si>
  <si>
    <t>20x10CM Wood Carved Corner Onlay Unpainted Frame Decoration</t>
  </si>
  <si>
    <t>10Pcs Stainless Steel Wall Display Hooks for Coat Shop Slatwall Panel 10 × 150MM</t>
  </si>
  <si>
    <t>Rubber &amp; Stainless Steel Door Stop Wedge Safety Protector Stopper Block</t>
  </si>
  <si>
    <t xml:space="preserve">FRAP F4254 Home Kitchen Single Rotating Handles Basin Faucet Optional Handles Style Sink Faucet </t>
  </si>
  <si>
    <t>Universal 4 Way Hose Faucet Manifold Water Segregator for 3/4" 1/2" Garden Tap Splitter Water Pipe Divider Hose Quick Connector Nozzle Shut Off Control</t>
  </si>
  <si>
    <t>8.5cm x 6.5cm Metal Purse Bag Frame Kiss Clasp Lock Wallet Clip DIY Craft Decorations</t>
  </si>
  <si>
    <t>Real Marble Coffee Table set of 2 Round Side End Table Metal Base</t>
  </si>
  <si>
    <t>66-96CM Adjustable Telescopic Over Sink Dish Drying Rack Holder</t>
  </si>
  <si>
    <t>Office Foot Rest Mat Foot Massage Mat Cloud-Shaped Foot Pillow Comfortable Foot Cushion Pillow Home Offfice Supplies</t>
  </si>
  <si>
    <t>Toilet Douche Hand Held Bidet Shower Head Spray Sprinkler Wash Jet Hose Set</t>
  </si>
  <si>
    <t>6/10/14mm Solid Brass Y Connector 3 Ways Hose Joiner Barbed Y Splitter</t>
  </si>
  <si>
    <t>Handles Pull with Screw for Cabinet Cupboard Drawer Door Wardrobes</t>
  </si>
  <si>
    <t>Draft Beer Tower Rebuild Kit with Shank Beer Faucet Hose Wrench</t>
  </si>
  <si>
    <t>20Pcs Black 12.9 Grade M12 HEX Socket Set Core Point Grub Screws</t>
  </si>
  <si>
    <t>Glasses Display Case Grids Storage Box Jewelry Collection Case Display Holder</t>
  </si>
  <si>
    <t>Canvas Swing Hanging Hammock Chair Cotton Rope Tassel Tree Chair Seat Patio Outdoor</t>
  </si>
  <si>
    <t>Garden Tree Patio Camping Hammock Chair Hanging Chair Swing Cotton Tassel Rope</t>
  </si>
  <si>
    <t>Silicone Square Round Furniture Feet Caps Table Chair Leg Pads Floor Protector Scratchproof</t>
  </si>
  <si>
    <t>Kids Potty Training Seat with Step Stool Ladder For Child Toddler Toilet Chair</t>
  </si>
  <si>
    <t>Retro Wall Shelf Wood Rope Swing Shelves Baby Kids Room Storage Holder Decor NEW</t>
  </si>
  <si>
    <t>Velvet Stretch Chair Covers Chair Protector Slipcover Dining Room Wedding Banquet Party for Home Office Decoration</t>
  </si>
  <si>
    <t>Wooden Computer Laptop Desk Modern Table Study Desk Office Furniture PC Workstation for Home Office Studying Living room</t>
  </si>
  <si>
    <t>3Pcs Pack Self Setting Silicone Multi Purpose Modeling Repair Cracks Fix Form Repair Plasticine Tool</t>
  </si>
  <si>
    <t>10Pcs 11mmx200mm Colorful Glitter Hot Melt Glue Stick Colorant DIY Crafts Repair Model Adhesive Sticks</t>
  </si>
  <si>
    <t>Antique Brass Triangle Valve Bathroom Accessory G1/2 Brass Angle Stop Valves Filling Valves Square Type</t>
  </si>
  <si>
    <t>Velvet Storage Footstool Sofa Ottoman Footrest Makeup Dressing Table Stool Storage Box Bench Seat Chair Home Office Furniture</t>
  </si>
  <si>
    <t>High Back Chair Cushion Waterproof Sofa Recliner Chair Cushion Seat Back Pad Tatami Mat for Office Home Patio Backyard Garden</t>
  </si>
  <si>
    <t>High Back Chair Seat Cushion Office Chair Recliner Chair Pad Pillow Soft Sofa Car Seat Cushion Mat Home Office Furniture Decorations</t>
  </si>
  <si>
    <t>Baby Toddler Toilet Trainer Potty with Adjustable Ladder Safety Seat Chair Step</t>
  </si>
  <si>
    <t>YOUHUA 2006 5/6 Tier Flower Plant Stand Indoor Metal Pots Stander Display</t>
  </si>
  <si>
    <t>3/4 Layer Storage Rack Home Bathroom Shower Shelf Kitchen Bath Holder Organizer</t>
  </si>
  <si>
    <t>Bedroom Bathroom Door Round Lever Handle Knobs Locks Stainless Steel</t>
  </si>
  <si>
    <t>USB Computer Desk Multifunctional Portable Bed Computer Desk Lazy Foldable Lazy Laptop Table for Home Office Dormitory</t>
  </si>
  <si>
    <t>Adjustable Laptop Desk Movable Bed Desk Writing Small Desk Lifting Desk Mobile Bedside Table for Home Dormitory</t>
  </si>
  <si>
    <t>12 Pcs Anti Slip Grip Strips Non-slip Bathtub Safety Stickers Shower Floor</t>
  </si>
  <si>
    <t>2 IN 1 Foldable Portable Baby Bed &amp; Backpack Baby Crib Nursery Travel Cot Mosquito</t>
  </si>
  <si>
    <t>Kitchen Drain Storage Rack Sink Sponge Dish Towel Organizer Cloth Holder Shelf</t>
  </si>
  <si>
    <t>MUMAREN ZJBGZWJ Wall-mounted Storage Shelf Rustic Floating Mantle Bookshelf Home Decor</t>
  </si>
  <si>
    <t>Wall Mounted Storage Rack Children Room Decorative Shelf  Pink Yellow Purple</t>
  </si>
  <si>
    <t>1/2/3 Seaters Elastic Plush Sofa Cover Universal Thick Pure Color Sofa Chair Seat Protector Stretch Slipcover Couch Case Home Office Furniture Decoration</t>
  </si>
  <si>
    <t>1/3/5m 25/45mm Universal Practical Auto Moulding Trim Car Anti Collision Strip Scratch</t>
  </si>
  <si>
    <t>Bathroom Kitchen Water Stopper Separation Silicone Partition Strips Height 30MM</t>
  </si>
  <si>
    <t>Suleve Universal Faucet Areator 1080 Degree Swivel Extender Splash Filter Bubbler Rotating Mesh Mouth Anti Splash Head Dual Mode Faucet Extender Water Saving Device for Bathroom Kitchen</t>
  </si>
  <si>
    <t>SUOERNUO Z674 4-Layers Storage Rack Wrought Iron Bathroom Kitchen Shelf White/Brown</t>
  </si>
  <si>
    <t>2-Tier Bathroom Storage Shelf Above Washing Machine Toilet Floor-standing Rack</t>
  </si>
  <si>
    <t>2-Tier Kitchen/Bathroom Storage Rack Freestanding Shelf Save Space</t>
  </si>
  <si>
    <t>Cosmetic Organizer 360° Degree Rotating Makeup Box Storage Spinning Rack Case</t>
  </si>
  <si>
    <t>4-Tier Storage Cabinet Laundry Cupboard Assorted Shelf Drawer Office Home</t>
  </si>
  <si>
    <t>5 Drawers Hair Salon Beauty Spa Hairdresser Storage Cart Trolley Rolling Barber</t>
  </si>
  <si>
    <t>Wall Storage Rack Towel Organizer Punch Free Kitchen Bathroom 30/40/50/60CM</t>
  </si>
  <si>
    <t>File Cabinets Chest Of Drawers Nightstands Wardrobe Bedside Table Desk Storage With 2 Layer</t>
  </si>
  <si>
    <t>SHENGRONGDA 635 Three Tiers Kitchen Storage Shelf Cupboard Table Topp Free Standing Spice Rack Bottle Holder</t>
  </si>
  <si>
    <t>2Pcs Wall Mounted Floating Shelves Wood Industrial Rack Brackets Shelf</t>
  </si>
  <si>
    <t>Coat Stand Garment Rack Shelf Metal Jacket Umbrella Hanger Standing 12 Hook</t>
  </si>
  <si>
    <t>Recliner Cushion Lounge Chaise Garden Deck Chair Seat Pad Soft Replacement Mat</t>
  </si>
  <si>
    <t>Dish Drying Rack Storage Shelf Kitchen Holder Iron Plate Drainer Organizer</t>
  </si>
  <si>
    <t>YONGHONG G29496 Multifunctional Kitchen Shelf Bottom Drain Partition Storage for Tableware Cutting Board Utensils</t>
  </si>
  <si>
    <t>ZHIMI ZM-049 Kitchen Dish Drainer Dry Rack 2/3 Tier Spice Jars Bottle Stainless Organizer</t>
  </si>
  <si>
    <t>3 Tiers Storage Rack Over Toilet/Bathroom/Laundry/Washing Machine Shelf Organizer</t>
  </si>
  <si>
    <t>1/2/3 Tiers Wall Mounted Storage Holder Wooden Hanging Rope Shelf Floating Rack</t>
  </si>
  <si>
    <t>3 Tier Storage Shelves Desktop Cosmetic Organiser Bath Shelf Spice Makeup Rack</t>
  </si>
  <si>
    <t>Santa Claus Table Cloth Chair Cover Christmas 3D Print Tablecloth Seat Protector Slipcover for Party Banquet Hotels Kitchen Home Office Furniture Decorations</t>
  </si>
  <si>
    <t>YIDUOLE Plant Pot Stand 80CM Metal Holder Flower Display Shelf Indoor Garden Home Decor</t>
  </si>
  <si>
    <t>Chair Cushion Tufted Soft Deck Chaise Padding Outdoor Patio Pool Recliner 18*61</t>
  </si>
  <si>
    <t>Wooden Plant Stand In/Outdoor Garden Planter Flower Pot Stand Shelf 6 Layers</t>
  </si>
  <si>
    <t>Foldable Flower Basket Seagrass Woven Belly Planter Pot Laundry Storage Skep Box</t>
  </si>
  <si>
    <t>Flower Pot Stand Rack-mounted Balcony Wrought Iron Hanging for Home</t>
  </si>
  <si>
    <t>Three Layers Drying Dish Rack with Board Stainless Steel Drainer Shelf for Kitchen</t>
  </si>
  <si>
    <t>1/2 Tier Drying Dish Rack Cutlery Plate Drainer Shelf With Drip Tray Kitchen</t>
  </si>
  <si>
    <t>4 Layers Iron Flower Stand Pot Plant Display Shelves Rack Garden Home Decoration</t>
  </si>
  <si>
    <t>Winter Recliner Cushion Chair Rocking Chair Seat Mat Tatami Mat Non-Slip Cushion Sofa Office Chair Thicken Cushion</t>
  </si>
  <si>
    <t>HONGPAI Refrigerator Rack Kitchen Bar Organizer Side Shelf Sidewall Holder Household</t>
  </si>
  <si>
    <t>Wood Desktop Organizer Adjustable Storage Rack Double H Style BookShelf for Home Office</t>
  </si>
  <si>
    <t>4 Layers Storage Rack Retro Iron Floor Standing Home Kitchen Organizer Stand</t>
  </si>
  <si>
    <t>Multifunctional Coat Rack Clothes Bag Storage Hanger Shoes Holder Stool Shelf</t>
  </si>
  <si>
    <t>Foldable Laptop Desk Portable Height Adjustable Computer Stand Bamboo Tea Serving Tray Bed Dining Table Laptop Notebook Table</t>
  </si>
  <si>
    <t>Elastic Dining Chair Cover Office Computer Chair Protector Stretch Seat Slipcover Home Office Furniture Decor</t>
  </si>
  <si>
    <t>Elastic Ottoman Cover Footstool Protector Stretch Storage Stool Chair Seat Slipcover Home Office Furniture Decor</t>
  </si>
  <si>
    <t>Elastic Dining Chair Cover Stretch Polyester Chair Seat Slipcover Office Computer Chair Protector Home Office Furniture Decor</t>
  </si>
  <si>
    <t>Elastic Dining Chair Cover Printing Stretch Polyester Chair Seat Slipcover Office Computer Chair Protector Home Office Furniture Decor</t>
  </si>
  <si>
    <t>Cupcake Stand Cake Holder Wedding Party Display LED String Light 3/4/5 Tiers</t>
  </si>
  <si>
    <t>Portable Electric Laundry Rack Hanger Folding Drying Clothes Travel 110V/220V</t>
  </si>
  <si>
    <t>ZHUYUWAN Chopstick Holder Wall-mounted Kitchen Tableware Spoon Storage Box</t>
  </si>
  <si>
    <t>Lumbar Support Cushion/ Massage Pillow Portable Inflatable for Home Travel Office Car</t>
  </si>
  <si>
    <t>Clothes Laundry Basket Large Oxford Cloth Hamper Storage Organizer Bag Foldable</t>
  </si>
  <si>
    <t>Indoor Outdoor Garden Patio Home Kitchen Office Chair Seat Soft Cushion Pads</t>
  </si>
  <si>
    <t>Lounger Recliner Seat Pad Replacement Cotton Cushion Cover Sun Sofa Garden Chair Mat</t>
  </si>
  <si>
    <t>Chair Covers Seat Chair Slipcover For Dinning Room Wedding Office Banquet Decor</t>
  </si>
  <si>
    <t>6 Bottle Foldable Wooden Bottle Holder - Natural Shelves Display</t>
  </si>
  <si>
    <t>Bench Storage Stool Shoe Wooden Shoes Rack Bamboo Stand Chair Organiser</t>
  </si>
  <si>
    <t>4pcs 28 Inch Table Desk Legs Metal Hairpin Leg Furniture Legs Stand Feet Home Office Furniture Accessories with Floor Protection Mat</t>
  </si>
  <si>
    <t>4pcs Table Desk Legs 16"/41cm Metal Hairpin Leg Furniture Legs Stand Feet Home Office Furniture Accessories</t>
  </si>
  <si>
    <t>Chair Cover Thick Stretch Recliner Wing Sofa Protector Lazy Washable Fabric</t>
  </si>
  <si>
    <t>LN Plastic Mini Table Foldable Laptop Desk Bed Lazy Table Student Dormitory Desk Writing Table</t>
  </si>
  <si>
    <t>Bathroom Toilet Cabinet Storage Cupboard Rack Tissue Organizer Shelf</t>
  </si>
  <si>
    <t>2Pcs Coffee Table Legs Industrial Metal Computer Laptop Desk Dining Table Steel Base Feet Home Office Furniture Accessories</t>
  </si>
  <si>
    <t>Industrial Ladder Shelf 4 Tiers Bookshelf Plant Flower Stand Storage Rack Multipurpose Organizer Shelves Metal Frame for Home Office</t>
  </si>
  <si>
    <t>Adjustable Cushion Pillow Wedge Waist Rest Neck Back Pillow Support Car Seat Chair Sofa Cushion for Kids Children</t>
  </si>
  <si>
    <t>10Pcs/1Set Durable Plastic Home Double Layer Shoes Storage Racks Shoe Shelf Holder Organizer Space-Saving</t>
  </si>
  <si>
    <t>90Kg/ 198Lbs Toggle Clamp Holding Capacity Horizontal Plate</t>
  </si>
  <si>
    <t>6Pcs/set Silicone Stretch Suction Pot Lids Kitchen Cover Pan Bowl Stopper Cap</t>
  </si>
  <si>
    <t>35cm/45cm Single Layer Wooden Rope Hanging Wall Shelf Vintage Floating Storage Rack Wall Mount Bookshelf Home Decorations Stand</t>
  </si>
  <si>
    <t>12.08" 100Pcs LP Vinyl Record Anti-static Plastic Cover Inner Sleeves LD</t>
  </si>
  <si>
    <t>Wooden Succulent Flower Pot Shelf Rack Multi-Layer Solid Wood Floor Indoor Living</t>
  </si>
  <si>
    <t>Waterproof Tape Kitchen Bathroom Toilet Sink Wall Corner PVC Sealing Strip</t>
  </si>
  <si>
    <t xml:space="preserve">SUBMARINE Stainless Steel Basin&amp;Toilet Flexible Plumbing Water Corrugated Hose G1/2" Hot&amp;Cold Tube Bathroom Heater Pipes 20-60cm from </t>
  </si>
  <si>
    <t>Nordic Wind Geometric Shelf Household Bookshelf Kitchen Plastic Food Storage Case Dried Fruit Snack Box Home Decorations</t>
  </si>
  <si>
    <t>150x30cm PVC Black/White Super Fix Strong Waterproof Adhesive Tape Pipe Repair Tape Self Fixable Tape Stop Leak Seal Insulating Tape</t>
  </si>
  <si>
    <t>Multifunctional Movable Bedside Laptop Desk Computer Table Study Table Computer Stand with 2 Tiers Storage Shelves Bookshelf</t>
  </si>
  <si>
    <t>3300W Electric Hot Water Heater Faucet LED Ambient Light Temperature Display Instant Heating Tap Faucet</t>
  </si>
  <si>
    <t xml:space="preserve">2.5cmx3m Waterproof Silicone Adhesive Tape Pipe Repair Tape Self Fixable Tape Stop Leak Seal Insulating Tape Boding Rescue Tape </t>
  </si>
  <si>
    <t xml:space="preserve">Expandable Kitchen Storage Shelf Bathroom Shoe Houseplant Organizer Rack Holder </t>
  </si>
  <si>
    <t>Dust Proof Shoe Racks Household Receive Simple Shoes Bracket Organizer Footwear Support</t>
  </si>
  <si>
    <t>Lusimo Industrial End Table Metal Side Table Laptop Desk Round Sofa Table with Storage Rack Easy Assembly Wooden Accent Furniture with Metal Frame ULET57X</t>
  </si>
  <si>
    <t>3/4 Grids Seasoning Storage Container Kitchen Wall Hanging Condiment Spice Holder</t>
  </si>
  <si>
    <t>4Pcs/Set Solid Wooden Cone Angled Furniture Legs Kit Sofa Table Chair Stool Part Leg Support</t>
  </si>
  <si>
    <t>Bathroom Rack Tissue Discharge Makeup Cotton Swabs Mask Skin Care Products Shelf No Drilling</t>
  </si>
  <si>
    <t>Practical And Durable Bathtub Cover And Upgraded Comfortable And Easy-to-remove Cushion</t>
  </si>
  <si>
    <t>Sofa Chair Covers Home Elastic Stretch Slipcover Protector Settee 1/2/3/4 Seater</t>
  </si>
  <si>
    <t>2/3 Tier Kitchen Rack Organizer Stainless Steel Countertop Spice Jars Bottle Kit</t>
  </si>
  <si>
    <t>Sofa Covers 1/2/3/4 Seater Lounge Couch Recliner Chair Stretch Slipcover Protect</t>
  </si>
  <si>
    <t>5 Layers Plant Stand Windmill Flower Pot Shelves Indoor Outdoor Garden Planter Shelf Storage Rack with Wheels</t>
  </si>
  <si>
    <t>2 Layers Plant Stand Flower Pot Shelves Indoor Outdoor Garden Home Office Planter Shelf Storage Rack</t>
  </si>
  <si>
    <t>Matte Black Aluminum Door Lock Mechanical Interior Door Handle Cylinder Lock Lever Latch Home Security Mute Locker With Keys New Home Accessories</t>
  </si>
  <si>
    <t>Christmas Tablecloth Chair Cover 3D Print Gift Box Table Cloth Seat Protector Slipcover for Party Banquet Hotels Kitchen Home Office</t>
  </si>
  <si>
    <t>JIAHUA Coat Rack Wall Hanging Iron Hanger Organizers Shelf Bracket Black</t>
  </si>
  <si>
    <t>2 Layers Plants Flower Stand Rack Metal Floor Shelf Home Balcony Decor</t>
  </si>
  <si>
    <t>BNBS 2/3 Tiers Bathroom Storage Shelf Holder Toilet Rack Space Saver Organizers Home</t>
  </si>
  <si>
    <t>20Pcs/Set M12 x 1.5 Wheel Nuts 19mm Hex Locking Nut Blots</t>
  </si>
  <si>
    <t>Suleve MXNP2 270Pcs White/Black M2-M5 Plastic Nylon Phillips Screw Round Head Hex Nut Assortment Kits</t>
  </si>
  <si>
    <t>61" Deck Chair Cushion Lounge Chaise Padding In/Outdoor Recliner Patio Garden Office</t>
  </si>
  <si>
    <t>170CM Sun Lounger Chair Cushions Lounge Chaise Recliner Chair Cushion with Non-Slip Back Elastic Sleeve for Garden Outdoor/Indoor/Sofa/Tatami/Car Seat</t>
  </si>
  <si>
    <t>Foldable Lazy Sofa Single Bed Computer Chair Floor Dormitory Small Sofa for Balcony Bay Window Back Chair Supplies</t>
  </si>
  <si>
    <t xml:space="preserve">Solid Heavy Duty Zinc Alloy Extended Magnetic Door Stopper Hidden Foot Pedal Floor Mount Door Catch Free Punching Door Holder  </t>
  </si>
  <si>
    <t>Dish Drying Rack Organizer Home Kitchen Draining Over Sink Stainless Steel 63/73/83CM</t>
  </si>
  <si>
    <t>Moveable Laptop Desk Home Bed Lazy Table Bedside Table Student Dormitory Bedroom Study Table Desk For Home Office Stydy Bedroom</t>
  </si>
  <si>
    <t>1/2/3/4 Seaters Elastic Sofa Cover Universal Chair Seat Protector Stretch Slipcover Couch Case Home Office Furniture Decoration</t>
  </si>
  <si>
    <t>8L Home Living Room Bedroom Trash Can Frosted ABS Bag</t>
  </si>
  <si>
    <t>Aluminum Alloy Black Handles For Furniture Cabinet Knobs And Handles Kitchen Handles Drawer Knobs Cabinet Pulls Cupboard Handles Knobs</t>
  </si>
  <si>
    <t>Bookshelf Display Shelves DIY Pipe Shelf Rustic Brackets Floating Shelves Wall Brackets</t>
  </si>
  <si>
    <t>80cm Multifunctional Radiator Drying Rack Clothes Dryer Radiator Balcony Bathtub Clothes Rack</t>
  </si>
  <si>
    <t>Retro Plaid Throw Pillow Case Cushion Cover 18''x18'' Pillow Protector for Bedroom Couch Sofa Bed Patio Chair Home Car Decor</t>
  </si>
  <si>
    <t>Multifunctional Wall Mount Stand Wal Hanging Storage Rack Kitchen/Bathroom</t>
  </si>
  <si>
    <t>Creative Wall Hanging Shelf Japanese-style Iron Wall Mounted Storage Basket Rack Free Punch Rack Bookshelf Home Office Decorations Stand</t>
  </si>
  <si>
    <t xml:space="preserve">Multifunction Wall Mounted Storage Rack Home Bath Organizer Shelf Holder </t>
  </si>
  <si>
    <t>12inch DIY Tile Stickers 3D Brick Wall Self-adhesive Sticker Bathroom Kitchen</t>
  </si>
  <si>
    <t>Sink Mixer Sensor Tap Chrome Brass Automatic Hands Free Infrared Basin Faucet</t>
  </si>
  <si>
    <t>3-IN-1 Kitchen Storage Rack Sponge Rag Holder Drain Tray Stainless Steel Organizer Hold</t>
  </si>
  <si>
    <t>RONGWO Automatic Infrared Sink Faucet Touchless Free Sensor Faucet Handfree Water Saving Inductive Electric Hot Cold Basin Faucet</t>
  </si>
  <si>
    <t>Geepro 12Pcs Acoustic Panels Tiles Studio Sound Proofing Insulation Foam</t>
  </si>
  <si>
    <t>Geepro 6Pcs Foam Panels Sound Absorption Broadband Studio Treatment Acoustic Foam Wall Til</t>
  </si>
  <si>
    <t>Wall Mounted Hook Rack Foldable Hooks Hangers Home Clothes Coats Organizer Rack</t>
  </si>
  <si>
    <t>Thickened Solid Small Handle European Style Cabinet Handle Simple Wardrobe Handle Drawer Single Hole Alloy Handle</t>
  </si>
  <si>
    <t>Touch-free Key Pen Elevator Express Cabinet Door Opener Bank ATM Machine Withdrawal Free Touch Key Pen</t>
  </si>
  <si>
    <t>Multifunctional Wall Decorative Paint Roller Corner Brush Handle Tool DIY Household Painting Brushes Kit</t>
  </si>
  <si>
    <t>PC</t>
  </si>
  <si>
    <t>Mens Ethnic Pattern Drawstring Kangaroo Pocket Long Sleeve Hoodies</t>
  </si>
  <si>
    <t>Mens Cartoon Cat Graphic Kangaroo Pocket Drawstring Hoodies</t>
  </si>
  <si>
    <t>Mens Rose Japanese Ombre Print Kangaroo Pocket Drawstring Hoodies</t>
  </si>
  <si>
    <t>Mens Halloween Pumpkin Print Crew Neck Pullover Sweatshirts</t>
  </si>
  <si>
    <t>Mens Japanese Print Patchwork Crew Neck Pullover Sweatshirts</t>
  </si>
  <si>
    <t>Mens Japanese Wave Red Sun Print Kangaroo Pocket Hoodies</t>
  </si>
  <si>
    <t>Mens Color Block Patchwork Embroidered Crew Neck Pullover Sweatshirts</t>
  </si>
  <si>
    <t>Mens Color Block Patchwork Kangaroo Pocket Drawstring Hoodies</t>
  </si>
  <si>
    <t>Mens Allover Ethnic Geometric Print Long Sleeve Drawstring Hoodies</t>
  </si>
  <si>
    <t>Mens Japanese Cherry Blossoms Print Patchwork Kangaroo Pocket Hoodies</t>
  </si>
  <si>
    <t>Mens Color Block Patchwork Crew Neck Casual Pullover Sweatshirts</t>
  </si>
  <si>
    <t>Mens Ethnic Tribal Geometric Print Patchwork Drawstring Hoodies</t>
  </si>
  <si>
    <t>Mens Japanese Print Color Block Patchwork Drawstring Hoodies</t>
  </si>
  <si>
    <t>Mens Japanese Cat Print Patchwork Faux Two Pieces Hoodies</t>
  </si>
  <si>
    <t>Mens Irregular Color Block Patchwork Kangaroo Pocket Hoodies</t>
  </si>
  <si>
    <t>Mens Smile Print Color Block Patchwork Kangaroo Pocket Hoodies</t>
  </si>
  <si>
    <t>Mens Japanese Wave Cat Print Crew Neck Pullover Sweatshirts</t>
  </si>
  <si>
    <t>Mens Ethnic Pattern Patchwork Raglan Sleeve Pullover Sweatshirts</t>
  </si>
  <si>
    <t>Mens Ethnic Smile Print Color Block Patchwork Kangaroo Pocket Hoodies</t>
  </si>
  <si>
    <t>Mens Christmas Hat Cat Print Crew Neck Pullover Sweatshirts</t>
  </si>
  <si>
    <t>Mens Japanese Wave Print Long Sleeve Loose Drawstring Hoodies</t>
  </si>
  <si>
    <t>Mens Ethnic Geometric Print Chest Pocket Plush Lined Drawstring Hoodies</t>
  </si>
  <si>
    <t>Mens Color Block Patchwork Kangaroo Pocket Corduroy Drawstring Hoodies</t>
  </si>
  <si>
    <t>Mens Smile Face Print Patchwork Casual Loose Drawstring Hoodies</t>
  </si>
  <si>
    <t>Mens Christmas Tree Elk Print Long Sleeve Drawstring Hoodies</t>
  </si>
  <si>
    <t>Mens Stripe Quarter Button Long Sleeve Casual Drawstring Hoodies</t>
  </si>
  <si>
    <t>Mens Smile Face Print Contrast Patchwork Crew Neck Pullover Sweatshirts</t>
  </si>
  <si>
    <t>Mens Japanese Wave Print Crew Neck Long Sleeve Pullover Sweatshirts</t>
  </si>
  <si>
    <t>Mens Color Block Patchwork Crew Neck Loose Pullover Sweatshirts</t>
  </si>
  <si>
    <t>Mens Two Tone Patchwork Stand Collar Corduroy Pullover Sweatshirts</t>
  </si>
  <si>
    <t>Mens Contrast Patchwork Stand Collar Fleece Casual Pullover Sweatshirts</t>
  </si>
  <si>
    <t>Mens Contrast Patchwork Crew Neck Casual Loose Pullover Sweatshirts</t>
  </si>
  <si>
    <t>Mens Solid Half Zip Kangaroo Pocket Casual Drawstring Hoodies</t>
  </si>
  <si>
    <t>Mens Smile Face Print Patchwork Half Zip Drawstring Hoodies</t>
  </si>
  <si>
    <t>Mens Smile Face Print Kangaroo Pocket Casual Drawstring Hoodies</t>
  </si>
  <si>
    <t>Mens Smile Embroidered Contrast Patchwork Crew Neck Pullover Sweatshirts</t>
  </si>
  <si>
    <t>Mens Argyle Pattern Smile Embroidered Patchwork Loose Drawstring Hoodies</t>
  </si>
  <si>
    <t>Mens Vintage Ethnic Geometric Pattern Crew Neck Pullover Sweatshirts</t>
  </si>
  <si>
    <t>Mens Ethnic Paisley Print Patchwork Texture Crew Neck Pullover Sweatshirts</t>
  </si>
  <si>
    <t>Mens Ethnic Tribal Letter Print Patchwork Crew Neck Pullover Sweatshirts</t>
  </si>
  <si>
    <t>Mens Ethnic Geometric Print Patchwork Crew Neck Pullover Sweatshirts</t>
  </si>
  <si>
    <t>Mens Chinese Style Floral Print Crew Neck Pullover Sweatshirts</t>
  </si>
  <si>
    <t>Mens Chinese Figure Landscape Print Patchwork Drawstring Hoodies</t>
  </si>
  <si>
    <t>Mens Letter Print Color Block Patchwork Crew Neck Casual Pullover Sweatshirts</t>
  </si>
  <si>
    <t>Mens Contrast Patchwork Japanese Print Loose Crew Neck Pullover Sweatshirts</t>
  </si>
  <si>
    <t>Mens Two Tone Patchwork Kangaroo Pocket Casual Drawstring Hoodies</t>
  </si>
  <si>
    <t>Mens Vintage Geometric Print Crew Neck Pullover Sweatshirts</t>
  </si>
  <si>
    <t>Mens Color Block Kangaroo Pocket Loose Drawstring Hoodies</t>
  </si>
  <si>
    <t>Mens Contrast Patchwork Half Zip Waffle Knit Pullover Sweatshirts</t>
  </si>
  <si>
    <t>Mens Letter Print Flap Pocket Casual Drawstring Hoodies</t>
  </si>
  <si>
    <t>Mens Contrast Chest Pocket Crew Neck Casual Pullover Sweatshirts</t>
  </si>
  <si>
    <t>Mens Smile Ethnic Geometric Print Patchwork Crew Neck Pullover Sweatshirts</t>
  </si>
  <si>
    <t>Mens Japanese Cherry Blossoms Print Contrast Patchwork Drawstring Hoodies</t>
  </si>
  <si>
    <t>Mens Cartoon Animal Print Patchwork Casual Drawstring Hoodies</t>
  </si>
  <si>
    <t>Mens Texture Contrast Patchwork Half Zip Pullover Sweatshirts</t>
  </si>
  <si>
    <t>Mens Solid Kangaroo Pocket Contrast Drawstring Casual Hoodies</t>
  </si>
  <si>
    <t>Mens Ethnic Geometric Print Patchwork Contrast Kangaroo Pocket Hoodies</t>
  </si>
  <si>
    <t>Mens Newspaper Print Patchwork Crew Neck Pullover Sweatshirts</t>
  </si>
  <si>
    <t>Mens Colorful Ombre Stripe Crew Neck Pullover Sweatshirts</t>
  </si>
  <si>
    <t>Mens Smile Print Two Tone Patchwork Pullover Sweatshirts</t>
  </si>
  <si>
    <t>Mens Smile Face Embroidered Patchwork Kangaroo Pocket Drawstring Hoodies</t>
  </si>
  <si>
    <t>Mens Smile Ethnic Tribal Pattern Patchwork Pullover Sweatshirts</t>
  </si>
  <si>
    <t>Mens Side Stripe Patchwork Half Zip Corduroy Pullover Sweatshirts</t>
  </si>
  <si>
    <t>Mens Chinese Calligraphy Bamboo Print Patchwork Drawstring Hoodies</t>
  </si>
  <si>
    <t>Mens Contrast Kangaroo Pocket Loose Casual Drawstring Hoodies</t>
  </si>
  <si>
    <t>Mens Japanese Character Print Patchwork Crew Neck Pullover Sweatshirts</t>
  </si>
  <si>
    <t>Mens Japanese Print Color Block Patchwork Pullover Sweatshirts</t>
  </si>
  <si>
    <t>Mens Color Block Patchwork Kangaroo Pocket Casual Drawstring Hoodies</t>
  </si>
  <si>
    <t>Mens Chinese Style Landscape Print Crew Neck Pullover Sweatshirts</t>
  </si>
  <si>
    <t>Mens Chinese Ink Landscape Print Crew Neck Pullover Sweatshirts</t>
  </si>
  <si>
    <t>Mens Solid Corduroy Kangaroo Pocket Casual Drawstring Hoodies</t>
  </si>
  <si>
    <t>Mens Japanese Wave Ukiyoe Print Crew Neck Pullover Sweatshirts</t>
  </si>
  <si>
    <t>Mens Solid Crew Neck Casual Loose Pullover Sweatshirts</t>
  </si>
  <si>
    <t>Mens Japanese Cat Print Contrast Patchwork Drawstring Hoodies</t>
  </si>
  <si>
    <t>Mens Cartoon Cat Print Patchwork Loose Drawstring Hoodies</t>
  </si>
  <si>
    <t>Mens Smile Face Print Patchwork Crew Neck Pullover Sweatshirts</t>
  </si>
  <si>
    <t>Mens Color Block Patchwork Fleece Loose Drawstring Hoodies</t>
  </si>
  <si>
    <t>Mens Smile Face Print Color Block Patchwork Pullover Sweatshirts</t>
  </si>
  <si>
    <t>Mens Smile Face Print Patchwork Slant Pocket Drawstring Hoodies</t>
  </si>
  <si>
    <t>Mens Letter Embroidered Texture Kangaroo Pocket Casual Hoodies</t>
  </si>
  <si>
    <t>Mens Letter Print Color Block Patchwork Casual Pullover Sweatshirts</t>
  </si>
  <si>
    <t>Mens Japanese Rose Print Contrast Patchwork Drawstring Hoodies</t>
  </si>
  <si>
    <t>Mens Japanese Rose Print Kangaroo Pocket Drawstring Hoodies</t>
  </si>
  <si>
    <t>Mens Japanese Vintage Pattern Patchwork Crew Neck Pullover Sweatshirts</t>
  </si>
  <si>
    <t>Mens Cartoon Panda Japanese Print Crew Neck Pullover Sweatshirts</t>
  </si>
  <si>
    <t>Mens Solid Quarter Button Cotton Casual Drawstring Hoodies</t>
  </si>
  <si>
    <t>Mens Solid Texture Crew Neck Casual Pullover Sweatshirts</t>
  </si>
  <si>
    <t>Mens Contrast Patchwork Half Zip Flap Pocket Fleece Pullover Sweatshirts</t>
  </si>
  <si>
    <t>Mens Ethnic Pattern Patchwork Kangaroo Pocket Drawstring Hoodies</t>
  </si>
  <si>
    <t>Mens Ethnic Geometric Pattern Patchwork Half Zip Pullover Sweatshirts</t>
  </si>
  <si>
    <t>Mens Smile Ethnic Geometric Print Color Block Patchwork Hoodies</t>
  </si>
  <si>
    <t>Mens Allover Ethnic Geometric Print Crew Neck Pullover Sweatshirts</t>
  </si>
  <si>
    <t>Mens Chinese Floral Ink Print Patchwork Drawstring Hoodies</t>
  </si>
  <si>
    <t>Mens Japanese Wave Dragon Ukiyoe Print Long Sleeve Hoodies</t>
  </si>
  <si>
    <t>Mens Solid Stand Collar Half Zip Fleece Casual Pullover Sweatshirts</t>
  </si>
  <si>
    <t>Mens Japanese Cartoon Cat Print Contrast Patchwork Drawstring Hoodies</t>
  </si>
  <si>
    <t>Mens Japanese Cherry Blossoms Print Patchwork Drawstring Hoodies</t>
  </si>
  <si>
    <t>Mens Japanese Cherry Blossoms Striped Print Patchwork Drawstring Hoodies</t>
  </si>
  <si>
    <t>Mens Rose Hand Letter Print Kangaroo Pocket Contrast Drawstring Hoodies</t>
  </si>
  <si>
    <t>Mens Monochrome Japanese Cat Print Long Sleeve Drawstring Hoodies</t>
  </si>
  <si>
    <t>Mens Cartoon Astronaut Cat Print Patchwork Drawstring Hoodies</t>
  </si>
  <si>
    <t>Mens Contrast Cartoon Animal Print Patchwork Kangaroo Pocket Drawstring Hoodies</t>
  </si>
  <si>
    <t>Mens Ombre Color Block Crew Neck Casual Pullover Sweatshirts</t>
  </si>
  <si>
    <t>Mens Chinese Ink Dragon Floral Print Long Sleeve Drawstring Hoodies</t>
  </si>
  <si>
    <t>Mens Chinese Ink Plum Bossom Print Contrast Drawstring Hoodies</t>
  </si>
  <si>
    <t>Mens Smile Ethnic Floral Print Patchwork Kangaroo Pocket Drawstring Hoodies</t>
  </si>
  <si>
    <t>Mens Smile Color Block Patchwork Kangaroo Pocket Drawstring Hoodies</t>
  </si>
  <si>
    <t>Mens Heart Figure Letter Print Valentine's Day Drawstring Hoodies</t>
  </si>
  <si>
    <t>Mens Chinese Yin Yang Patchwork Kangaroo Pocket Drawstring Hoodies</t>
  </si>
  <si>
    <t>Mens Floral Print Vacation Long Sleeve Drawstring Hoodies</t>
  </si>
  <si>
    <t>Mens Japanese Warrior Cat Floral Back Print Long Sleeve Hoodies</t>
  </si>
  <si>
    <t>Mens Chinese New Year Dragon Print Crew Neck Pullover Sweatshirts</t>
  </si>
  <si>
    <t>Mens Chinese Style Ink Print Kangaroo Pocket Drawstring Hoodies</t>
  </si>
  <si>
    <t>Mens Ethnic Geometric Print Color Block Patchwork Drawstring Hoodies</t>
  </si>
  <si>
    <t>Mens Cartoon Cat Print Long Sleeve Loose Drawstring Hoodies</t>
  </si>
  <si>
    <t>Mens Ethnic Tribal Pattern Patchwork Kangaroo Pocket Drawstring Hoodies</t>
  </si>
  <si>
    <t>Mens Vintage Color Block Patchwork Loose Drawstring Hoodies</t>
  </si>
  <si>
    <t>Mens Japanese Warrior Cat Print Patchwork Drawstring Hoodies</t>
  </si>
  <si>
    <t>Mens Cartoon Dinosaur Japanese Sleeve Print Daily Drawstring Hoodies</t>
  </si>
  <si>
    <t>Mens Ethnic Geometric Print Kangaroo Pocket Drawstring Hoodies</t>
  </si>
  <si>
    <t>Mens Smile Ethnic Geometric Print Patchwork Drawstring Hoodies</t>
  </si>
  <si>
    <t>Mens Rose Letter Ombre Print Crew Neck Pullover Sweatshirts</t>
  </si>
  <si>
    <t>Mens Irregular Color Block Patchwork Crew Neck Pullover Sweatshirts</t>
  </si>
  <si>
    <t>Mens Letter Ethnic Asymmetric Print Short Sleeve O Neck T-Shirts</t>
  </si>
  <si>
    <t>Mens Smile Chest Print O-Neck Casual Loose Short Sleeve T-Shirt</t>
  </si>
  <si>
    <t>Mens Color Block Veins Crew Neck Casual T-Shirts</t>
  </si>
  <si>
    <t>100% Cotton Mens Cartoon Astronaut Planet Print Short Sleeve Funny T-Shirts</t>
  </si>
  <si>
    <t>Cute Cartoon Astronaut Print Short Sleeve 100*Cotton Breathable T-Shirts</t>
  </si>
  <si>
    <t>Mens Plain Texture Knitted Waffle Short Sleeve T-Shirt</t>
  </si>
  <si>
    <t>Mens Ethnic Pattern Crew Neck Casual Short Sleeve T-Shirts</t>
  </si>
  <si>
    <t>Mens Japanese Style Cat Print Crew Neck Cotton Short Sleeve T-Shirts</t>
  </si>
  <si>
    <t>Men Contrast Mesh Patchwork Crew Neck Short Sleeve T-shirt</t>
  </si>
  <si>
    <t>Men Crochet Knit Hollow Out See Through Knitted Round Neck T-Shirt</t>
  </si>
  <si>
    <t>Men Lace See Through Crew Neck Short Sleeve T-Shirt</t>
  </si>
  <si>
    <t>Mens Sheer Mesh See Through High Neck Long Sleeve T-Shirt</t>
  </si>
  <si>
    <t>Mens Geometric Print Patchwork Chest Pocket Short Sleeve Hooded T-Shirts</t>
  </si>
  <si>
    <t>Mens Solid Color Applique Crew Neck Knitted Short Sleeve T-Shirts</t>
  </si>
  <si>
    <t>Mens Carp Warrior Cat Print Japanese Style Short Sleeve T-Shirts</t>
  </si>
  <si>
    <t>Men Sheer Mesh See Through Heat Map Body Print Stretch T-Shirt</t>
  </si>
  <si>
    <t>Mens Solid Short Sleeve Half-Collar T-Shirt</t>
  </si>
  <si>
    <t>Mens Vintage Argyle Pattern Stitching Crew Neck Long Sleeve T-Shirts</t>
  </si>
  <si>
    <t>Mens Ethnic Paisley Print Stitching Texture Streetwear Short Sleeve T-Shirts</t>
  </si>
  <si>
    <t>Mens Geometric Funny Face Print Patchwork Knit Short Sleeve T-Shirts</t>
  </si>
  <si>
    <t>Mens Letter Floral Print Crew Neck Short Sleeve T-Shirts</t>
  </si>
  <si>
    <t>Mens Geometric Letter Print Patchwork Short Sleeve T-Shirts</t>
  </si>
  <si>
    <t>Mens Embroidered Contrast Patchwork Hem Side Zip Short Sleeve T-Shirts</t>
  </si>
  <si>
    <t>Mens Button Ribbon Design Pocket Casual Short Sleeve T-Shirts</t>
  </si>
  <si>
    <t>Mens Japanese Cartoon Print Short Sleeve Hooded T-Shirts</t>
  </si>
  <si>
    <t>Mens Geometric &amp; Smile Face Print Patchwork Short Sleeve T-Shirts</t>
  </si>
  <si>
    <t>Mens Ethnic Geometric Print Stitching Crew Neck Short Sleeve T-Shirts</t>
  </si>
  <si>
    <t>Mens Letter Character Back Print Curved Hem Short Sleeve T-Shirts</t>
  </si>
  <si>
    <t>Mens Japanese Floral Graphic Crew Neck Knitted Short Sleeve T-Shirts</t>
  </si>
  <si>
    <t>Mens Letter Geometric Pattern Patchwork Texture Short Sleeve T-Shirts</t>
  </si>
  <si>
    <t>Mens Japanese Cherry Blossoms Print Patchwork Knit Short Sleeve Hooded T-Shirts</t>
  </si>
  <si>
    <t>Mens Geometric Pattern Color Block Patchwork Knit Short Sleeve T-Shirts</t>
  </si>
  <si>
    <t>Mens Tribal Pattern Patchwork Crew Neck Short Sleeve T-Shirts</t>
  </si>
  <si>
    <t>Mens Letter Embroidery Crew Neck Ribbed Short Sleeve T-Shirts</t>
  </si>
  <si>
    <t>Mens Ethnic Matching Chest Pocket Curved Hem Short Sleeve T-Shirts</t>
  </si>
  <si>
    <t>Mens Solid Quarter Button Rib-Knit Short Sleeve T-Shirt</t>
  </si>
  <si>
    <t>Mens Two Tone Ethnic Smiley Face Short Sleeve T-Shirts</t>
  </si>
  <si>
    <t>Mens Vintage Geometric Letter Pattern Patchwork Knitted Short Sleeve T-Shirts</t>
  </si>
  <si>
    <t>Mens Japan Striped Short Sleeve Knit T-shirt</t>
  </si>
  <si>
    <t>Mens Japanese Geometric Print Patchwork Crew Neck Short Sleeve T-Shirts</t>
  </si>
  <si>
    <t>Mens Japanese Cat Geometric Print Crew Neck Short Sleeve T-Shirts</t>
  </si>
  <si>
    <t>Mens Colorful Geometric Funny Face Print Ethnic Short Sleeve T-Shirts</t>
  </si>
  <si>
    <t>Mens Geometric Pattern Ribbon Patchwork Short Sleeve Hooded T-Shirts</t>
  </si>
  <si>
    <t>Mens Contrast Flap Pocket Crew Neck Loose Short Sleeve T-Shirts</t>
  </si>
  <si>
    <t>Mens Letter Embroidery Contrast Trim Stitching Short Sleeve T-Shirts</t>
  </si>
  <si>
    <t>Mens Letter Graphic Crew Neck Casual Short Sleeve T-Shirts</t>
  </si>
  <si>
    <t>Mens Ethnic Patchwork Short Sleeve Hooded Drawstring T-shirts</t>
  </si>
  <si>
    <t>Mens Ethnic Geometric Pattern Stitching Texture Short Sleeve Streetwear T-Shirts</t>
  </si>
  <si>
    <t>Mens Tribal Geometric Pattern Patchwork Textured Short Sleeve T-Shirts</t>
  </si>
  <si>
    <t>Mens Colorful Geometric Print Chest Pocket Ethnic Short Sleeve T-Shirts</t>
  </si>
  <si>
    <t>Mens Vintage Geometric Print Patchwork Crew Neck Short Sleeve T-Shirts</t>
  </si>
  <si>
    <t>Mens Ethnic Pattern Chest Pocket Crew Neck Short Sleeve T-Shirts</t>
  </si>
  <si>
    <t>Mens Solid Color Button Neck Flap Pocket Cotton Long Sleeve T-Shirts</t>
  </si>
  <si>
    <t>Mens Solid Half Zip Roll Up Sleeve Cotton Hooded T-Shirts</t>
  </si>
  <si>
    <t>Mens Solid Color Bandage V-Neck Cotton Long Sleeve T-Shirts</t>
  </si>
  <si>
    <t>Mens Vintage Geometric Pattern Short Sleeve Knit Hooded T-Shirts</t>
  </si>
  <si>
    <t>Mens Tropical Plants Print Flap Pocket Holiday Short Sleeve T-Shirts</t>
  </si>
  <si>
    <t>Mens Stripe Patchwork Flap Pocket Casual Short Sleeve T-Shirts</t>
  </si>
  <si>
    <t>Mens Ethnic Geometric Pocket Knit Curved Hem Short Sleeve T-Shirts</t>
  </si>
  <si>
    <t>Mens Smile Face Paisley Print Stitching Texture Short Sleeve T-Shirts</t>
  </si>
  <si>
    <t>Mens Chinese Bamboo Panda Print Pocket Short Sleeve T-Shirts</t>
  </si>
  <si>
    <t>Mens Chinese Landscape Ink Painting Crew Neck Short Sleeve T-Shirts</t>
  </si>
  <si>
    <t>Mens Chinese Plum Bossom Print Lace Up Neck Short Sleeve T-Shirts</t>
  </si>
  <si>
    <t>Mens Ethnic Floral Print Crew Neck Knit Short Sleeve T-Shirts</t>
  </si>
  <si>
    <t>Mens Japanese Paisley Print Patchwork Crew Neck Short Sleeve T-Shirts</t>
  </si>
  <si>
    <t>Mens Japanese Vintage Print Patchwork Crew Neck Short Sleeve T-Shirts</t>
  </si>
  <si>
    <t>Mens Ethnic Totem Rose Japanese Print Patchwork Short Sleeve T-Shirts</t>
  </si>
  <si>
    <t>Mens Vintage Ethnic Pattern Patchwork Crew Neck Short Sleeve T-Shirts</t>
  </si>
  <si>
    <t>Mens Geometric Striped Print Patchwork Ethnic Short Sleeve T-Shirts</t>
  </si>
  <si>
    <t>Mens Smile Face Geometric Print Patchwork Knit Short Sleeve T-Shirts</t>
  </si>
  <si>
    <t>Mens Vintage Geometric Print Patchwork Knit Short Sleeve T-Shirts</t>
  </si>
  <si>
    <t>Mens Chinese Plum Bossom Bird Print Short Sleeve Hooded T-Shirts</t>
  </si>
  <si>
    <t>Mens Japanese Letter Print Curved Hem Short Sleeve T-Shirts</t>
  </si>
  <si>
    <t>Mens Ethnic Geometric Pattern Patchwork Crew Neck Short Sleeve T-Shirts</t>
  </si>
  <si>
    <t>Mens Knitted Contrasting Color Stitching Short Sleeve T-Shirt</t>
  </si>
  <si>
    <t>Mens Block Stripe Stitching Knitted Preppy Short Sleeve T-Shirts</t>
  </si>
  <si>
    <t>Mens Ethnic Geometric Print Chest Pocket Quilted Curved Hem T-Shirts</t>
  </si>
  <si>
    <t>Mens Skeleton Pumpkin Print Halloween Short Sleeve T-Shirts</t>
  </si>
  <si>
    <t>Mens Letter Slogan Back Print Curved Hem Long Sleeve T-Shirts</t>
  </si>
  <si>
    <t>Mens Japanese Print Patchwork Curved Hem Long Sleeve T-Shirts</t>
  </si>
  <si>
    <t>Mens Solid Lace-Up Kangaroo Pocket Long Sleeve Hooded T-Shirts</t>
  </si>
  <si>
    <t>Mens Contrast Patchwork Waffle Knit Casual Long Sleeve T-Shirts</t>
  </si>
  <si>
    <t>Mens Chinese Ink Landscape Print Crew Neck Short Sleeve T-Shirts</t>
  </si>
  <si>
    <t>Mens Funny Letter Print Crew Neck Short Sleeve T-Shirts</t>
  </si>
  <si>
    <t>Mens Chinese Bamboo Print Lace Up Texture High Low Hem T-Shirts</t>
  </si>
  <si>
    <t>Mens Cute Japanese Cat Print Crew Neck Short Sleeve T-Shirts</t>
  </si>
  <si>
    <t>Mens Texture Color Block Patchwork Casual Short Sleeve T-Shirts</t>
  </si>
  <si>
    <t>Mens Japanese Cherry Blossoms Print Tie Neck T-Shirts</t>
  </si>
  <si>
    <t>Mens Japanese Landscape Print Lace Up Neck Side Split Texture T-Shirts</t>
  </si>
  <si>
    <t>Mens Rose Print Color Block Patchwork Cotton Short Sleeve T-Shirts</t>
  </si>
  <si>
    <t>Mens Japanese Embroidered Patchwork Knit Short Sleeve T-Shirts</t>
  </si>
  <si>
    <t>Mens Chinese Yin Yang Ink Print Lace Up Neck Texture T-Shirts</t>
  </si>
  <si>
    <t>Mens Ethnic Geometric Pattern Patchwork Japanese Embroidered Short Sleeve T-Shirts</t>
  </si>
  <si>
    <t>Mens Smile Slogan Print Patchwork Ethnic Short Sleeve T-Shirts</t>
  </si>
  <si>
    <t>Mens Ethnic Architecture Print Crew Neck Short Sleeve T-Shirts</t>
  </si>
  <si>
    <t>Mens Ethnic Geometric Japanese Print Patchwork Short Sleeve T-Shirts</t>
  </si>
  <si>
    <t>Mens Ethnic Totem Print Crew Neck Short Sleeve T-Shirts</t>
  </si>
  <si>
    <t>Mens Panda Bamboo Japanese Print Notched Neck Short Sleeve T-Shirts</t>
  </si>
  <si>
    <t>Mens Ethnic Totem Print Patchwork Short Sleeve Hooded T-Shirts</t>
  </si>
  <si>
    <t>Mens Rib Knit Half-Collar Solid T-Shirt</t>
  </si>
  <si>
    <t>Mens Cherry Blossoms Print Japanese Style Cotton Short Sleeve T-Shirts</t>
  </si>
  <si>
    <t>Mens Japanese Print Patchwork Short Sleeve Hooded T-Shirts</t>
  </si>
  <si>
    <t>Mens Cartoon Astronaut Print Crew Neck Short Sleeve T-Shirts</t>
  </si>
  <si>
    <t>Mens Letter Print Crew Neck Casual Short Sleeve T-Shirts</t>
  </si>
  <si>
    <t>Mens Fashion Floral Printing Crew Neck Breathable Short Sleeve Casual T-Shirts</t>
  </si>
  <si>
    <t>Mens Ethnic Geometric Color Block Patchwork Embroidery Short Sleeve T-Shirts</t>
  </si>
  <si>
    <t>Mens Geometric Pattern Patchwork Flap Pocket Short Sleeve T-Shirts</t>
  </si>
  <si>
    <t>Mens 100% Cotton Coconut Tree Chest Print Holiday Short Sleeve T-Shirts</t>
  </si>
  <si>
    <t>Mens Vintage Geometric Print Crew Neck Long Sleeve T-Shirts</t>
  </si>
  <si>
    <t>Mens Rose Embroidered Contrast Patchwork Curved Hem Short Sleeve T-Shirts</t>
  </si>
  <si>
    <t>Mens Color Block Patchwork Crew Neck Casual Short Sleeve T-Shirts</t>
  </si>
  <si>
    <t>Mens Coconut Tree Japanese Print Hawaiian Vacation Short Sleeve T-Shirts</t>
  </si>
  <si>
    <t>Mens Asymmetric Tribal Printed Short Sleeve O Neck T-Shirts</t>
  </si>
  <si>
    <t>Mens Tribal Patchwork Printed Short Sleeve Hooded T-Shirts</t>
  </si>
  <si>
    <t>Mens Letter Geometric Print Patchwork Mock Neck Short Sleeve T-Shirts</t>
  </si>
  <si>
    <t>Mens Vintage Geometric Pattern Patchwork Mock Neck Short Sleeve T-Shirts</t>
  </si>
  <si>
    <t>Mens Geometric Chest Pocket Mock Neck Short Sleeve T-Shirts</t>
  </si>
  <si>
    <t>Mens Solid Texture High Neck Casual Long Sleeve T-Shirts</t>
  </si>
  <si>
    <t>Mens Irregular Geometric Print Curved Hem Texture Long Sleeve T-Shirts</t>
  </si>
  <si>
    <t>Mens Funny Smile Letter Print Crew Neck Short Sleeve T-Shirts</t>
  </si>
  <si>
    <t>Mens Smile Ethnic Geometric Print Crew Neck Short Sleeve T-Shirts</t>
  </si>
  <si>
    <t>Mens Cartoon Cat &amp; Fish Print Crew Neck Short Sleeve T-Shirts</t>
  </si>
  <si>
    <t>Mens Smile Slogan Print Crew Neck Casual Short Sleeve T-Shirts</t>
  </si>
  <si>
    <t>Mens Funny Smile Print Crew Neck Short Sleeve T-Shirts</t>
  </si>
  <si>
    <t>Mens Japanese Crane Floral Back Print Short Sleeve T-Shirts</t>
  </si>
  <si>
    <t>Mens Cartoon Line Cat Print Crew Neck Short Sleeve T-Shirts</t>
  </si>
  <si>
    <t>Mens Cartoon Cat Claw Print Crew Neck Short Sleeve T-Shirts</t>
  </si>
  <si>
    <t>Mens Color Block Patchwork Short Sleeve Drawstring Hooded T-Shirts</t>
  </si>
  <si>
    <t>Mens Chinese Koi Lotus Print Crew Neck Short Sleeve T-Shirts</t>
  </si>
  <si>
    <t>Mens Chinese Yin Yang Carp Print Crew Neck Short Sleeve T-Shirts</t>
  </si>
  <si>
    <t>Mens Ethnic Geometric Print Patchwork Short Sleeve T-Shirts</t>
  </si>
  <si>
    <t>Mens Ethnic Geometric Print Color Block Patchwork Short Sleeve T-Shirts</t>
  </si>
  <si>
    <t>Mens Script Ethnic Geometric Print Patchwork Short Sleeve T-Shirts</t>
  </si>
  <si>
    <t>Mens Ethnic Colorful Geometric Print Patchwork Short Sleeve T-Shirts</t>
  </si>
  <si>
    <t>Mens Japanese Cartoon Cat Print Crew Neck Short Sleeve T-Shirts</t>
  </si>
  <si>
    <t>Mens Japanese Cat Guitar Print Crew Neck Short Sleeve T-Shirts</t>
  </si>
  <si>
    <t>Mens Japanese Cute Cat Print Crew Neck Short Sleeve T-Shirts</t>
  </si>
  <si>
    <t>Mens Cartoon Cat Japanese Print Crew Neck Short Sleeve T-Shirts</t>
  </si>
  <si>
    <t>Mens Smile Striped Print Crew Neck Short Sleeve T-Shirts</t>
  </si>
  <si>
    <t>Mens Letter Chest Print Crew Neck Casual Short Sleeve T-Shirts</t>
  </si>
  <si>
    <t>Mens Letter Slogan Print Crew Neck Casual Short Sleeve T-Shirts</t>
  </si>
  <si>
    <t>Mens Cutout Mesh See Through Solid Long Sleeve T-Shirt</t>
  </si>
  <si>
    <t>100% Cotton Design Sunset Print Round Neck Short Sleeve Loose T-Shirts</t>
  </si>
  <si>
    <t>Mens Solid Half-Collar Short Sleeve T-Shirt</t>
  </si>
  <si>
    <t>Mens Ethnic Floral Patchwork Japanese Print Knit Short Sleeve T-Shirts</t>
  </si>
  <si>
    <t>Mens Solid Crew Neck Short Sleeve T-Shirt</t>
  </si>
  <si>
    <t>Mens Ethnic Geometric Pattern Pocket Knit Short Sleeve T-Shirts</t>
  </si>
  <si>
    <t>Mens Smile Vintage Geometric Print Patchwork Curved Hem T-Shirts</t>
  </si>
  <si>
    <t>Mens Cartoon Chinese Dragon Print Crew Neck Short Sleeve T-Shirts</t>
  </si>
  <si>
    <t>Mens Chinese Lantern Floral Back Print Short Sleeve T-Shirts</t>
  </si>
  <si>
    <t>Mens Colorful Ethnic Geometric Print Curved Hem Short Sleeve T-Shirts</t>
  </si>
  <si>
    <t>Mens Line Slogan Back Print Curved Hem Short Sleeve T-Shirts</t>
  </si>
  <si>
    <t>Mens Hollow Round Neck Short Sleeve T-Shirt</t>
  </si>
  <si>
    <t>Mens Striped Slim Casual Basic Design Short Sleeve Summer T-Shirt</t>
  </si>
  <si>
    <t>Mens Cartoon Shark Cat Japanese Print Short Sleeve T-Shirts</t>
  </si>
  <si>
    <t>Men Casual Long Sleeve Tops Crew Neck Loose Basic T-Shirts</t>
  </si>
  <si>
    <t>Mens Rose Print Crew Neck 100% Cotton Casual Short Sleeve T-Shirts</t>
  </si>
  <si>
    <t>Mens Solid Lace-Up Neck 100%Cotton Long Sleeve T-Shirt</t>
  </si>
  <si>
    <t>Men Solid Notched Neck Knit Casual Long Sleeve T-Shirt</t>
  </si>
  <si>
    <t>Men Shiny Shimmer Sheer Mesh See Through Short Sleeve T-Shirt</t>
  </si>
  <si>
    <t>Mens High Neck Slim Fit Muscle Workout Summer Casual T-shirt</t>
  </si>
  <si>
    <t>Men Solid High Neck Velvet Long Sleeve T-Shirt</t>
  </si>
  <si>
    <t>Mens Solid Drawstring V-Neck Cotton Short Sleeve T-Shirt</t>
  </si>
  <si>
    <t>Mens Letter Japanese Print High Low Curved Hem Short Sleeve T-Shirts</t>
  </si>
  <si>
    <t>Mens Rose Japanese Print Curved Hem Short Sleeve T-Shirts</t>
  </si>
  <si>
    <t>Mens Monochrome Geometric Print Splice Texture Short Sleeve Hooded T-Shirts</t>
  </si>
  <si>
    <t>Mens Rose Japanese Print Patchwork Crew Neck Short Sleeve T-Shirts</t>
  </si>
  <si>
    <t>Mens Japanese Letter Print Curved Hem Casual Short Sleeve T-Shirts</t>
  </si>
  <si>
    <t>Mens Cat Graphic Crew Neck Curved Hem Long Sleeve T-Shirts</t>
  </si>
  <si>
    <t>Mens Rib Knitted Crew Neck T-Shirt</t>
  </si>
  <si>
    <t>Mens Solid Short Sleeve Knit T-shirt</t>
  </si>
  <si>
    <t>Mens Argyle Rose Print Crew Neck Ethnic Short Sleeve T-Shirts</t>
  </si>
  <si>
    <t>Mens Heart Gesture Print Valentine's Day Casual Short Sleeve T-Shirts</t>
  </si>
  <si>
    <t>Mens Tokyo Character Embroidered Mock Neck Short Sleeve T-Shirts</t>
  </si>
  <si>
    <t>Mens Japanese Wave Cat Print Crew Neck Short Sleeve T-Shirts</t>
  </si>
  <si>
    <t>Mens Solid Long Sleeve V-neck T-shirt</t>
  </si>
  <si>
    <t>Mens Japan Half-collar Solid Short Sleeve T-shirt</t>
  </si>
  <si>
    <t>Mens Chinese Ink Plum Bossom Print Crew Neck Short Sleeve T-Shirts</t>
  </si>
  <si>
    <t>Mens Solid Button Lapel Pocket Two Pieces Suit</t>
  </si>
  <si>
    <t>Mens Solid Snap Button Raglan Sleeve Casual Jacket</t>
  </si>
  <si>
    <t>Mens Smile Face Embroidered Snap Button Plush Lined Hooded Jacket</t>
  </si>
  <si>
    <t>Mens Plant Print Patchwork Flap Pocket Lapel Loose Jacket</t>
  </si>
  <si>
    <t>Mens Smile Face Embroidery Corduroy Drawstring Hooded Shirt Jacket</t>
  </si>
  <si>
    <t>Mens Ethnic Tribal Pattern Patchwork Corduroy Hooded Shirt Jacket</t>
  </si>
  <si>
    <t>Mens Color Block Patchwork Flap Pocket Corduroy Shirt Jacket</t>
  </si>
  <si>
    <t>Mens Color Block Patchwork Zip Front Hooded Windbreaker Jacket</t>
  </si>
  <si>
    <t>Mens Two Tone Patchwork Stand Collar Zip Front Fleece Jacket</t>
  </si>
  <si>
    <t>Mens Ethnic Geometric Print Plush Collar Loose Jacket</t>
  </si>
  <si>
    <t>Mens Ethnic Tribal Pattern Patchwork Flap Pocket Tweed Jacket</t>
  </si>
  <si>
    <t>Mens Color Block Patchwork Lapel Zip Front Fleece Jacket</t>
  </si>
  <si>
    <t>Mens Plaid Patchwork Multi Pocket Casual Hooded Jacket</t>
  </si>
  <si>
    <t>Mens Paisley Scarf Japanese Print Open Front Kimono Two Pieces Suit</t>
  </si>
  <si>
    <t>Mens Color Block Patchwork Zip Front Drawstring Hooded Jacket</t>
  </si>
  <si>
    <t>Mens Color Block Patchwork Embroidered Zip Front Corduroy Jacket</t>
  </si>
  <si>
    <t>Mens Color Block Patchwork Flap Pocket Button Front Jacket</t>
  </si>
  <si>
    <t>Mens Ethnic Geometric Print Patchwork Button Front Hooded Jacket</t>
  </si>
  <si>
    <t>Mens Solid Stand Collar Zip Front Fleece Casual Jacket</t>
  </si>
  <si>
    <t>Mens Check Plaid Button Front Fleece Drawstring Hooded Jacket</t>
  </si>
  <si>
    <t>Mens Ethnic Geometric Print Patchwork Zip Front Hooded Jacket</t>
  </si>
  <si>
    <t>Mens Solid Texture Baseball Collar Zip Front Casual Jacket</t>
  </si>
  <si>
    <t>Mens Fringe Hem Half Sleeve Cardigan</t>
  </si>
  <si>
    <t>Mens Solid Lapel 3/4 Sleeve Casual Blazer</t>
  </si>
  <si>
    <t>Mens Solid Collarless Casual Long Sleeve Blazer</t>
  </si>
  <si>
    <t>Men Irregular Patchwork Belted Casual Long Sleeve Blazer</t>
  </si>
  <si>
    <t>Women 100% Cotton Classical Striped Print Lapel Button Front Lace-Up Casual Shirt Dress</t>
  </si>
  <si>
    <t>Women Vintage Plaid Print Button Front O-Neck Short Sleeve Loose Casual Shirt Dress With Pocket</t>
  </si>
  <si>
    <t>Casual Solid Color Decorative Pockets Half Sleeve Loose Midi Dress</t>
  </si>
  <si>
    <t>Women Vintage Cotton Floral Plant Print O-neck Half Sleeve Split Casual Dress</t>
  </si>
  <si>
    <t>Women 100% Cotton Solid Baggy Pockets Summer Maxi Dress</t>
  </si>
  <si>
    <t>Women Retro Solid Color Turn-Down Collar Loose Casual Shirt Dress With Pocket</t>
  </si>
  <si>
    <t>Women Off Shoulder Puff Sleeve Pleated Patchwork Elegant Solid Color Maxi Dress</t>
  </si>
  <si>
    <t>Ethnic Women V-neck Long Sleeve Floral Print Holiday Bohemian Pleated Maxi Dress</t>
  </si>
  <si>
    <t>Bohemian Floral Print V-neck Flare Half Sleeve Beach Maxi Dress</t>
  </si>
  <si>
    <t>Retro Floral Print Two Pockets Loose Casual Dress For Women</t>
  </si>
  <si>
    <t>Women Basic Button Down Front Lapel Solid Color Long Sleeve Shirt Dress</t>
  </si>
  <si>
    <t>Women Solid Color Turn-down Collar Long Sleeve Button Casual Shirt Dresses With Pocket</t>
  </si>
  <si>
    <t>Vintage Floral Print Short Sleeve Loose Casual Maxi Dress</t>
  </si>
  <si>
    <t>Women Ditsy Floral Print Ruffle Hem Swing Kaftan Maxi Dresses With Belt</t>
  </si>
  <si>
    <t>Tree Print Side Pockets O-neck 3/4 Sleeve Cotton Dress</t>
  </si>
  <si>
    <t xml:space="preserve"> Women Retro 3/4 Sleeve V-Neck Lace Up Printed Boho Mini Dresses</t>
  </si>
  <si>
    <t>Contrast Color Irregular Button Lapel 3/4 Sleeve Shirt Dress</t>
  </si>
  <si>
    <t>Solid Button Pocket Short Sleeve Casual Cotton Midi Dress</t>
  </si>
  <si>
    <t>Multicolor Patchwork V Neck Button Maxi Dress</t>
  </si>
  <si>
    <t>Leisure Solid Lettuce-Edge Knotted Zip V Neck Maxi Dress</t>
  </si>
  <si>
    <t>Solid Pocket Ruched Round Neck Short Sleeve Midi Dress</t>
  </si>
  <si>
    <t>Solid H-Shaped Cotton Sleeveless Round Neck Casual Midi Dress</t>
  </si>
  <si>
    <t>Abstract Painted Pocket Round Neck Short Sleeve Loose Midi Dress</t>
  </si>
  <si>
    <t>Plant Print Cotton Pocket Button Round Neck Sleeveless Midi Dress</t>
  </si>
  <si>
    <t>Flower Print Button Pocket Short Sleeve Round Neck Dress</t>
  </si>
  <si>
    <t>Geo Print Ruffle V-Neck Tulip Short Sleeve Casual Midi Dress</t>
  </si>
  <si>
    <t>National Style Pattern Pocket Short Sleeve Midi Dress</t>
  </si>
  <si>
    <t>Character Print Pocket Doll Collar Short Sleeve Casual Midi Dress</t>
  </si>
  <si>
    <t>Calico Button Pocket Lapel Short Sleeve Casual Midi Print Dress</t>
  </si>
  <si>
    <t>Peking Opera Pattern Pocket Short Sleeve Midi Dress</t>
  </si>
  <si>
    <t>Solid Pleated Pocket Ruffle Knotted Casual Maxi Dress</t>
  </si>
  <si>
    <t>Solid V Neck Sleeveless Casual Cotton Maxi Dress</t>
  </si>
  <si>
    <t>Cotton Plant Print Pocket Short Sleeve Casual Dress</t>
  </si>
  <si>
    <t>Plaid Pocket Short Sleeve Casual Dress</t>
  </si>
  <si>
    <t>Cotton Plant Print Pocket Sleeveless Casual Print Dress</t>
  </si>
  <si>
    <t>Plant Print Pocket Short Sleeve Casual Cotton Dress</t>
  </si>
  <si>
    <t>Leaves Print Short Sleeve Round Neck Print Dress</t>
  </si>
  <si>
    <t>Contrast Color Pocket Short Sleeve Midi Casual Dress</t>
  </si>
  <si>
    <t>Solid Short Sleeve Round Neck Midi Casual Dress</t>
  </si>
  <si>
    <t>Women Stripe Lapel Ruffle Hem Kaftan Casual Long Sleeve Maxi Dresses</t>
  </si>
  <si>
    <t>Women Contrast Color Floral Print O-Neck Casual 3/4 Sleeve Maxi Dress</t>
  </si>
  <si>
    <t>V-Neck Back Zipper Floral Printed Casual Loose Dress For Women</t>
  </si>
  <si>
    <t>Solid Drawstring Waist Pocket Short Sleeve Casual Dress</t>
  </si>
  <si>
    <t>Solid Short Sleeve Crew Neck Casual Dress For Women</t>
  </si>
  <si>
    <t>Solid Button Front Lapel Short Sleeve Women Dress</t>
  </si>
  <si>
    <t xml:space="preserve">Cold Shoulder Lace Croceht Long Maxi Hollow Out Dress For Women </t>
  </si>
  <si>
    <t>Women 100% Cotton O-Neck Floral Print Leisure Dress With Side Pockets</t>
  </si>
  <si>
    <t>Casual Solid Color Flare Sleeve Lace-Up Chiffon Loose Muslim Maxi Dress</t>
  </si>
  <si>
    <t>Check Pattern Long Sleeve Lapel Pocket Button Dress</t>
  </si>
  <si>
    <t>Solid Mermaid Hem Maxi Cami Dress For Women</t>
  </si>
  <si>
    <t>Allover Flower Print Pocket Crew Neck Vintage Dress</t>
  </si>
  <si>
    <t>Solid Puff Sleeve Pocket Tie Crew Neck Maxi Vintage Dress</t>
  </si>
  <si>
    <t>Women Sleeveless Straps High Low Hem Solid Causal Maxi Dress</t>
  </si>
  <si>
    <t>Women V-Neck Floral Printed Bohemian Leisure Casual Loose Dress</t>
  </si>
  <si>
    <t>Women Solid O-Neck Sleeveless Bohemian Leisure Dress With Side Pockets</t>
  </si>
  <si>
    <t>100% Cotton Solid Ruffles Bohemian Casual Maxi Dress For Women</t>
  </si>
  <si>
    <t>Bohemian Polka Dot Stripe Contrast Color Print Patchwork Holiday Maxi Dress</t>
  </si>
  <si>
    <t>Casual Color Block Round Neck Stitching Maxi Dress With Pocket</t>
  </si>
  <si>
    <t>Women Plain Button Front Lace-Up Elastic Cuff Vintage Long Sleeve Maxi Dress With Pocket</t>
  </si>
  <si>
    <t>S-5XL Women Casual Short Sleeve Splice Loose O-neck Mid Long Dress</t>
  </si>
  <si>
    <t>Women Vintage O-neck Button Long Puff Sleeve Kaftan Solid Color Maxi Dress</t>
  </si>
  <si>
    <t>Women Button Front Kaftan Robe Long Sleeve Shirt Maxi Dresses With Pocket</t>
  </si>
  <si>
    <t>Solid Color Spaghetti Sleeveless Loose Swing Casual Maxi Dress</t>
  </si>
  <si>
    <t>Women Solid Color Ruffles Trim Sleeveless Simple Midi Dresses</t>
  </si>
  <si>
    <t>Sleeveless O-neck Loose Causal Floral Print Maxi Dress</t>
  </si>
  <si>
    <t>Polka Dot Print Patchwork Short Sleeve Holiday Bohemia Maxi Dress For Women</t>
  </si>
  <si>
    <t>Women Square Neck Pleated Button Casual Maxi Vintage Dress With Side Pockets</t>
  </si>
  <si>
    <t>Women Solid Color Irregular Hem Casual Hooded Sweatshirt Maxi Dresses With Side Pocket</t>
  </si>
  <si>
    <t>Women Ethnic Style Figure Print Round Neck Short Sleeve Loose Baggy Maxi Dresses</t>
  </si>
  <si>
    <t>Women Grid Printed Button Down Front Elastic Cuff Bohemian O-Neck Maxi Shirt Dress</t>
  </si>
  <si>
    <t>Women Floral Print Holiday A-Line Button Up Long Sleeve Muslim Dress Abaya Kaftan With Pocket</t>
  </si>
  <si>
    <t>Women Solid Color Ruffles Hem Pleats Puff Sleeve Maxi Dress</t>
  </si>
  <si>
    <t>Women Loose Casual Long Sleeve V-neck Button Pocket Shirt Dress</t>
  </si>
  <si>
    <t>Women Striped V Neck Long Sleeve Casual Loose Maxi Dress</t>
  </si>
  <si>
    <t>Womens Casual  Sleeveless Solid Summer Long Maxi Dress</t>
  </si>
  <si>
    <t>Women Holiday Floral Print Hanging Neck Loose Stylish Halter Maxi Dress</t>
  </si>
  <si>
    <t>Women Plant Floral Print Sleeveless Loose Maxi Dress With Side Pocket</t>
  </si>
  <si>
    <t>Stripe Button Lapel Casual Cotton Shirt Dress</t>
  </si>
  <si>
    <t>Plant Print Lapel Button Pocket Casual Midi Print Dress</t>
  </si>
  <si>
    <t>Leisure Geometry Pattern Patchwork V Neck Sleeveless Maxi Dress</t>
  </si>
  <si>
    <t>Bohemian Women V Neck Floral Print Beach Holiday Split Maxi Dress</t>
  </si>
  <si>
    <t>Women Polka Dot Print O-neck Short Sleeve Maxi Dress</t>
  </si>
  <si>
    <t>Women Vintage Floral Printed 3/4 Sleeve Mini Dresses</t>
  </si>
  <si>
    <t>Women Retro Graffiti Print Round Neck Pleated Casual Maxi Dresses</t>
  </si>
  <si>
    <t>Casual Suspender Solid Sleeve Summer Dress For Women</t>
  </si>
  <si>
    <t>Women Short Sleeve V-neck Lace Hollow Solid Casual Dress</t>
  </si>
  <si>
    <t>Women Short Sleeve Hollow Out Robe Kaftan Solid Maxi Dress</t>
  </si>
  <si>
    <t>Women Casual Loose Plaid Print O-Neck Half Sleeve Dress</t>
  </si>
  <si>
    <t>Women Casual Loose Cotton Floral Print Short Sleeve Dress</t>
  </si>
  <si>
    <t>Women Solid Color V-neck Long Sleeve Causal Maxi Dress</t>
  </si>
  <si>
    <t>Stripe Print Slit Hem Pocket V-neck Dress</t>
  </si>
  <si>
    <t>Lace Stitch 3/4 Sleeve Stand Collar Casual Dress</t>
  </si>
  <si>
    <t>Polka Dots V-neck Short Sleeve Print Split Party Wrap Maxi Dress</t>
  </si>
  <si>
    <t>Leopard Print V-Neck Puff Sleeve Lace-Up Maxi Dress For Women</t>
  </si>
  <si>
    <t>Women 100% Cotton Solid Color Curved Hem Split Lapel Loose Fit Shirt Dress</t>
  </si>
  <si>
    <t>Women Casual Plaid Print Irregular Split Hem Maxi Shirts Dress with Side Pockets</t>
  </si>
  <si>
    <t>Women Solid Cotton Ruffles Hem Layered O-Neck Tiered Dress Casual Long Sleeve Maxi Dress</t>
  </si>
  <si>
    <t>Women Casual Plaid Half Button Front Long Sleeve Maxi Dresses</t>
  </si>
  <si>
    <t>Women Casual Plaid Lapel Long Sleeve Button Vintage Shirt Maxi Dresses With Pocket</t>
  </si>
  <si>
    <t>Women Floral Print O-Neck Retro Casual Long Sleeve Layered Dress With Side Pockets</t>
  </si>
  <si>
    <t>Women Leopard Print Lapel Long Sleeve Side Pockets Shirt Maxi Dress</t>
  </si>
  <si>
    <t>Solid Color V-neck Sleeveless Ruffles Hem Pleated Maxi Dress With Pocket</t>
  </si>
  <si>
    <t>Short Sleeve Lapel With Side Pocket Casual Holiday Dresses For Women</t>
  </si>
  <si>
    <t>Puff Sleeve Ruffles Loose Fit V-Neck Leisure Maxi Dress For Women</t>
  </si>
  <si>
    <t>Women 100% Cotton Abaya Kaftan Lace Patchwork Casual Wedding Midi Dress</t>
  </si>
  <si>
    <t>Solid Color Stand Collar Button Down Front Leisure Loose Maxi Dress with Side Pockets</t>
  </si>
  <si>
    <t>Women Floral Print O-Neck Long Sleeve Bohemian Holiday Maxi Dress With Pocket</t>
  </si>
  <si>
    <t>Lace Stitching A-Line O-Neck Solid Color Long Sleeve Muslim Dress Abaya Kaftan For Women</t>
  </si>
  <si>
    <t>Women Kaftan Tunic Two-Piece Detachable Outside Bat Long Sleeve Maxi Dress</t>
  </si>
  <si>
    <t>Women Vintage Striped Artsy O-Neck Short Sleeve Green Mid-Calf Length Dress</t>
  </si>
  <si>
    <t>Pocket Floral Print Round Neck Sleeveless Maxi Dress</t>
  </si>
  <si>
    <t>Plaid Color Block Pocket Button Ruched Short Sleeve Midi Dress</t>
  </si>
  <si>
    <t>Floral Print Pocket Half Sleeve Ruffle Casual Maxi Dress</t>
  </si>
  <si>
    <t>Abstract Painted Button Pocket Sleeveless Casual Midi Dress</t>
  </si>
  <si>
    <t>Solid Pocket Short Sleeve Round Neck Cotton Casual Dress</t>
  </si>
  <si>
    <t>Print Button Pocket Lapel Short Sleeve Casual Midi Dress</t>
  </si>
  <si>
    <t>Invisible Zip Solid Short Sleeve Crew Neck Casual Dress</t>
  </si>
  <si>
    <t>Solid Pocket Spaghetti Strap Backless Dress For Women</t>
  </si>
  <si>
    <t>Solid Ruffle Hem Pocket Short Sleeve Crew Neck Casual Dress</t>
  </si>
  <si>
    <t>Solid Button Front Short Sleeve Lapel Shirt Dress</t>
  </si>
  <si>
    <t>Women Pure Color Lapel Stylish Big Swing Casual Sleeveless Maxi Dresses</t>
  </si>
  <si>
    <t>Polka Dot Button Pocket Short Sleeve Midi Dress</t>
  </si>
  <si>
    <t>Women Solid Denim Button Down Elastic Cuffs Kaftan Loose Maxi Dresses</t>
  </si>
  <si>
    <t>Women Allover Floral Print Puff Sleeve Ruffled Hem Casual Holiday Layered Dress</t>
  </si>
  <si>
    <t>Women Vertical Stripe Lapel Kaftan Long Sleeve Shirt Maxi Dresses With Belt</t>
  </si>
  <si>
    <t>O-Neck Floral Loose Bohemian Casual Summer Dress For Women</t>
  </si>
  <si>
    <t>Women Floral Print Tiered Dress O-Neck Casual Maxi Dress With Side Pocket</t>
  </si>
  <si>
    <t>Solid Pocket Short Sleeve Casual Midi Dress</t>
  </si>
  <si>
    <t>Women Retro O-neck Floral Print Sleeveless Maxi Dress</t>
  </si>
  <si>
    <t>Blitzwolf® BW-VP1-Pro LCD Projector 2800 Lumens Phone Same Screen Version Support 1080P Input Dolby Audio Wireless Portable Smart Home Theater Projector Beamer</t>
  </si>
  <si>
    <t>TWO TREES® Filament Break Detection Module With 1M Cable Run-out Sensor Material Runout Detector For Ender 3 CR10 3D Printer</t>
  </si>
  <si>
    <t>GAMAKAY MK61 Wired Mechanical Keyboard Gateron Optical Switch Pudding Keycaps RGB 61 Keys Hot Swappable Gaming Keyboard New Version</t>
  </si>
  <si>
    <t>Creativity® 4pcs 3D Printer Parts Spring Heated Bed Leveling 8X20mm 10X25 Hot Plate 3D Printer Parts Reprap Imported For Ender3 CR10 MK2A</t>
  </si>
  <si>
    <t>70Pcs/pack Gateron Optical Switch Linear Clicky Switch Keyboard Switch for Optical Mechanical Gaming Keyboards</t>
  </si>
  <si>
    <t>TWO TREES® CNC Shield + UNO R3 Board +4x A4988 Stepper Motor Driver +4x 4401 Stepper Motor Kit for 3D Printer</t>
  </si>
  <si>
    <t>BlitzWolf® BW-KC1 Kids Camera 2.4 Inch 1080P Video HD Selfie Portable Digital Game Children Camera for Girl and Boys Birthday Christmas Gifts Good Luck with 16GB TF Card</t>
  </si>
  <si>
    <t>140 Keys Honey Milk PBT Keycap Set XDA Profile Sublimation English/Japanese Keycaps for Mechanical Keyboards</t>
  </si>
  <si>
    <t>SIMAX3D® 13/24Pcs Polycarbonate Pulley Wheel Plastic Pulley Linear Bearing for Creality CR10 Ender 3 3D Printer Part</t>
  </si>
  <si>
    <t>70Pcs/pack Gateron Switch Linear Mechanical Yellow / Red Pro Switch Prelubricate Keyboard Switch for DIY Mechanical Gaming Keyboards</t>
  </si>
  <si>
    <t>Wooden Pencil Pen Storage Box Tilting Desktop Stationary Holder Organizer Home Office Supplies Storage Rack</t>
  </si>
  <si>
    <t>GamaKay K61 Mechanical Keyboard 61 Keys 60 Keyboard Hot Swappable Type-C 3.1 Wired USB Translucent Glass Base Gateron Switch ABS Two-color Keycap NKRO RGB Gaming Keyboard</t>
  </si>
  <si>
    <t>70PCS Pack 3Pin Gateron Linear Yellow Switch Keyboard Switch for Mechanical Gaming Keyboard</t>
  </si>
  <si>
    <t>128 Keys Coral Sea Keycap Set XDA Profile PBT Sublimation Keycaps for DIY Mechanical Keyboards</t>
  </si>
  <si>
    <t>Creality 3D® Ender-3 S1 pro 3D Printer Kit</t>
  </si>
  <si>
    <t>MARCO 12 Colors Professional Colored Pencil Set Wooden Color Crayon Drawing Painting Pens School Art Stationery Supplies</t>
  </si>
  <si>
    <t>TENWIN Desktop Vacuum Cleaner Electric Desktop Rubber Dust Cleaner Small Household Car Keyboard Dust Cleaner</t>
  </si>
  <si>
    <t>Single Button Organ Bag A4 Multi-Layer Folder Multi-Function Portable File Folder</t>
  </si>
  <si>
    <t>Wenku WK-1020B Integrated Rotary Capacitor Stylus Pen for IOS Android Tablet Smartphone</t>
  </si>
  <si>
    <t>NASUM Cover for Garden Chairs Protective Cover Oxford Polyester 210D Oxford Material with Drawstring Attachment Clips Waterproof Winterproof</t>
  </si>
  <si>
    <t>Fothwin 19.5V 45w 2.31A Interface 4.5*3.0 Blue Pin for HP Laptop Desktop Laptop Power Adapter Add the AC line</t>
  </si>
  <si>
    <t>3PCS 16T GT2 Aluminum Timing Drive Pulley For DIY 3D Printer</t>
  </si>
  <si>
    <t xml:space="preserve">Multi-function Home Decorative Felt Desk Stationery Storage Box Kids Toys Storage Bag Office </t>
  </si>
  <si>
    <t>USB 4 Port AC Wall Charging Station Home Adapter Stand For Tablet Cell Phone</t>
  </si>
  <si>
    <t>2022 New Wall Calendar Dark Forest Lunar Calendar Desktop Decoration Office Home</t>
  </si>
  <si>
    <t>Folio PU Leather Stand Card Case Cover For Microsoft Surface Pro3</t>
  </si>
  <si>
    <t xml:space="preserve">Folio PU Leather Case Folding Stand Cover For Onda V975W V989  </t>
  </si>
  <si>
    <t>4 Fan Adjustable Laptop Cooling Pad Cooler Portable Stand For 14-17inch Laptop</t>
  </si>
  <si>
    <t>Artillery® ABL automatic leveling assembly for Sidewinder X2 &amp; GPro 3D Printer Auto Heatbed Level spare parts</t>
  </si>
  <si>
    <t>1 Pc M6 Threaded Copper Nozzle 0.3/0.4/0.5MM For 1.75mm Supplies 3D Printer</t>
  </si>
  <si>
    <t>Folio PU Leather Case Folding Stand Cover For Onda V703I V701S</t>
  </si>
  <si>
    <t>11Pcs/Set Modern Wall Hanging Photo Frame Set Art Home Decor Family Picture Display Living Room Hallway Bedroom Wall Decoration</t>
  </si>
  <si>
    <t>Delicate Painting Tool Pen Holder 49 Hole Rack Pen  Office Supplies  Art Pen</t>
  </si>
  <si>
    <t>Portable Mini Cute USB Rechargeable Cooling Fan Mute Handhold USB Fan School Office Cooling Supplies</t>
  </si>
  <si>
    <t>Universal Car Desk Mount Cradle Holder Stand For Tablet Cell Phone</t>
  </si>
  <si>
    <t>2MM 10 Pcs/Colors Flash Light Sponge Paper Foam Paper Kindergarten Handmade Sponge Paper Art</t>
  </si>
  <si>
    <t>Colorful DIY Square Glitter Paper Origami Color Handmade Paper Kindergarten Home Paper Art Supplies</t>
  </si>
  <si>
    <t>Alligator Pattern Case Cover For Huawei Mediapad 10 FHD/10 Link Tablet</t>
  </si>
  <si>
    <t>Folio PU Leather Case Folding Stand Cover For PIPO P1</t>
  </si>
  <si>
    <t>Artillery® All-in-one Single Extruder with ABL Kit Replacement Extrusion Kit fits Sidewinder X2&amp;G Pro 3D Printer</t>
  </si>
  <si>
    <t>15 Colors DIY Handmade Paper Making Materials Color Crumpled Paper Rose Flower Handmade Paper</t>
  </si>
  <si>
    <t>6 Colors 25M Balloon Paper Roll Pleated Paper Roll Colored Paper Wrinkled Ribbon Balloon Streamer Colored Paper Art Decorative Handmade</t>
  </si>
  <si>
    <t>ELEGIANT Wired Display Dongle 1080P HD Adapter Miracast AirPlay Mirroring Cable For iPhone</t>
  </si>
  <si>
    <t>Owl Pattern Folio PU Leather Case Folding Stand Cover For Samsung T800</t>
  </si>
  <si>
    <t>Owl Pattern Folio PU Leather Case Folding Stand Cover For Samsung T530</t>
  </si>
  <si>
    <t>Lichee Pattern Folding Stand PU Leather Case For Samsung Tab 8.4 T700</t>
  </si>
  <si>
    <t>Rotating Stand PU Leather Case Cover For Samsung Tab 8.4 T700</t>
  </si>
  <si>
    <t xml:space="preserve">Folding Stand PU Leather Case Cover For Samsung Tab 10.5 T800 </t>
  </si>
  <si>
    <t>Lichee Pattern PU Leather Case Folding Stand Cover For Asus ME176</t>
  </si>
  <si>
    <t>Ultra Thin Tri-fold PU Leather Case Cover For Asus ME181c Tablet</t>
  </si>
  <si>
    <t>Folio PU Leather Folding Stand Card Case Cover For Asus ME181c Tablet</t>
  </si>
  <si>
    <t>Triangle bluetooth Anti Lost Device Key Kids Tracer Finder For Tablet Cell Phone</t>
  </si>
  <si>
    <t>MK7/MK8 20*20*10mm Aluminum Heating Block For 3D Printer</t>
  </si>
  <si>
    <t>Household Universal Storage Car Holder For Tablet Cell Phone</t>
  </si>
  <si>
    <t xml:space="preserve">Tri-fold Folio PU Leather Case Stand Cover For Onda v820w    </t>
  </si>
  <si>
    <t>World Map PU Leather Wallet Case For Google Nexus 7 2nd Gen</t>
  </si>
  <si>
    <t>32'' Jersey Display Case Shadow Box Frame Sports Football Baseball</t>
  </si>
  <si>
    <t>Specialized Folio PU Leather Case Folding Stand For PIPO P1</t>
  </si>
  <si>
    <t>7.9 Inch Heat Styling Case Cover for Acer A1-830 Tablet</t>
  </si>
  <si>
    <t>100 PCS Wooden Magnetic Puzzle Figure Animal Vehicle Circus Drawing Board 5 Styles Box Puzzle Toy Gift</t>
  </si>
  <si>
    <t>4pcs Sponge Stamps Children's Educational Toys Children's Little Boy Boys And Girls Handicrafts Painting Learning Coloring Drawing Set</t>
  </si>
  <si>
    <t>Folio Scrub PU Leather Case Cover For Samsung T230 Tablet</t>
  </si>
  <si>
    <t>Folio Scrub PU Leather Case Cover For Samsung T310 Tablet</t>
  </si>
  <si>
    <t>Folio Scrub PU Leather Case Cover For Samsung P3200 Tablet</t>
  </si>
  <si>
    <t>6 PCS Hook Line Pen Set Painting Brush Watercolor Paintings Drawing Pens Brushes Oil Acrylic</t>
  </si>
  <si>
    <t>Leather bluetooth Keyboard Case for iPad Mini Tablet</t>
  </si>
  <si>
    <t xml:space="preserve">Universal US 5V 2A Micro Port USB Cable Charger For Tablet </t>
  </si>
  <si>
    <t>Specialized Folio PU Leather Case Cover for Colorfly E708 Q1 Tablet</t>
  </si>
  <si>
    <t>Folio PU Leather Folding Stand Case Cover For Samsung T310 Tablet</t>
  </si>
  <si>
    <t>Transparent Glossy Screen Protector film For Colorfly E708 Q1 Q2</t>
  </si>
  <si>
    <t>bluetooth Protective Keyboard Case Cover For Voyo WinPad A1</t>
  </si>
  <si>
    <t>40*50 Canvas Waterproof Dirty Clothes Basket Children's Toy Storage Basket Cartoon Fabric Bathroom Dirty Clothes Bucket Sundries Storage Bucket</t>
  </si>
  <si>
    <t>Transparent Screen Protector Film For PIPO W4</t>
  </si>
  <si>
    <t>Transparent Screen Protector Film For Ramos I9S</t>
  </si>
  <si>
    <t>19V 3.16A 60W AC Power Adapter for Laptop SAMUNG CPA09-004A</t>
  </si>
  <si>
    <t>Folio PU Leather Case Folding Stand Cover For HUAWEI S8-701u</t>
  </si>
  <si>
    <t>MECO 300Mbps 2.4GHz Wireless Wifi Repeater LAN Port WIFI Signal Amplifier WLAN Booster WiFi Range Extender</t>
  </si>
  <si>
    <t>Ultra Thin Tri-fold PU Leather Case For Acer Iconia One7 B1-740</t>
  </si>
  <si>
    <t>Avanc HD 720P USB Webcam with Microphone for PC Laptop</t>
  </si>
  <si>
    <t>INSMA 8K HDMI 2.1 Cable 0.5/1/1.5/2/3m HDMI Male to HDMI Male Cable 1080P 8K 60HZ 48Gbps Gold Plated Connector</t>
  </si>
  <si>
    <t>360 Degree Rotating Case Cover For Samsung GALAXY Tab 3 Lite T110</t>
  </si>
  <si>
    <t>Folio Scrub PU Leather Case Cover For Samsung T110 Tablet</t>
  </si>
  <si>
    <t>Transparent Screen Protector Film For 9.7 Inch Ainol Spark II Tablet</t>
  </si>
  <si>
    <t>Deli 5302 A4 Commercial File Folder Double Strong Clip Double Clamp</t>
  </si>
  <si>
    <t>INSMA 8K HDMI 2.1 Cable 0.5/1/1.5/2/3m HDMI Male to HDMI Male Cable 1080P 8K 60HZ 48Gbps Connector</t>
  </si>
  <si>
    <t>Metal Mesh Cosmetic Makeup Brush Pen Office Desktop Storage Box</t>
  </si>
  <si>
    <t>Denim Design Folio PU Leather Case Cover For Samsung Galaxy T110</t>
  </si>
  <si>
    <t>Tri-fold Folio PU Leather Case Stand Cover For ALLDOCUBE Cube U80 Super Version Tablet</t>
  </si>
  <si>
    <t>Russian Keyboard Leather Case Pouch With Stand For 9.7 inch Tablet PC</t>
  </si>
  <si>
    <t>Universal Tri-fold PU Folding Stand Case Cover For CUBE Talk 7X</t>
  </si>
  <si>
    <t>Crazy Horse Design Folding Stand Case For Samsung Galaxy Tab4 T330</t>
  </si>
  <si>
    <t>Vintage Design Folding Stand Case Cover For Samsung Galaxy Tab4 T530</t>
  </si>
  <si>
    <t>Folding Stand PU Leather Case Cover For Samsung Galaxy Tab4 T530</t>
  </si>
  <si>
    <t>Beta Pen Free Ink Pen Creative Metal Signature Gel Pen Infinite Loop Using Pencil</t>
  </si>
  <si>
    <t xml:space="preserve">2.4G Router Antenna 14DBI High Gain Antenna RP-SMA Connector </t>
  </si>
  <si>
    <t xml:space="preserve">Magic Girl Folio PU Leather Folding Stand Case For Ramos W41 W42 </t>
  </si>
  <si>
    <t>Folio PU Leather Folding Stand Case Cover For PIPO M7 Tablet</t>
  </si>
  <si>
    <t>Folio PU Leather Folding Stand Case Cover For Chuwi V99 Tablet</t>
  </si>
  <si>
    <t>Tri-fold Ultra Thin Folio PU Leather Folding Stand Case For PIPO M9</t>
  </si>
  <si>
    <t>Simple Folding Stand Case Cover For AMPE A88 SANEI N82 Tablet</t>
  </si>
  <si>
    <t>Contrast Color PU Leather Case With Card Holder For Google Nexus 7 2nd</t>
  </si>
  <si>
    <t>Tri-fold Ultra Thin Folio PU Leather Case For Chuwi V88 V88S</t>
  </si>
  <si>
    <t>Soccer-Football Referee Notebook With Pencil Yellow and Red Cards</t>
  </si>
  <si>
    <t>0.2mm 0.35mm 0.4mm 0.5mm 3D Printer Extruder Brass Nozzle Sprinkler Head</t>
  </si>
  <si>
    <t>Shockproof Balls Silicone Case For Google Nexus 7 II</t>
  </si>
  <si>
    <t>2.5Inch Hotel Caster Directional Universal Brake Mute Wheel</t>
  </si>
  <si>
    <t>Folio PU Leather Case Folding Stand Cover For PIPO W6</t>
  </si>
  <si>
    <t>Outer LCD Display Screen Replacement Repair Parts For PIPO M9 Tablet</t>
  </si>
  <si>
    <t>9.7 Inch Leather Case With Folding Stand For PIPO M6 Tablet</t>
  </si>
  <si>
    <t>9 Inch PU Leather Case With Folding Stand For Lenovo A2109 Tablet PC</t>
  </si>
  <si>
    <t>Kawaii Cute Animal Cartoon Rollover Coil Carry Mini Portable Notebook Pocket Notepad School Office Stationery Supplies for students</t>
  </si>
  <si>
    <t>Folio PU Leather Case Folding Stand For PIPO U8 Tablet</t>
  </si>
  <si>
    <t>Car Charger Adapter For ASUS Eee Pad TF101 TF201 TF300 TF700</t>
  </si>
  <si>
    <t>Crazy Horse Grain PU Folding Stand Holder Case For SAMSUNG T110</t>
  </si>
  <si>
    <t>INSMA 4K HDMI 1.4 Cable 0.5/1/1.5/2/3m HDMI Male to HDMI Male Cable 1080P 120HZ 18Gbps Gold Plated Connector</t>
  </si>
  <si>
    <t>Folio Leather Case With Stand For Ampe A78 Sanei N79 Tablet</t>
  </si>
  <si>
    <t>Folio Leather Case Pouch With Folding Stand For Ainol Hero Tablet</t>
  </si>
  <si>
    <t>Outer LCD Display Screen Replacement Repair Parts For Q8 Tablet</t>
  </si>
  <si>
    <t xml:space="preserve">Universal 14CM HD Male To VGA Female Transition Cable For Tablet PC </t>
  </si>
  <si>
    <t>15 *15CM 6Pcs Canvas Artboard Linseed Oil Painting Frame Drawing Board for Beginners Oil Painting Supplies</t>
  </si>
  <si>
    <t>Cidy 1Pcs Label Sticker Printer Ribbon Convenience Label Strip Thermal Mini Cute Printing Sticker for Tepra Lite LR5C Label Printers</t>
  </si>
  <si>
    <t>Children's Anti-blue Light Glasses Playing Computer  Phone Anti-radiation Men And Women's Flat Lens Silicone Goggles Soft Frame</t>
  </si>
  <si>
    <t>Canvas Oil Painting Board Whiteboard Oil Painting Canvas Frame Acrylic Cotton Canvas Artboard for Artistic Creation Painting Suppiles Drawing Board</t>
  </si>
  <si>
    <t>10 Pcs Wooden Blackboard Universal Message Board Set Mini Chalkboard Portable Wedding Party Decorations Decorative Parts</t>
  </si>
  <si>
    <t>10 Pcs Painting Brush Mixed Head Nylon Brush Combination Set Oil Painting Profession Art Supplies</t>
  </si>
  <si>
    <t>12Pcs Painting Brush Pearl Blue Drawing Brush Watercolor Acrylic Brush Set Professional Oil Painting Tools Art Supplies</t>
  </si>
  <si>
    <t>10 Pcs Mixed Head Painting Brush Nylon Brush Combination Set Oil Watercolor Painting Profession Art Supplies</t>
  </si>
  <si>
    <t>Cute Double Hole Pencil Sharpener Makeup Pen Pencil Sharpener Give Girl Gifts School Supplies Essential Stationery</t>
  </si>
  <si>
    <t>25Pcs Dotting Painting Tools with Mandala Set Pen Dotting Stencil Kit Ball Stylus Clay Sculpting Carving Tools for Clay Pottery Craft Painting Rocks Coloring Art Drawing</t>
  </si>
  <si>
    <t>6Pcs Nylon Painting Brush Art Drawing Watercolor Brush Soft Different Head Size Painting Brush Supplies</t>
  </si>
  <si>
    <t>35 PCS Mandala Dotting Tools Stencil Ball Stylus Brushes Paint Tray for Painting Rocks Coloring Drawing and Drafting</t>
  </si>
  <si>
    <t>64*35cm Multifunctional Foldable Multi-angle Adjustment Computer Laptop Desk Table TV Bed Computer Mackbook Desktop Holder</t>
  </si>
  <si>
    <t>Touch Screen Digitizer Replacement for Samsung Galaxy Tab P580</t>
  </si>
  <si>
    <t>8Pcs Colorful Acrylic Rod Twisted Bar Point Brush Solid Round Stick Point Pottery Auxiliary Tool Mandala Dotting Tools</t>
  </si>
  <si>
    <t>5Pcs Color Handle Dotting Tools Spiral Rod Double-end Point Nail Pen Indentation Pen Point Flower Drill Tool</t>
  </si>
  <si>
    <t>Deli 3572 A4 500 Sheets Printer Paper Double-sided 2574g Scratch Paper Writing Drawing Paper Home Office Paper Supplies</t>
  </si>
  <si>
    <t>Deli A4 Printer Paper Thicken 500 Sheets 2000g Writing Drawing Paper Double-sided Scratch Paper Printer Paper Office Home Paper Supplies</t>
  </si>
  <si>
    <t>Woven Wall Hanging Tapestry Wedding Hanging Backdrop Bohemian Wall Mural Yarn Tapestry with Tassel Living Room Home Office Decorations</t>
  </si>
  <si>
    <t>Creative Storage Home Living Room Desktop Storage Trash Can Kitchen Organizer Mini Office Trash Can Coffee Table Paper Basket</t>
  </si>
  <si>
    <t>Double-Layer Waste Bin Pressing Type Desktop Garbage Basket Table Plastic Office Trash Can Dustbin Sundries Barrel Box</t>
  </si>
  <si>
    <t>4 Layers Plant Stand Flower Pot Storage Rack Outdoor Indoor Garden Shelf Decorations Display Stand Bookshelf with Drawer</t>
  </si>
  <si>
    <t>AIMOS USB HDMI KVM Switch Box Video Switch Display 4K Splitter KVM Switch for 2 PCs Share Switcher Keyboard Mouse Printer Plug and Play</t>
  </si>
  <si>
    <t>6 Hooks Under Cabinet Mug Holder 304 Stainless Steel Punch-free Coffee Cup Storage Rack</t>
  </si>
  <si>
    <t>Wall Hanging Tapestry Indoor Green Plant Tapestry Wall Decorations for Home Office Hotel</t>
  </si>
  <si>
    <t>Multifunctional Desktop Organizer Personalized Storage Rack Wooden Desktop Computer Keyboard Multi-layer Board Items Finishing Storage Rack</t>
  </si>
  <si>
    <t>57x50mm Payment Receipts Printing Paper for Thermal Printer White</t>
  </si>
  <si>
    <t>Deli 22275 Thickened Loose-leaf Book Student Notebook Simple handbook Office Business Fabric Notebook 120 Pages</t>
  </si>
  <si>
    <t>Leather Storage Box Home Storage Box Leather Storage Box Phone/TV Remote Control Home Storage Box Desk Storage Box</t>
  </si>
  <si>
    <t>AC Power Supply Adapter Cord Cable Lead 3-Prong for Laptop</t>
  </si>
  <si>
    <t>Clear Screen Protector Film Guard For PIPO P1 Tablet</t>
  </si>
  <si>
    <t>Folio PU Leather Folding Stand Card Case Cover For Xiaomi Mipad Tablet</t>
  </si>
  <si>
    <t>Transparent Silicone Mouse Pad Gel Wrist Rest Wrist Supprt Hand Rest for Home Office Desktop PC Computer</t>
  </si>
  <si>
    <t>Tri-fold Folio PU Leather Stand Case Cover For  ALLDOCUBE CUBE IWORK 8 Tablet</t>
  </si>
  <si>
    <t>Folding Stand Folio PU Leather Case Cover For PIPO P9</t>
  </si>
  <si>
    <t>NUSIGN NSYP022 Office Document Files Books Storage Box Desktop Organizer Holder</t>
  </si>
  <si>
    <t>Wicute O-WF8.5 Portable 8.5 Inch LCD Writing Tablet Digital Drawing Tablet Handwriting Pad Electronic Tablet Board Ultra-thin Board with Pen</t>
  </si>
  <si>
    <t>Back Case Cover and HD Tablet Screen Protector for Lenovo Tab 3 8 Plus</t>
  </si>
  <si>
    <t>Iron Reading Data Frame Computer Monitor Bracket Manuscript Clip Typing Reading Frame For Office Learning Reading Book</t>
  </si>
  <si>
    <t>A5 Manager File Folder PU Clip Briefcase A4 File Loose-Leaf Notebook Multi-Function Folder Notepad Gift Set</t>
  </si>
  <si>
    <t>Cement Pen Holder Desktop Office Stationery Storage Concrete Pen Holder</t>
  </si>
  <si>
    <t>Deli 9128 Music Book + Pen Holder Combination Multi-Functional Structure Design Desk Storage</t>
  </si>
  <si>
    <t>Vention HDMI Cable Video Cable 4K 3D HD2.0 Elbow Design Audio Vido Synchronous HDR 18Gbps Bandwidth 1M 2M 3M</t>
  </si>
  <si>
    <t>Monitor Laptop Stand Desktop Storage Bracket Desktop Small Table Computer Riser Shelf Display For Home Office</t>
  </si>
  <si>
    <t>1.5M Round Tape Measure Ruler Automatic Telescopic Ruler PVC Black Tape Measure for Home Office Stationery Supplies</t>
  </si>
  <si>
    <t>360 Degree Rotating PU Stand Leather Case For Ausu ME173x Tablet</t>
  </si>
  <si>
    <t xml:space="preserve">360 Degree Rotating Wave Point PU Leather Case For Samsung P5200 </t>
  </si>
  <si>
    <t>16GB USB2.0 Chocolate Ice Cream Model Flash Drive Memory U Disk</t>
  </si>
  <si>
    <t xml:space="preserve">Inner LCD Display Screen Replacement Repair Parts For PIPO M9 Pro 3G </t>
  </si>
  <si>
    <t>MingQiang Single-layer Stackable File Rack Nordic Style Metal Rack Desktop Organizer Home Office Desktop Storage Supplies</t>
  </si>
  <si>
    <t>Deli 1 Roll Price Labels Paper White Tag Paper Supermarket Grocery Shops Paper Stickers for Label Printer</t>
  </si>
  <si>
    <t>Deli 1 Roll Label Paper White Price Tag Paper Supermarket Grocery Shops Paper Stickers for Label Printer</t>
  </si>
  <si>
    <t>USB 2.0 Webcam Auto Focusing Web Camera Cam with Microphone For Laptop Desktop</t>
  </si>
  <si>
    <t>1Pcs Ballpoint Pen Pressing Design Pen Casual Office Decompression Fingertip Gyro Toys Ballpoint Pen For Office School</t>
  </si>
  <si>
    <t>SIMAX3D® Black/White Plastic CNC Openbuilds Wheel with Bearing Idler Pulley Gear Perlin Wheel for 3D Printer</t>
  </si>
  <si>
    <t>20cm Graphics Card 8 Pin Female to 2*8P(6+2)pin Extention Power Cable Male</t>
  </si>
  <si>
    <t>Multi-function Drawing Board Clip Manual Pencil Sharpener Element Depicting Art Grinding Pencil Artifact</t>
  </si>
  <si>
    <t>Hexagon Diamond Rulers Triangle Ruler Transparent Quilting Sewing Patchwork Craft Scale Ruler DIY Handmade Tailor Home Sewing Tools</t>
  </si>
  <si>
    <t>Deli 5354 1PCS Bill File Folder Financial Bill Collector A5 Paper Document Folder PP Material Small File Folder Office School Supplies</t>
  </si>
  <si>
    <t>7 Inch English Triangle Ruler 17CM 30CM Metric Triangle Ruler Angle Protractor Metal Speed Square Measuring Ruler Metric English Ruler Carpenter Measuring Tools</t>
  </si>
  <si>
    <t>Metric Thick Stainless Steel Plastic Shelf Ruler Portable 30m/50m Hand Crank Steel Frame Ruler Steel Digital Tape Measure</t>
  </si>
  <si>
    <t>H&amp;B HB-WB2 20 Color Painting Brush Color Soft Head Comic Hand-painted Pen Fountain Pen Set</t>
  </si>
  <si>
    <t>Leather Business Credit ID Name Card Holder Plaid Pattern Metal Frame Case Card Box For Office Supplies</t>
  </si>
  <si>
    <t>Portable Solid Watercolor Paint Set For Children's Sketch In Kindergarten</t>
  </si>
  <si>
    <t>BIANYO BN-8024 24/36 Grids Moisturizing Watercolor Painting Palette Professional Non-toxic Plastic Palette Painting Art Stationery Supplies</t>
  </si>
  <si>
    <t>MK52 Hot Bed Iron Plate 253.8*241mm with 2pcs Adhesive PEI for 3D Printer</t>
  </si>
  <si>
    <t>Puny Tap Pen Color Lead Companion Nylon Hair Storage Painting Brush 6 Suit</t>
  </si>
  <si>
    <t>2019 New Black PU Leather&amp;Stainless Steel Business Name Card Case Holder For Office Supplies</t>
  </si>
  <si>
    <t>Portable Wooden Folding Ruler 1M/2M Multifunctional Painting Drawing Measuring Instrument Model Template Ruler Carpenter Measuring Tools</t>
  </si>
  <si>
    <t>14003 3N Round Tube Cylinder Spring Dynamometer Spring Balance 3N Special Specifications Teaching Equipment</t>
  </si>
  <si>
    <t>Huisheng HS872 Square Stapler Standard Stapler Office And School Supplies Medium Binding Machine</t>
  </si>
  <si>
    <t>KEPU J21030 50cm Wooden Lever Ruler Straight Ruler Physical Mechanics Experimental Equipment Balance Measuring Tools School Teaching Instrument</t>
  </si>
  <si>
    <t>1 Pcs 10N Bar Box Spring Dynamometer Meter Force Gauge Balance Physics Experiments School Teaching Instrument</t>
  </si>
  <si>
    <t>1 Pcs 5N Bar Box Spring Dynamometer Meter Force Gauge Balance Physics Experiments School Teaching Instrument</t>
  </si>
  <si>
    <t>A1 Cutting Board Of Art Cutting And Engraving Board Leather Punching Version Set</t>
  </si>
  <si>
    <t>FLSUN® 4PCS 8x15x24mm LM8UU Linear Ball Bearing For 3D Printer</t>
  </si>
  <si>
    <t>A4 13 Layers Expanding File Folders A4 Paper Placstic File Folder with Pocket Snap Closure Document Organizer Set File Folder Labels for School Office Home</t>
  </si>
  <si>
    <t>A4 Expanding File Folders 5 Layers Accordion Document Organizer Placstic File Folder Pocket Snap Closure Document Organizer Set or School Office Home</t>
  </si>
  <si>
    <t>20Pcs File Folder Transparent A4/A5/B6/B5 Document Organizer Plastic File Pocket with Zipper for School Office</t>
  </si>
  <si>
    <t>20Pcs A4 Transparent File Folder with Pocket Snap Closure Document Organizer Plastic File Pocket for School Office</t>
  </si>
  <si>
    <t>4G WIFI Smart Plug Wireless Remote Control Appliances Power Socket Support Amazon Echo And Google Home</t>
  </si>
  <si>
    <t>USB 3.0 PCI-E Express 1x to16x Extender Riser Board Card Adapter SATA Cable</t>
  </si>
  <si>
    <t>Vention HDMI to VGA Converter White 0.15m Cable Length 3.5mm Audio Cable</t>
  </si>
  <si>
    <t>PCIE 1X To 16X 4 Pin Extender Riser Card Adapter Cable Card Cable For Miner</t>
  </si>
  <si>
    <t>32GB USB 2.0 USB Flash Drive Waterproof Buckle Design Aluminum Memory Stick USB Pen Drive</t>
  </si>
  <si>
    <t>300*300mm Black Square Scrub Surface Hot Bed Platform Sticker Sheet With 1:1 Coordinate For 3D Printer</t>
  </si>
  <si>
    <t>MX3 Arabic 2.4G Wireless Mini Keyboard Air Mouse Remote Control</t>
  </si>
  <si>
    <t>YUXI MS800 32G Micro USB Flash Drive USB2.0 OTG U Disk For Tablet Cell Phone</t>
  </si>
  <si>
    <t>USB 3.0 PCI-E Express 1x to16x Extension Cable Extender Riser Card Adapter SATA Cable</t>
  </si>
  <si>
    <t>Multi-angle Pyramid Stand Support Holder for Tablet Phone</t>
  </si>
  <si>
    <t>20Pcs A5 Size Writing Journal Diary Notebook Daily Notepad 40 Pages Write In With Lined Paper</t>
  </si>
  <si>
    <t>MHD IP810 Universal In-ear Bass Headphone with Microphone for Tablet Cell Phone</t>
  </si>
  <si>
    <t>MHD IP820 Universal In-ear Bass Headphone with Microphone for Tablet Cell Phone</t>
  </si>
  <si>
    <t>MHD IP640 Universal In-ear Headphone with Microphone for Tablet Cell Phone</t>
  </si>
  <si>
    <t>Label Sticker Paper for Wireless label printer Portable Pocket D11 Label Printer Thermal Label Paper for Home Use Office</t>
  </si>
  <si>
    <t>Fizz FZ210008 Multi-function Pen Holder In Office And Home Supplies</t>
  </si>
  <si>
    <t>Fizz FZ332015 Time Management Notebook Efficiency Manual For Office Conference</t>
  </si>
  <si>
    <t>Fizz FZ330001 A5 Leather Notebook For Student And Conference</t>
  </si>
  <si>
    <t>FaSoLa DZ-117 Mini Tape Measure Cute With A PU Measuring Tape Measuring The Circumference Of The Bust Hip Circumference Waist Soft Straight Ruler</t>
  </si>
  <si>
    <t>Marble Matte Hard Case Cover Shell For Macbook Air Pro 11 12 13 15 '' Retina</t>
  </si>
  <si>
    <t>EVA Portable Protective shell for 8 Inch Samsung Tab A T350</t>
  </si>
  <si>
    <t>MHD IP670 Universal In-Ear Heavy Bass Headphone With Microphone for Tablet Cell Phone</t>
  </si>
  <si>
    <t>REXLIS 1/ 1.8/ 3M 3-Pin Male To Female Microphone Audio Cable</t>
  </si>
  <si>
    <t>S5 Wireless Private Mode bluetooth 4.1 In-ear Earphone Wireless Headset for Tablet Cell Phone</t>
  </si>
  <si>
    <t>XIEHAIGE Fan Scale 1:10 Design Scale Straight Ruler For Engineering</t>
  </si>
  <si>
    <t>Yujie 2 in 1 20CM And 30cm Cutting Straight Ruler Anti-Cutting Rules Regular Rules Collage Rules Stationery Office Supplies</t>
  </si>
  <si>
    <t>MDH JBM-A8 Ultimate Aluminum Alloy Wire Headset for MID/MP3/MP4/CD/IPhone/Android</t>
  </si>
  <si>
    <t>MDH MJ900 All Aluminum Alloy Wire Eadset for Tablet Cell Phone</t>
  </si>
  <si>
    <t>Ultra Thin USB 3.1 Type-C Male Connector To VGA Adapter For MacBook</t>
  </si>
  <si>
    <t>Folding Stand Folio PU Leather Case Cover For Teclast X1 Pro 4G Tablet</t>
  </si>
  <si>
    <t>Hero 981 Fountain Pen Metal Drawing Pen Pole Iridium Gold Student Business Pen</t>
  </si>
  <si>
    <t>New Kind Of Pen Holder Posture Corrector For Primary School Pupils With Finger Nest Type Of Pen Holder</t>
  </si>
  <si>
    <t>NC Stationery Storage Box Detachable Stationery Storage Box Desktop Office Organizer Stationery Storage Living Room Dormitory Small Pieces Storage</t>
  </si>
  <si>
    <t>Fothwin 18.5V 65W 3.5A Laptop Ac Power Adapter Cahrger Interface 7.4*5.0 Netbook Charger For HP</t>
  </si>
  <si>
    <t>H678 Hollow Multi-Function Small Pen Holder Simple Desktop Storage Box Plastic Office Student Storage Tube</t>
  </si>
  <si>
    <t>Chinese Style Cherry Blossom Series Metal Hollow Bookmark For Student 10 Pcs</t>
  </si>
  <si>
    <t>Folio Rock Grain Leather Case With Folding Stand for FNF ifive X2</t>
  </si>
  <si>
    <t xml:space="preserve">Special Folio Folding Stand PU Leather Case Cover For Hyundai T10 </t>
  </si>
  <si>
    <t>Creative New Pencil Pattern Silicone Pencil Case Creative Children's Cartoon Zipper Stationery Box</t>
  </si>
  <si>
    <t>Simple Business Notebook Removable Notebook Office Thick Calendar With Medium-Sized Memorandum</t>
  </si>
  <si>
    <t>Creative Transparent Mesh Pencil Case B6 Storage Bag Portable Large-Capacity Stationery Bag For Students' Exams</t>
  </si>
  <si>
    <t>Comix A828 Clip File Folder Double Folding Data Clip Thickening A4 Flat Clip</t>
  </si>
  <si>
    <t>Fothwin Laptop AC Power Adapter Laptop Charger 19V 3.42A 65W US Plug 5.5*2.5mm Notebook Charger For Lenovo</t>
  </si>
  <si>
    <t>50pcs/lot 100x80mm Horizontal Type Exhibitor Student Work Card Ferrule Card Case</t>
  </si>
  <si>
    <t>Folio Tri-Fold Stand PU Leather Case Cover For Onda V989 Air</t>
  </si>
  <si>
    <t>Plastic Painting Tool Box Three-layer Gouache Paint Box Black Painting</t>
  </si>
  <si>
    <t>PU Leather Folding Case For Cube i10 Tablet</t>
  </si>
  <si>
    <t>Aromatherapy USB Desktop Small Fan</t>
  </si>
  <si>
    <t>BUBM Waterproof Sport Waist Belt Bag Pack Pocket Purse Running Jogging Pouch</t>
  </si>
  <si>
    <t>Universal Aluminum  Alloy Stand Holder For 3.5-10 Inch Cellphone Tablet</t>
  </si>
  <si>
    <t>VPACK Storage Box Desk Organizer Stationery Storage Pen Holder 6 Color Office School Supplies</t>
  </si>
  <si>
    <t>5PCS Angel Canvas Print Painting Modern Art Wall Picture Home Decor Decoration with Framed for Home Office</t>
  </si>
  <si>
    <t>PD 36W USB2.0 Type C Car Charger With Quick Charge 3.0 For Cellphone Tablet</t>
  </si>
  <si>
    <t>Portable Wireless Hifi Stereo bluetooth Sports Headphone Headset Mic SD AUX</t>
  </si>
  <si>
    <t xml:space="preserve">40 Teeth MK7/MK8 Stainless Steel Exturder Feeding Wheel For 3D Printer </t>
  </si>
  <si>
    <t>USB 3.0 Female To 3.5mm Male Audio Port Adapter White</t>
  </si>
  <si>
    <t>4Pcs 2018 Year Calendar Plan Classic Agenda Notebook Personal Diaries  Office School Supplies</t>
  </si>
  <si>
    <t>Geeetech® 3D Printer Smart Controller Adapter For Megatronics Board LCD2004/12864</t>
  </si>
  <si>
    <t>20 Pack 3x3 Sticky Notes Bright Stickies Colorful Super Sticking Power Memo Pads 100Pcs for Office School Stationery Supplies</t>
  </si>
  <si>
    <t>15.6" Waterproof Notebook Sleeve Bag Case For Lenovo MacBook Apple xiaomi Laptop</t>
  </si>
  <si>
    <t>Well Star WT-N10 Handheld Mini USB Woodpecker Fan with Base LED Light Lamp Fan Rechargeable Air Cooler Silent Cooling Fan For Home Office Student Dormitory Outdoors Travelling</t>
  </si>
  <si>
    <t xml:space="preserve">Well Star WT-F02 Portable Handheld Mini Fan Creative Desktop Mini Fan USB Charging Small Fan with Separable bracket Mobile Phone Holder </t>
  </si>
  <si>
    <t>50 Pcs HB Pencli Drawing Writing Sketching Painting Pencils Set Wood Art Supplies Stationery School Office</t>
  </si>
  <si>
    <t>Thick Canvas 4K Drawing Board Bag Multifunctional Shoulder Backpack Waterproof Hand Carry Bag Artist Painting Supplies</t>
  </si>
  <si>
    <t>Russian Silicone Keyboard Cover For 12.5 inch 13.3 inch AIR Laptop Notebook Accessories</t>
  </si>
  <si>
    <t>Network Line Storage Bin Charger Wire Management Cable Storage Box Office Organizer Power Strip Wire Case Charger Socket</t>
  </si>
  <si>
    <t>LISEN 4 Inch Multifunctional Digital Accessories Storage Bag Random Shipment</t>
  </si>
  <si>
    <t>LISEN Multifunctional Digital Accessories Storage Bag Random Shipment</t>
  </si>
  <si>
    <t>LISEN 8 Inch Multifunctional Digital Accessories Storage Bag Random Shipment</t>
  </si>
  <si>
    <t>PU Leather Folding Stand Case Cover for Aoson M701FD Tablet</t>
  </si>
  <si>
    <t>Nano Anti-explosion Shockproof Screen Protector For Xiaomi Mipad 2</t>
  </si>
  <si>
    <t>Zhuting S9010 9Pcs Nylon Practical Writing Brush Supplies</t>
  </si>
  <si>
    <t>Zhuting ZN 0015A 12 Pcs Short Rod Copper Tube Nylon Writing Brush Supplies</t>
  </si>
  <si>
    <t>Folding Stand PU Leather Case Cover For 10.6 Inch ALLDOCUBE Cube Talk11 U81 Tablet</t>
  </si>
  <si>
    <t>High Quality Portable Laptop Stand Aluminium Alloy For MacBook Tablet Holder With Cooling Function</t>
  </si>
  <si>
    <t>Allwin 661A1 A1 PVC Rectangle Cutting Mat Five-layer White Core Pad Cutting Mat Tool Fabric Leather Paper Craft DIY Tools</t>
  </si>
  <si>
    <t>Jordan&amp;Judy JJ-YD0026 Colored Push Pins Binder Clips Metal Thumb Tacks Map Drawing Push Pins Crafts Office Accessories School Supplies Stationery</t>
  </si>
  <si>
    <t>Vintage Metal Classic Seal Sealing Seal Stamp for Arts and Crafts Wedding Invitation Letter</t>
  </si>
  <si>
    <t>Jordan&amp;Judy JJ-YD0031 3PCS Graffiti Notebooks Notepads Sketch Graffiti Notebook For Noting Drawing Painting Office School Supplies Stationery Gifts</t>
  </si>
  <si>
    <t>Touchlecai A3/A4 Painting Paper Marker Dedicated Hand-painted Paper Book Double-sided Painting Impermeable 30 Pages Paper for Drawing Beginning Artists</t>
  </si>
  <si>
    <t>Ruiyi A38K9K Disposable Neutral Tearable Drawing Paper Coloring Gouache Painting Paper</t>
  </si>
  <si>
    <t>Fothwin 19.5V 3.33A 65W Interface 4.5×3.0mm Laptop AC Power Adapter Notebook Charger For HP</t>
  </si>
  <si>
    <t>50pcs/lot 115x68mm Vertical Form Exhibitor Student Work Card Ferrule Card Case</t>
  </si>
  <si>
    <t>3 Tier Office Barbed Wire File Tray Mesh Desk Tray Organizer Shelf Letter Storage</t>
  </si>
  <si>
    <t xml:space="preserve">USB 3.1 Type-C Male To VGA Female Adpater Cable Converter </t>
  </si>
  <si>
    <t>Inner Screen Replacement Repair Parts For PIPO P1 3G</t>
  </si>
  <si>
    <t>Well Star WT-M6 Portable Mini USB Fan Handheld Chargeable Desktop Air Cooling Fan For Home Office Student Dormitory Outdoors Travelling</t>
  </si>
  <si>
    <t>Stand Flip Folio Cover PU Leather Tablet Case Cover for 12.2 Inch Teclast Tbook12 Pro Tablet</t>
  </si>
  <si>
    <t xml:space="preserve">Christmas Stationery Set 6 x crayon 2 x Pencil sharp 1 x Iron Pen box Drawing notebook Rubber Ruler </t>
  </si>
  <si>
    <t>1/ 1.8/ 3M REXLIS TR042WF RCA Male to Canon Microphone Mixer Data Extension Cable</t>
  </si>
  <si>
    <t>2019 Wedding Guest Signature Books Couple Wooden Notebook Vintage Laser Cut Wood Journal Wedding Decoration</t>
  </si>
  <si>
    <t>5Pcs 16T GT2 Aluminum Timing Drive Pulley For DIY 3D Printer</t>
  </si>
  <si>
    <t>10Pcs 16T GT2 Aluminum Timing Drive Pulley For DIY 3D Printer</t>
  </si>
  <si>
    <t>LISEN 6 Inch Multifunctional Digital Accessories Storage Bag Random Shipment</t>
  </si>
  <si>
    <t>Well Star WT-016 Little Bear Mini USB Fan with Colorful Light Mode Handheld Small Fan Portable Air Cooler Silent Cooling Fan For Home Office Student Dormitory Outdoors Travelling</t>
  </si>
  <si>
    <t>1/ 1.8/ 3M REXLIS TR042WM RCA Male to Canon Microphone Mixer Audio Extension Cable</t>
  </si>
  <si>
    <t>0.4mm 3D Printer Extruder Nozzle For 1.75mm Filament</t>
  </si>
  <si>
    <t>Portable Handheld Mini USB Fan Rechargeable Air Cooler Air Conditioning Fans Silent Cooling Fan for Office Home Travelling</t>
  </si>
  <si>
    <t>Well Star WT-F20 Mini Handheld Base Fan Rechargeable USB Fan with Lanyard 3 Gear Portable Desktop Cooling Fan for Home Office Outdoor</t>
  </si>
  <si>
    <t>Universal 3.5mm 12V 2A US Power Adapter AC Charger For Tablet</t>
  </si>
  <si>
    <t>M200 USB 3 Colors LED Backlit Wired Gaming Keyboard</t>
  </si>
  <si>
    <t>4 Size Brass Nozzle 3.0mm/1.75mm ABS/PLA Filament Extruder Nozzle For 3D Printer</t>
  </si>
  <si>
    <t>V5 Plastic Cover Shell Case For 30 x 10 Cooling Fan 3D Printer Extruder DIY</t>
  </si>
  <si>
    <t>V6 Plastic Cover Shell Case For 30*10 Cooling Fan 3D Printer Extruder</t>
  </si>
  <si>
    <t>Great Value Waterproof Sketch Pencil Case Large Capacity Bag Multi-color Storage Box for Student Stationery Supplies</t>
  </si>
  <si>
    <t>Mideer Dust-free Chalk Water-soluble For Children's Chalk Multi-function Palm Billiard Chalk In Nursery 12 Pcs</t>
  </si>
  <si>
    <t>64GB USB2.0 Flash Drive Lovely Cartoon Comic Animals Model Pen Drive Memory Stick Gift</t>
  </si>
  <si>
    <t>Rosy Posy T-805 Transparent Plastic Painting Brush Can Change The Pen Beginner New Painting Brush Hard Pen Calligraphy Copybook Pen</t>
  </si>
  <si>
    <t>Toughened Glass Screen Protector for 10.1 Inch Alldocube iPlay 20 iPlay 20 Pro Tablet</t>
  </si>
  <si>
    <t>USB3.0 Type-C External CD DVD Optical Drive High Speed Data Transfer External DVD-RW Player External Burner Writer Rewriter for Computer PC Laptop XD002</t>
  </si>
  <si>
    <t>Fizz FZ005219 Volume Sales Barrel Folder Round Shape Office Binding Folder Badge Clip Stationery</t>
  </si>
  <si>
    <t>857  A4 Portable Paper Cutter Plastic Paper Cutters and Trimmers Stationery Photo Paper Cutting Mat Tool</t>
  </si>
  <si>
    <t>Tvird Memory Card Reader Y Type Black Engraved SD Card TF Cartoon with Four Interfaces Type C Apple Android USB Interface</t>
  </si>
  <si>
    <t>ZSMC For HP CF350A Tone Cartridge HP M176N Compact Tone Cartridge 130A MFP M177FW Ink Cartridge Plug Printer Supplies</t>
  </si>
  <si>
    <t>ZSMC Applicable Ink Cartridge Plug Brother TN221/TN241/TN251/TN261/TN281/TN291 Toner Cartridge For Printer Supplies</t>
  </si>
  <si>
    <t>FONENG 1M Micro USB Charging Cable Line for Tablet Cell Phone</t>
  </si>
  <si>
    <t>FONENG 1M Micro USB Cable Date Charging  for Tablet Cell Phone</t>
  </si>
  <si>
    <t>USB 3.1 Type-C to Micro USB Female Adapter for Tablet Cell Phone</t>
  </si>
  <si>
    <t>BIDENUO G680 Metal Wire Headset 3.5mm In-ear Earphone for Tablet Phone</t>
  </si>
  <si>
    <t xml:space="preserve">TIANSTON Original 1M Aluminum Nylon Metal Plug Usb Type-C Cable Sync Charge Cable  </t>
  </si>
  <si>
    <t>Student Pen Bag Cute Pencil Case with One Zipper Removable School Student Stationery Supplies Children Gift Pencil Bag</t>
  </si>
  <si>
    <t>A5 Cutting Map Manual Model Cutting Pad Paper Cutting Pad Manual DIY Tool Cutting Board Durable PVC Craft Card for Student Home Office</t>
  </si>
  <si>
    <t>Earldom 5V 6.2A 4 Port HUB USB Charger</t>
  </si>
  <si>
    <t>Earldom 5V 6.2A 4 USB Port Charger Adapter For Tablet Phone</t>
  </si>
  <si>
    <t>Removable Cute Pencil Case with One Zipper School Student Stationery Supplies Children Gift Pencil Bag</t>
  </si>
  <si>
    <t>Folding Stand PU Leather Case Cover For Newsmy F9 Tablet</t>
  </si>
  <si>
    <t>Folding Stand PU Leather Case Cover For Vido W8c Tablet</t>
  </si>
  <si>
    <t>Universal Transparent Screen Protector Film For Teclast P98HD</t>
  </si>
  <si>
    <t>Universal Transparent Screen Protector Film For VOYO Winpad A1</t>
  </si>
  <si>
    <t>Universal Transparent Screen Protector Film For Lenovo A3500</t>
  </si>
  <si>
    <t>Universal Transparent Screen Protector Film For Colorfly I106 Q1</t>
  </si>
  <si>
    <t>Transparent Glossy Screen Protector Film For Lenovo A7600</t>
  </si>
  <si>
    <t>Transparent Glossy Screen Protector Film For Lenovo A3300</t>
  </si>
  <si>
    <t>Wireless bluetooth Speaker Audio Lamp LED Light</t>
  </si>
  <si>
    <t>Creative Hidden Pen Holder Desk Organizer Memo Pen Stationery Storage Box Case Desk Drawer Office School Supplies</t>
  </si>
  <si>
    <t>1Pcs Hidden Paste Storage Drawer Kitchen Organizer Storage Box Stationery Holder Case Container Adhesive Drawer Under Table</t>
  </si>
  <si>
    <t>1Pcs 1.75MM / 3MM MG Plus RepRap Copper Pipes M6 For 3D Printer</t>
  </si>
  <si>
    <t>Wall-mounted Bathroom Corner Storage Rack Corner Shelf Cabinets Bathtub Bath Shower Caddy Drain Basket Kitchen Organizer</t>
  </si>
  <si>
    <t>Hidden Under Desk Storage Rack Hanger Under the Cabinet Storage Kitchen Storage Rack Desktop Organizer Supplies</t>
  </si>
  <si>
    <t>Hidden Storage Under the Telescopic Table Non-marking Paste with Drawer Pen Holder Pencil Case Tray Self Desktop Organizer Supplies</t>
  </si>
  <si>
    <t>KF2510-2P Set Pitch 2.54mm Phosphoric Copper Tin-plated</t>
  </si>
  <si>
    <t>1.0M USB 2.0 to Micro USB Smile LED Charging Data Line for Tablet Cell Phone</t>
  </si>
  <si>
    <t>MK7 MK8 All Metal Remote Extruder Kit For 1.75mm Filament 3D Printer</t>
  </si>
  <si>
    <t>1M USB3.1 Type-C To USB 2.0 Cable Line for Mobile Phones and Tablet</t>
  </si>
  <si>
    <t>1Pc 2 Type M6X25 Extruder Accessory 1.75mm Thread Nozzle Throat For 3D Printer</t>
  </si>
  <si>
    <t>1.8M USB 2.0 to Micro USB Fast Charging Data Line for Android Phones and Tablet</t>
  </si>
  <si>
    <t xml:space="preserve">Tri-fold Stand PU Leather Case Cover for Hisense F6281 Magic Mirror Tablet </t>
  </si>
  <si>
    <t>Applicable Epson LQ680K LQ-670k 660K LQ670K+T Stylus Printer Ribbon Cartridge Ink</t>
  </si>
  <si>
    <t>I4 Ppt Flip Pen Multimedia Remote Control Demo Projector Pen Whiteboard Teaching Volume Regulator</t>
  </si>
  <si>
    <t>Vintage Design House Shape Perpetual Calendar Wood Desk Wooden Block Home Office Supplies Decoration</t>
  </si>
  <si>
    <t>2018 Calendar Notebook Memo Storage Box House Container Desk Office Daily Planner Student Organizer</t>
  </si>
  <si>
    <t>6 in 1 Ports USB Hub Extender Adapter Docking Station for Tesla Model 3/Y</t>
  </si>
  <si>
    <t>A5 Leather Notepad Business Creative Retro Notebook Office Supplies Journal Student School Notebook 200 Pages</t>
  </si>
  <si>
    <t>Portable Foldable Bedroom Desk Laptop Stand Lapdesk Computer Notebook Multi-Function Table Breakfast Tray Serving Table</t>
  </si>
  <si>
    <t>UM3 M6*0.75 Thread Brass Copper Heating Block 4mm for 3D Printer</t>
  </si>
  <si>
    <t>DIY 5D Diamond Painting Seaside Lighthouse Art Craft Kit Handmade Wall Decorations Gifts for Kids Adult</t>
  </si>
  <si>
    <t>Fizz FZ224003 Small Tape Cutter For Office And School Stationary Supplies</t>
  </si>
  <si>
    <t>PK-900 104 Keys USB Wired Backlit Mechanical-Handfeel Gaming Keyboard</t>
  </si>
  <si>
    <t>Creality 3D® 3D Printer LCD Screen Display For CR-10S</t>
  </si>
  <si>
    <t>A4 Blades Paper Cutter Office Paper Cutters and Trimmers Photo Cutting Blade Art Crafts Tools</t>
  </si>
  <si>
    <t>1.2M Braided Micro USB 2.0 Charger Data Sync Cable Cord For Tablet Cell Phone</t>
  </si>
  <si>
    <t>A5 PU Notebook Elastic Band Business Notepad 200 Pages Thicken Notebook Student Office Stationery Supplies with Pen Slot</t>
  </si>
  <si>
    <t>Fizz A36373 A4 Information Book 80 Sheets Insert File Folder In Office Conference Supplies</t>
  </si>
  <si>
    <t>Fizz A36373 A4 Information Book 30 Sheets Insert File Folder In Office Conference Supplies</t>
  </si>
  <si>
    <t>Back Stand Tablet Case Cover for Samsung Tab A 10.5 (T595/T590)</t>
  </si>
  <si>
    <t>Mechzone Portable USB3.0 Type-C Optical Drives Black Tray Type External DVD-RW Max.24X High-speed Data Transmission for Win XP Win 7 Win 8 Win 10 Mac</t>
  </si>
  <si>
    <t>D11 Roll Label Printer Sticker Paper Waterproof Tear-Resistant Price Label Paper</t>
  </si>
  <si>
    <t>D11 Pure Color Label Paper Roll Supermarket Waterproof Tear-Resistant Price Label</t>
  </si>
  <si>
    <t xml:space="preserve">FLSUN® 5PCS 1.75mm Brass Feed Extruder Wheel Drive Gear For Reprap 3D Printer  </t>
  </si>
  <si>
    <t>Gift Wrapping Paper Cutter Gift Wrapping Machine Presser Paper Cutter Special Tool Paper Cutter Safe And Fast Paper Cutter</t>
  </si>
  <si>
    <t>3/6 Pcs Professional Drawing Sketch Full Carbon Pen Art Student Pencil Painting Supplies</t>
  </si>
  <si>
    <t>QG HD QG021 3M HD Extension Cable 3D 4K 60Hz Data Cable Support HD 2.0 Version Video Cable for PS3 PS4 Xbox Projector LCD TV</t>
  </si>
  <si>
    <t>SEENDA ICH-S04 4-Port USB Charger with Stand for Tablet/ Phone</t>
  </si>
  <si>
    <t>A6 Spiral Coil Notebook To-Do Lined Dotted Blank Grid Paper Journal Diary Sketchbook School Supplies</t>
  </si>
  <si>
    <t>Candy Colors Charming Smiley Paper Diary Notebook Memo Book leather Note Pads Stationery Pocketbook</t>
  </si>
  <si>
    <t>72 Keys Young Girl PBT Keycap Set OEM Profile Sublimation Custom Keycaps for Mechanical Keyboards</t>
  </si>
  <si>
    <t>Multi-Mode BT3.0/5.2 2.4G Wireless Mouse Adjustable 800-1600DPI Rechargeable Silent Mice for Laptop PC</t>
  </si>
  <si>
    <t>145 Keys GMK POWER CHORD Punk PBT Keycap Set Cherry Profile Sublimation Keycaps for Mechanical Keyboards</t>
  </si>
  <si>
    <t>34 PC Baby Birthday Girls Boys HAPPY BIRTHDAY Banner Air Balloon Par</t>
  </si>
  <si>
    <t>AIMOS KC-KCM201P Wall Panel HDMI KVM Switch, A Port USB with Remote Control</t>
  </si>
  <si>
    <t>1X to 16X PCI-E Graphics Card Extension Cable USB 3.0 Expansion Card Power Supply with SATA Cable</t>
  </si>
  <si>
    <t>USB3.0 Type-C CD DVD External Optical Drive DVD-RW Player High Speed Data Transfer External Burner Writer Rewriter for Computer PC Laptop XD009</t>
  </si>
  <si>
    <t>EU Universal Adapter AC 2 Pin Power Plug Travel Abroad Adapter</t>
  </si>
  <si>
    <t>MECO Compressed Air Duster Blower Computer Laptop Cleaner Keyboard Cleaning Dust</t>
  </si>
  <si>
    <t>MECO Electric Duster Air Duster Compressed Air Blower Cleaning For Computer Cleaning</t>
  </si>
  <si>
    <t>Safety Magnetic Leather Stand Portable Laptop Bag for Laptop</t>
  </si>
  <si>
    <t>TMKB GK61 Mechanical Gaming Keyboard 61 Keys Full-Key Programmable PBT Translucent Keycaps Dual-Mode bluetooth 5.1 Type-C Wired Hot Swappable Blue/Brown/Black/White Gateron Switch RGB Backlit 60% Comp</t>
  </si>
  <si>
    <t>DAGK 124 Keys Black Gold/Bauhinia PBT Keycap Set OEM Profile Two Color Injection Molding Custom Keycaps for Mechanical Keyboard</t>
  </si>
  <si>
    <t>Infernal 142 Keys PBT Keycap Set Cherry Profile Sublimation Custom Keycaps for Mechanical Keyboard</t>
  </si>
  <si>
    <t>Keyboard Bracket Free Punch Ergonomic keyboard Shelf Multi-function Rotary Computer Slide Drawer Bracket</t>
  </si>
  <si>
    <t>Tenwin 5860 Pencil Grinder Grinding Pencil Art Students Designs</t>
  </si>
  <si>
    <t>A4 Cutting Pad Paper Cutting Pad Cutting Map Manual Model Manual DIY Tool Cutting Board Durable PVC Craft Card for Student Home Office</t>
  </si>
  <si>
    <t>1Pcs Pencil Lead Grinder Fine Art Dual-purpose Lead Grinder Charcoal Nib Sharpener Drawing Board Clip for Fine Art Sketch</t>
  </si>
  <si>
    <t>Foldable 5 Height Adjustable Laptop Stand Tablet Stand Heat Dissipation for iPad Macbook below 17 inch</t>
  </si>
  <si>
    <t>Laptop Table Stand with Small Drawer Portable Folding Desk Notebook Table Stand Lap Tray Bed for Children Student Home</t>
  </si>
  <si>
    <t>500ML Suction Bottle Never Fall Over Coffee Bottle Sucker Anti-Fall Down Double Layers Stainless Steel With Cap for Gifts</t>
  </si>
  <si>
    <t>2rca to 2rca Data Cable Audio Cable 1.5/3/5m Audio Cable Connector Wire Speaker Audio Cable Speaker Audio Connection</t>
  </si>
  <si>
    <t>2/3/4/5 Layers Mini Desktop Drawer Makeup Jewelry Organizer Holder Box Storage Case</t>
  </si>
  <si>
    <t>1 Pc Multi-functional Puzzle Ruler Set Spirograph Geometric Painting Template Ruler Drafting Tools Students Drawing Toys Art Tools</t>
  </si>
  <si>
    <t>JH A530 Optical Fiber Audio Cable SPDIF Audio Digital 5.1 Channel Square Port Digital Optical Fiber Cable</t>
  </si>
  <si>
    <t>Metal Iron Hanging Shelf Modern Style Wall Shelves Storage Rack Home Decor Organizer</t>
  </si>
  <si>
    <t xml:space="preserve">The Eiffel Tower in Paris Eiffel Tower Notebook Travel School Notebook Gift for School Office Supplies </t>
  </si>
  <si>
    <t>Leaning Tower of Pisa Diary Book Vintage Leather Fashion Notebook Lined Paper 128 Sheets 256 Pages</t>
  </si>
  <si>
    <t>Statue of Liberty Notebook Travel School Notebook Gift Fashion Notebook for School Office Supplies</t>
  </si>
  <si>
    <t>Big Ben London Notebook Travel School Notebook 256 Pages Gift for School Office Supplies</t>
  </si>
  <si>
    <t>REXLIS 6.35mm Stereo Plug Male to 3.5mm Stereo Jack Female Socket Headphone Extension Cable Audio Cable 0.3M</t>
  </si>
  <si>
    <t>Onshine 18 Pcs Crayon Pens Watercolor Non Toxic Washable Crayons Art Painting Tools Office School Supplies</t>
  </si>
  <si>
    <t>Creality 3D® 0.4mm Copper M6 Thread Extruder Nozzle For 3D Printer</t>
  </si>
  <si>
    <t>6.1 inch x 1.45 inch Retro Leather Fountain Pen Case Cover Pencil Holder Sleeve Case Pouch</t>
  </si>
  <si>
    <t>2 Inch 720P HD Touch Screen Portable Waterproof Mini Action Outdoor Sport Camera DV Camcorder</t>
  </si>
  <si>
    <t xml:space="preserve">Spare Nozzle For Geeetech All Metal J-head Hotend Extruder </t>
  </si>
  <si>
    <t>2019 A5 Planner Diary Scheduler School Study Notebook Diary Weekly Planner Notebook School Office Supplies for Phone</t>
  </si>
  <si>
    <t>Poweroff Continue Playing Module for Red Rabbit Mini Motherboard Support Specified Layer Printing</t>
  </si>
  <si>
    <t>LCD Touch Screen Digitizer Replacement For ALBA 8 Inch 1.3GHz 8GB Tablet Purple</t>
  </si>
  <si>
    <t>Laptop L/R LCD Screen Hinges For Lenovo E31 U31-70 E31-70 E31-80 AM1BM000400/500 HDD Bracket Adapter</t>
  </si>
  <si>
    <t>Power Monitoring Module Kit Power-Off Continued to Play Module For Lerdge Motherboard 3D Printer Par</t>
  </si>
  <si>
    <t>Printing Tablet Case Cover for Kindle Paperwhite4 - Young Lady</t>
  </si>
  <si>
    <t>Printing Tablet Case Cover for Kindle Paperwhite4 - Leaves</t>
  </si>
  <si>
    <t>External USB 2.0 DVD RW CD Writer Slim Optical Drive Burner Reader Player For PC Laptop Business Office</t>
  </si>
  <si>
    <t>Aluminum Alloy Adjustable Stand Holder Sucker For Nintendo Switch iPad Phones Tablet</t>
  </si>
  <si>
    <t xml:space="preserve">MK8 All Metal Remote Extruder For 1.75mm Filament </t>
  </si>
  <si>
    <t>JOYROOM S109 1.5M Micro Data Cable for Cell Phone Tablet</t>
  </si>
  <si>
    <t>Transparent Clear Screen Protector Film For ALLDOCUBE Cube U27GT Super Tablet</t>
  </si>
  <si>
    <t>Original Xiaomi Universal AV 3.5mm Audio Video Cable for Smart Xiaomi TV Box2 3.5mm Video Adapter</t>
  </si>
  <si>
    <t>4 pcs 8 Heads Fondant Tools Decorating Pen Stainless Steel Head Balls Fondant Pen Sugar Craft Decorating Tools</t>
  </si>
  <si>
    <t>6pcs White Pole Wooden Nylon Paint Brushes Set Multi-function Watercolor Oil Paint Brush Set Art Painting</t>
  </si>
  <si>
    <t>Confidential Seal Creative Data Protection Roller  Information Coverage Data Protection Roller Identity Privacy Protector Stamp Random Color</t>
  </si>
  <si>
    <t>Metal Pencil Extender Lengthened Holder Multi Color Rotary Detachable Art Sketch Pencil</t>
  </si>
  <si>
    <t>Magnetic Whiteboard Wall Sticker Kids Painting Whiteboard Office Writing Work Schedule</t>
  </si>
  <si>
    <t>Bookend Fashion Eiffel Tower Design Bookshelf Large Metal Bookend Desk Holder Stand  for Books Organizer Gift Stationery</t>
  </si>
  <si>
    <t>Colorful Urban Scene Painting City Night Scratch Picture Painting Scraping Paper DIY Craft Birthday Gift</t>
  </si>
  <si>
    <t>YUELU 4Pcs/set Magic A5 Scratch Painting Paper Drawing Board Paper Colorful Scraping Children Learning Education Doodle Toys Gifts</t>
  </si>
  <si>
    <t>Painting Kids Toys Stenciled Template DIY Scrapbooking Coloring Animal Child Educational Toys</t>
  </si>
  <si>
    <t>Graduation Banner Graduation Porch Sign Graduation Class of 2020 Banner Hanging Door Decor for Indoor Outdoor Graduation School Party Decorations</t>
  </si>
  <si>
    <t>A3 Whiteboard Monthly Planner Board Kitchen Daily Flexible Bulletin Memo Boards Fridge Magnet Drawing Calendar</t>
  </si>
  <si>
    <t>USB Flash Drive 4GB 8GB 16GB 32GB Cute Unicorn Cartoon Horse Model USB 2.0 Memory Stick  Pen drive USB Stick Flash Drive Gift</t>
  </si>
  <si>
    <t>TWO TREES® GT2 Idler Timing Pulley 16/20 Tooth Wheel Bore 3/5mm Aluminium Gear Teeth Width 6/10mm For I3 Ender 3 CR10 Bluer Printer Reprap</t>
  </si>
  <si>
    <t>PCI-E 1X to 16X Extended Card Adapter USB 3.0 Extender Mining Rig Graphics Card Extension Adapter with SATA 15Pin to 4Pin Power Cable</t>
  </si>
  <si>
    <t>Safe Case EVA Foam Cover Stand for Kindle 7 Inch 2015</t>
  </si>
  <si>
    <t>ELEGIANT Wired Mouse 2400DPI 6 Buttons LED USB Wired Mouse Optical Computer Mice for Home Office</t>
  </si>
  <si>
    <t>Yiyoubao Bubble Envelope Bag Matte Thickened Shockproof Drop Resistant Shipping Envelope Mailing Bag Business Supplies</t>
  </si>
  <si>
    <t>Creativity® MK8 Extruder Hotend kit 0.4mm Nozzle 1.75mm Filament for Ender 3 Ender3 V2 CR10 Ender 5 3D Printer Parts</t>
  </si>
  <si>
    <t>B02-1 Pen Storage Box Multifunctional Chinese Style Plastic Drawer Study Storage Box Office Home Desk Use</t>
  </si>
  <si>
    <t>Creality 3D® 3D Printer 223 x 180 x 40mm Multi-kilo Feeding Holder</t>
  </si>
  <si>
    <t>JSJT 139 Keys Shiba Inu Keycap Set English/Japanese QX Profile PBT Sublimation Custom Keycaps for Mechanical Keyboards</t>
  </si>
  <si>
    <t>120mm Computer PC Cooler Cooling Fan RGB LED Multicolor-mode Quiet Chassis Fan With Controller</t>
  </si>
  <si>
    <t>2Pcs Tenwin Two-hole Pencil Sharpener Holder Electric Automatic Replacement Knife Holder Home Office School Supplies Stationery Art</t>
  </si>
  <si>
    <t>Creality 3D®  Jumper Wire Connector Kit for 3D Printer Part</t>
  </si>
  <si>
    <t>Tri Fold Tablet Case Cover for Samsung Galaxy Tab 3 8.0 T310 Tablet</t>
  </si>
  <si>
    <t>136 Keys Ice Cream Keycap Set PBT Sublimation XDA Profile English/Japanese Custom Keycaps for Mechanical Keyboard</t>
  </si>
  <si>
    <t>1.5/3/4 Inch Ink Rubber Roller Printing Artists Art Roller Painting Craft Tool Paint Tool Stationery Painting Supplies</t>
  </si>
  <si>
    <t>9 Pcs Hook Line Pen Set Black Triangle Pole Brush Pens Oil Painting Brush Watercolor Art for Student School</t>
  </si>
  <si>
    <t>Datura Stippling Tool Pen Combination Set 20 Pieces DIY Painted Rock Painting Tools Stationery Art Supplies</t>
  </si>
  <si>
    <t>7-IN-1 Multifunctional Type-C Hub Adapter Docking Station with USB3.0 Type-C 3.1 PD 4K HDMI-Compatible SD/TF Card Reader Slot for Laptop PC Computer</t>
  </si>
  <si>
    <t>Qi Wireless Charging Mouse Pad PV Leather Charging for Moblie Phone</t>
  </si>
  <si>
    <t>16*12cm Double Side Blackboard Wall Hanging Message Board Chalkboard Teaching Tools Home Office School Supplies</t>
  </si>
  <si>
    <t xml:space="preserve">A5 Loose Leaf Notebook Refill Spiral Binder Inside Paper Dairy Weekly Monthly Plan To Do Line Kraft </t>
  </si>
  <si>
    <t>Toughened Glass Screen Protector for ALLDOCUBE Cube iWork1X Tablet</t>
  </si>
  <si>
    <t>3 USB Ports Extension Socket with 1.5M Cord US/UK/EU Plug Black 2500W 10A Desktop Charging Stand</t>
  </si>
  <si>
    <t>5 In 1 USB 3.1 Type C Hub To High Definition Multimedia Interface USB 3.0 HD Port Adapter Converter</t>
  </si>
  <si>
    <t>3.5" Hard Drive Caddy Tray Converter For Lenovo RD330 Laptop</t>
  </si>
  <si>
    <t>3PCS 60*50mm Hot Bed Power Module Expansion MOS Tube For 3D Printer</t>
  </si>
  <si>
    <t>2.5mm Stereo Jack Plug Male to RCA 3.5mm Female Adapter For GPS AV-in Converter Video Cable</t>
  </si>
  <si>
    <t>A4 Planner Synthetic Leather Loose Leaf Weekly Notebook with 180 Sheets</t>
  </si>
  <si>
    <t>Onten OTN 69001 Flashing USB Type C Cable for devices with Type C port</t>
  </si>
  <si>
    <t>Konfulon C16 double ports 5V 1A Micro USB Charger</t>
  </si>
  <si>
    <t>Ult Unite Data Cable Type-C  3.1 to USB3.0 BM Connecting Cable for Printer HUB Spot</t>
  </si>
  <si>
    <t>Folding Stand Revolving PU Leather Case Cover 8.0 Inch for Samsung T377</t>
  </si>
  <si>
    <t>Stand Flip Folio Cover PU Leather Tablet Case Cover for Onda Obook20 Plus</t>
  </si>
  <si>
    <t xml:space="preserve">Original Tenda FH456 English Firmware 300Mbps 4 Antennas Wireless Router  </t>
  </si>
  <si>
    <t>Original Tenda N301 Russian Firmware Version 300Mbps Wireless WIFI Router</t>
  </si>
  <si>
    <t>Fine Blue FC15 S4 Universal USB Car Charger for Android Tablet Cell Phone</t>
  </si>
  <si>
    <t>Fine Blue FC16 S4 Universal 2 Port 5V 2.4A USB Car Charger for Tablet Cell Phone</t>
  </si>
  <si>
    <t>Fine Blue FC10 Data Cable for Android Tablet Cell Phone</t>
  </si>
  <si>
    <t>zhuting GD-03 Acrylic Painting Knife 3 PCS Watercolor Paint Stationery School Students Art Painting Tools Supplies</t>
  </si>
  <si>
    <t>Giorgione 10 Pcs Painting Brush Set Nylon Hair Watercolor Pen Round Pointed Tip Brush With Bag Art for Student School Supplies</t>
  </si>
  <si>
    <t>FYSETC JanusBPS 355*355mm Golden Different Face Steel Plate + Magnetic Sticker B-side + PEI Kit for 3D Printer</t>
  </si>
  <si>
    <t>BIGTREETECH®  SKR MINI E3 V3.0 Motherboard for Ender3/Voron V0 3D Printer Upgrade BTT SKR V1.4 Turbo Octopus</t>
  </si>
  <si>
    <t>BIGTREETECH SKR PICO V1.0 Motherboard for TMC2209 VORON 0 3D Printer/Raspberry Pi Board</t>
  </si>
  <si>
    <t>Heart Shape of Red Stickers Seal Labels 500Pcs/roll Labels Stickers Scrapbooking Package Wedding Decoration Stationery Sticker</t>
  </si>
  <si>
    <t>Sakura XNEA Press Pen Eraser 83mm Multicolors Drawing Design of Special Stationery for Students Art Sketch Supplies</t>
  </si>
  <si>
    <t>Bview 12 colors Charcoal Colored Pencil Soft Pastel Pencil Portrait Landscape Wooden Professional Art Painting Toner Water Soluble Pencil</t>
  </si>
  <si>
    <t>Hand Tear Wire Carbon Pen Soft Medium and Hard Carbon Pencil Special for Fine Arts Sketch Painting Stationery Supplies</t>
  </si>
  <si>
    <t>Ceramic Pen Shaped Paper Cutter Mini Paper Cutter Ceramic Tip No Rust Durable Home DIY Tool Hand Safety Protect</t>
  </si>
  <si>
    <t>Maika 100Pcs A4 White/Black Thick Cardboard 120g Business Card Paper Painting Hard Paper Drawing Art for Students Office</t>
  </si>
  <si>
    <t>Taoku White Painting Roll Paper Scroll Drawing Blackboard Easel Paper Graffiti Sketch Book Long Painting Scroll Art  for Children's Students Office</t>
  </si>
  <si>
    <t>Bestrunner Multi-Color Portable USB 2.0 1GB/960M Pendrive USB Disk for Macbook Laptop PC</t>
  </si>
  <si>
    <t>MnnWuu SSD HDD USB 3.0 to SATA Converter Cable Hard Drive Converter Adapter Support 2.5 / 3.5" HDD SSD</t>
  </si>
  <si>
    <t>Xinman 555 1Pcs Storage Box Wall Hanging Basket Bedside Storage Tool Arrangement Shelf Phone Book Storage Dormitory Bedroom for Student</t>
  </si>
  <si>
    <t>Eaget CH10 Type-C to High Definition Multimedia Interface 4K Adapter Converter For Macbook Tablet</t>
  </si>
  <si>
    <t>Creality 3D CR-SCAN LIZARD Premium 3D Scanner</t>
  </si>
  <si>
    <t>5 Pcs Wall Decorative Painting New York City at Night Wall Decor Art Pictures Canvas Prints Home Office Hotel Decorations</t>
  </si>
  <si>
    <t>4K HDMI-Compatible 2.0 Cable 2160P High Resolution 4K Full Ultra HD Braided Nylon Video Cable</t>
  </si>
  <si>
    <t>WiFi Smart Socket Charger Wireless Remote Control Socket Plug Adapter US EU UK Wall Plug for Smart Phone Remote Control</t>
  </si>
  <si>
    <t>Shockproof 2.5" HDD SSD Hard Drive Protection Bag Hard Disk Enclosure Storage Bag</t>
  </si>
  <si>
    <t>PIXLINK 1200Mbps Wireless Wifi Repeater 2.4GHz &amp; 5GHz Long Range Wi-Fi Repeater Router Signal Booster Amplifier Extender with 4 Atenna</t>
  </si>
  <si>
    <t>CoolKiller 148 Keys Red Bean/Summer Sky/Blossom Pink/Banana Milk/Dark Gold/White Snow Keycap Set PBT Double Color Injection CSA Profile Custom Keycaps for Mechanical Keyboard</t>
  </si>
  <si>
    <t>Artillery® Sidewinder X2 And Genius P LCD Screen And TFT Board Components Touch Screen Kit for 3D Printer</t>
  </si>
  <si>
    <t>3D Family Tree Photo Picture Frame Collage Wall Stickers Art Home Decor</t>
  </si>
  <si>
    <t>NYONI 2B/HB/14B Sketch Pencil Set 12pcs/box Special Drawing Pencil Sketch Art Painting Stationery School Students Supplies</t>
  </si>
  <si>
    <t>300Mbps 118-Type Wall Embedded Router Wireless AP Panel Router WPS WiFi Repeater Extender 1500mA USB Charge Socket</t>
  </si>
  <si>
    <t>LEAVEN K620 Mechanical Keyboard 61 Keys PBT Translucent Dual-Color Injection Keycaps Blue/Red Switch RGB Backlit Detachable Type-C Wired Gaming Keyboard</t>
  </si>
  <si>
    <t>Double-layer Hollow Rack Multi-functional Plastic Shelf Desktop Organizer Bathroom Kitchen Storage Rack Holder Shelf</t>
  </si>
  <si>
    <t>Deli 0055 12PCS Paper Clips Special Shape Notes Smooth Paper Clips DIY Bookmark Stationery Student Metal Binder Clips Notes Letter Paper Clips</t>
  </si>
  <si>
    <t>NYONI N-2801 12pcs/box Drawing Charcoal Pencil Set Soft Medium Hard Painting Set Sketch Painting Stationery School Students Supplies</t>
  </si>
  <si>
    <t>Artillery® PEI steel sheet 230mm*230mm for base thermal bed fit Artillery Genius Series 3D Printer</t>
  </si>
  <si>
    <t>15.4 Inch Laptop Case Cover For MacBook</t>
  </si>
  <si>
    <t>13.3 inch Laptop Cover For MacBook Air</t>
  </si>
  <si>
    <t>BUBM oversized Capacity Watch Tablet Earphone U Disk Cable Digital Devices Cable Organizer Case Storage Bag</t>
  </si>
  <si>
    <t>Wooden Wall Mounted Shelf Hanging Wall Shelves Floating Display Storage Unit Bookcase Home Office Decor</t>
  </si>
  <si>
    <t>Artillery® Rocker Switch with Fuse and Outlet fit Artillery Sidewinder X2 Genius P 3D Printer</t>
  </si>
  <si>
    <t>Artillery® 30 Pin Flat Cable for SideWinder X2 3D Printer</t>
  </si>
  <si>
    <t>Artillery® 26 Pin Flat Cable 420mm  for Artillery Genius P Genius Upgraded Version 3D Printer</t>
  </si>
  <si>
    <t>7 Colors Pressed Ballpoint Pen 0.5mm Multicolor Ballpoint Pen Cute Pattern With Clip Multifunction For School Supplies</t>
  </si>
  <si>
    <t>Mining Machine Mining Frame Rig Case Graphic Case For 9 GPU 52.6X36.4X17.5cm</t>
  </si>
  <si>
    <t>Folio Stand Tablet Case Cover for Samsung Galaxy Tab S5E 10.5 SM-T720 SM-T725 - Big Eyes</t>
  </si>
  <si>
    <t>DAGK 143 Keys Weather PBT Keycap Set Cherry Profile Sublimation Custom Keycaps for Mechanical Keyboard</t>
  </si>
  <si>
    <t>300Mbps 2.4G Wireless Wifi Repeater AP Router Dual Antenna Signal Booster Extender Amplifier</t>
  </si>
  <si>
    <t>Ou Ge 883A1 Three-layer Black Core A1 Cutting Mat Non-standard Size In Green For Office Stationary Supplies</t>
  </si>
  <si>
    <t>Colorful Backlight USB Wired Gaming Keyboard 2400DPI LED Gaming Mouse Combo with Mouse Pad</t>
  </si>
  <si>
    <t>Deli NS011 Pen Pencil Holder Nusign ABS Pen Stands Desktop Storage Organizer 4 Colors Optional</t>
  </si>
  <si>
    <t>Desktop Power Socket Strip Cord Storage Boxes Organizer Safety Socket Outlet Board Container Wire Collection Cables Case</t>
  </si>
  <si>
    <t>Creality 3D® Wifi Box 2.0 for 3D Printer</t>
  </si>
  <si>
    <t>Creality 3D® CR-10 Smart Pro Hotend Accessory Kit with Heating Block/Heat Sink/Throat/Silicone Sleeve</t>
  </si>
  <si>
    <t>Laptop Sleeve Bag Canvas Laptop Protective Case for 13/14/15 inch Laptop/Tablet</t>
  </si>
  <si>
    <t>ULT unite 0.3M HD Cable for Tablet Cell Phone</t>
  </si>
  <si>
    <t>ULT unite HD Red Transparent FLAT CABLE</t>
  </si>
  <si>
    <t>ULT unite 0.2M HD Extend Amplifier for Tablet Cell Phone</t>
  </si>
  <si>
    <t>50 Pcs Various Beauty Graffiti Stickers Waterproof Decorative Stickers For Suitcase Laptop Guitar Refrigerator</t>
  </si>
  <si>
    <t>50 Pcs Colorful Beauty Graffiti Stickers Waterproof Decorative Stickers For Suitcase Laptop Skateboard</t>
  </si>
  <si>
    <t>MechZone Handmade Coiled Cable Keyboard Coil Type-C Mini USB DIY Coiled Cable Data Cable USB C Aviation Connector for Mechanical Keyboard</t>
  </si>
  <si>
    <t>GS-C281 ABS 3.5mm In-ear Headphone with Microphone for Tablet Cell Phone</t>
  </si>
  <si>
    <t>GORSUN GS-C6 ABS 3.5mm In-ear Headphone with Microphone for Tablet Cell Phone</t>
  </si>
  <si>
    <t xml:space="preserve"> JOYROOM L202 Intelligent Double USB Charger For Tablet Cell Phone</t>
  </si>
  <si>
    <t>Marco 1650 Color Pencil Send Set Pencil Planer Drawing For Student Painting 24 Color Lead Set Stationery Art Supplies</t>
  </si>
  <si>
    <t>Marco 5101B Black Wood 12 Color Pencil Filling And Coloring Graffiti Leads For Sketch</t>
  </si>
  <si>
    <t>Maries Charcoal Strip Cotton Willow Carbon Rod Art Special Soft Charcoal Sketch Pencil Supplies For Practice</t>
  </si>
  <si>
    <t>Maries F2012 36/48 Colors Pencil Art Dedicated Hand-painted Professional Pastel Stick Chalk For Grafitti</t>
  </si>
  <si>
    <t>BIDENUO G780 Wire Headset 3.5mm In-ear Headphone with Microphone for Cell Phone Tablet</t>
  </si>
  <si>
    <t>1M Typc-C to USB-A Charging Braided Cable for Tablet Cell Phone</t>
  </si>
  <si>
    <t>20T GT2 Aluminium Timing Pulley 2GT 5M Belt For RepRap Prusa Mendel 3D Printer</t>
  </si>
  <si>
    <t>200*3mm Round Heated Bed Heating Pad Insulation Cotton With Cork Glue For 3D Printer Reprap Ultimaker Makerbot</t>
  </si>
  <si>
    <t>Ender 3 V2/Pro 3D Printer Upgrade Kit Black Knight kit and Belt Screws for Genuine Hiwin Linear Rail Improvement</t>
  </si>
  <si>
    <t>Ender3 CR10 V6 Bi-Metal Insulated Titanium Alloy Copper Throat for E3D V6 CR10 ENDER 5/3 CR-10S 1.75/4.1MM Hotend 3D Printer</t>
  </si>
  <si>
    <t>80x Disc CD DVD Portable Plastic Storage Case Wallet Hard Box Bag Holder</t>
  </si>
  <si>
    <t>123 Keys Summer Painting Keycap Set XDA Profile Sublimation PBT Custom Keycaps for Mechanical Keyboards</t>
  </si>
  <si>
    <t>45Pcs DAREU Candy Mechanical Switch 5-Pin Transparent Cover Linear Switch for DIY Customized Mechanical Keyboard</t>
  </si>
  <si>
    <t>Red Lizard V5 Pro V6 Hot End Assembly Bimetal Thermal Insulation Copper Plating Hot End for CR-10 CR10S Ender-3 V2 Ender-3 3D Printer Parts</t>
  </si>
  <si>
    <t>5Pcs for One Size Brass Heating Block Nozzle 1.75mm 0.4/0.6/0.8/1/1.2mm for 3D Printer</t>
  </si>
  <si>
    <t>16pcs Halloween Painting Template Painting Template DIY Graffiti Accessories Hollow Template Paint Art Design</t>
  </si>
  <si>
    <t>28pcs DIY Halloween Hollowed Out Template Painting Set Happy Hollowed Drawing Decoration Wall Painting for Adults Kids</t>
  </si>
  <si>
    <t>CR-6 SE Assembly Hot End for All Metal Extrusion Extruder for CR-5 CR5 PRO CR6 SE 3D Printer Parts</t>
  </si>
  <si>
    <t>USB 3.1 Type C to HD Cable Convertor Adapter</t>
  </si>
  <si>
    <t>PU Leather Folding Stand Case Cover for ALLDOCUBE Cube T12/Cube T10 Tablet</t>
  </si>
  <si>
    <t>3Pcs 3D Printer 12V DC 50mm*50mm Blow Radial Cooling Fan</t>
  </si>
  <si>
    <t>UMI A4 Paper File Organization Folder Cover Holder Document Office School Supplies</t>
  </si>
  <si>
    <t>Nano Soft Explosion Proof Membrane Screen protector film For Teclast Tbook 16 Power</t>
  </si>
  <si>
    <t>Deli 72364 Student Learning Hanging Book Bag Desk Organizers Artifact Creative Oxford Cloth Storage School Supplies</t>
  </si>
  <si>
    <t>1PCS Creativity Cartridge Heater Heating Tube Cable 12V 24V 70W Up 500 Degrees for Hotend Print Head V6 Extruder 3D Printer Parts</t>
  </si>
  <si>
    <t>16pcs DIY Christmas Hollowed Out Template Painting Set Template Decoration Wall Painting for Adults Kids</t>
  </si>
  <si>
    <t>Halloween Party Decoration Letter Flag Floral Spiral Pendant Children's Party Kindergarten Decoration Supplies</t>
  </si>
  <si>
    <t>Red Lizard K1 V6 Hotend Assembled Hotend Plated Copper Nozzle for Ende3 V2 Extruder Voron Prusa I3 MK3 Extruder 3D Printer Parts</t>
  </si>
  <si>
    <t>BIGTREETECH® Orbiter v2.0 Galileo Extruder LDO  Upgrade Kit for Voron2.4 3D Printer Accessories</t>
  </si>
  <si>
    <t>JUHOR 4GB/8GB 1600MHz DDR3 Desktop Memory Ram Desktop Computer RAM</t>
  </si>
  <si>
    <t>Earldom Type C Metal Aluminum Adapter for Tablet Cell Phone</t>
  </si>
  <si>
    <t>Deli File Storage Box Office Container Small Objects Multifunctional Desk Organizer Portable Office School Supplies</t>
  </si>
  <si>
    <t>INSMA P1 Pro Height Adjustable Laptop Stand Portable Tablet Stand Heat Dissipation for Macbook Laptop Notebook 11.0 - 17.0 inch</t>
  </si>
  <si>
    <t>Office Stationery Desktop Storage Box Minimalist Multi-Layer Organizer Pen Holder Storage Container Cosmetic Storage Rack</t>
  </si>
  <si>
    <t>12 inch Weaving Laptop Bag PU Leather Case Cover Bag for Xiaomi Makbook Laptop</t>
  </si>
  <si>
    <t>M3 Delta Kossel Fisheye Effector 3D Printer Injection Molding 3MM Crane With Levelling</t>
  </si>
  <si>
    <t>35*35*50mm Ultimaker2 Aluminum Alloy Cross Slide 4 Nozzles for 3D Printer</t>
  </si>
  <si>
    <t>3007 DC5V 2Pin-2.54 Cooling Fan for Voron0/0.1 3D Printer Accessories</t>
  </si>
  <si>
    <t>Head Bulldog Extruder Fixed Bracket For 3D Printer J-head Bulldog</t>
  </si>
  <si>
    <t>1pcs Felt Pencil Bag Pencil Case School Office Supplies Stationery Pouch Purse Storage Makeup Bags School Students Supplies</t>
  </si>
  <si>
    <t>11.6 inch Laptop Cover For MacBook Air</t>
  </si>
  <si>
    <t>13.3 inch Laptop Frosted Cover For MacBook Air</t>
  </si>
  <si>
    <t>A6 Faux Leather Loose Leaf Notebook Weekly Monthly Planner Diary Cover</t>
  </si>
  <si>
    <t>USB 3.1 type C to VGA Converter Monitor USB 3.0 Type C Female Charger Adapter for Macbook</t>
  </si>
  <si>
    <t>3pcs 1M PTFE Bowden Tube For Reprap 3D Printer 1.75mm Filament</t>
  </si>
  <si>
    <t>Alardor 250V Rotating Socket Intelligent Patch Panel USB Plug Board Power Strip</t>
  </si>
  <si>
    <t>Alardor 250V Three Tiers Rotating Socket Intelligent Patch Panel USB Plug Board Power Strip</t>
  </si>
  <si>
    <t>Row And Insert Holder Punch-free Wall-mounted Storage Without Traces Socket Paste Wall Sticke Hanging Patch Panel Holder</t>
  </si>
  <si>
    <t>Miwoo M029 Transparent Acrylic Tape Cutter Classic Design Tape Dispenser Stationery for School Office Desktop</t>
  </si>
  <si>
    <t>Miwoo MW-021 Simple Iron Bookshelf 3 Slots Desktop Books Files Organizer Holder</t>
  </si>
  <si>
    <t>Professional Drawing Brush Set Acrylic Oil Watercolors Artist Paint Brushes Art Kit Stationery Students Supplies</t>
  </si>
  <si>
    <t>Rosy Posy2019/2020 Plan Table Wall Calendar 365 Day Schedule Countdown Calendar</t>
  </si>
  <si>
    <t>1/2/3 Layers Wall Hanging Rack Rope Wood Wall Mounted Plant Flower Pot Storage Shelf Home Office Wall Decorations</t>
  </si>
  <si>
    <t>1 Pcs Felt Pen Bag Pure Color Pencil Case Round Flat Bag Zipper Glasses Bag Storage Box Pouch for Office School Stationary Supplies</t>
  </si>
  <si>
    <t>Creative Hidden Table Drawer Storage Hidden Paste Style Box Office Stationery Storage Adjustable Drawer Organizer for Home Office Supplies</t>
  </si>
  <si>
    <t>Jinghua 3.5mm Type-C Audio Music Adapter Converter for Charging and Listening to Songs Two-in-one Adapter</t>
  </si>
  <si>
    <t>Deli Transparent Masking Tape Blue/Pink Student Writing Tape Cutting 2 Pieces Ttapes Stationery Office Use</t>
  </si>
  <si>
    <t>35Pcs GAMAKAY Wasp Mechanical Switch 3-Pin Prelubricate Linear Switch for DIY Mechanical Gaming Keyboard</t>
  </si>
  <si>
    <t>Creality 3D® CR-PLA Matte 1.0Kg 1.75mm for 3D Printer</t>
  </si>
  <si>
    <t>3Pcs 3d printer parts Heater Block Silicone Cover For Sprite Extruder Ender-3S1 Ender-3 S1Pro Silicone Sock Compatible</t>
  </si>
  <si>
    <t>3D Printer Parts Ender 3 S1 Copper Plated Heat Block Aluminum Heat Block High Temperature 3D Printer Parts</t>
  </si>
  <si>
    <t>Creality 3D® Ender-3 S1 Plus 3D Printer 300*300*300mm Larger Build Volume with Full-metal Dual-gear Direct Extruder/CR Touch Auto-leveling</t>
  </si>
  <si>
    <t>CoolKiller CK 178Mini Triple Mode Gaming mechanical keyboard Low-Shaft Profile RGB Wireless bluetooth5.0 For MAC</t>
  </si>
  <si>
    <t>12/6 GPU Mining Case Rack Open Rig Frame Tool Motherboard Bracket Storage Holder</t>
  </si>
  <si>
    <t>COMFAST CF-959AX USB 3.0 Dual Band WIFI6 Wireless Network Card Wall Gigabit Network Card 1800Mbps 2.4ghz/5ghz WiFi Receiver Adapter for Laptop External WiFi Transmitter Receiver</t>
  </si>
  <si>
    <t>Oxford Backpack Laptop Bag with USB Charging Port Student School Bag Fashion Shoulder Bag for 15.6 inch Notebook</t>
  </si>
  <si>
    <t>2Pcs Halloween Banner Set ﻿Trick or Treat Halloween Porch Sign Banner Flag Pumpkin Home Door Hanging Decor</t>
  </si>
  <si>
    <t>Catda Micro HDMI 1.4 HD Adapter Male to Male Two-way Adapter for Raspberry Pi 3B+</t>
  </si>
  <si>
    <t>BAYNAST 10m 3RCA to 3RCA Audio Video Cable AV Cable Connector DVD Audio Cable 1.5m 3m 5m for Sound  TV Computer</t>
  </si>
  <si>
    <t>Metal Hanging Basket Iron Black/White Hook Design Wall Hanging Rack Kitchen Bathroom Towel Knife Storage Shelf Home Decoration</t>
  </si>
  <si>
    <t>Fidget Hand Spinner Fingertips Gyro Stress Reliever Toy Children Decompression Puzzle Toys Funny Kids Adult Gifts</t>
  </si>
  <si>
    <t>Resin Rock Climbing Figures Carving Sport Statues Hanging Statue Home Living Room Wall Decoration Pendants</t>
  </si>
  <si>
    <t>22Pcs Kids Play Kitchen Set Non-Toxic ABS Blue/Pink Kitchen Cooking Set Children Hand-on Ability Intellgence Developing Tools</t>
  </si>
  <si>
    <t>Rainbow Arched Building Block Combination Wooden Children's Educational Colorful Semicircle Building Block For Children Toy Gift</t>
  </si>
  <si>
    <t>Dustproof Cosmetic Storage Box with Drawer Large Capacity Desktop Furnishings Organizer Home Desk Sundries Storage</t>
  </si>
  <si>
    <t>LED Beauty Light Stand 10 LED Lights Free Adjustable Stand Clip-on Streaming Light Replenishing Support Home Office Illuminating Equipment</t>
  </si>
  <si>
    <t>English Word Spelling Game Set English Letters and Word Cards Set Children Early Education Words Recognition Tools</t>
  </si>
  <si>
    <t>Handmade Crochet Lace Tapestry Moon Owl Woven Tassel Wall Decoration Decor Hanging Tapestry Home Wedding Decor Ornament</t>
  </si>
  <si>
    <t>Children's Wooden Colored Stone Jenga Building Block Toy Educational Toys Creative Stacking Block Balance Game Gift Toy</t>
  </si>
  <si>
    <t>Office PU Leather Wrister Mouse Pad Wrist Rest Support Mat with Anti-Slip Gel</t>
  </si>
  <si>
    <t>Microwave Oven Stand Storage Rack Kitchen Storage Bracket Shelf Space Saving Kitchen Organizer</t>
  </si>
  <si>
    <t>Wooden Square Storage Display Shelf Cabinet Wall Mounted Storage Rack Home Office Hanging Decor Organizer</t>
  </si>
  <si>
    <t>Cosplay Skull Mask Glass Fiber Nylon Impact Resistance Mask Airsoft Paintball Bicycle Combat Game Helmet For Indoor Outdoor</t>
  </si>
  <si>
    <t>Creative 3D Stereo Cartoon Bookmark Ocean Animal Cute PVC Book Markers Learning Office Supplies 1PCS</t>
  </si>
  <si>
    <t>T8 Type-C HDMI Wireless DIsplay Dongle Adapter 4K TV Dongle HDTV Cable Adapter Compatible with Projector Wireless Phone Same Screen</t>
  </si>
  <si>
    <t>Mini Plant Pot Creative Desktop Decoration Nordic Round Pen Holder Desktop Accessories Resin</t>
  </si>
  <si>
    <t>Waterproof Polyester Fabric Blue Sea Life Sea Shell Waterproof Shower Curtain 180*180cm</t>
  </si>
  <si>
    <t>3D Stereo Carrot Shape Bookmark Fun Reading Book Folder Notes Letter for Students Stationery Gifts School Office Supplies</t>
  </si>
  <si>
    <t>Removable Cosmetics Storage Box Makeup Organizer Drawer Desktop Stationery Storage Box Nail Polish Lipstick Storage Box Jewelry Case</t>
  </si>
  <si>
    <t>Waist Make Up Bag PU Leather Multiple Slots Design Waist Bag Make Up Artist Professional Make Up Tools Storage For Studio Show Back Stage</t>
  </si>
  <si>
    <t>100pcs Decration Ball Set Christmas Tree Decorations Balls Bauble Pack Hanging Ball For Home Office Mall Ceiling Decor</t>
  </si>
  <si>
    <t>Bubble Sensory Decompression Toy Octagon Anti-stress Extrusion Fidget Reliever Funny Education Puzzle Toy for Adults Kids</t>
  </si>
  <si>
    <t>Bubble Sensory Decompression Toy Flower Shape Anti-stress Extrusion Fidget Reliever Funny Education Puzzle Toy for Adults Kids</t>
  </si>
  <si>
    <t>Computer Monitor Riser Desktop LED LCD Laptop Monitor Support Stand Desktop Organizer with Storage Racks</t>
  </si>
  <si>
    <t>Kitchen Rules Wall Stickers Door Sign Vinyl DIY Wallpaper Wall Decal Home Restaurant Kitchen Wall Decor</t>
  </si>
  <si>
    <t>PE Foam 3D Wall Stickers DIY Wallpaper Wall Decal Home Office Kitchen Living Room Wall Decor</t>
  </si>
  <si>
    <t>DIY Decorative Film Gloss Wall Stickers Kitchen Cabinet Cupboard Wardrobe Covering Self-adhesive Wall Paper Furniture Renovation Stickers</t>
  </si>
  <si>
    <t>Pure Color Chair Cover Polyester Flower Pattern Elastic Chair Cover For Home Office Restaurant Decoration</t>
  </si>
  <si>
    <t>TZe 231 12mm*8m Label Tape for Brother P-Touch Label Printer PT-E500W PT-E100B</t>
  </si>
  <si>
    <t>A4/6/8/10 inch 3D Hollow Photo Frame Wood Butterfly Dragonfly Dry Flower Frame Home Office Desktop Ornament Gift Supplies</t>
  </si>
  <si>
    <t>30cm/12inch T-ruler Depression Scale Drawing Ruler DIY Craft General Work Measuring Tool Stationery Office Supplies</t>
  </si>
  <si>
    <t>Metal Flower Pot Stand 3 Tiers Rounded Plant  Holder Indoor Outdoor Flower Plant Stand Displaying Rack for Home Garden Patio</t>
  </si>
  <si>
    <t>HD Webcam with Microphone Night Vision Camera 480P/720P/1080P USB Computer Desktop Web Cam Facecam Adjustable Rotation</t>
  </si>
  <si>
    <t>Bubble Pad Plastic Bubble Warp Working Studying Pressure Releasing Paper Express Packaging Bubble Warp Safe For Children Adult</t>
  </si>
  <si>
    <t>Keyboard Bracket Hoisting Rack Computer Desk Multifunctional Adjustable Storage Slide Rail Ergonomic Keyboard Bracket</t>
  </si>
  <si>
    <t>JINHAO Shark Series Fountain Pen 0.5mm Fine Nib Shark Shape Pen Cap Design Pen Writing Signing Calligraphy Ink Pen</t>
  </si>
  <si>
    <t>Bamboo Laptop Desk Stand Lap Desk Table Flower Pattern Foldable Breakfast Serving Bed Tray with Storage Drawer with Adjustable Leg</t>
  </si>
  <si>
    <t>Wooden Elephant Jigsaw Puzzle DIY Unique Shape Pieces Animal Gift Mysterious Early Education Toys for Childrens Adults Kids</t>
  </si>
  <si>
    <t>Dotbit 165*105mm DLP PC Protective Cover FEP Film Viscose Portable Dustproof Pad for 3D Printer</t>
  </si>
  <si>
    <t>Aluminum Alloy Lifting Computer Hand Bracket, Wrist Support, Adjustable Mouse Support, Lazy Mouse Pad Bracket</t>
  </si>
  <si>
    <t>Inflatable 150cm Gingerbread Man Waterproof Polyester Fabric LED Lighting Toy For Christmas Home Party Decoration</t>
  </si>
  <si>
    <t>A4 Wooden Moon Dragon Jigsaw Puzzle DIY Unique Shape Pieces Animal Gift Mysterious Early Education Toys for Childrens Adults Kids</t>
  </si>
  <si>
    <t>Mini Broom Dustpan Combination Set Home Soft Fur Magic Small Broom Sweep Portable Cleaning Brush for Desktop Tools</t>
  </si>
  <si>
    <t>Creative Astronomical Table Mat Extra Large 900x400x3mm Table Mat Home Office Table Mat Gaming Mouse Pad</t>
  </si>
  <si>
    <t>3Pcs/Set Wall Mounted Storage Rack Floating Shelves Hanging Storage Display Rack Decor for Bedroom Office Bathroom</t>
  </si>
  <si>
    <t>Deli 0334 Long Arm Heavy Stapler Metal Special Staple Lengthening Stapler Paper Stapling Office Stapler Bookbinding Tools</t>
  </si>
  <si>
    <t>TL-Smoother V1.0 Addon Module For 3D Printer Motor Drive</t>
  </si>
  <si>
    <t>MECO Notebook 13.3/13 inch Laptop Sleeve Case Laptop bag for MacBook Air/Pro</t>
  </si>
  <si>
    <t xml:space="preserve">AtailorBird 270 * 210 * 2mm PU Leather Protective Desk Pad Waterproof Non-Slip Writing Double Side Gaming Mouse Pad for Office Home </t>
  </si>
  <si>
    <t>Sanag J1 TWS Adaptive Noise Canceling bluetooth Earphones Earbuds for Tablet Smartphone</t>
  </si>
  <si>
    <t>APEXEL APL-0610WM Optical Clip Telephoto Telescope Camera Lens For Tablet Smatrphone</t>
  </si>
  <si>
    <t>Portable External Hard Drive Disk Pouch Bag HDD Carry Cover USB Cable Storage Case Organizer Bag for Hard Disk Earphone Storage Case</t>
  </si>
  <si>
    <t>Creative Diary Journal Glitter with Sequin Lock Paper Notebook Writing Book</t>
  </si>
  <si>
    <t>80 * 30 RGB Colorful LED Lighting Gaming Mouse Pad Mat for PC Laptop LOL Dota OW</t>
  </si>
  <si>
    <t>Flat Touch A4-F-T Touch-control Dimmable Ultra-thin Copy Station LED Pen Write Station Graphics Tablet for PC Laptop Drawing Design</t>
  </si>
  <si>
    <t xml:space="preserve">Notebook Laptop Tablet Bracket Plastic Portable Folding Computer Stand Cooling Base Desktop </t>
  </si>
  <si>
    <t>QC3.0 USB Car Charger Adapter for Smartphone Tablet Black</t>
  </si>
  <si>
    <t>A5 Notebook Office Supplies 50 Pages Notepad Diary Planner Special Shaped Diamond Painting Notebook</t>
  </si>
  <si>
    <t>3 Rolls 7 Styles Hot Foil Paper Tape 3M Decorative Tapes Office School Stationery Supplies Decoration</t>
  </si>
  <si>
    <t>4 Layers Corner Rack Shelf Bathroom Kitchen Storage Baskets Space Saving</t>
  </si>
  <si>
    <t>Nordic Wooden Triangle Shelf Wall Hanging Storage Rack Bookshelf Office Home Decorations Stand</t>
  </si>
  <si>
    <t>HOCO U112 60W Type-C Luminous Charging Data Cable for Samsung XIAOMI HUAWEI Smartphone Tablet</t>
  </si>
  <si>
    <t>Double-Sided Folding Protective Case Cover for Redmi Pad Tablet</t>
  </si>
  <si>
    <t>To Tv C42 WiFi Display Dongle FHD Screen Mirroring Dongle Receiver For Google  2.4G TV Stick Video</t>
  </si>
  <si>
    <t>USB Male to Female Extension Cable Data Cable USB3.0 Core Wire 0.5M/1M/2M/3M Long Nickel-plated Anti-oxidation Data Cable for Computer Tablet Keyboard Printer TV</t>
  </si>
  <si>
    <t>T8 Anti-Backlash Spring Loaded Nut For 2mm / 8mm Acme Threaded Rod Lead Screw</t>
  </si>
  <si>
    <t>TWOTREES® 5M PTFE Tube Red/Blue/Black/White/Transparent Nozzle Feed Tube 2x4mm with Portable Cutter for 3D Printer</t>
  </si>
  <si>
    <t>Laptop Sleeve Bag Canvas Laptop Protective Case for 13/14/15 inch Laptop Tablet</t>
  </si>
  <si>
    <t>8K HDMI-compatible Cable 2.1 48Gbps High Speed 2.1 HD Video Cable Braided Cord 1M/2M/3M/5M for PS3/4 TV Laptop Monitor Projector</t>
  </si>
  <si>
    <t>Christmas Tree Wind Chimes Stainless Steel Mirror Surface Rotary Pendant Crystal Spinner Illusion Decor</t>
  </si>
  <si>
    <t>BIGTREETECH® TMC2208 V3.0 STEP/DIR Stepper Motor StepStick Driver for 3D Printer Part</t>
  </si>
  <si>
    <t>TWOTREES® DDB Extruder Transparent Version Dual Drive Extruder for 3D Printer</t>
  </si>
  <si>
    <t>DM USB3.0 Extension Cable Male to Female Extender High Speed Data Sync Cord Cable 1.5M/3M/5M Long for Laptop PC Projector Mouse Keyboard</t>
  </si>
  <si>
    <t>137 Keys Botanic Garden Keycap Set Cherry Profile Sublimation PBT Keycaps for Mechanical Keyboards</t>
  </si>
  <si>
    <t>Mechzone T9 External Optical Drive USB3.0 Type-C External CD Burner Multi-functional High Speed CD/DVD Player TF/SD Card Reader for Car Computer PC Laptop</t>
  </si>
  <si>
    <t>VEIDADZ Wall Hanging Projector Screen 4K HD Anti-light White Grid Screen 72inch 160° Full Viewing 16:9 Anti-wrinkle Waterproof Home Theater Projection Curtain</t>
  </si>
  <si>
    <t>Baseus 4 in 1 USB-A Docking Station USB-A to USB2.0*4 4-Port USB Hub Splitter Adapter for PC Laptop MacBook</t>
  </si>
  <si>
    <t>Smart Screen Lamp USB Power Aluminum Eye-Care LED Desk Lamp For Computer PC Monitor Screen Hanging Light Touch Button</t>
  </si>
  <si>
    <t>30 Pcs Gateron Baby Racoon Switch Linear 5pin Pre-lubed Switches 55g POM Material for Hot Swappable Mechanical Keyboard</t>
  </si>
  <si>
    <t>AD17 Air Duster Blow 100000 RPM Dust Blowing Keyboard Cleaner USB Compressed Air Blower Cleaning For Computer Laptop Keyboard Camera Cleaning</t>
  </si>
  <si>
    <t>Extreme Pro SD Card 256GB 128GB 64GB 32GB Flash Memory Card C10 High-speed SDXC SDHC Card for Canon for Sony SRL Camera</t>
  </si>
  <si>
    <t>Camouflage 2nd Generation 3D Printing Pen with EU Plug</t>
  </si>
  <si>
    <t>V8 Wired Keyboard Adjustable Backlit Effect Two-color Injection Molding 26 Keys Without Punch Ergonomics Mechanical Feel Gaming Keyboard</t>
  </si>
  <si>
    <t>OUTERDO YX-098 Gaming Mouse Green Professional Ergonomic Optical USB Wired 1600DPI Computer Game Mice</t>
  </si>
  <si>
    <t>126 Keys Graffiti PBT Keycap Set XDA Profile Sublimation Cute Anime Custom Keycaps for Mechanical Keyboards</t>
  </si>
  <si>
    <t>HXSJ V700 61 Keys Gaming RGB Keyboard USB Backlight With Multiple Shortcut Key Combinations for Gamers</t>
  </si>
  <si>
    <t>V700 61 Keys Gaming RGB Keyboard USB Backlight Mechanical Feel With Multiple Shortcut Key Combinations for Gamers</t>
  </si>
  <si>
    <t>BUBM Portable Storage Case Nylon Brushed Waterproof Fabric Multifunctional Electronic Accessories Bag Cable Charger Storage Bag Protective Carry Case</t>
  </si>
  <si>
    <t>BUBM Portable Storage Case Multifunctional Storage Carry Protection Pouch Organiser Case Bag</t>
  </si>
  <si>
    <t>4 in 1 Type-C Docking Station 100W PD 4K/30Hz HDMI 1080P VGA USB3.0 Hub USB-C Splitter Adaptor for PC Laptop</t>
  </si>
  <si>
    <t>4K 3D HDMI Splitter HD 1 Input 2 Output Video HDMI Switcher for PC DVD TV Box 1×2 HDMI Splitter</t>
  </si>
  <si>
    <t>5PCS 22cm 8Pin Female to 2x8Pin(6+2) Male GPU Power Cable PCI-E Splitter Cord For Motherboard Graphics Card GPU Power Data Cable</t>
  </si>
  <si>
    <t>PENGQIAO 3A 60W USB-A to USB-C Cable USB3.2 10Gbps QC3.0 Fast Charging Data Transmission USB Type-C SSD Hard Disk Cable</t>
  </si>
  <si>
    <t>PENGQIAO USB3.2 Male to Type-C Female Cable Adapter 10Gbps High-speed Charging and Data Transfer Cable Converter for Phone Laptops Tablet</t>
  </si>
  <si>
    <t>Portable RCA Coaxial Digital Optical Toslink Signal to Analog Audio Converter</t>
  </si>
  <si>
    <t>Creality 3D High-end Hardened Steel Nozzle Kit</t>
  </si>
  <si>
    <t>HXSJ X300 Wired Gaming Mouse 1200-7200DPI Adjustable Ergonomics Mice RGB Backlit 6-key Macro Programming with Swappable Back Cover Gamer Mouse for PC Laptop</t>
  </si>
  <si>
    <t>ORICO 10 in 1 Type-C Docking Station USB-C Hub with 5Gbps USB3.0*3 PD100W 4K HDMI-com VGA 1000M Gige 3.5mm Audio SD/TF Card Reader Multiport Hub Splitter Adaptor for PC Computer</t>
  </si>
  <si>
    <t>Magnetic Attraction Protective Clip Case Cover for 11.2 Inch Lenovo Xiaoxin Pad Pro 2022 Tablet</t>
  </si>
  <si>
    <t>Baseus SD/TF Card Reader 2 in 1 USB3.0/Type-C Smart Memory Card Flash Drive Adapter for Phone Tablet Laptop Accessories</t>
  </si>
  <si>
    <t>Full-Screen HD Toughened Film HD Anti-Fingerprint  for 10.6 Inch Lenovo XiaoXin Pad 2022 Tablet</t>
  </si>
  <si>
    <t>MnnWuu AUX USB bluetooth 5.3 Music Receiver Adapter Dongle 3.5mm Jack SBC AAC Audio CVC Noise Cancelling Hands-free Call with Microphone Support TF Card</t>
  </si>
  <si>
    <t>Easythreed 3D Printer Easythreed K7 Mini Cute Easy to use Kids Children New years Gift Entry level Toy Personal Student</t>
  </si>
  <si>
    <t>Easythreed K4 3D Printer Kit with Hotbed Detachable Magnetic Platform/Slicing Software</t>
  </si>
  <si>
    <t>Easythreed® NANO Mini 3D Printer Fully Assembled 90*110*110mm Printing Size</t>
  </si>
  <si>
    <t>Small Home Heater Desktop Electric Heater Winter Foot Warmer Air Heater Power Saving</t>
  </si>
  <si>
    <t>Creative Wooden Cover Notebook Vintage Notepad Journal Diary Office School Supplies</t>
  </si>
  <si>
    <t>72 Holes Penal Pencil Case Sketching Color Pencil Bag Large Capacity for Childrens Pen Bag Stationery Pouch Storage Supplies</t>
  </si>
  <si>
    <t>Pencils Extender with Pencil Sharperner Adjustable Rotating Pen Case Pen Holder</t>
  </si>
  <si>
    <t>A4 Cutting Mat Set Thicken PVC Art Carving Pad Ruler Carving Tools Utility Cutter Hand Art Work Paper Leather Cloth Cutting Tools</t>
  </si>
  <si>
    <t>Desktop Remote Control Storage Shelf Phone Stand Bracket Keys Storage Rack Organizer</t>
  </si>
  <si>
    <t>FS2-47-B 1 Piece Adjustable Dual Head Pencil Extender Sketch Pencils Holder Office School Art Painting Writing Tools Gifts</t>
  </si>
  <si>
    <t>1 Pcs Pen Case for Apple Pencil Non-slip Cloth Body Pencil Case for IPad Pencil</t>
  </si>
  <si>
    <t>7 PCS Oil Painting Brush Wood Handel Nylon Hair Hook Line Pen For Watercolor Acrylic Painting</t>
  </si>
  <si>
    <t>5 PCS Goat Hair Drawing Hook Line Brush Practice Writing Brush Oil Painting Brush</t>
  </si>
  <si>
    <t>10 PCS 00 Hook Line Pen Watercolor Soft Hair Painting Brush for Acrylic Painting</t>
  </si>
  <si>
    <t>30W Laptop Power Adapter PD High Speed Chargering For Notebook</t>
  </si>
  <si>
    <t>Wooden Monitor Bracket Stand Desktop Storage Shelf Laptop Stand Computer Screen Rack Desk PC Riser Holder Organizer</t>
  </si>
  <si>
    <t>CHOETECH Q5003 18W QC 3.0 Quick Charge USB Port Wall Charger for Smartphone Tablet Laptop</t>
  </si>
  <si>
    <t>2020 Calendar Desk Organizer Cute Desk Diary Creative Desktop Memo Coil Calendar</t>
  </si>
  <si>
    <t>2020 Calendar Office Desktop with Desk Calendar Creative Desktop Diary</t>
  </si>
  <si>
    <t>2020 Plan Book Desk Organizer Calendar Cute Creative Business Mouse Pad Desktop Diary</t>
  </si>
  <si>
    <t>2020 Creative Business Desk Calendar Multifunctional Wall-mounted Monthly Calendar</t>
  </si>
  <si>
    <t>13/15 inch Multifunction Laptop Bag Foldable Laptop Stand With Mouse Pad Design Waterproof Scratchproof For MacBook Pro Air</t>
  </si>
  <si>
    <t>Multi-type 90W Power Supply Car Charger Laptop Adapter with LED Screen USB Slot</t>
  </si>
  <si>
    <t>2020 schedule this custom logo365 days daily schedule calendar notepad work log notebook</t>
  </si>
  <si>
    <t>European elephant relief retro notebook gift book PU travel gift 8yue</t>
  </si>
  <si>
    <t>Creative notebook custom handmade leather notepad retro travel book</t>
  </si>
  <si>
    <t>1 Piece R4 Corner Rounder 4mm Paper Punch Card Photo Cutter Tool Craft Scrapbooking DIY Tools</t>
  </si>
  <si>
    <t>Qiyi Fingertip Magic Cubes 1x3x3 Professional Speed Game Adult Educational Learning Puzzle Toys for Childrens Gifts</t>
  </si>
  <si>
    <t>Yongjun 12pcs/set Flying Saucer Cup Sport Flying Speed Magic Cups Professional Training Educational Toys for Kids Children</t>
  </si>
  <si>
    <t>Plastic Cosmetic Storage Box Drawer Bedroom Desktop Makeup Organizer Container Holder</t>
  </si>
  <si>
    <t>DIY Felt Christmas Tree Felt Pendant Christmas Tree Home Wall Hanging Decorations Decor for Kids Xmas Gifts</t>
  </si>
  <si>
    <t>Mini Mirror Bluetooth Acoustic Alarm Clock LED Wireless Portable Music Player Alarm Clock Home Bedside Office Desktop Supplies</t>
  </si>
  <si>
    <t>Cotton Wall Tapestry Woven Macrame Boho Plant Hanger Holder Tapestry Wall Hanging Art Home Storage Decor</t>
  </si>
  <si>
    <t>Cartoon Animal Shape Timer Multifunction Study Time Management Kitchen Cooking Countdown Mechanical Timer Reminder</t>
  </si>
  <si>
    <t>3D Metal Wind Spinner Stainless Steel Rotating Metal Chimes Animal Pattern Stereo Wind Chime Rotary Pendant For Home Decoration</t>
  </si>
  <si>
    <t>5/10PCS Christmas Cotton Fabric Patchwork Fat Quarter Bundle DIY Sewing Crafts For Cloth Making &amp; Mending Mask DIY</t>
  </si>
  <si>
    <t>Cartoon Canvas Painting HD Wall Hanging Picture Children's Room Decoration Frameless Cartoon Animal Pictures</t>
  </si>
  <si>
    <t>Vosniga 2 Tiers Kitchen Storage Organizer Spice Rack Herb Jars Stand Sauce Bottle Rack Holder</t>
  </si>
  <si>
    <t>Wall-mounted Storage Shelf Punch-free Wrought Iron Living Room Kitchen Floating Rack Home Office Decor</t>
  </si>
  <si>
    <t>2/3 Tiers Microwave Oven Rack Kitchen Storage Shelf Space Saving Cupboard Rack Storage Cabinet</t>
  </si>
  <si>
    <t>Expandable Wall Hanging Rack Punch-free Stainless Steel Bathroom Bath Towel Rack Space Saving Storage Shelf</t>
  </si>
  <si>
    <t>360 ° Rotating Jewelry Box 4 Layers Rotating Storage Box Organizer with Cover and Mirror Jewelry Box Stud Earring Jewelry Storage Box</t>
  </si>
  <si>
    <t>Kitchen Dish Rack Sink Dish Drying Drain Shelf Tableware Cup Bowl Storage Tray Holder Organizer</t>
  </si>
  <si>
    <t>2021 Desktop Calendar Flower Colorful Daily Schedule Planner Double Coil Calendar Desktop Decorations 18 Sheets</t>
  </si>
  <si>
    <t>Woven Wall Hanging Dream Catcher Star And Moon Tapestry Handmade Wall Art Decor Ornament for Bedroom  Living Room</t>
  </si>
  <si>
    <t>A5 Agenda 2021 planner Notebook Jan-Dec English Language 164 Sheet PU Leather Soft Cover School Planner Business Schedule Journal</t>
  </si>
  <si>
    <t>2021 Wall Calendar Weekly Monthly Planner Agenda Organizer Home Office Desktop Ornament for Schedule Daily Record</t>
  </si>
  <si>
    <t>8pcs 3D Hexagon Felt Board Self Adhesive Wall Bulletin Boards Message Photo Wall Background Creative Ornament Accessories</t>
  </si>
  <si>
    <t>65/85cm Dish Drain Rack Kitchen Sink Dish Drying Shelf Tableware Cup Bowl Storage Tray Holder Organizer</t>
  </si>
  <si>
    <t>1/2/3 Layers Cosmetic Storage Box Jewelry Holder Makeup Drawer Case Desktop Organizer Container</t>
  </si>
  <si>
    <t>Double Layers Drawer Tissue Box No punching and Waterproof Bathroom Storage Organizer Household Office Desktop Supplies</t>
  </si>
  <si>
    <t>Kids Wooden Geometric Toys Shape Color Cognition Hand Eye Coordination Training Early Educational Puzzle Toys</t>
  </si>
  <si>
    <t>Geometric Wall Hanging Tealight Candle Holder Metal Retro Wall Candle Sconce Home Wall Decorations Decor for Living Room Wedding</t>
  </si>
  <si>
    <t>4pcs Canvas Print Painting Wall Decor Four Seasons and Trees Wall Hanging Decorative Art Pictures Frameless for Home Office</t>
  </si>
  <si>
    <t>3D Wooden Geometric Blocks Geometric Shapes Puzzle Kids Brain Development Early Educational Toys for Childrens GIfts</t>
  </si>
  <si>
    <t>Wooden Geometric Blocks 3D Geometric Shapes Puzzle Kids Brain Development Early Educational Toys for Childrens GIfts</t>
  </si>
  <si>
    <t>30*30*3 cm Sunflower Wall Art Painting Living Room Bedroom Hanging Canvas Pictures Office Mural Decoration Supplies</t>
  </si>
  <si>
    <t>Crystal Incense Burner Plating Metal Polishing Incense Burner Traditional For Home Office Desktop Decorative Ornaments</t>
  </si>
  <si>
    <t>A5 Schedule Book Business Notebook 2020 Handbook Schedule Work Diary Paper Notebooks</t>
  </si>
  <si>
    <t>SIMAX3D® Yellow/Blue/Brown/Black Silicone Protective Case for 3D Printer Heating Block Hotend</t>
  </si>
  <si>
    <t>36/48/72 Holes Canvas Pencil Bag Holder Pen Makeup Brush Case Pouch Pocket Pencil Curtain</t>
  </si>
  <si>
    <t>2020 schedule book 365 days daily schedule calendar notepad work log notebook</t>
  </si>
  <si>
    <t>BIGTREETECH® 0.2mm/0.4mm/0.6mm/0.8mm Hardened Steel Nozzle For 1.75mm Filament J-Head Hotend Extruder 3D Printer Part</t>
  </si>
  <si>
    <t>PD Charger for CHUWI MiniBook Tablet</t>
  </si>
  <si>
    <t>Cartoon Mouse Year Zodiac Sign Red Envelope Embossed Frosted Bronzing Paper Envelopes Lucky Money</t>
  </si>
  <si>
    <t>A3/A4/A5 Magic Luminous 3D Drawing Board Fluorescent Developing Toy Graffiti Doodle Drawing Board Kids Gifts</t>
  </si>
  <si>
    <t>Creative Bookmark England Soldier Bigfoot Bookmark Stationery Cartoon Student Supplies</t>
  </si>
  <si>
    <t>Decompression Artifact Toy Stress Relief Spinning Top Children's Favorite Birthday Present Holiday Gift Adults Spinning Supplies</t>
  </si>
  <si>
    <t>3D Cherry Blossom Greeting Card DIY Handmade 3D Stereo Laser Paper Carving Greeting Card Birthday Gift Confession Greeting Card</t>
  </si>
  <si>
    <t>CIDY 1Roll 9/12/18/24mm 3D Embossing PVC Label Tape Compatible Epson/KingJim Label Cassette Business Office Printer Supplies</t>
  </si>
  <si>
    <t>Vintage Moon Series Wood Seal DIY Craft Wooden Rubber Stamps For Scrapbooking Stationery Scrapbooking Standard Stamp</t>
  </si>
  <si>
    <t>Piston Water Brush Funtain Like Water Ink Absorbing Pen Calligraphy Pen Paint Brush Drawing Art Supplies</t>
  </si>
  <si>
    <t>3D DIY Wall Sticker Self-adhesive Simulation Tile Brick Waterproof Removable Wall Decal Home Office Living Room Bedroom Wall Decor</t>
  </si>
  <si>
    <t>TWO TREES® 1.2M US/EU/UK/AU Standard Power Cord  with CE Certification Power Supply Connector for all Desktop 3D Printers</t>
  </si>
  <si>
    <t>Gray Chic Wall Photo Background Fireplace Winter Christmas Tree Candle Gift Kid Toy Floor Party Photo Backdrop</t>
  </si>
  <si>
    <t>2020 Year Planner Notebook Notepad 365 Days Diary Organizer Journal Agenda Executive Office School Supplies Stationery11</t>
  </si>
  <si>
    <t>DIY Wall Sticker Self-adhesive PVC Waterproof Removable Wall Decal Home Office Living Room Bedroom Wall Decor</t>
  </si>
  <si>
    <t>24Pcs Simulation Color Retro Tiles Stickers Home Decoration Self-adhesive Waterproof DIY Wall Stickers Floor Stickers</t>
  </si>
  <si>
    <t>Kitchen Storage Rack Under Sink Shelf Books Stand Desktop Space Saving Organizer Holder</t>
  </si>
  <si>
    <t>Maries C6143 Plastic Rubber Eraser Soft Tearable No Scraps Rubber Professional Sketch Drawing Eraser School Office Supplies</t>
  </si>
  <si>
    <t>1pc Creative Storage Box Vanzlife Building Block Shapes Plastic Saving Space Box Superimposed Desktop Handy Office House Keeping Desktop Organizer</t>
  </si>
  <si>
    <t>DIY Wooden Computer Monitor Stand Holder Computer Riser Desk Organizer Stand Base with Storage Organizer Drawers</t>
  </si>
  <si>
    <t>Wall Bracket Shelf Rack Retro Diaphragm Support Bracket For Bookshelf</t>
  </si>
  <si>
    <t>1pc 2021 English Version Desk Calendar Wall Calendar Year Planner Daily Plan for Business Office School Home Decor</t>
  </si>
  <si>
    <t>Nyoni N3031 14pcs/set Sketching Pencil Beginner Student Professional Full Set Drawing Pencils Art Stationery for School Outdoor Painting</t>
  </si>
  <si>
    <t>AULA S602 Wired Gaming Headset Bass Stereo Earphones RGB Light Game Headphones Noise Cancelling with Mic for Desktop Computer PC</t>
  </si>
  <si>
    <t>Maries C6145 Plastic Rubber Eraser Soft Tearable No Scraps Rubber Professional Drawing Sketch Highlight Eraser</t>
  </si>
  <si>
    <t>Tenwin MS8305 Electric Eraser Power-saving Automatic Rotating Electric Eraser Sketching Drawing Eraser Stationery Painting Supplies</t>
  </si>
  <si>
    <t>1pc Water Drop Hand-Twisted Gyro Stainless Steel Sandblasting Version Desktop Spinner Spinning Tops Toys Anti-stress for Adult</t>
  </si>
  <si>
    <t>5Pcs Red Falling Leaves Canvas Painting Autumn Tree Wall Decorative Print Art Pictures Unframed Wall Hanging Home Office Decorations</t>
  </si>
  <si>
    <t>Green Branches And Butterfly Pattern Self-adhesive Bedroom Living Room Sticker Wall Art Home Decor</t>
  </si>
  <si>
    <t>ZW106 Creative Wall Stickers Folding Version Of The New Hand-Painted Blue Gradient Forest Plants Living Room Background Wall Decoration</t>
  </si>
  <si>
    <t>Creative Large Capacity Pencil Case Portable Cosmetic Case Waterproof Wash Bag School Students Supplies Stationery</t>
  </si>
  <si>
    <t>Newmebox Cartoon Creative Large Capacity Stationery Box Mechanical Combination Lock Pencil Case Chinese Style Culture Stationery Supplies</t>
  </si>
  <si>
    <t>120Pcs Mechanical Keyboard Switch Sticker Film Shaft Gasket Sticker PORON EVA IXPE Material Shaft Underpad Hot Plug</t>
  </si>
  <si>
    <t>ORICO 2.5'' HDD Enclosure SATA to USB3.0 External Hard Drive Case 5Gbps / 6Gbps Type-C HDD Case With DIY Sticker</t>
  </si>
  <si>
    <t>UGREEN Magnetic Charging Tablet Stylus Pen for iPad Pro Air Mini 2022 Wireless bluetooth Palm Rejection Tilt Pen</t>
  </si>
  <si>
    <t xml:space="preserve">1Pcs Vintage Cake Shape Greeting Cards Birthday Gift Decoration Card </t>
  </si>
  <si>
    <t>3 Tiers Iron Bathroom Space Saving Storage Shelf Towel Clothes Storage Rack Bookshelf Organizer</t>
  </si>
  <si>
    <t>Monde Selection DX001 Portable UV Disinfection Lamp Chargable Household Desk Ultraviolet Deodorization Sterilization Lamp</t>
  </si>
  <si>
    <t>KINGROON DIY handmade model material mini electric sander model Cleaning Drill 3d printing model sanding tools</t>
  </si>
  <si>
    <t>10/30/70 PCS Kailh Box Summer Switch IP54 Waterproof and Dustproof Clicky Feel for Mechanical Keyboard</t>
  </si>
  <si>
    <t>Steam Deck Docking Station TV Base Stand 7 in 1 Hub Aluminum Alloy Holder Dock 60Hz HDMI-compatible USB-C For Steam Deck Console</t>
  </si>
  <si>
    <t>3D Printer Accessories T8 Z-axis Screw Hot Bed Coupling Coupler For Ender 3</t>
  </si>
  <si>
    <t>Puzzle Board with Cover， Large Tilted 1500 Pieces Jigsaw Puzzle Table，ENGRTALENT 35”x 26” Portable Puzzle Table with Drawers with Colorful Puzzle Sorting Trays， Guidelines， Felt Board and Handle.</t>
  </si>
  <si>
    <t>CuberShop GAN 12 MagLev UV Coated， GAN 12 M MagLev 2021 Flagship 3x3 Magnetic Speed Cube Stickerless， GAN 12 M Pro 3x3 (GAN12 MagLev UV Speed Cube， UV Coated Glossy &amp; Primary Internal)</t>
  </si>
  <si>
    <t>GAN Robot， Cube Solving Machine Automatic Puzzle Scrambler &amp; Solver， Compatible with GAN 356i2 i3 iplay iCarry Speed Cubes(Cube is not Included) &amp; with The Newest Version APP</t>
  </si>
  <si>
    <t>SHARGE USB C Charger by SHARGEEK， Retro 67 GaN Charger with Digital Rain Power Display， 67W Foldable Fast Wall Charger for iPhone 14/Pro/Pro Max/13， iPad， MacBook， Galaxy， Google Pixel Gifts Idea</t>
  </si>
  <si>
    <t>Office Seven Color Lamp Desktop Anion Air Purifier With bluetooth Player</t>
  </si>
  <si>
    <t>3 Tiers Metal Iron Bathroom Space Saving Storage Shelf Towel Clothes Storage Rack Bookshelf Organizer</t>
  </si>
  <si>
    <t>Dustproof Transparent Acrylic Earrings Jewelry Storage Box Desktop Display Stand Rack Tray Organizer</t>
  </si>
  <si>
    <t>N-ONE NPad Pro 10.4 Inch Tablet Tri Fold Case Cover Holster + Tempered Glass Film Screen Protector Set</t>
  </si>
  <si>
    <t>Jura GIGA 10 Diamond Black</t>
  </si>
  <si>
    <t>Jura S8 Superautomatic Touchscreen Espresso Machine with Milk Container， Bean Canister， Filter， Descaler &amp; Espresso Cups Bundle (7 Items)， 85 Milliliters</t>
  </si>
  <si>
    <t>Jura S8 Automatic Coffee Machine Set with Smart Water Filter， Milk System Cleaner and Milk Container</t>
  </si>
  <si>
    <t>ACME FURNITURE Saul Sectional Sofa with Power Recliners， Espresso Leather-Aire</t>
  </si>
  <si>
    <t>ACME Anondale Sofa - 15030 - Espresso Top Grain Leather Match</t>
  </si>
  <si>
    <t>Acme Furniture Upholstered Sofas， Champagne</t>
  </si>
  <si>
    <t>HONBAY Oversized Sectional Sofa with Wide Chaise Reversible Sectional Modular Sofa Couch with Ottomans U Shaped Corner Sectional with Storage for Living Room， Office， Spacious Space， Bluish Grey</t>
  </si>
  <si>
    <t>POLY &amp; BARK Essex Leather Couch – 89-Inch Leather Sofa with Tufted Back - Full Grain Leather Couch with Feather-Down Topper On Seating Surfaces – Vintage Pure-Aniline Italian Leather – Cognac Tan</t>
  </si>
  <si>
    <t>HONBAY Reversible Sectional Modular Sofa Couch with Ottoman U Shaped Sectional Sleeper Sofa with Storage Oversized Sectional Sofa with Wide Chaise for Living Room， Grey</t>
  </si>
  <si>
    <t>Jura E6 Automatic， Affordable Espresso Machine with Programmable Coffee Strength Bundle with Smart Filter Cartridge， Cleaning Tablets (6 Count)， and East Coast Blend Whole Bean Coffee 1 Lb (4 Items)</t>
  </si>
  <si>
    <t>ACME Dresden Cherry Oak Dining Table with Double Pedestals</t>
  </si>
  <si>
    <t>ACME Furniture King Bed， PU and Vintage Oak</t>
  </si>
  <si>
    <t>ACME Dresden Dining Table with Trestle Pedestal - - Gold Patina &amp; Bone</t>
  </si>
  <si>
    <t>QHITTY 3 Piece Living Room Set， Sectional Chesterfield Sofa Chair Contemporary Upholstered Leather Loveseat Couch Sets for Living Room， Bedroom， Office</t>
  </si>
  <si>
    <t>HONBAY Reversible Sectional Sofa Modern Modular Sectional Couch with Chaise L Shaped Corner Sofa with Storage， Grey</t>
  </si>
  <si>
    <t>Jura-Capresso Metropolitan Black ENA 4 Full</t>
  </si>
  <si>
    <t>kevinplus 90’’ Sectional Sofa Couch L-Shape for Living Room， Modern Modular Corner Sectional Sofa Couch 5 Seats for Apartment Office Studio， Wooden Legs， Beige</t>
  </si>
  <si>
    <t>Amazon Brand – Rivet Aiden Mid-Century Modern Velvet Reversible Sectional Sofa (86) - Hunter Green</t>
  </si>
  <si>
    <t>Christopher Knight Home Saragus Sofas， Charcoal + Dark Brown</t>
  </si>
  <si>
    <t>Amazon Brand – Rivet Alonzo Contemporary Living Room Accent Chair， 39W，Wood， foam， fabric， metal， Light Grey</t>
  </si>
  <si>
    <t>Breville RM-BES870XL Barista Express Espresso Machine，15 Ounces Brushed Stainless Steel (Renewed)</t>
  </si>
  <si>
    <t>linor Modern U Shaped Convertible Sofa Couch，118’’ Modular Sectional Sofa with Tufted Back Cushion， 6 Seat Oversized Sectionals Sofa Couch with Ottomans for Living Room (Linen，Beige)</t>
  </si>
  <si>
    <t>HONBAY Faux Leather Sectional Sofa Couch Reversible L Shaped Couch Sofa 4 Seat Sofa Sectional Couch for Small Apartment</t>
  </si>
  <si>
    <t>Breville Infuser Espresso Machine，61 ounces， Brushed Stainless Steel， BES840XL</t>
  </si>
  <si>
    <t>CHITA Mid-Century Modern Sofa， Fabric Couch for Living Room with Solid Wood Leg， No-Tools Assembly， 72.8’’W， Ivory</t>
  </si>
  <si>
    <t>Christopher Knight Home Bridget 3-Seater Sofa， Traditional， Modern， Beige， Dark Brown</t>
  </si>
  <si>
    <t>PaPaJet Sleeper Sofa Couch A， 2 in 1 Sofa Bed with Storage Chaise-Pull Out Couch Bed for Living Room， Sleeper Couch with Pull Out Bed Gray</t>
  </si>
  <si>
    <t>Breville Polyscience HydroPro Sous Vide Immersion Circulator， 1450 Watt， Stainless， CSV700PSS1BUC1</t>
  </si>
  <si>
    <t>Breville Commercial Juice Fountain XL Pro， Brushed Stainless Steel， CJE830BSS1BNA1</t>
  </si>
  <si>
    <t>VINGLI U Shaped Sectional Sofa，114 Large Sectional Sofa Couch for Living Room，Linen Sectional Sofa with Double Lounge Chaise，Navy Blue</t>
  </si>
  <si>
    <t>Lilola Home Linen Reversible Sleeper Sectional Sofa with Storage Chaise， Dark Gray</t>
  </si>
  <si>
    <t>Mellow HANA Modern Linen Fabric Sofa Couch with Armrest Pockets， Dark Heather Grey</t>
  </si>
  <si>
    <t>DTF L1800 Transfer Printer with Roll Feeder， Direct to Film Print Preheating A3 DTF Printer for DIY Print T-Shirts， Hoodie， Fabrics (A3 DTF Printer + Oven)</t>
  </si>
  <si>
    <t>HP MicroServer Gen10 Plus Tower Server for Business， Intel Xeon E-2224 3.4GHz， 32GB RAM， 8TB Storage， RAID， Windows Server 2016</t>
  </si>
  <si>
    <t>Dell XPS 17 9710， 17 inch FHD+ Laptop - Intel Core i7-11800H，16GB DDR4 RAM， 1TB SSD， NVIDIA GeForce RTX 3050 4GB GDDR6， Windows 11Home + 1Year Premium Support- Platinum Silver</t>
  </si>
  <si>
    <t>Dell XPS 13 9310 Laptop - 13.4-inch OLED 3.5K (3456x2160) Touchscreen Display， Intel Core i7-1195G7， 16GB LPDDR4x RAM， 512G SSD， Iris Xe Graphics， 1-Year Premium Support， Windows 11 Home - White</t>
  </si>
  <si>
    <t>Dell XPS 13 9310 Touchscreen Laptop - 13.4-inch UHD+ Display， Thin and Light， Intel Core i7-1195G7， 16GB LPDDR4x RAM， 512GB SSD， Intel Iris Xe， Killer Wi-Fi 6 + Service， Windows 11 Home – Silver</t>
  </si>
  <si>
    <t>HP Envy 17T 2022 Laptop， i7-1195G7 11th gen， 32GB RAM， 1 TB NVMe SSD， 17.3 FHD Touch， Thunderbolt 4， Win 11 PRO， WiFi 6， B&amp;O Audio， USB-A， Intel Xe Graphics， Silver， 64GB Tech Warehouse Flashdrive</t>
  </si>
  <si>
    <t>Phoenix Contact 2902879 DIN Rail Power Supply Redundancy Module Quint-ORING 24DC/2X40/1X80， Input: 24 V DC/2x 40 A， Output: 24 V DC/1 x 80 A</t>
  </si>
  <si>
    <t>2021 Apple 12.9-inch iPad Pro (Wi‑Fi + Cellular， 512GB) - Space Gray (Renewed)</t>
  </si>
  <si>
    <t>Dell Inspiron 14 5420 14 inch Student Laptop - 2.2K Display， Intel Core i7-1255U， 16GB DDR4 RAM， 512GB SSD， NVIDIA GeForce MX570， HDMI， USB-C， Bluetooth， Wi-Fi 6， Windows 11 Pro - Silver</t>
  </si>
  <si>
    <t>Lenovo ThinkPad T14 Gen 2 20W0001NUS 14 Notebook - Full HD - 1920 x 1080 - Intel Core i7 11th Gen i7-1165G7 Quad-core (4 Core) 2.80 GHz - 16 GB RAM - 512 GB SSD - Black</t>
  </si>
  <si>
    <t>Lenovo ThinkPad T14 Gen 2 14 FHD (Intel 4-Core i5-1135G7， 16GB RAM， 512GB SSD， UHD Graphics) IPS Business Laptop， Backlit， Fingerprint， 2 x Thunderbolt 4， Webcam， 3-Year Warranty， Windows 11 Pro</t>
  </si>
  <si>
    <t>Acer Aspire 5 15.6 FHD Notebook Laptop， Intel Core i7-1165G7 Processor， 32GB RAM， 1TB PCIe SSD + 1TB HDD， Webcam， Backlit Keyboard， Fingerprint Reader， Wi-Fi 6， Windows 11 Home， Black</t>
  </si>
  <si>
    <t>Ergotron StyleView Sit-Stand Vertical Lift Patient Room for 24 LCD Display/Keyboard/Mouse/Bar Code Scanner - White</t>
  </si>
  <si>
    <t>RYZEN 5 5600G PC- POWERFUL CUSTOMIZED GAMING DESKTOP WITH RGB!</t>
  </si>
  <si>
    <t>Lenovo IdeaPad 5 15.6 Laptop AMD Ryzen 7-5700U 16GB RAM 512GB SSD Graphite Grey - AMD Ryzen 7 5700U Octa-core - Windows 11 OS - Integrated AMD Radeon Graphics - LED Backlight Technology - Up to</t>
  </si>
  <si>
    <t>Dell Inspiron 15 3520 Laptop - 15.6-inch FHD (1920x1080) 120Hz Display， Core i5-1235U Processor， 16GB DDR4 RAM， 512GB SSD， WiFi 6， Iris Xe Graphics， Win 11 Home - Carbon Black</t>
  </si>
  <si>
    <t>Acer Nitro 5 AN515-57-79TD Gaming Laptop | Intel Core i7-11800H | NVIDIA GeForce RTX 3050 Ti Laptop GPU | 15.6 FHD 144Hz IPS Display | 8GB DDR4 | 512GB NVMe SSD | Killer Wi-Fi 6 | Backlit Keyboard</t>
  </si>
  <si>
    <t>2021 Apple 11-inch iPad Pro (Wi‑Fi， 128GB) - Silver (Renewed)</t>
  </si>
  <si>
    <t>Lenovo Legion 5 15.6， Ryzen 5 5600H， GeForce RTX 3050 Ti， 8GB RAM， 512GB SSD， Phantom Blue， Windows 11 Home， 82JW00Q7US</t>
  </si>
  <si>
    <t>TPO RV Rubber Roof Kit 45 mil | 9’6 Wide x 10’-40’ Long RV (Camper) Roof Repair (40 Foot)</t>
  </si>
  <si>
    <t>2021 Newest Dell Inspiron 15 3000 Business Laptop， 15.6 Full HD Touchscreen， Intel Core i5-1035G1， 16GB DDR4 RAM， 1TBGB PCIE SSD， Online Meeting Ready，Webcam， Wi-Fi， HDMI， Windows 10 Pro， Black</t>
  </si>
  <si>
    <t>Apple iPad Pro (128GB， Wi-Fi， Space Gray) 12.9in Tablet (Renewed)</t>
  </si>
  <si>
    <t>APC 1000VA Smart UPS with SmartConnect &amp; UPS 1500VA Sine Wave UPS Battery Backup， BR1500MS2 Backup Battery Power Supply， AVR， 10 Outlets， (2) USB Charger Ports</t>
  </si>
  <si>
    <t>Lenovo 15 Touchscreen Business Laptop， 15.6 Full HD Touch Screen， Intel Quad-Core i5-1135G7， 8GB RAM， 512GB SSD， Backlit Keyboard， WiFi 6， Windows 11， YSC Accesory， Abyss Blue</t>
  </si>
  <si>
    <t>HP 17.3-inch Laptop， 11th Generation Intel Core i5-1135G7， Intel Iris Xe Graphics， 8 GB RAM， 512 GB SSD， Windows 11 Home (17.3-cn0026nr，Natural Silver)</t>
  </si>
  <si>
    <t>Dell Inspiron 3000 Business Laptop， 15.6 HD Display， Intel Pentium Silver N5030 Processor， Windows 11 Pro， 16GB RAM， 1TB HDD， HDMI， Webcam， WiFi， Bluetooth， SD-Card Slot， Carbon Black， B</t>
  </si>
  <si>
    <t>CyberPower PR1500LCD Smart App Sinewave UPS System， 1500VA/1500W， 8 Outlets， AVR， Mini-Tower</t>
  </si>
  <si>
    <t>Concrete Foundation Crack Repair Kit - Ultra-Low Viscosity Polyurethane - FLEXKIT-1150-60</t>
  </si>
  <si>
    <t>Dell UltraSharp U2723QE 27 4K UHD WLED LCD Monitor - 16:9 - Black， Silver</t>
  </si>
  <si>
    <t>AGOTENI Large Kitchen Hutch Cabinet， Storage Cupboard Pantry with 3 Metal Doors， 3 Drawers &amp; Microwave Shelf， for Kitchen Open Storage， Rustic Brown (59 W x 15.7 D x 68.5 H)</t>
  </si>
  <si>
    <t>Apple 2022 iPad Air (10.9-inch， Wi-Fi， 64GB) - Blue (5th Generation)</t>
  </si>
  <si>
    <t>ICY DOCK 12 x M.2 SATA SSD Mobile Rack Enclosure for 5.25 Bay (2 x OCuLink) | ToughArmor MB872MP-B</t>
  </si>
  <si>
    <t>Dell 2022 Newest Inspiron 15 3511 Laptop， 15.6 FHD Touchscreen， Intel Core i5-1035G1， 16GB RAM， 512GB PCIe NVMe M.2 SSD， SD Card Reader， Webcam， HDMI， WiFi， Windows 11 Home， Black</t>
  </si>
  <si>
    <t>ScanSnap iX1600 Wireless or USB High-Speed Cloud Enabled Document， Photo &amp; Receipt Scanner with Large Touchscreen and Auto Document Feeder for Mac or PC， Black</t>
  </si>
  <si>
    <t>Sony 128GB UHS-II Tough G-Series SD Card Bundle (2-Pack) with Aluminum Type-C SD Card Reader Compatible with Up to 512GB Capacity Cards and Rugged Memory Storage Case (4 Items)</t>
  </si>
  <si>
    <t>HP 15 Notebook， 15.6 HD Screen， Intel Core i3-1115G4， 12GB DDR4 RAM， 256GB PCIe SSD， Webcam， HDMI， SD Card Reader， Wi-Fi， Windows 11 Home， Natural Silver</t>
  </si>
  <si>
    <t>Apple 10.5in iPad Pro 256GB， Wi-Fi， Space Gray MPDY2LL/A (Renewed)</t>
  </si>
  <si>
    <t>Dell Latitude 5590 Business Laptop | 15.6in HD Screen | Intel Quad Core 8th Gen i7-8650U | 16GB DDR4 RAM | 512GB SSD | Windows 10 Professional (Renewed)</t>
  </si>
  <si>
    <t>Apple iPhone 14 Plus， 128GB， Blue - Unlocked (Renewed)</t>
  </si>
  <si>
    <t>Apple iPhone 12 Pro Max， 128GB， Pacific Blue - Unlocked (Renewed Premium)</t>
  </si>
  <si>
    <t>Google Pixel 6a - 5G Android Phone - Unlocked Smartphone with 12 Megapixel Camera and 24-Hour Battery - Sage</t>
  </si>
  <si>
    <t>Apple iPhone 12 Mini 5G， US Version， 128GB， Blue - Unlocked (Renewed)</t>
  </si>
  <si>
    <t>Samsung Galaxy Note 20 5G N981U 128GB AT&amp;T Unlocked Mystic Bronze (Renewed)</t>
  </si>
  <si>
    <t>Samsung Galaxy S20 FE 5G， 128GB， Cloud Mint - Single SIM - Unlocked (Renewed)</t>
  </si>
  <si>
    <t>Omega Speedmaster Moonwatch Chronograph Steel Men’s Watch 310.30.42.50.01.002</t>
  </si>
  <si>
    <t>Omega Speedmaster Mark II Automatic Chronograph Men’s Watch 327.10.43.50.01.001</t>
  </si>
  <si>
    <t>Omega Speedmaster Chronograph Hand Wind Black Dial Men’s Watch 310.30.42.50.01.001</t>
  </si>
  <si>
    <t>Omega Speedmaster Broad Arrow Men’s Watch 321.10.42.50.01.001</t>
  </si>
  <si>
    <t>Omega Speedmaster Moonwatch Co-Axial Chronograph</t>
  </si>
  <si>
    <t>Omega Men’s 326.30.40.50.11.001 Speed Master Racing Analog Display Swiss Automatic Silver Watch</t>
  </si>
  <si>
    <t>Omega Speedmaster Racing Grey Dial Black Rubber Mens Watch 32632405006001</t>
  </si>
  <si>
    <t>Omega Speedmaster Racing 326.30.40.50.02.001</t>
  </si>
  <si>
    <t>Hamilton American Classic Intra-Matic Mechanical Chronograph H Watch 40mm Case， White Dial， Black Leather Strap (Model: H38429710)</t>
  </si>
  <si>
    <t>Casio GMW-B5000TCC-1JR [G-Shock GMW-B5000 Series Special Model] Watch Japan Import Jan 2023 Model black/white</t>
  </si>
  <si>
    <t>Seiko Prospex PADI Reinterpretation 1965 Diver’s 200m Special Edition Sapphire Sports Blue Gradation Wave Dial Watch SPB071J1</t>
  </si>
  <si>
    <t>Luminox Auotmatic Sport Timer XS.0924 Mens Watch 42mm - Military Sport Watch in Silver/Blue 200m Water Resistant Sapphire Glass</t>
  </si>
  <si>
    <t>Movado Men’s Bold Verso White Ceramic Case and Link Bracelet， White (Model: 3600900)</t>
  </si>
  <si>
    <t>Khaki Field Murph Auto</t>
  </si>
  <si>
    <t>Hamilton Broadway Automatic Movement Grey Dial Men’s Watch H43515735</t>
  </si>
  <si>
    <t>Luminox Bear Grylls Survival XB.3762 Mens Watch 45mm - Pilot Watch in Silver/Black Date Function Second Time Zone 200m Water Resistant Sapphire Glass</t>
  </si>
  <si>
    <t>TSAR BOMBA Men’s Automatic Watch Tonneau Luxury Skeleton Watches for Men 50M Waterproof Analog Wrok Mens Watches Unique Cool Silver Square Big Face Wristwatch Silicone Strap</t>
  </si>
  <si>
    <t>Luminox Fitness Watch XS.3615</t>
  </si>
  <si>
    <t>Hamilton Men’s H70455733 Khaki Field Watch</t>
  </si>
  <si>
    <t>Luminox Pacific Diver Stainless Steel 44mm Mens Watch</t>
  </si>
  <si>
    <t>TAKA Jewellery Cresta 18K Diamond Ring (18K White Gold)</t>
  </si>
  <si>
    <t>SAMSUNG Galaxy Watch 5 Pro 45mm Bluetooth Smartwatch w/ Body， Health， Fitness and Sleep Tracker， Improved Battery， Sapphire Crystal Glass， GPS Route Tracking， Titanium Frame， US Version， Black</t>
  </si>
  <si>
    <t>SEIKO PROSPEX STBQ005 Diver Scuba Solar Men’s Watch</t>
  </si>
  <si>
    <t>SWAROVSKI Millenia Crystal Jewelry Earrings and Necklace Collection， Clear Crystals， Rhodium Tone Finish</t>
  </si>
  <si>
    <t>Luminox Navy Seal XS.3503.F Mens Watch 45mm - Military Dive Watch in Black/Blue Date Function 200m Water Resistant</t>
  </si>
  <si>
    <t>SEIKO SRPH75 Prospex Men’s Watch Silver-Tone 42.4mm Stainless Steel</t>
  </si>
  <si>
    <t>Luminox Mens Wrist Watch Scott Cassell Deep Dive Edition 45mm Black Case Blue Dial (XS.1553): 300 M Water Resistant + Crystal Sapphire + Divers Bezel</t>
  </si>
  <si>
    <t>Luminox G Sea Bass Mens Watch 44 mm - Military Watch Date Function 100m Water Resistant</t>
  </si>
  <si>
    <t>SEIKO SRPG18 Prospex Men’s Watch Brown 42.4mm Stainless Steel</t>
  </si>
  <si>
    <t>Swarovski Tennis Deluxe Jewelry Collection， Rhodium &amp; Rose Gold Tone Finish， Clear Crystals</t>
  </si>
  <si>
    <t>HUGO #LEAP Men’s Multifunction Stainless Steel and Link Bracelet Casual Watch， Color: Black (Model: 1530175)</t>
  </si>
  <si>
    <t>BOSS Men’s Quartz Watch with Stainless Steel Strap， Silver， Black， 22</t>
  </si>
  <si>
    <t>SAMSUNG Galaxy Watch 5 40mm Bluetooth Smartwatch w/Body， Health， Fitness and Sleep Tracker， Improved Battery， Sapphire Crystal Glass， Enhanced GPS Tracking， US Version， Gray</t>
  </si>
  <si>
    <t>Casio G-SHOCK Big Size series GD-X6900FB-7JF Mens [Japan Import]</t>
  </si>
  <si>
    <t>SEIKO SRPE75 5 Sports Men’s Watch Silver-Tone 42.5mm Stainless Steel</t>
  </si>
  <si>
    <t>TSAR BOMBA Hybrid Automatic GMT Mens Watch 200M Waterproof Japanese Self-Charging Movement Date Energy Storage - Combine The Best Features of Automatic and Quartz Technology</t>
  </si>
  <si>
    <t>Luminox Land Black OPS Carbon 8800 Men’s Grey Face Watch A.8802</t>
  </si>
  <si>
    <t>Timex Men’s Expedition Tide-Temp-Compass 45mm TW2V22300VQ Quartz Watch</t>
  </si>
  <si>
    <t>Timex Navi XL 41mm Automatic Red Brown</t>
  </si>
  <si>
    <t>SWAROVSKI Lucent Crystal Ring Jewelry Collection， Rhodium Tone Finish， Pink Crystals</t>
  </si>
  <si>
    <t>SWAROVSKI Orbita Ring， Octagon Cut Multicolored Crystal， Gold-tone Finish</t>
  </si>
  <si>
    <t>Swarovski Dulcis Cocktail Ring Jewelry Collection， Pink Crystals</t>
  </si>
  <si>
    <t>SWAROVSKI Crystal Rose Bouquet</t>
  </si>
  <si>
    <t>SWAROVSKI Star Wars - Death Star Ornament Clear One Size</t>
  </si>
  <si>
    <t>SWAROVSKI Matrix cocktail ring， Mixed cuts， Heart， White， Rhodium Finish</t>
  </si>
  <si>
    <t>Pagani Design Watches Men GMT Automatic Self-Winding Mechanical Analog Sapphire Sports Waterproof Luminous Wrist Watch</t>
  </si>
  <si>
    <t>OLEVS Automatic Watch(No Battery Required) Men’s Wrist Watches Self-Wind Mechanical Watches Fashion Classic Tourbillon Skeleton Watch Black Blue Green Face，Adjustable Bracelet (Gift Tool)</t>
  </si>
  <si>
    <t>Kendra Scott Elisa Pendant Necklace in 18K Gold Vermeil， Fine Jewelry for Women</t>
  </si>
  <si>
    <t>SWAROVSKI Eternal Flower Pendant Necklace</t>
  </si>
  <si>
    <t>Swarovski Joyful Ornaments Santa’s Reindeer Figurine， Multicolored Swarovski Crystals， Part of the Swarovski Joyful Ornaments Collection</t>
  </si>
  <si>
    <t>SWAROVSKI Curiosa Crystal Cocktail Ring Collection， Pink Crystals</t>
  </si>
  <si>
    <t>SWAROVSKI Constella Crystal Jewelry Collection， Rose Gold Tone Finish</t>
  </si>
  <si>
    <t>RollsTimi Pagani Design 2022 Men’s Watch Men’s Sapphire Automatic Watch Men’s NH35 100M Accessories Waterproof Bracelet Business Mechanical Watch…</t>
  </si>
  <si>
    <t>Smith &amp; Wesson Men’s Commander Watch， Tritium H3， 20ATM， Tactical Tough Military Watch， Titanium case， Bezel and Strap， 43mm， Stainless Steel Strap</t>
  </si>
  <si>
    <t>Swarovski Lovely Bracelet Jewelry Collection， Clear Crystals</t>
  </si>
  <si>
    <t>Swarovski Attract Ring Jewelry Collection， 2 Piece Ring Set， Rhodium Finish， Clear Crystals</t>
  </si>
  <si>
    <t>Swarovski Constella Crystal Ring Jewelry Collection， 2 Piece Set， Clear Crystals</t>
  </si>
  <si>
    <t>Swarovski Aila Day Double Tour Berry Stainless Steel Watch</t>
  </si>
  <si>
    <t>Swarovski Ortyx Triangle Cut Crystal Bracelet and Earrings Jewelry Collection</t>
  </si>
  <si>
    <t>TAKA Jewellery 999 Pure Gold Pendant Shell</t>
  </si>
  <si>
    <t>Belffin Convertible Sectional Sofa Fabric Couch with Chaise Reversible Corner Couch Furniture L-Shaped 4 Seater Sofas Bluish Grey</t>
  </si>
  <si>
    <t>Dolonm Modern Sofa Couch with Metal Legs Upholstered Tufted 3 Seater Couch with 2 Pillows Decor Furniture for Living Room， Bedroom， Office， 80 Inch Wide(Green-Teddy</t>
  </si>
  <si>
    <t>HONBAY Reversible Sectional Sofa Couch Modern Upholstered L Shaped Sofa with Cup Holders &amp; Storage Console， Left or Right Side Chaise Sectional Sofa for Living Room Office， Grey</t>
  </si>
  <si>
    <t>HONBAY Convertible Sectional Sofa with Ottoman Modern L Shape Sectional Couch Faux Leather Couch with Reversible Chaise， Black</t>
  </si>
  <si>
    <t>Edenbrook Archer Upholstered Couch – Couches for Living Room - Charcoal Upholstered Couch - Living Room Furniture - Small Couch - Seats Three - Straight Arm Modern Couch</t>
  </si>
  <si>
    <t>SILKIR 3-Person Sofa Couch for Living Room | Perfect for: Apartment/Studio/Office &amp; Small Space | Velvet Fabric | Fast and Easy Assembly Modern Contemporary Mid-Century， Aqua Turquoise</t>
  </si>
  <si>
    <t>NOSGA Large Sofa， Modern 3 Seater Couch Furniture， Three-seat Sofa Classic Tufted Chesterfield Settee Sofa Tufted Back for Living Room</t>
  </si>
  <si>
    <t>Devion Furniture Contemporary Reversible Sectional Sleeper Sectional Sofa with Storage Chaise in Dark Gray Fabric</t>
  </si>
  <si>
    <t>Lilola Home Lucca Light Gray Linen Reversible Sleeper Sectional Sofa with Storage Chaise</t>
  </si>
  <si>
    <t>Acme Vendome Sofa with 3 Pillows in Cherry PU</t>
  </si>
  <si>
    <t>Torpedo Ba</t>
  </si>
  <si>
    <t>Sublimage Essential Regenerating Mask 50g/1.7oz</t>
  </si>
  <si>
    <t>CHANEL - Le Lift Crème de Nuit 50 gr</t>
  </si>
  <si>
    <t>Chanel Sublimage Le Teint Ultimate Radiance-Generating Cream Foundation - # 40 Beige Women Foundation 1 oz</t>
  </si>
  <si>
    <t>sisley paris Hydra Global Serum Anti-Aging Hydration Booster for Unisex Serum， clear， 1 Fl Oz</t>
  </si>
  <si>
    <t>Sisley Unisex Adults Black Rose FLUIDO CONTORNO DE OJOS 14ML， None， Estándar</t>
  </si>
  <si>
    <t>Sisley Botanical Floral Toning Lotion Alcohol-Free， 8.4-Ounce Box</t>
  </si>
  <si>
    <t>7 Color LED Facial Skin Rejuvenation Equipment， LED Face Mask， LED Face Skin Light</t>
  </si>
  <si>
    <t>Colorescience Total Eye 3-in-1 Anti-Aging Renewal Therapy for Wrinkles &amp; Dark Circle</t>
  </si>
  <si>
    <t>sisley paris Radiance Foaming Cream Unisex Cream 4.2 oz 76594</t>
  </si>
  <si>
    <t>Eau Du Soir By Sisley For Women. Eau De Parfum Spray 1 OZ</t>
  </si>
  <si>
    <t>sisley paris Gentle Cleansing Gel with Tropical Resins， 4 Ounce</t>
  </si>
  <si>
    <t>PlayShifu Interactive Dinosaur Toys - Orboot Dinos (Globe + App) 50 Dinosaurs， 500+ Facts | Educational Dinosaur Toys for Kids 5-7 | 4 5 6 7 8 Year Old Birthday Gifts (Works with tabs/mobiles)</t>
  </si>
  <si>
    <t>IMAGE Skincare， VITAL C Hydrating Enzyme Masque， Brightening Facial Mask with Vitamin C and Hyaluronic Acid， 2 oz</t>
  </si>
  <si>
    <t>ALongDeng LED Floor Lamp， Dimmable LED Floor Lamps for Reading， Adjustable 3000K-6500K Colors &amp; 5 Brightness Levels Standing Lamp with Adjustable Gooseneck， Floor Lamp for Living Room， Bedroom， Office</t>
  </si>
  <si>
    <t>AO3 Beauty Face Serum for Women - Hydrating Serum for Face - Anti Aging Omega 3 Facial Serums for Skin Care - Plant Based Skin Care Serum for Dark Spots， Wrinkles and Dry Skin</t>
  </si>
  <si>
    <t>Schwinn Fitness Indoor Cycling Exercise Bike Series</t>
  </si>
  <si>
    <t>Alexia D371-E063 Meditation Seat (Fabric， Sand)</t>
  </si>
  <si>
    <t>Rawlings | PRO PREFERRED Baseball Glove | Multiple Styles</t>
  </si>
  <si>
    <t>Giro Empire SLX Men’s Road Cycling Shoes</t>
  </si>
  <si>
    <t>Fizik Vento Infinito Carbon 2 Cycling Shoe - Men’s White/Black， 46.0</t>
  </si>
  <si>
    <t>Rawlings Heart of the Hide Baseball Glove Series</t>
  </si>
  <si>
    <t>Giro Sector Mens Mountain Cycling Shoes</t>
  </si>
  <si>
    <t>ALL4JIG 1500PCS Portable Puzzle Table with Legs， Adjustable Jigsaw Puzzle Board with 4 Drawers &amp; Cover， 3-Tilting-Angle Jigsaw Puzzle Table for Adults</t>
  </si>
  <si>
    <t>1500 Piece Wooden Jigsaw Puzzle Table - 6 Drawers， Puzzle Board | 27” X 35” Jigsaw Puzzle Board Portable - Portable Puzzle Table | for Adults and Kids</t>
  </si>
  <si>
    <t>GAN 460 M Speed Cube， 4x4 Magnetic Master Cube Gans 460M Puzzle Toy(Stickerless)</t>
  </si>
  <si>
    <t>Calm Spirit Teapills Gan Mai Da Zao Wan (1000 Teapills)3383E-MAYWAY by Mayway</t>
  </si>
  <si>
    <t>SAMSUNG Galaxy Z Fold 3 5G Cell Phone， Factory Unlocked 2-in-1 Android Smartphone Tablet， 256GB， 120Hz， Foldable Dual Screen， Under Display Camera， US Version， Phantom Black</t>
  </si>
  <si>
    <t>Apple iPhone 14 Pro， 256GB， Deep Purple - Unlocked (Renewed)</t>
  </si>
  <si>
    <t>Dell Latitude 3540 15.6" Touchscreen FHD Business Laptop Computer, 13th Gen Intel 10-Core i5-1335U (Beat i7-1270P), 64GB DDR4 RAM, 4TB PCIe SSD, WiFi 6E, Bluetooth, Black, Windows 11 Pro</t>
  </si>
  <si>
    <t>Apple 2024 MacBook Air 15-inch Laptop with M3 chip: 15.3-inch Liquid Retina Display, 8GB Unified Memory, 256GB SSD Storage, Backlit Keyboard, 1080p FaceTime HD Camera, Touch ID; Starlight</t>
  </si>
  <si>
    <t>Apple 2024 MacBook Air 13-inch Laptop with M3 chip: 13.6-inch Liquid Retina Display, 8GB Unified Memory, 512GB SSD Storage, Backlit Keyboard, 1080p FaceTime HD Camera, Touch ID; Silver</t>
  </si>
  <si>
    <t>Apple 2024 MacBook Air 15-inch Laptop with M3 chip: 15.3-inch Liquid Retina Display, 8GB Unified Memory, 256GB SSD Storage, Backlit Keyboard, 1080p FaceTime HD Camera, Touch ID; Silver</t>
  </si>
  <si>
    <t>Apple 2023 MacBook Pro Laptop M3 chip with 8‑core CPU, 10‑core GPU: 14.2-inch Liquid Retina XDR Display, 8GB Unified Memory, 1TB SSD Storage. Works with iPhone/iPad; Space Gray</t>
  </si>
  <si>
    <t>Apple 2023 MacBook Pro Laptop M3 chip with 8‑core CPU, 10‑core GPU: 14.2-inch Liquid Retina XDR Display, 8GB Unified Memory, 1TB SSD Storage. Works with iPhone/iPad; Silver</t>
  </si>
  <si>
    <t>Dell Precision 7000 7760 Workstation Laptop (2021) | 17.3" 4K | Core Xeon W - 2TB SSD + 2TB SSD - 128GB RAM - RTX A3000 | 8 Cores @ 5 GHz - 11th Gen CPU - 6GB GDDR6 Win 11 Pro (Renewed)</t>
  </si>
  <si>
    <t>Luminox Men’s 0215.SL Sentry 0200 Black Dial With Red Markings Watch</t>
  </si>
  <si>
    <t>Ravensburger Space Odyssey 5000 Piece Jigsaw Puzzle for Adults - 16720 - Every Piece is Unique， Softclick Technology Means Pieces Fit Together Perfectly</t>
  </si>
  <si>
    <t>GAN 13 Maglev UV Coated， Magnetic Speed Cube 3x3 Stickerless 56mm Magnets Magic Cube Puzzle Toys， GAN 2022 Flagship</t>
  </si>
  <si>
    <t>Cuberspeed GAN 13 uv Coated MagLev Stickerless 3x3 Speed Cube Puzzle gan13 maglev uv Coated Flagship Puzzle</t>
  </si>
  <si>
    <t>CyclingDeal Bike Travel Case - 700c Bikes - Bicycle Air Flights Travel Hard Case Box Bag EVA Material Lightweight &amp; Durable with TSA Lock - Great for Road Bike -Transport Equipment Pro</t>
  </si>
  <si>
    <t>Bokefenuo GAN Megaminx M 3x3 Speed Cube Gan Pentagonal Magnetic Stickerless Magic Puzzle Cube Toy</t>
  </si>
  <si>
    <t>GAN 11M Pro 3x3 Speed Cube by BroMocube GAN 11 Magnetic Puzzle Cubes Gan11M Magic Cube (GAN 11 M Pro Frosted Stickerless(Black))</t>
  </si>
  <si>
    <t>Giro Aries Spherical Adult Road Bike Helmet</t>
  </si>
  <si>
    <t>LiangCuber GAN 13 Maglev Flagship Magnetic 3x3 Stickerless GAN13 M Speed Cube (Frosted Version)</t>
  </si>
  <si>
    <t>Puzzle Board with Drawers and Cover Mat-Jigsaw Puzzle Table with Non-Slip Surface Hold Up 1500 Pieces 35x27 Portable Puzzle Board for Adults &amp; Children for in-Progress Puzzle Storage</t>
  </si>
  <si>
    <t>Bukefuno GAN 12 Maglev 3x3 Magnetic Magic Cube GAN12Maglev Speed GAN 12Maglev Puzzle Magic Cubes GAN12 Maglev 3x3 Cube (Frosted Surface Stickerless)</t>
  </si>
  <si>
    <t>2022 HP 15.6 FHD Laptop Computer， 11th Gen Intel Core i5-1135G7(Beats Intel i7-1065G7)， 32GB RAM， 2TGB PCIe SSD， Intel Iris X Graphics， HD Webcam， HDMI， Bluetooth， Win10， Silver， 32GB USB Card</t>
  </si>
  <si>
    <t>GAN 460 M， Gan 4x4 Magnetic Speed Cube， gan 460 m 4 by 4 Stickerless Puzzle Toy for Kids and Adults</t>
  </si>
  <si>
    <t>GAN 13 Maglev Frosted Coated， Magnetic Speed Cube 3x3 Stickerless 56mm Magnets Magic Cube Puzzle Toys， GAN 2022 Flagship</t>
  </si>
  <si>
    <t>GAN Megaminx M， Pentagonal Magnetic Speed Cube， Stickerless</t>
  </si>
  <si>
    <t>Roxenda [15 Pack] Speed Cube Set - 2x2x2 3x3x3 4x4x4 2x2x3 X-Cube Six-Spot Cube Skew Axis Windmill Fisher Mirror 2x2-Megaminx 3x3-Megaminx Pyramid Ivy Cube Smooth Magic Cube Puzzles Collection</t>
  </si>
  <si>
    <t>Puzzle Table with Metal Legs and Cover - Jigsaw Puzzle Table 36” x 27” - 1500 Pieces Detachable Puzzle Board with Colorful Drawers - Puzzle Storage Sorting Trays</t>
  </si>
  <si>
    <t>FNNEMGE 300W Portable Power Station (350W Peak)， 266Wh Solar Outdoor Generator， 72000mAh 60W PD Power Bank with Dual 110V AC Outlets 12V/10A DC Out， Pure Sine Wave， Battery Power Supply for Camping</t>
  </si>
  <si>
    <t>Solo Stove Bonfire with Stand Portable Fire Pit Stainless Steel Fire Pits Wood Burning and Low Smoke Camping Stove | 19.5x14 Inches Outdoor Fire Pits</t>
  </si>
  <si>
    <t>Sidi Shoes Genius 10</t>
  </si>
  <si>
    <t>Alexia Meditation Seat Ergonimically Correct for The Human Physiology Zen Yoga Ergonomic Chair Foam Cushion Home or Office (Light Grey - Vegan Leather)</t>
  </si>
  <si>
    <t>ASSAULTFITNESS Assault AirBike Elite， Grey</t>
  </si>
  <si>
    <t>LIVACA Jelly Mask For Facials - Kiwi Fruit Face Mask for Instant Hydration - Jelly Face Mask Powder 23 Fl Oz - Facial Skin Care Product Peel Off for Smoothing， Moisturizing， Cleansing (Kiwi)</t>
  </si>
  <si>
    <t>Led Face Mask Light Therapy 7 Color Photon Light Maintenance Tender Skin and Brighten Skin Facial Care Mask for Face and Neck</t>
  </si>
  <si>
    <t>Bokefenuo GAN12 Maglev UV Speed Cube 3x3 Magnetic Stickerless GAN12 M MagLev UV Puzzle Magic 3x3x3 Toys fro Kids Cube UV Coated Glossy</t>
  </si>
  <si>
    <t>Women's Lounge Set</t>
  </si>
  <si>
    <t>Magnolia Boutique Women's Floral Print Sweetheart Top</t>
  </si>
  <si>
    <t>PACT Women's Organic Fit &amp; Flare Midi Dress</t>
  </si>
  <si>
    <t>Free People Milley Reversible Set</t>
  </si>
  <si>
    <t>Boden Women's Amelie Long Sleeve Dress</t>
  </si>
  <si>
    <t>Urban Move Men's Streetwear Designer Set</t>
  </si>
  <si>
    <t>Nike Men's Sportswear Club Fleece Pullover Hoodie</t>
  </si>
  <si>
    <t>The North Face Men's Junction Insulated Jacket</t>
  </si>
  <si>
    <t>Michael Kors Men's Hooded Bib Snorkel Parka</t>
  </si>
  <si>
    <t>Antec Flux Case</t>
  </si>
  <si>
    <t>Fractal Design North Case</t>
  </si>
  <si>
    <t>Case H5 Flow RGB White Midi ATX Hardware/Electronic</t>
  </si>
  <si>
    <t>VIVO Mobile PC Cart</t>
  </si>
  <si>
    <t>ProsourceFit Puzzle Exercise Mat</t>
  </si>
  <si>
    <t>Academy Sports + Outdoors Football Training Camp Kit</t>
  </si>
  <si>
    <t>Park &amp; Sun Spectrum 2000 Volleyball Net System</t>
  </si>
  <si>
    <t>Anne Klein Women's Quartz Crystal Bangle Bracelet Set</t>
  </si>
  <si>
    <t>Woman Swarovski Watch Octagon cut bracelet</t>
  </si>
  <si>
    <t>BREDA Jane Mesh Strap Watch</t>
  </si>
  <si>
    <t>Bulova Men's Sutton Watch 97D123</t>
  </si>
  <si>
    <t>Armani Exchange Women's Three-Hand Rose Gold-Tone Stainless Steel Watch and</t>
  </si>
  <si>
    <t>Jessica Carlyle Women's Heart-Link Bracelet Watch with Necklace &amp; Earrings Set</t>
  </si>
  <si>
    <t>Invicta Men's Grand Diver Automatic Multifunction Watch</t>
  </si>
  <si>
    <t>Ed Hardy Men's Faux Skeleton Dial Silicone Watch Set</t>
  </si>
  <si>
    <t>Lamicall Foldable Phone Stand</t>
  </si>
  <si>
    <t>Casely Clear Phone Ring</t>
  </si>
  <si>
    <t>Vitapro Phone Grip</t>
  </si>
  <si>
    <t>Frigidaire Built In Dishwasher</t>
  </si>
  <si>
    <t>GE 30 Built-In Combination Microwave Wall Oven</t>
  </si>
  <si>
    <t>Equator Tiny Home Ultra Compact Appliance Pack</t>
  </si>
  <si>
    <t>Dash Clear View Toaster</t>
  </si>
  <si>
    <t>Whirlpool 1.7 Cu. Ft Over the Range Microwave</t>
  </si>
  <si>
    <t>Custom Shampoo by Function of Beauty</t>
  </si>
  <si>
    <t>Jshealth Hair Formula Vitamins for Hair Growth and Energy and</t>
  </si>
  <si>
    <t>Mama Natural Hair Growth Supplements</t>
  </si>
  <si>
    <t>L'ange Hair Le Duo Airflow Styler</t>
  </si>
  <si>
    <t>Addition Studio Essential Hair Duo Gift Set</t>
  </si>
  <si>
    <t>Beauty Favourites Bundle 30s Hair + Energy</t>
  </si>
  <si>
    <t>Fable &amp; Mane Healthy Hair Oiling Ritual Gift Set</t>
  </si>
  <si>
    <t>Swisse Women's Hair Nutrition Capsules</t>
  </si>
  <si>
    <t>Cult Beauty Hair Category Kit (Worth over €105.00)</t>
  </si>
  <si>
    <t>CuberShop GAN 13 MagLev UV Coated， GAN 13 M 2022 3x3 Magnetic Speed Cube Flagship Stickerless， GAN 3x3 Speed Cube (GAN13 MagLev Speed Cube， UV Coated Glossy Surface &amp; Primary Internal)</t>
  </si>
  <si>
    <t>US Pride Furniture Yoga Collection Modern Faux Leather Curved Lounge Chaise for Stretching &amp; Relaxation， Ideal for Bedroom， Living， Meditation Room or Office， Regular， Dark Chocolate</t>
  </si>
  <si>
    <t>Lake MX241 Endurance Cycling Shoe - Men’s</t>
  </si>
  <si>
    <t>Igloo 54 Qt Steel Belted Legacy Stainless Steel Cooler with Bottle Opener</t>
  </si>
  <si>
    <t>Lenovo ThinkPad P17 Gen 2 Workstation Laptop (Intel i9-11950H vPro 8-Core, 64GB RAM, 2x2TB PCIe SSD RAID 0 (4TB), RTX A2000, 17.3" 60Hz Full HD (1920x1080), Win 11 Pro) with Dockztorm Hub</t>
  </si>
  <si>
    <t>Alexia D371-CU001 Meditation Seat (Vegan Leather， Dark Gray)</t>
  </si>
  <si>
    <t>YOGABODY Yoga Trapeze Stand， Indoor and Outdoor Use</t>
  </si>
  <si>
    <t>Vento Powerstrap R2 Aeroweave</t>
  </si>
  <si>
    <t>Alvantor Pop Up Bubble Tent - 6’ x 6’ Instant Igloo Tent - 2-3 Person Screen House for Patios - Large Oversize Weather Proof Pod - Cold Protection Camping Tent - Beige</t>
  </si>
  <si>
    <t>EF ECOFLOW Portable Power Station RIVER 2， 256Wh LiFePO4 Battery/ 1 Hour Fast Charging， 2 Up to 600W AC Outlets， Solar Generator (Solar Panel Optional) for Outdoor Camping/RVs/Home Use</t>
  </si>
  <si>
    <t>Lake CX241 Cycling Shoe - Men’s</t>
  </si>
  <si>
    <t>Oakley Men’s Flak 2.0 XL Matte Rectangular Sunglasses Polarized</t>
  </si>
  <si>
    <t>BTC Fashion Women's Pleated V-Neck Top</t>
  </si>
  <si>
    <t>DOROSE Women's Dressy Casual Lace Floral Long Sleeve Shirt</t>
  </si>
  <si>
    <t>Women's Flowy Lace Hem Crewneck Short Sleeve Top</t>
  </si>
  <si>
    <t>Donna Karan Women's Single-Button Jacket</t>
  </si>
  <si>
    <t>Donna Karan Women's Belted Wing-Collar Wool Coat</t>
  </si>
  <si>
    <t>Azaro Uomo Men's Business Geometric Long Sleeve Button Down Shirt</t>
  </si>
  <si>
    <t>Ward St Men's Regular Fit Dress Shirt</t>
  </si>
  <si>
    <t>Michael Kors Men's Classic Fit Wool Cashmere Blend Overcoat</t>
  </si>
  <si>
    <t>Hollister Men's Baggy Hoodie</t>
  </si>
  <si>
    <t>Logitech M196 Bluetooth Wireless Mouse</t>
  </si>
  <si>
    <t>be quiet! Light Base 600 LX Midi Tower Case</t>
  </si>
  <si>
    <t>Corsair 6500D Airflow Mid-Tower Dual Chamber PC Case</t>
  </si>
  <si>
    <t>Fractal Design HDD Drive Tray Kit FD-A-TRAY-001</t>
  </si>
  <si>
    <t>ORICO 9-in-1 USB C Docking Station</t>
  </si>
  <si>
    <t>Corsair K70 CORE RGB Mechanical Gaming Keyboard</t>
  </si>
  <si>
    <t>Hxsj Wired Gaming Keyboard and Mouse Combo</t>
  </si>
  <si>
    <t>Virtual Meshify 2 ATX Flexible Mid Light Tower</t>
  </si>
  <si>
    <t>semour Gesture Sensing RC Robot Toy for Kids Ages 5-7 | Programmable and Interactive | Perfect Christmas Birthday Gifts for Boys and Girls</t>
  </si>
  <si>
    <t>Anpcso Kids Toys for 2 3 4 5 6 7+ Year Old Boys Toddlers Classic Brick Set, Dinosaurs, Car, Figures, Build, Learn and Play, Educational Interactive</t>
  </si>
  <si>
    <t>AIBREAY Gyros 6 Pieces Pack Battling Tops Metal Fusion Starter Set</t>
  </si>
  <si>
    <t>Playbees Light Up Transparent Gear Airplane Toy</t>
  </si>
  <si>
    <t>Slickblue Portable Basketball Hoop System</t>
  </si>
  <si>
    <t>Gared Sports Outdoor Basketball System</t>
  </si>
  <si>
    <t>Sport Squad Portable Soccer Goal Net Set</t>
  </si>
  <si>
    <t>MADOG Sport Equipment Inflatable Boat</t>
  </si>
  <si>
    <t>Franklin Sports Soft Tip Target Toss</t>
  </si>
  <si>
    <t>Easton Speed USA Youth Baseball Bat</t>
  </si>
  <si>
    <t>Timex Women's Dress Crystal Watch &amp; Bracelet Gift Set</t>
  </si>
  <si>
    <t>Michael Kors Men's Runway Chronograph Stainless Steel Watch</t>
  </si>
  <si>
    <t>Woman Swarovski Dextera Bangle Watch</t>
  </si>
  <si>
    <t>Tanzanite Watch</t>
  </si>
  <si>
    <t>Montres Prestige x Invicta Men's Watch</t>
  </si>
  <si>
    <t>Takfox Phone Holster for Samsung Galaxy S23 Ultra S23 Plus S22 S21 S20 Note 20+</t>
  </si>
  <si>
    <t>Case-Mate Adjustable Crossbody Lanyard</t>
  </si>
  <si>
    <t>PopSockets PopGrip Enamel Dainty Cosmic</t>
  </si>
  <si>
    <t>Frienda 6 Pieces Plastic Disco Crystal Phone Grip</t>
  </si>
  <si>
    <t>SS Phone Lanyard, 2× Adjustable Phone Neck Strap, 4 × Phone Patches, Universal Multifuctional Cell Phone Lanyards Compatible with Most Smartphones,</t>
  </si>
  <si>
    <t>Danby 10.1 Cu.Ft Apartment Size Refrigerator</t>
  </si>
  <si>
    <t>Kitchen Switchen Resale Bella 2-Slice Toaster</t>
  </si>
  <si>
    <t>Frigidaire 3.2-Cu.-Ft. 65-Watt Eraser-Board Door Retro Compact Fridge</t>
  </si>
  <si>
    <t>32 Cu. Ft. MEGA Capacity 3-door French Door Refrigerator With Dual ...</t>
  </si>
  <si>
    <t>Frigidaire 24 Hybrid Tub Dishwasher</t>
  </si>
  <si>
    <t>GE Countertop Microwave Oven GCST20S1WBB</t>
  </si>
  <si>
    <t>Comfee CMO-C20M1WH Retro Microwave With 11 Power Levels Fast Multi-stage Cooking</t>
  </si>
  <si>
    <t>Minka Aire Light Wave LED Ceiling Fan F845</t>
  </si>
  <si>
    <t>Odele Good Hair Day Kit</t>
  </si>
  <si>
    <t>Diva Stuff Hair Growth Gel</t>
  </si>
  <si>
    <t>Custom Hair Serum by Function of Beauty</t>
  </si>
  <si>
    <t>Daily Perfection Collagen Shampoo and Conditioner Set with Biotin and Keratin, Salt-Free, Sulfate-Free, Paraben-Free Formula to Nourish and Add Extra</t>
  </si>
  <si>
    <t>Charity &amp; Love Ayurvedic Aromatherapy Hair &amp; Skin Care</t>
  </si>
  <si>
    <t>John Frieda ULTRA Filler+ Thickening Shampoo</t>
  </si>
  <si>
    <t>Jason Natural Biotin Shampoo</t>
  </si>
  <si>
    <t>Beauty Treats Coconut Hair Polisher</t>
  </si>
  <si>
    <t>Hair Therapy Australia Thick &amp; Full Shampoo &amp; Conditioner Set</t>
  </si>
  <si>
    <t>Hers Hair Regrowth Foam Treatment</t>
  </si>
  <si>
    <t>The 48 Laws of Power</t>
  </si>
  <si>
    <t>E Book Success with AI : Grow Your Readership with Secret Tips</t>
  </si>
  <si>
    <t>The Position</t>
  </si>
  <si>
    <t>Connect</t>
  </si>
  <si>
    <t>Sony PlayStation Store Gift Card</t>
  </si>
  <si>
    <t>Sony ZV-E10 II Mirrorless Camera</t>
  </si>
  <si>
    <t>Sony HZC-PRV50 Permanent License</t>
  </si>
  <si>
    <t>Legendary Tales - Sony PlayStation 5 [Digital Download]</t>
  </si>
  <si>
    <t>Deceive Inc. - Special Edition Content - Sony PlayStation 5 [Digital Download]</t>
  </si>
  <si>
    <t>Apple Gift Card 16 USD Key UNITED STATES</t>
  </si>
  <si>
    <t>Apple Gift Card 25 USD | US Account</t>
  </si>
  <si>
    <t>Young Mungo [eBook]</t>
  </si>
  <si>
    <t>Nintendo Gift Card</t>
  </si>
  <si>
    <t>Nintendo eShop Card 10$ (NINTENDO ESHOP) - Instant download</t>
  </si>
  <si>
    <t>Nintendo eShop Luigi Gift Card</t>
  </si>
  <si>
    <t>eCash - Nintendo eShop Gift Card [Digital Download]</t>
  </si>
  <si>
    <t>Untitled Goose Game (Nintendo Switch) - Nintendo eShop Account - GLOBAL</t>
  </si>
  <si>
    <t>Nintendo eShop $50 Gift Card (Email Delivery)</t>
  </si>
  <si>
    <t>adidas Originals Men's Adicolor Classics Sprinter Shorts</t>
  </si>
  <si>
    <t>adidas Women's Hyperglam Full-Length Ribbed HIIT Pants</t>
  </si>
  <si>
    <t>adidas Women's Run 70s 2.0 Sneaker</t>
  </si>
  <si>
    <t>ASICS Women's Training Core Bra</t>
  </si>
  <si>
    <t>ASICS Women's Training Core Stretch Woven Pants</t>
  </si>
  <si>
    <t>ASICS Men's ACTIBREEZE Vented Knit Shorts</t>
  </si>
  <si>
    <t>ASICS Women's 92 Fit Sana Pocket Tight</t>
  </si>
  <si>
    <t>ASICS Women's Mobility Knit Hoodie</t>
  </si>
  <si>
    <t>Asics GT-2160</t>
  </si>
  <si>
    <t>ASICS Women's ACTIBREEZE Jacquard Short Sleeve Top</t>
  </si>
  <si>
    <t>Gymshark Training Leggings</t>
  </si>
  <si>
    <t>Gymshark Women's Everyday Shelf Stretch-Recycled Polyester Top</t>
  </si>
  <si>
    <t>Gymshark Everyday Seamless Shorts</t>
  </si>
  <si>
    <t>Gymshark Vital Seamless Shorts</t>
  </si>
  <si>
    <t>Nike Women's Mid-Rise Open-Hem Pants</t>
  </si>
  <si>
    <t>Nike Men's Tech Full-Zip Windrunner Hoodie</t>
  </si>
  <si>
    <t>Men's Nike Therma-FIT Pants</t>
  </si>
  <si>
    <t>Nike Women's Universa Medium Support High-Waisted 7/8 Leggings with Pockets</t>
  </si>
  <si>
    <t>Reebok Men's Training Essentials Woven Unlined Pants</t>
  </si>
  <si>
    <t>Reebok Men's Classics Vector Black Track Pants</t>
  </si>
  <si>
    <t>Reebok Men's Identity Small Logo Fleece Joggers</t>
  </si>
  <si>
    <t>Reebok Classics Archive Essentials Pants</t>
  </si>
  <si>
    <t>Reebok Women's Identity Small Logo Fleece Full-Zip Hoodie</t>
  </si>
  <si>
    <t>Rawlings | HEART OF THE HIDE Baseball Glove | R2G &amp; Contour Fit Models | Advanced Break-In | Multiple Styles</t>
  </si>
  <si>
    <t>Lake Men’s Shoes Cx238</t>
  </si>
  <si>
    <t>Tilt Industries - Bike Balance Trainer | Bicycle Repair Stand/Balance Trainer Combo</t>
  </si>
  <si>
    <t>Atootfusion Cotton Thick Lightweight Table Stool Back Seat Cushion Yoga Chair Pad for Indoor/Outdoor Home Office Garden Décor Cotton Cushion 3-Seater Bench Cushion， 150 x 50 x 8 cm (Grey)</t>
  </si>
  <si>
    <t>Fluidmaster 385 Replacement Valve Cap for 400A</t>
  </si>
  <si>
    <t>Fluidmaster 215 Water Saving Roller Clamp with Refill Tube</t>
  </si>
  <si>
    <t>FLUIDMASTER 8100P8 Toilet Bowl Cleaning System</t>
  </si>
  <si>
    <t>Fluidmaster 400A Universal Toilet Fill Valve</t>
  </si>
  <si>
    <t>Home Decorators Collection Naples 60 in. Bath Vanity Cabinet</t>
  </si>
  <si>
    <t>VASAGLE Bathroom Floor Storage Cabinet</t>
  </si>
  <si>
    <t>Gangolf Solid Wood Bathroom Vanity Cabinet With Drawers And Doors, Offering Ample Storage And A Stylish Look. Charlton Home</t>
  </si>
  <si>
    <t>Homfa 70.9'' White Linen Bathroom Cabinet</t>
  </si>
  <si>
    <t>IKEA HEMNES High Cabinet</t>
  </si>
  <si>
    <t>Ariel Hamlet 60-in White Bathroom Vanity Base Cabinet</t>
  </si>
  <si>
    <t>Ktaxon Small Bathroom Floor Cabinet</t>
  </si>
  <si>
    <t>Ktaxon 70 inch Free Standing Bathroom Tower Storage Cabinet</t>
  </si>
  <si>
    <t>KTATK 36" Bathroom Vanity Without Sink</t>
  </si>
  <si>
    <t>36 in. White Bath Vanity Cabinet</t>
  </si>
  <si>
    <t>Brita UltraMax Large Water Dispenser</t>
  </si>
  <si>
    <t>Brita UltraMax 18-Cup Water Dispenser</t>
  </si>
  <si>
    <t>Brita Denali Pitcher</t>
  </si>
  <si>
    <t>Brita Extra Large Ultramax 27 Cup Black Filtered Water Dispenser with 1 Standard Filter</t>
  </si>
  <si>
    <t>Brita Faucet Mount Water Filtration System</t>
  </si>
  <si>
    <t>Brita Hard Sided Plastic Premium Filtering Water Bottle BPA Free</t>
  </si>
  <si>
    <t>PUR 7-Cup Water Filter Pitcher PPT710BA</t>
  </si>
  <si>
    <t>Pur RF-9999 Replacement 3-Stage Faucet Filter</t>
  </si>
  <si>
    <t>PUR Faucet-Mount Water Filter</t>
  </si>
  <si>
    <t>PUR Ultimate 7-Cup Water Filtration Pitcher PPT711R</t>
  </si>
  <si>
    <t>Equate Hair Regrowth Treatment For Women Foam 2 Month Exp.11/25</t>
  </si>
  <si>
    <t>Equate Ear Removal Aid</t>
  </si>
  <si>
    <t>Hi-Pro-Pac Extremely Damaged Hair Repair Protein Treatment</t>
  </si>
  <si>
    <t>Hi Pro Pac Keratin Protein No Frizz Hair Treatment</t>
  </si>
  <si>
    <t>Hi-pro-pac Keratin Protein No-Frizz Hair Intense Protein Treatment</t>
  </si>
  <si>
    <t>Hi Pro Pac Extremely Damaged Hair Intense Protein Treatment</t>
  </si>
  <si>
    <t>Hi-Pro-Pac Pks Tea Tree &amp; Mint 1.75 Ounce (12 Pieces)</t>
  </si>
  <si>
    <t>Hi-pro-pac Color Treated Highlighted Hair Defence Intense Protein Treatment</t>
  </si>
  <si>
    <t>Hi-Pro-Pac Shea Butter Shampoo</t>
  </si>
  <si>
    <t>Neutrogena Rapid Clear Stubborn Acne Spot Gel</t>
  </si>
  <si>
    <t>Neutrogena Anti-Pimple SOS Instant Aid Gel</t>
  </si>
  <si>
    <t>Neutrogena On the Spot Acne Treatment, 0.75 oz - 1 Each - 0.75 oz | Carewell</t>
  </si>
  <si>
    <t>Neutrogena Rapid Firming Collagen Triple Lift Face Serum</t>
  </si>
  <si>
    <t>Neutrogena Hydro Boost Ultra Hydrating Serum</t>
  </si>
  <si>
    <t>Neutrogena Triple Age Repair Moisturizer SPF 25</t>
  </si>
  <si>
    <t>Neutrogena Hydro Boost Body Gel Cream</t>
  </si>
  <si>
    <t>Neutrogena Rapid Clear Maximum Strength Treatment Pads</t>
  </si>
  <si>
    <t>Neutrogena Intense Repair Body Milk 400 ml</t>
  </si>
  <si>
    <t>Acne Treatment Neutrogena On the Spot 0.75 oz. Cream 70501001790 Pack of 1 | Hey Med Supply</t>
  </si>
  <si>
    <t>Arm &amp; Hammer 6.4kg Double Duty Cat Litter</t>
  </si>
  <si>
    <t>Arm &amp; Hammer for Pets Advanced Care Dental Water Additive for Cats | Cat Teeth Cleaning Product for All Cats | Odorless and Flavorless Cat Dental Rinse, 8 Ounces - 24 Pack</t>
  </si>
  <si>
    <t>ARM &amp; HAMMER Health IQ Cat Litter Additive, with Color Changing Health Indicators, Works with Most Litter, 10 oz</t>
  </si>
  <si>
    <t>ARM &amp; HAMMER Clump &amp; Seal Odor Sealing Lightweight Multi-Cat Scented Clumping Cat Litter with 7 Days of Odor Control, 18 lbs. (Packing May Vary)</t>
  </si>
  <si>
    <t>Arm &amp; Hammer Pets Cat Litter Box Deodorizing Pods 2 pods, Fresh Breeze Scent | 2 Cat Litter Box Deodorizer from Arm and Hammer | Combats Cat Odors | 2 Adhesive Devices</t>
  </si>
  <si>
    <t>ARM &amp; HAMMER Cloud Control Platinum Clumping Cat Litter 37LB</t>
  </si>
  <si>
    <t>PetSafe Drinkwell Premium Replacement Carbon Filters, Dog and Cat Water Fountain Filters, 3 Pack</t>
  </si>
  <si>
    <t>PetSafe Drinkwell 360 Premium Carbon Filters, Dog and Cat Water Fountain Filters, Pack of 12, Fits PetSafe Stainless Multi-Pet and 360 Pet Fountains</t>
  </si>
  <si>
    <t>PetSafe Ion-X Cat and Dog Fountain Filters, 4-Pack, Dual Filtration for Cleaner and Fresher Water, Replacement Water Fountain Filter for PetSafe Outlast Pumpless Pet and Viva Pet Water Fountains</t>
  </si>
  <si>
    <t>PetSafe Seaside Pet Water Fountain (60 oz/1.8L Water Capacity) Stainless Steel Cat Water Fountain, Helps Prevent Pet Acne, Scratch and Rust-Resistant Material</t>
  </si>
  <si>
    <t>MidWest Homes for Pets Quiet Time Reversible Crate Pan Cover 36' Gray Floral/Fleece</t>
  </si>
  <si>
    <t>MidWest Homes for Pets Replacement Exercise Pen Swivel Snaps, Black, Pack of 4, SNAPB-4</t>
  </si>
  <si>
    <t>MidWest Homes for Pets Maxx Dog Bed for Metal Crates, 36-Inch, Black</t>
  </si>
  <si>
    <t>MidWest Homes for Pets Pet Carrier: Hard-Sided Dog Carrier, Cat Carrier, Small Animal Carrier in Green | Inside Dims 17.91L x 11.5W x 12H &amp; Suitable for Tiny Dog Breeds</t>
  </si>
  <si>
    <t>MidWest Homes for Pets Dog Crate Cover, Privacy Dog Crate Cover Fits MidWest Dog Crates, Crate Cover Only, Machine Wash &amp; Dry, Black, 42-Inch</t>
  </si>
  <si>
    <t>MidWest Homes for Pets Plush Pet Bed | Ombr Swirl &amp; Cat Bed | Gray 17L x 11W x 1.5H - Inches for Toy Dog Breeds, 40618-SGB, 18-Inch</t>
  </si>
  <si>
    <t>PetSafe Pawz Away Indoor Wireless Pet Barrier, Electric Training System for Dogs &amp; Cats with Receiver Collar</t>
  </si>
  <si>
    <t>PetSafe Drinkwell Replacement Carbon Filter, Dog and Cat Water Fountain Filters, pack of 3</t>
  </si>
  <si>
    <t>PetSafe Nylon Dog Leash  Strong, Durable, Traditional Style Leash with Easy to Use Bolt Snap for Small, Medium and Large Dogs  3/8" x 6', Black</t>
  </si>
  <si>
    <t>Aqueon LED Aquarium Kit</t>
  </si>
  <si>
    <t>Aqueon LED MiniBow SmartClean Small Aquarium Fish Tank Kit</t>
  </si>
  <si>
    <t>Aqueon Plant and Shrimp Aquarium Substrate</t>
  </si>
  <si>
    <t>Aqueon BettaBow Aquarium Kit</t>
  </si>
  <si>
    <t>AQUEON ALL GLASS BLACK AQUARIUM 55 gal</t>
  </si>
  <si>
    <t>Aqueon Edgelit Cube Aquarium 6 Gallon</t>
  </si>
  <si>
    <t>Tetra ReptoClean 8.45 Fluid Ounce (250 milliliters), Water Treatment for Aquatic Reptiles</t>
  </si>
  <si>
    <t>Jonti-Craft Science Activity Table 6760JC</t>
  </si>
  <si>
    <t>Coco Village Wooden Activity Table</t>
  </si>
  <si>
    <t>Spidey &amp; Friends Kids Folding Activity Table</t>
  </si>
  <si>
    <t>West Elm Activity Table</t>
  </si>
  <si>
    <t>Your Zone Folding Kid's Activity Table</t>
  </si>
  <si>
    <t>Nilo Kids Activity Table Set</t>
  </si>
  <si>
    <t>Ogears Sensory Table, Kids Activity Table, Wooden Play Table with Bins, Montessori Table, Chalk Board and Whiteboard</t>
  </si>
  <si>
    <t>Lifetime 4-Foot Fillet Table 280560</t>
  </si>
  <si>
    <t>Emotion Wasatch Canoe</t>
  </si>
  <si>
    <t>Springbar Family Camper</t>
  </si>
  <si>
    <t>The Camping Life: Inspiration and Ideas for Endless Adventures</t>
  </si>
  <si>
    <t>Fifty Places to Camp Before You Die</t>
  </si>
  <si>
    <t>HEIMPLANET Re-stored Mavericks</t>
  </si>
  <si>
    <t>Lifetime Flooring LLC Camping Cot</t>
  </si>
  <si>
    <t>Magellan Outdoors Mission 8 Person Cabin Tent</t>
  </si>
  <si>
    <t>Ozark Trail Hazel Creek 12 Person Cabin Tent</t>
  </si>
  <si>
    <t>Ozark Trail 8 Person Connectent with Screen Porch</t>
  </si>
  <si>
    <t>Ozark Trail Deluxe Arm Chair</t>
  </si>
  <si>
    <t>Ozark Trail 4 Person Camping Dome Tent</t>
  </si>
  <si>
    <t>Ozark Trail, 21' x 15’ x 78” 10-Person Family Camping Tent, 26.4 lbs_</t>
  </si>
  <si>
    <t>Ozark Trail 6-Person Clip &amp; Camp Dome Tent</t>
  </si>
  <si>
    <t>DRIVE AUTO PRODUCTS Drive Auto Car Trunk Organizer Collapsible Multi-Compartment Automotive SUV Car Organizer for Storage w/Adjustable Straps</t>
  </si>
  <si>
    <t>6-Piece Bling Auto Accessories Set</t>
  </si>
  <si>
    <t>Auto Drive Backseat Organizer with Cup Holders and Storage</t>
  </si>
  <si>
    <t>Auto Drive Custom Fit Car Rubber Floor Mats</t>
  </si>
  <si>
    <t>Armor All National Car Care Kit</t>
  </si>
  <si>
    <t>Armor All 3-Piece Full Coverage Floor Mats</t>
  </si>
  <si>
    <t>Armor All Air Freshening Protectant Cool Mist</t>
  </si>
  <si>
    <t>Armor All AA07V2 0901 Cordless Car Vacuum</t>
  </si>
  <si>
    <t>Armor All Car Wash Kit</t>
  </si>
  <si>
    <t>Armor All Outlast Protectant</t>
  </si>
  <si>
    <t>Armor All 3pc Car Essentials Kit</t>
  </si>
  <si>
    <t>Gatorade Thirst Quencher Sports Drink Variety Pack QUA20162</t>
  </si>
  <si>
    <t>Gatorade Discont Fruit Punch</t>
  </si>
  <si>
    <t>Gatorade Fierce Grape</t>
  </si>
  <si>
    <t>Gatorade Fast Twitch Energy Drink</t>
  </si>
  <si>
    <t>Gatorade 20oz 24 Count</t>
  </si>
  <si>
    <t>Banquet Original Fried Chicken</t>
  </si>
  <si>
    <t>Banquet Tv Dinner Box 1960s Turkey Peas Vintage Frozen Food Incomplete</t>
  </si>
  <si>
    <t>Banquet Classic Salisbury Steak Meal</t>
  </si>
  <si>
    <t>Banquet Salisbury Steak Deep Dish</t>
  </si>
  <si>
    <t>Conagra Banquet Beef Pot Pie, 7 Ounce -- 24 per case.</t>
  </si>
  <si>
    <t>Banquet Salisbury Steak Meal, 11.88 oz (337 g)</t>
  </si>
  <si>
    <t>Banquet Original Fried Chicken, 29 Ounce -- 12 per case.</t>
  </si>
  <si>
    <t>Banquet Crispy Fried Chicken Assorted Pieces</t>
  </si>
  <si>
    <t>Banquet Southern Crispy Chicken</t>
  </si>
  <si>
    <t>Great Value Chunk Chicken Breast</t>
  </si>
  <si>
    <t>Wild Fork Foods Seafood Meat Mix Varies</t>
  </si>
  <si>
    <t>Meat &amp; Fish Only - Whole Share</t>
  </si>
  <si>
    <t>(2 pack) Great Value Chunk Chicken Breast, with Rib Meat in Water, Fully Cooked, 12.5 oz Can, 12 Count</t>
  </si>
  <si>
    <t>Salmon Chunks</t>
  </si>
  <si>
    <t>Lobster Meat Lobster Market House Canada Pre-Cooked</t>
  </si>
  <si>
    <t>Regular Beef Cut | Fresh &amp; Premium Quality Meat 5lbs</t>
  </si>
  <si>
    <t>Seafood Delight King Fish Steak</t>
  </si>
  <si>
    <t>Dowinx Fabric Gaming Chair with Pocket Spring Cushion, Ergonomic Computer Chair with Footrest, Cloth Gamer Chair with Massage Lumbar Support and</t>
  </si>
  <si>
    <t>Dowinx Gaming Chair with Pocket Spring Cushion, Ergonomic Computer Chair High Back, Reclining Game Chair Pu Leather 350lbs, Purple</t>
  </si>
  <si>
    <t>Dowinx Gaming Chair Breathable Fabric Computer Chair with Pocket Spring Cushion, Comfortable Office</t>
  </si>
  <si>
    <t>TRX GO Suspension Trainer System</t>
  </si>
  <si>
    <t>Fitkicks Women's Minimalist Soft Barefoot Shoes</t>
  </si>
  <si>
    <t>Fitrx Cordless Shiatsu Massager</t>
  </si>
  <si>
    <t>FitOn Core Dual-Sided Mesh Sliders</t>
  </si>
  <si>
    <t>Ritkeep Fitness Equipment Smith Machine with Weight Stack PMAX-5600 Training System Functional Muscle Strike Home Gym Machine</t>
  </si>
  <si>
    <t>Fitvids Multifunctional Full Body Home Gym Equipment</t>
  </si>
  <si>
    <t>Teeter FitForm Home Gym Strength Trainer</t>
  </si>
  <si>
    <t>Gymshark Glute Boost Seamless Leggings</t>
  </si>
  <si>
    <t>Challenged Gardens Love The Flowering Chinese Fringe Tree</t>
  </si>
  <si>
    <t>Handy Pantry Organic Triticale Grain Sprouting Seeds</t>
  </si>
  <si>
    <t>Pure Coir Netted Seed Starting Pellets</t>
  </si>
  <si>
    <t>Green Bengalensis Tree Seeds</t>
  </si>
  <si>
    <t>8Pcs Brain Puzzle Set Nine Series Set Student Toys Detachable Toys English Version</t>
  </si>
  <si>
    <t>1pc Push Bubble Sensory Toy Strawberry Shaped Anti-stress Fidget Toys Reliever Educational Puzzle Toy for Adults Kids Creative Gifts</t>
  </si>
  <si>
    <t>Jura Z10 Aluminum White</t>
  </si>
  <si>
    <t>Meridian Furniture Plush Collection Contemporary Down Filled Cloud-Like Comfort Overstuffed Velvet Upholstered Modular Sofa， 4-Seater， Cream</t>
  </si>
  <si>
    <t>Seatcraft Anthem Home Theater Seating - Top Grain Leather - Power Recline Sofa - Fold-Down Table - Powered Headrests - Arm Storage - AC/USB and Wireless Charging - Cup Holders， Black</t>
  </si>
  <si>
    <t>Jura 15145 Automatic Coffee Machine WE8， Chrome</t>
  </si>
  <si>
    <t>ACME FURNITURE Brancaster Desk - 92190 - Aluminum</t>
  </si>
  <si>
    <t>POLY &amp; BARK Sorrento Sofa in Full-Grain Pure-Aniline Italian Leather (Cognac Tan)</t>
  </si>
  <si>
    <t>Acme Furniture Dresden Curio Cabinet， Vintage Bone White</t>
  </si>
  <si>
    <t>Breville Dynamic Duo Dual Boiler Espresso Machine and Smart Grinder Pro Package， Stainless Steel - BEP920BSS</t>
  </si>
  <si>
    <t>Jura E6 Platinum Automatic Coffee Machine Set with Smart Water Filter， Milk System Cleaner and Milk Container</t>
  </si>
  <si>
    <t>Miele NEW CM 5510 Silence Automatic Coffee Maker &amp; Espresso Machine Combo， 1.3 liters， AluSilver Metallic Finish - Grinder， Milk Frother</t>
  </si>
  <si>
    <t>Jura S8 Automatic Coffee Machine Moonlight Silver Set with Smart Water Filter， Milk System Cleaner and Milk Container</t>
  </si>
  <si>
    <t>Meridian Furniture Julian Collection Modern | Contemporary Velvet Upholstered Sofa with Stainless Steel Base in Rich Gold Finish， Pink， 91.5 W x 36 D x 28 H</t>
  </si>
  <si>
    <t>Breville|PolyScience the Control Freak Temperature Controlled Commercial Induction Cooking System</t>
  </si>
  <si>
    <t>kevinplus 94’’ Cloud Curved Sofa Boucle Couch for Living Room， Beige Modern Mid-Century Curved Backrest Upholstered Sofa， 3-Seat Sofa Couch for Home Apartment Office Studio， 3 Pillows， Beige</t>
  </si>
  <si>
    <t>HONBAY Modern Modular Sectional Sofa Sleeper Couch Living Room U Shape Sofa Couch with Ottoman Set， Full Size Sectional Sofa Bed for Small Space， Bluish Grey</t>
  </si>
  <si>
    <t>3 Piece Living Room Set， Velvet Chesterfield Sofa Loveseat Couch Chair with Scroll Arms and Nailhead for Living Room， Office (Grey)</t>
  </si>
  <si>
    <t>Belffin Modular Sectional Sofa Couch with Reversible Chaise Velvet L Shaped Couch Sofa with Storage 4-seat Convertible Sectional Sofa Blue</t>
  </si>
  <si>
    <t>ACME Furniture Ireland Bed with Storage， Queen， Espresso</t>
  </si>
  <si>
    <t>ACME Dresden Dresser/Server - - Gold Patina &amp; Bone</t>
  </si>
  <si>
    <t>Acme Furniture 5 Drawers Wood Chest， 42 L x 21 W x 56 H， Antique White</t>
  </si>
  <si>
    <t>ACME Furniture Louis Philippe III Queen Bed with Storage， Black</t>
  </si>
  <si>
    <t>PHILIPS 4300 Series Fully Automatic Espresso Machine - LatteGo Milk Frother， 8 Coffee Varieties， Intuitive Touch Display， Black， (EP4347/94)</t>
  </si>
  <si>
    <t>Casa Andrea Milano Modern Large Velvet Fabric Sectional Sofa， L-Shape Couch with Extra Wide Chaise Lounge， Black</t>
  </si>
  <si>
    <t>FQQWEE Swivel Accent Sofa Barrel Chair， Modern Leisure Chair 42.9 Inch Barrel Chair with 3 Pillows Velvet Round Chair 360° Rotating Wheels for Living Room Hotel (Black)</t>
  </si>
  <si>
    <t>Melpomene Convertible Modular Sectional Sofa，Modern Minimalist 94.5 DIY L Shaped Reversible Sherpa Fabric Sofa Couch for Living Room，Apartment，Office(Orange)</t>
  </si>
  <si>
    <t>UBGO 3-Piece Modern Button Tufted Upholstered， Living Room Furniture， 3-Seat Armrests， loveseat Sets，Single Sofa，Sofas &amp; Couches for Office，Sectional(Light Gray)</t>
  </si>
  <si>
    <t>Casa Andrea Milano Modern Large Velvet Fabric U-Shape Sectional Sofa， Double Extra Wide Chaise Lounge Couch， Grey</t>
  </si>
  <si>
    <t>YESHOMY Rivet Mid-Century Upholstered Modern Sofa Couch No Assembly Required Loveseat with Sturdy Wooden Feet， 77 W， Dark Gray Without Shaded Velvet</t>
  </si>
  <si>
    <t>CHITA Mid-Century Modern Sofa， Fabric Couch for Living Room with Solid Wood Leg， No-Tools Assembly， 72.8’’W， Linen</t>
  </si>
  <si>
    <t>Merluxy Sofa， Deep Seat Sofa-Contemporary Chenille Sofa Couch， 3 Seater Sofa for Living Room-97 Wide Oversized Sofa， Beige Comfy Sofa</t>
  </si>
  <si>
    <t>Tripp Lite SmartOnline 3kVA 2.7kW Double-Conversion UPS， 208/240V， Extended Run， Network Card Slot， LCD， USB， DB9， 2U Rack-Mount， Energy Star， 2 Year Warranty &amp; $250，000 Insurance (SU3000LCD2UHV)</t>
  </si>
  <si>
    <t>Lenovo Legion Tower 7i - 2022 - Gaming Desktop - NVIDIA GeForce RTX 3070 - Intel i7-12900K - RTX 3070-16GB RAM - 1TB SSD - Win 11 - Black - Mouse &amp; Keyboard - Free 3-Month Xbox GamePass</t>
  </si>
  <si>
    <t>Lenovo ThinkPad E15 G2 15.6 FHD IPS Business Laptop (Intel i7-1165G7 4-Core， 32GB RAM， 2TB PCIe SSD， Intel Iris Xe， Backlit KYB， Fingerprint， WiFi 6， Bluetooth 5.2， HD Webcam， Win10P) w/Hub</t>
  </si>
  <si>
    <t>Lenovo ThinkPad X1 Carbon 9th Gen 9 Intel Core i7-1165G7， FHD Non-Touch Screen，16GB RAM， 512GB NVMe SSD， Backlit KYB Fingerprint Reader， Windows Pro</t>
  </si>
  <si>
    <t>MojoDesk - Mojo Gamer Pro - Electric Standing Standing Desk for Esports PC Gaming Bundled with 5 Accessories - Monitor Arm， CPU Hanger， Cable Tray， Cable Chain， Powerbar</t>
  </si>
  <si>
    <t>Dell Inspiron 13 5310， 13.3 inch QHD (Quad High Definition) Laptop - Thin and Light Intel Core i7-11370H， 16GB DDR4 RAM， 512GB SSD， NVIDIA GeForce MX450， Services - Windows 10 Home</t>
  </si>
  <si>
    <t>Tripp Lite 21-Port AC Mobile Charging Cart Storage Station for Chromebooks， iPads， Laptops， Tablets， Black (CSC21AC)</t>
  </si>
  <si>
    <t>Dell Inspiron 16 5620 Laptop- 16.0-inch 16:10 FHD+ (1920 x 1200) Display， Intel Core i7-1255U， 16GB Memory， 512GB SSD， NVIDIA GeForce MX570， Intel Wi-Fi 6E， Windows 11 Home - Platinum Silver</t>
  </si>
  <si>
    <t>HP Envy 17T 2021，i7-1165G7 11th Gen Quad Core，16GB RAM，512GB NVMe SSD， 17.3 FHD 1080p Touch，Thunderbolt 4，Win 11 PRO，WiFi 6，B&amp;O Speakers，USB-A，Intel Xe ，4 Cell，64GB Tech Warehouse Flash Drive</t>
  </si>
  <si>
    <t>ASUS ZenBook 14 Ultra-Slim Laptop 14” FHD Display， AMD Ryzen 7 5800H CPU， Radeon Vega 7 Graphics， 16GB RAM， 1TB PCIe SSD， NumberPad， Windows 11 Pro， Pine Grey， UM425QA-EH74</t>
  </si>
  <si>
    <t>AudioQuest - Niagara 1200 Power Conditioner with NRG-Y3 Power Cable (15A， 2m)</t>
  </si>
  <si>
    <t>BUFFALO TeraStation 5410DN Desktop NAS 32TB (4x8TB) with HDD NAS Hard Drives Included 10GbE / 4 Bay/RAID/iSCSI/NAS/Storage Server/NAS Server/NAS Storage/Network Storage/File Server</t>
  </si>
  <si>
    <t>Microsoft Surface Laptop 5 (2022)， 13.5 Touch Screen， Thin &amp; Lightweight， Long Battery Life， Fast Intel i5 Processor for Multi-Tasking， 256GB Storage with Windows 11， Platinum</t>
  </si>
  <si>
    <t>Lenovo Newest IdeaPad 3 17.3 HD Business Laptop， 10th Gen Intel Core i5-1035G1 (Beat i7-8550U)， 20GB RAM 1TB SSD， for Business and Student， Webcam Windows 10 Pro | 32GB Tela USB Card</t>
  </si>
  <si>
    <t>Lenovo V15 G2 Business Laptop， 15.6 FHD Display， Intel Core i7-1165G7， 16GB RAM， 1TB PCIe SSD， Webcam， HDMI， Type-C， RJ-45， Wi-Fi， Windows 11 Pro， Black</t>
  </si>
  <si>
    <t>HP Color LaserJet Pro Multifunction M479fdw Wireless Laser Printer with One-Year， Next-Business Day， Onsite Warranty (W1A80A)， White</t>
  </si>
  <si>
    <t>StarTech.com 22U Server Rack Cabinet with Secure Locking Door &amp; com 16 Outlet Horizontal 1U Rack Mount PDU Power Strip for Network Server Racks - Surge Protection - 120V/15A - 6ft Power Cord</t>
  </si>
  <si>
    <t>StarTech.com 18U 19 Server Rack Cabinet - 4 Post Adjustable Depth (6-32) Locking Knock Down Network/Computer Equipment Enclosure - Mobile w/Glass Door/Casters - HP ProLiant ThinkServer (RK1836BKF)</t>
  </si>
  <si>
    <t>HP Newest Pavilion Laptop， 15.6 FHD Screen， Intel Core i5-1135G7 Processor (up to 4.2 GHz)， 32GB Memory， 1TB SSD， Type-C， HDMI， Bluetooth， Windows 11 Home， Silver， JVQ MP</t>
  </si>
  <si>
    <t>Class A Customs TPO RV Rubber Roof Kit | 9.5 ft Wide X 45 ft Long | RV Rubber Roof Membrane Kit | RV Camper Trailer Rubber Roof Repair</t>
  </si>
  <si>
    <t>ASUS VivoBook S15 S533 Thin and Light Laptop， 15.6” FHD Display， Intel Core i5-1135G7， 8GB DDR4 RAM， 512GB PCIe SSD， Wi-Fi 6， Windows 10 Home， AI noise-cancellation， Dreamy White， S533EA-DH51-WH</t>
  </si>
  <si>
    <t>Dell OptiPlex 3000 Micro (Latest Model) Intel 12th Gen Core i5-12500T 16GB DDR4 512GB PCIe SSD WiFi + BT Windows 10 Professional</t>
  </si>
  <si>
    <t>Apple iPad Pro 12.9in Tablet (256GB Wi-FI， Gold)(Renewed)</t>
  </si>
  <si>
    <t>HP Newest Flagship 15.6 HD Touchscreen IPS Laptop， 4-Core i5-1135G7(Up to 4.2GHz， Beat i7-1060G7)， 16GB RAM， 512GB PCIe SSD， Iris Xe Graphics， Bluetooth， WiFi， Windows 11 Home S，w/GM Gaming Mouse</t>
  </si>
  <si>
    <t>LIMINK S19 Portable Triple Monitor for 15-17 Inches Laptops | 14’’ FHD 1080P IPS Dual Screens Extender with Kickstand | 72% NTSC | HDR | Compatible with Mac， Windows | Powered by USB-C &amp; HDMI</t>
  </si>
  <si>
    <t>Playseat Trophy - Logitech G Edition Sim Racing Cockpit | Fully Adjustable | Supports all Direct Drive Steering Wheels | Lightweight &amp; Robust | Absolute Comfort ActiFit</t>
  </si>
  <si>
    <t>Apple 2021 10.2-inch iPad (Wi-Fi + Cellular， 256GB) - Silver with AppleCare+ (2 Years)</t>
  </si>
  <si>
    <t>Dell Inspiron 15 3000 Series 3511 Laptop， 15.6 FHD Touchscreen， Intel Core i5-1135G7， 32GB DDR4 RAM， 1TB PCIe SSD， SD Card Reader， Webcam， HDMI， Wi-Fi， Windows 11 Home， Black</t>
  </si>
  <si>
    <t>Ryzen Budget Gaming PC &amp; Desktop Computer - Centurion A1 [Z3N]</t>
  </si>
  <si>
    <t>MSI GF63 Thin 2021 Flagship 15 Gaming Laptop 15.6 FHD IPS Display 10th Gen Intel Quad-Core i5-10300H (Beats i7-8750H) 8GB RAM 256GB SSD GeForce GTX 1650 4GB Backlit Win10 Black + HDMI Cable</t>
  </si>
  <si>
    <t>AVMATRIX HVS0402U with Case Multi Format Video Mixer Switcher 4 x HDMI Inputs USB C Output Real Time Live Streaming Multi Camera Production</t>
  </si>
  <si>
    <t>Dell 2023 Newest Inspiron 3000 15.6 FHD Touchscreen Laptop， Intel i5-1135G7 Up to 4.2GHz， Beat i7-1060G7， 16GB DDR4 RAM， 512GB PCIe SSD， SD Card Reader， Webcam， HDMI， Windows 11 Home， Black</t>
  </si>
  <si>
    <t>Acer Aspire 15.6” Laptop with Fingerprint Reader &amp; Backlit Keyboard (Latest Model)， Full HD IPS Display， AMD Ryzen 3 Quad-Core Processor， 20GB RAM， 1TB SSD， RJ-45， USB-C， HDMI， NLY MP， Windows 11</t>
  </si>
  <si>
    <t>SAMSUNG Galaxy Tab S7 FE 12.4” 256GB WiFi Android Tablet w/ Large Screen， Long Lasting Battery， S Pen Included， Multi Device Connectivity， US Version， 2021， Mystic Pink</t>
  </si>
  <si>
    <t>Lenovo ThinkVision T24i-2L 23.8 60Hz LCD Monitor Raven Black - 1920 x 1080 Full HD Display &amp; StarTech.com USB-C &amp; USB-A Dock - Dual Monitor 4K 60Hz Dock DisplayPort + HDMI</t>
  </si>
  <si>
    <t>Dell Newest Inspiron 15 3511 Laptop， 15.6 FHD Touchscreen， Intel Core i5-1035G1， 16GB RAM， 512GB PCIe NVMe M.2 SSD， SD Card Reader， Webcam， HDMI， WiFi， Windows 11 Home， Black</t>
  </si>
  <si>
    <t>Lenovo ThinkPad T480s Laptop， 14 IPS FHD (1920x1080) Matte Display， Intel Core i7-8650U 4.20 GHz， 24GB RAM， 512GB SSD， Fingerprint Reader， Supported Windows 10 Pro， Black Color， Renewed</t>
  </si>
  <si>
    <t>HP Pavalion Laptop， 14 HD Touchscreen， Intel Core i3-1115G4 Processor， Micro-Edge， Thin &amp; Portable， Micro-Edge &amp; Anti-Glare Screen， Long Battery Life， Windows 11 (16GB RAM | 1TB SSD)</t>
  </si>
  <si>
    <t>Apple iPad Pro 2nd 12.9 with (Wi-Fi + Cellular) 2017 Model， 256GB， GOLD (Renewed)</t>
  </si>
  <si>
    <t>Canon DR-M160II Document Scanner (Renewed)</t>
  </si>
  <si>
    <t>Lenovo - Chromebook Duet 5 - 13.3 OLED Touch Screen Tablet - 8GB Memory - 128GB SSD - with Keyboard - Abyss Blue</t>
  </si>
  <si>
    <t>HP Newest 14 HD Laptop Light-Weight， AMD Dual Core 3000 Series(Up to 2.6GHz)， 8GB RAM， 128GB SSD + 64GB eMMC， 1 Year Office 365， WiFi， Bluetooth 5， USB Type-A&amp;C， HDMI， Webcam w/GM Accessories</t>
  </si>
  <si>
    <t>HUION Kamvas Pro 13 2.5K QHD Graphics Monitor Drawing Tablet with Screen QLED Full Lamination Battery-Free Stylus PW517 for Windows PC， Mac， Android， 13.3inch Digital Drawing Tablet Pen Display</t>
  </si>
  <si>
    <t>Sony CEA-G160T 160GB CFexpress Type A Memory Card (Tough CEAG160T) Bundle with Sony LCSU21 Protective Camera Case - Black + Deco Gear Accessories Microfiber Electronics Cloth， Screen Protector Kit</t>
  </si>
  <si>
    <t>OnePlus 11 5G | 16GB RAM+256GB | Titan Black | US Factory Unlocked Android Smartphone | 5000 mAh battery | 80W Fast charging | Hasselblad Camera | 120Hz Fluid Display | 4nm Processor</t>
  </si>
  <si>
    <t>Apple iPhone 13 Pro Max， 128GB， Alpine Green - T-Mobile (Renewed)</t>
  </si>
  <si>
    <t>iPhone 13， 128GB， Starlight - Unlocked (Renewed Premium)</t>
  </si>
  <si>
    <t>Samsung Galaxy S21 5G， US Version， 128GB， Phantom Gray - Unlocked (Renewed)</t>
  </si>
  <si>
    <t>Omega Speedmaster Moonwatch Co-Axial Chronograph Dark Side of the Moon Pitch Black Men’s Watch 311.92.44.51.01.004</t>
  </si>
  <si>
    <t>Omega Speedmaster Moonwatch Automatic Movement Black Dial Men’s Watches 31133423001001</t>
  </si>
  <si>
    <t>Omega DeVille 424.13.40.20.02.001 Stainless Steel Automatic Men’s Watch</t>
  </si>
  <si>
    <t>Casio GMW-B5000TVB-1JR [G-Shock GMWB5000 Series] Watch Shipped from Japan Released in June 2022</t>
  </si>
  <si>
    <t>Broadway Auto Chrono</t>
  </si>
  <si>
    <t>SEIKO Prospex Reissue First Diver Rubber Band SPB147J1</t>
  </si>
  <si>
    <t>CIGA Design Mechanical Automatic Watch Blue Planet U Series Stainless Steel/Titanium/Ceramics Case Sapphire Crystal Fluororubber/Ceramics Strap Watches for Men and Women</t>
  </si>
  <si>
    <t>Alpina Men’s Startimer Pilot Chronograph Big Date Watch， Swiss Quartz Movement， Sapphire Crystal 44mm</t>
  </si>
  <si>
    <t>SEIKO SRPE35 Prospex Men’s Watch Silver-Tone 44mm Stainless Steel</t>
  </si>
  <si>
    <t>LUXURMAN Iced Out Mens Diamond Liberty Watch 1.25ct Yellow Gold Plated</t>
  </si>
  <si>
    <t>JSeiko Prospex SSC757J1 Chrono Diver’s 200m Solar</t>
  </si>
  <si>
    <t>SEIKO Prospex Solar Analog-Digital Diver’s Watch Limited Edition 40th Anniversary SNJ037， BLACK</t>
  </si>
  <si>
    <t>SEIKO Prospex</t>
  </si>
  <si>
    <t>KUOE Old Smith 90-002 No-Date， Automatic NH38 Movement， Ivory， Replacement Belt Included， 35mm case</t>
  </si>
  <si>
    <t>SEIKO King Turtle SRPD43</t>
  </si>
  <si>
    <t>Casio G-Shock GST-B300WLP-1AJR Love The Sea and The Earth (Japan Domestic Genuine Products)</t>
  </si>
  <si>
    <t>Swarovski Batman</t>
  </si>
  <si>
    <t>Luminox Navy Seal 3502.L Wrist Watch | 45mm</t>
  </si>
  <si>
    <t>Luminox G Sea Lion Mens Watch - Military Watch Date Function 100m Water Resistant - Different Variations</t>
  </si>
  <si>
    <t>Luminox Bear Grylls Survival XB.3723 Mens Watch 42mm - Military Watch in Black Date Function 200m Water Resistant</t>
  </si>
  <si>
    <t>SEIKO Men’s SSG010 COUTURA Analog Display Japanese Quartz Two Tone Watch</t>
  </si>
  <si>
    <t>BOSS Men’s Quartz Watch with Stainless Steel Strap， Two Tone， 22 (Model: 1513767)</t>
  </si>
  <si>
    <t>LUMINOX Black OPS 8880 Series 8895 Men Watch</t>
  </si>
  <si>
    <t>FEICE Men’s Watches Bauhaus Automatic Watch Stainless Steel Mechanical Watch Wristwatch Casual Dress Watches for Men with Leather Bands Date -FM121</t>
  </si>
  <si>
    <t>Apple Watch SE (2nd Gen) (GPS + Cellular， 40MM) - Starlight Aluminum Case with Starlight Sport Band (Renewed)</t>
  </si>
  <si>
    <t>Luminox Navy Seal Series Analog Quartz mens Watch (3003)</t>
  </si>
  <si>
    <t>Luminox Navy Seal Watch for Men and Women Black (XS.0301/0300 Series): 100 Meter Water Resistant + Light Weight Case + Hardened Mineral Glas</t>
  </si>
  <si>
    <t>Timex Metropolitan R AMOLED Smartwatch with GPS &amp; Heart Rate 42mm – Black with Brown Leather &amp; Silicone Strap</t>
  </si>
  <si>
    <t>HUGO #Chase Men’s Multifunction Stainless Steel and Leather Strap Casual Watch， Color: Brown (Model: 1530162)</t>
  </si>
  <si>
    <t>SRPD63 Seiko 5 Sports Men’s Watch Silver-Tone 42.5mm Stainless Steel</t>
  </si>
  <si>
    <t>Luminox Navy Seal Watch for Men Grey Display (XL.8882.F/ 8880 Series): 200 Meter Water Resistant + Sapphire Crystal + Constant Night Visibility</t>
  </si>
  <si>
    <t>Casio G-Shock GM-S5600MF [G-Shock Midnight Fog Series] Watch Shipped from Japan Released in Feb 2022</t>
  </si>
  <si>
    <t>Bertucci A-2T Vintage Watch</t>
  </si>
  <si>
    <t>Casio G-Shock DW-5900TH-1 Shock Resistant Quartz 200M Men’s Watch</t>
  </si>
  <si>
    <t>SWAROVSKI Feathered Beauties Owl Couple</t>
  </si>
  <si>
    <t>Timex Women’s Peanuts x Waterbury Legacy Watch - Silver-Tone Bracelet Pink Dial Silver-Tone Case</t>
  </si>
  <si>
    <t>Casio G-Shock GA-900GC-7AJF Men’s Watch， Black</t>
  </si>
  <si>
    <t>OLEVS Mens Automatic Watches Self Winding Mechanical Dress Wrist Watch Multifunction Calendar Hidden Button Sun Moon Display Waterproof Luminous</t>
  </si>
  <si>
    <t>Swarovski Hollow Crystal Jewelry Collection， Rhodium Tone &amp; Rose Gold Tone Finish</t>
  </si>
  <si>
    <t>Casio DW-B5600G-2JF [DW-B5600 Series Equipped with G-Shock (G-Shock) Smartphone Link] Watch Shipped from Japan Sep 2022 Model</t>
  </si>
  <si>
    <t>TACTICAL FROG Militado Military Mens Watches Chronograph 39mm Pilot VK61 Quartz Movement Casual Wristwatches Sapphire Crystal 100M Waterproof Sport Watch</t>
  </si>
  <si>
    <t>SWAROVSKI Star Wars Mandalorian The Child， Green and Gold Tone Crystals， from The Star Wars Collection</t>
  </si>
  <si>
    <t>SWAROVSKI Mesmera Ring Jewelry Collection， Rhodium Finish， Clear Crystals</t>
  </si>
  <si>
    <t>Signature Design by Ashley Dorsten Contemporary L-Shaped Reversible Sofa Chaise Chofa， Gray</t>
  </si>
  <si>
    <t>New Classic Furniture Glam Emma Velvet Three Seater Chesterfield Style Sofa for Small Spaces with Crystal Button Tufts， Black</t>
  </si>
  <si>
    <t>Casa Andrea Milano Modern Sectional Sofa L Shaped Velvet Couch， with Extra Wide Chaise Lounge， Large， Black</t>
  </si>
  <si>
    <t>Nolany Convertible Sectional Couch L Shaped Sofa Couch with Storage Reversible Sectional Sofa for Small Space， Dark Grey</t>
  </si>
  <si>
    <t>Signature Design by Ashley Arroyo Mid Century Modern Faux Leather Sofa， Caramel Brown</t>
  </si>
  <si>
    <t>AMERLIFE Sofa， Deep Seat Sofa-Contemporary Chenille Sofa Couch， 97 Wide 3 Seater Sofa for Living Room-Oversized Sofa， Beige Comfy Sofa</t>
  </si>
  <si>
    <t>FDW Modular Sectional Sofa Couch，L Shaped Sofa Couch Convertible Sofa 4-Seat Sofa with Ottoman for Living Room Bedroom Office，Dark Gray</t>
  </si>
  <si>
    <t>PaPaJet Sofa， Deep Seat Sofa-Contemporary Chenille Sofa Couch， 3 Seater Sofa for Living Room-Oversized Sofa， Beige Comfy Sofa</t>
  </si>
  <si>
    <t>XIZZI Convertible Sectional Sofa Couch L Shaped Sofa 3-Seat Couch with Chaise for Living Room，L Shaped 83 inches Dark Brown Right Chaise</t>
  </si>
  <si>
    <t>Andeworld Modern Tufted Loveaseat Settee Sofa Bench Upholstered Couch for Dining Living Room Hallway or Entryway (Steel Gray)</t>
  </si>
  <si>
    <t>MCombo Modern Swivel Accent Chairs， Button-Tufted Slipper Chair， Chenille Upholstered Wingback Leisure Sofa Chair for Living Room Bedroom LW753 (Cream White)</t>
  </si>
  <si>
    <t>Edenbrook Lynnwood Upholstered Sofa - Couches for Living Room – Light Gray Couch - Small Couch - Living Room Furniture - Includes Bolster Pillows</t>
  </si>
  <si>
    <t>ACME Dresden 4-Piece Bed Set， Cherry Oak Finish</t>
  </si>
  <si>
    <t>ZUTTA LED Face Mask Light Therapy 3 Color Settings LED Light Therapy - Anti Aging Red light - Skin Rejuvenation &amp; Wrinkle Reduction - Soft &amp; Lightweight - Portable Flexi Silicone</t>
  </si>
  <si>
    <t>Aphrona Led Face Mask Light Therapy， Halo Led Light Therapy Facial and Neck Skin Care Mask， Blue Light Red Light for Acne Wrinkle Reduce， New Generation Face and Neck Photon Mask</t>
  </si>
  <si>
    <t>toyshi Hi_Friend LED Lamp for Eyelash Extensions， 28 - Lash Lamp for Tattoo Artists， Nail Tech， Esthetician - Cool， Warm Lighting Lamp with Adjustable Brightness &amp; Height (Black)</t>
  </si>
  <si>
    <t>toyshi Hi_Friend LED Lamp for Eyelash Extensions， 28 - Lash Lamp for Tattoo Artists， Nail Tech， Esthetician - Cool， 360° Rotatable， Warm Lighting Lamp with Adjustable Brightness &amp; Height (White)</t>
  </si>
  <si>
    <t>Adjustable Esthetician Selfie Lash Light Floor Lamp for Eyelash Extensions with Tripod Stand and Phone Holder， Portable Tattoo Light for Makeup， Filming， Video Recording</t>
  </si>
  <si>
    <t>CHANEL Le Lift Creme Yeux， Black， 0.5 Ounce</t>
  </si>
  <si>
    <t>SISLEY Botanical Restorative Facial Cream with Shea Butter， 1.6-Ounce Jar (sisley-3473311218001)</t>
  </si>
  <si>
    <t>Sisley Ecological Compound 4.2 Oz</t>
  </si>
  <si>
    <t>Sisley Women’s L’orchidee Highlighter Blush with White Lily， 0.52 Ounce</t>
  </si>
  <si>
    <t>SISLEY Eye Contour Mask， 1.16-Ounce Box (3473311421005)</t>
  </si>
  <si>
    <t>Sisley Palette L’Orchidée Corail</t>
  </si>
  <si>
    <t>Vitasei Beauty Boost Anti-Photoaging Day Facial Serum &amp; Hydro-Renewing Night Facial Serum W/Stem Cells， Hyaluronic Acid， Collagen， Hydrating Face Oil Moisturizer for Sun Protection， 30 ml + 30 ml</t>
  </si>
  <si>
    <t>Chanel Vitalumiere Aqua Ultra-Light Skin Perfecting Makeup SPF 15-30 ml， 22 Beige Rose</t>
  </si>
  <si>
    <t>Germaine de Capuccini - Timexpert SRNS Eyes Illuminating Detox Cream - Illuminating Detox Formula - Against Puffiness and Bags Under the Eyes - 0.5 oz</t>
  </si>
  <si>
    <t>LOUDYKACA Led Face Mask Light Therapy 7 Color Led Light Therapy Facial Mask Blue Red Light Therapy for Face Acne Reduction Skin Care Mask</t>
  </si>
  <si>
    <t>SISLEY Floral Toning Lotion</t>
  </si>
  <si>
    <t>Karuna Hydrating+ Face Mask Sheet， Skincare and Beauty Facial Masks with Moisturizing and Collagen Promotion Properties for Healthy Glow and Supple Skin， Contain Natto and Niacinamide (8 Sheets)</t>
  </si>
  <si>
    <t>Garden Dome Igloo- Stylish Conservatory， Play Area for Children， Greenhouse or Gazebo.</t>
  </si>
  <si>
    <t>Sunny Health &amp; Fitness Elliptical Exercise Machine Trainer with Optional Exclusive SunnyFit™ App and Enhanced Bluetooth Connectivity</t>
  </si>
  <si>
    <t>Igloo 70 Qt Premium Trailmate Wheeled Rolling Cooler， Olive Green</t>
  </si>
  <si>
    <t>BiSaddle SRT Super Short Noseless Adjustable Bicycle Saddle Black with Titanium Rails Custom Fit Comfort， one Size</t>
  </si>
  <si>
    <t>Giro Helios Spherical Adult Road Cycling Helmet</t>
  </si>
  <si>
    <t>Apple 2024 MacBook Air 13-inch Laptop with M3 chip: 13.6-inch Liquid Retina Display, 8GB Unified Memory, 256GB SSD Storage, Backlit Keyboard, 1080p FaceTime HD Camera, Touch ID; Space Gray</t>
  </si>
  <si>
    <t>Apple 2024 MacBook Air 13-inch Laptop with M3 chip: 13.6-inch Liquid Retina Display, 8GB Unified Memory, 256GB SSD Storage, Backlit Keyboard, 1080p FaceTime HD Camera, Touch ID; Silver</t>
  </si>
  <si>
    <t>Apple 2023 MacBook Pro Laptop M3 chip with 8‑core CPU, 10‑core GPU: 14.2-inch Liquid Retina XDR Display, 16GB Unified Memory, 1TB SSD Storage. Works with iPhone/iPad; Silver</t>
  </si>
  <si>
    <t>Apple 2023 MacBook Pro Laptop M3 Pro chip with 12‑core CPU, 18‑core GPU: 14.2-inch Liquid Retina XDR Display, 18GB Unified Memory, 1TB SSD Storage. Works with iPhone/iPad; Silver</t>
  </si>
  <si>
    <t>Apple 2023 MacBook Pro Laptop M3 Pro chip with 12‑core CPU, 18‑core GPU: 16.2-inch Liquid Retina XDR Display, 36GB Unified Memory, 512GB SSD Storage. Works with iPhone/iPad; Space Black</t>
  </si>
  <si>
    <t>Dell Alienware m18 Gaming Laptop (2023) | 18" FHD+ | Core i9-1TB SSD + 1TB SSD - 64GB RAM - RTX 4080 | 24 Cores @ 5.4 GHz - 13th Gen CPU - 16GB GDDR6X Win 11 Home (Renewed)</t>
  </si>
  <si>
    <t>Luminox Men’s 0201.SL Sentry 0200 Black Case With Luminescent Accents， Black Rubber Band Watch</t>
  </si>
  <si>
    <t>LiangCuber GAN 12 M 3x3 Speed Cube Magnetic Stickerless GAN 12 MagLev UV Flagship 3x3x3 Magic Cube (UV Coated Glossy &amp; Primary Internal)</t>
  </si>
  <si>
    <t>Giro Men’s Road Bike Shoes， 33 EU</t>
  </si>
  <si>
    <t>Meta Quest 2 — Advanced All-In-One Virtual Reality Headset — 128 GB Get Meta Quest 2 with GOLF+ and Space Pirate Trainer DX included</t>
  </si>
  <si>
    <t>Apple iPad Pro 2 12.9in (2017) 256GB， Wi-Fi - Space Gray (Renewed)</t>
  </si>
  <si>
    <t>Apple iPhone 13 Pro， 256GB， Sierra Blue - AT&amp;T (Renewed)</t>
  </si>
  <si>
    <t>Then I Met You Rosé Resurfacing Facial Mask - At Home Sparkling Facial Treatment with AHA + BHA + Resveratrol - Vegan， Clean Skincare (1.76 oz)</t>
  </si>
  <si>
    <t>Rawlings | Renegade Series Baseball Catcher’s Set | NOCSAE Certified | Adult | Intermediate | Youth | Multiple Colors</t>
  </si>
  <si>
    <t>Drako 2 SRS Mountain Bike Shoes</t>
  </si>
  <si>
    <t>Dermalogica Sebum Clearing Masque (2.5 Fl Oz) - Anti-Aging Clay Face Mask with Salicylic Acid - Absorbs Excess Oils To Soothe and Refine Skin Texture</t>
  </si>
  <si>
    <t>GAN 356 i 3 Stickerless Speed Cube， 3x3 Smart Cube 356 i3 Gans Magnetic Cube Intelligent Tracking Timing Movements Steps with CubeStation App Gan Cube Puzzle Toys(GAN Robot not Included)</t>
  </si>
  <si>
    <t>Chico's Women's Wrinkle-Free Travelers Pants</t>
  </si>
  <si>
    <t>32 Degrees Women's Cool T-Shirt Dress</t>
  </si>
  <si>
    <t>Madewell Women's Cinched Long-Sleeve Top</t>
  </si>
  <si>
    <t>Ladies High Waist A-Line Sleeveless Midi Dress</t>
  </si>
  <si>
    <t>Nina Leonard Women's Tie-Waist Fit-Flare Sweater Dress</t>
  </si>
  <si>
    <t>Desigual Women's Gray Polyester Dress</t>
  </si>
  <si>
    <t>Michael Kors Men's Classic-Fit Wool-Blend Suit Jacket</t>
  </si>
  <si>
    <t>Abercrombie &amp; Fitch Men's Suiting Dress Shirt</t>
  </si>
  <si>
    <t>Daniel Ellissa Men's Fashion Dress Shirt</t>
  </si>
  <si>
    <t>SONOMA Goods For Life Men's Heavyweight 1/4-Zip Sweater</t>
  </si>
  <si>
    <t>Nautica Men's Modern-Fit Stretch Suit</t>
  </si>
  <si>
    <t>Patagonia Men's Retro Pile Fleece Jacket</t>
  </si>
  <si>
    <t>GEEKOM AX8 Mini PC</t>
  </si>
  <si>
    <t>All-in-One Outdoor Sports Set</t>
  </si>
  <si>
    <t>Lifetime 3-Sport Set</t>
  </si>
  <si>
    <t>AccuBow Nano Youth Bow</t>
  </si>
  <si>
    <t>GCI Outdoor Freestyle Rocker Chair</t>
  </si>
  <si>
    <t>VEVOR 2-4 People Instant Sports Tent</t>
  </si>
  <si>
    <t>Wilson NBA DRV Basketball</t>
  </si>
  <si>
    <t>Boardball Sport Portable Boardball Set with Board, Volleyball, and Hand Pump</t>
  </si>
  <si>
    <t>Men's Marble Dial Zebrawood Watch</t>
  </si>
  <si>
    <t>Seiko Presage Men's Automatic Watch SSA423</t>
  </si>
  <si>
    <t>Rolex Men's 1.50ct Round Diamond Watch Prong</t>
  </si>
  <si>
    <t>Swarovski Matrix Bangle Watch Swiss Made</t>
  </si>
  <si>
    <t>Michael Kors Ladies Emery Stainless Steel Watch</t>
  </si>
  <si>
    <t>IKEA YUPPIENALLE holder for mobile phone</t>
  </si>
  <si>
    <t>Anker MagGo Magnetic Case with Stand</t>
  </si>
  <si>
    <t>Hallmark Peanuts Snoopy Cell Phone Holder</t>
  </si>
  <si>
    <t>Phone Loops Silicone Elastic Phone Grip Strap, Phone Holder for Hand, Small, Light and Discreet Slim Phone Strap Grip</t>
  </si>
  <si>
    <t>Wooden Phone Stand</t>
  </si>
  <si>
    <t>Conserv Retro Refrigerator-Freezer Set</t>
  </si>
  <si>
    <t>Hair Skin &amp; Nails 3 Month Supply</t>
  </si>
  <si>
    <t>SilverFernBrand.com Hair Complex</t>
  </si>
  <si>
    <t>Fine Hair Shampoo by Function of Beauty</t>
  </si>
  <si>
    <t>Hairlove Growth Complex and Nourish + Repair Bundle</t>
  </si>
  <si>
    <t>Virtue Flourish Hair Rejuvenation Treatment</t>
  </si>
  <si>
    <t>iRestore Professional Laser Hair Growth System</t>
  </si>
  <si>
    <t>5-Step Kit for Wash Day | Healthy Hair Care System by DreamGirls</t>
  </si>
  <si>
    <t>JSHealth Hair + Energy</t>
  </si>
  <si>
    <t>Coco &amp; Eve Oh My Hair Kit</t>
  </si>
  <si>
    <t>Goldwell Blondes &amp; Highlights 60sec Treatment</t>
  </si>
  <si>
    <t>Nature's Way Beauty Hair Scalp Skin &amp; Nails Tablets</t>
  </si>
  <si>
    <t>Sidi Men’s Modern Cycling Scape， US 2-4 (Asian s)</t>
  </si>
  <si>
    <t>BFSB5 Chain Drive Indoor Cycling Bike</t>
  </si>
  <si>
    <t>Devoko 5 Pieces Patio Furniture Sets All Weather Outdoor Sectional Sofa Manual Weaving Wicker Rattan Patio Conversation Set with Cushion and Glass Table (Beige)</t>
  </si>
  <si>
    <t>Sunny Health &amp; Fitness Magnetic Elliptical Trainer Machine w/ Tablet Holder， LCD Monitor， 220 LB Max Weight and Pulse Monitor - SF-E3810，Gray</t>
  </si>
  <si>
    <t>Cyclace Exercise Bike Stationary - 330 Lbs Weight Capacity - Indoor Cycling Bike with Comfortable Seat Cushion， Tablet Holder， and LCD Monitor for Home Workout</t>
  </si>
  <si>
    <t>Coleman WeatherMaster 6-Person Tent with Screen Room</t>
  </si>
  <si>
    <t>US Pride Furniture Yoga Collection Modern Faux Leather Curved Lounge Chaise for Stretching &amp; Relaxation， Ideal for Bedroom， Living， Meditation Room or Office， Regular， Midnight Black</t>
  </si>
  <si>
    <t>Fizik - Infinito R3， Unisex Triathlon Shoes - Adult</t>
  </si>
  <si>
    <t>EF ECOFLOW RIVER Pro Extra Battery 720Wh， Expandable Power for RIVER Pro， for Camping， Home Backup Emergency， Outdoors， RV， Off-Grid</t>
  </si>
  <si>
    <t>Ekouaer Women's 2 Piece Knit Sweater Set</t>
  </si>
  <si>
    <t>PRETTYGARDEN Women's Casual Long Sleeve V Neck Swiss Dot Pleated Midi Dress</t>
  </si>
  <si>
    <t>Lynwitkui Women's V Neck Chiffon Blouses Cap Sleeve Shirts Casual Loose Work Office Solid Tops</t>
  </si>
  <si>
    <t>Universal Thread Women's Mid-Rise 80's Slim Fit Jeans</t>
  </si>
  <si>
    <t>Women's Casual Crew Neck Long Sleeve Knit Shirt</t>
  </si>
  <si>
    <t>Fashion Nova Men's Loyalty Oversized Tee Shirt</t>
  </si>
  <si>
    <t>Jos. A. Bank Men's Big &amp; Tall Traveler Performance Tailored Fit Long Sleeve Shirt</t>
  </si>
  <si>
    <t>2022 Mens Designer Shirts For Men Wearable Clothing Fashion Long</t>
  </si>
  <si>
    <t>COOFANDY Men's Casual Wrinkle Free Long Sleeve Button Down Dress Shirt</t>
  </si>
  <si>
    <t>Men's Baroque Tracksuit Set with Bucket Hats</t>
  </si>
  <si>
    <t>COOFANDY Men's Stretch Long Sleeve Wrinkle Free Button Down Dress Shirt</t>
  </si>
  <si>
    <t>Dell Docking Station USB 3.0</t>
  </si>
  <si>
    <t>Corsair 9000D RGB Airflow Super Full-Tower PC Case</t>
  </si>
  <si>
    <t>Redragon Mechanical Gaming Keyboard</t>
  </si>
  <si>
    <t>Lifetechs 4-in-1 USB Laptop Docking Station</t>
  </si>
  <si>
    <t>Logitech M325 Wireless Mouse</t>
  </si>
  <si>
    <t>HP 230 Wireless Mouse and Keyboard Combo</t>
  </si>
  <si>
    <t>DKZ Fidget Toys Pack 1000Pcs</t>
  </si>
  <si>
    <t>Hot Wheels Track Builder Deluxe Stunt Box</t>
  </si>
  <si>
    <t>Big Wheel 50th Anniversary Ride-On Toy</t>
  </si>
  <si>
    <t>Melissa &amp; Doug 100 Wood Blocks Set</t>
  </si>
  <si>
    <t>Radio Flyer Creativity Car Ride-On</t>
  </si>
  <si>
    <t>Aigybobo Learning Toys Farm Animals Toys</t>
  </si>
  <si>
    <t>Soccer Goal Training Set</t>
  </si>
  <si>
    <t>Easton Ghost OG Fastpitch Bat</t>
  </si>
  <si>
    <t>BSN Sports Outdoor Volleyball Set</t>
  </si>
  <si>
    <t>Outdoor Sports Tent</t>
  </si>
  <si>
    <t>IGL 52 Inch Outdoor Basketball Hoop</t>
  </si>
  <si>
    <t>G GX9 Kids Basketball Hoop</t>
  </si>
  <si>
    <t>Champion Sports PROAGSET Pro Agility Pole Set</t>
  </si>
  <si>
    <t>Generic Portable Outdoor Sports Tool Badminton Tennis Volleyball Net</t>
  </si>
  <si>
    <t>Jaypro Sports Ultimate Adjustable Gooseneck Outdoor Basketball System</t>
  </si>
  <si>
    <t>Champion Sports Save-A-Leg Home Plate</t>
  </si>
  <si>
    <t>Michael Kors Women's Chain Lock Watch</t>
  </si>
  <si>
    <t>Michael Kors Women's Rylee Two-Hand Stainless Steel Watch Ring</t>
  </si>
  <si>
    <t>Anne Klein Women's Two Tone Watch 10-6777SVTT</t>
  </si>
  <si>
    <t>Peugeot Women's Tank Bracelet Watch Panther Link</t>
  </si>
  <si>
    <t>Michael Kors Women's Pyper Three-Hand Leather Watch and Jewelry Gift Set</t>
  </si>
  <si>
    <t>Fanmis Unisex Crystal Diamond Rhinestone Stainless Steel Quartz Analog Watch</t>
  </si>
  <si>
    <t>Hiearcool Waterproof Phone Pouch</t>
  </si>
  <si>
    <t>Sucky Double Sided Suction Phone Octo Cup Buddy Mount - Anti-Slip Holder, Hands-Free Phone Accessory for iPhone and Android - Sticky Grip for</t>
  </si>
  <si>
    <t>Ringke Finger Ring Strap BLACK</t>
  </si>
  <si>
    <t>OnTheGrip Compatible with Magsafe Magnetic Authentic Solid Color Daisy Flower Design Collapsible Mobile Phone Grip Stand Holder for Smartphone</t>
  </si>
  <si>
    <t>BLACK+DECKER Honeycomb Collection Electric Kettle</t>
  </si>
  <si>
    <t>Hamilton Beach Extra Long Slot 2 Slice Toaster</t>
  </si>
  <si>
    <t>Frigidaire 1.8 Cu. ft. Over-the-Range Microwave</t>
  </si>
  <si>
    <t>Dreo Smart PolyFan 513S Air Circulator Fan</t>
  </si>
  <si>
    <t>Hunter Fan Pacer 44 Ceiling Fan with LED Light</t>
  </si>
  <si>
    <t>Function of Beauty Zero Gravity Styling Mousse</t>
  </si>
  <si>
    <t>NutriGlow Spa Hair Essentials for Dry &amp; Damage Hair</t>
  </si>
  <si>
    <t>Kerotin Hair Growth Supplement for Longer, Stronger Hair - Enriched with Biotin, Folic Acid, Saw Palmetto to Promote Thick, Healthy Hair Growth (3</t>
  </si>
  <si>
    <t>Ayurvedic Hair Growth Oil</t>
  </si>
  <si>
    <t>Biotin + Soluble Keratin Hair Treatment Supplement</t>
  </si>
  <si>
    <t>OGX Thick Full Biotin Collagen Conditioner</t>
  </si>
  <si>
    <t>Hair Vitamins Women, Ultra Strength 5000mcg Biotin, Collagen, Paba &amp;</t>
  </si>
  <si>
    <t>Keratin Shampoo Hair Treatment</t>
  </si>
  <si>
    <t>Agadir Rosemary &amp; Rice Water Shampoo</t>
  </si>
  <si>
    <t>Equate Biotin &amp; Collagen Shampoo</t>
  </si>
  <si>
    <t>Doppelherz Health Skin Hair</t>
  </si>
  <si>
    <t>The Nightingale by Kristin Hannah</t>
  </si>
  <si>
    <t>Sunrise on the Reaping (A Hunger Games Novel)</t>
  </si>
  <si>
    <t>Tom Lake: A Novel</t>
  </si>
  <si>
    <t>Grand Theft Auto V: Premium Edition - Sony PlayStation 4 [Digital Download]</t>
  </si>
  <si>
    <t>Sony PlayStation Store Birthday Gift Card</t>
  </si>
  <si>
    <t>Control Ultimate Edition</t>
  </si>
  <si>
    <t>Final Fantasy VII Remake Digital Deluxe Edition PS4 Account</t>
  </si>
  <si>
    <t>Red Dead Redemption 2</t>
  </si>
  <si>
    <t>Minecraft Switch</t>
  </si>
  <si>
    <t>Funko Fusion</t>
  </si>
  <si>
    <t>NFL PRO ERA - Sony PlayStation 5 &amp; PlayStation 4 [Digital Download]</t>
  </si>
  <si>
    <t>$100.00 Apple Gift Card</t>
  </si>
  <si>
    <t>Apple 150 USD Gift Card (United States) - Digital Key</t>
  </si>
  <si>
    <t>$500 USA Apple iTunes Gift Card (Email Delivery) | Game Card Delivery</t>
  </si>
  <si>
    <t>Apple Gift Card- 100 USD-USA</t>
  </si>
  <si>
    <t>Lucky Me: A Novel</t>
  </si>
  <si>
    <t>Eat the Rich: A Treatise on Economics [eBook]</t>
  </si>
  <si>
    <t>Unstable: A Novel</t>
  </si>
  <si>
    <t>A Kingdom of Flesh and Fire: A Blood and Ash Novel</t>
  </si>
  <si>
    <t>Unforgettable [eBook]</t>
  </si>
  <si>
    <t>Do You Remember Being Born?</t>
  </si>
  <si>
    <t>How We Lived [eBook]</t>
  </si>
  <si>
    <t>Impulse (Mageri Series #3); eBook; Author - Dannika Dark</t>
  </si>
  <si>
    <t>Nintendo eShop Card</t>
  </si>
  <si>
    <t>Creepy Brawlers</t>
  </si>
  <si>
    <t>Nintendo Switch Online Expansion Pack</t>
  </si>
  <si>
    <t>Have a Nice Death</t>
  </si>
  <si>
    <t>Super Mario Party Jamboree</t>
  </si>
  <si>
    <t>Super Mario 3D All-Stars (Nintendo Switch) - Nintendo eShop Account - GLOBAL</t>
  </si>
  <si>
    <t>Nintendo eShop Card 20$ (NINTENDO ESHOP) - Instant download</t>
  </si>
  <si>
    <t>adidas Men's Own The Run Shorts</t>
  </si>
  <si>
    <t>adidas Men's Adicolor Classics SST Track Pants</t>
  </si>
  <si>
    <t>adidas s Essentials Fleece 3-Stripes Full-Zip Hoodie</t>
  </si>
  <si>
    <t>ASICS Spiral A Fill Tee</t>
  </si>
  <si>
    <t>ASICS Men's PR Lyte Shorts</t>
  </si>
  <si>
    <t>Gymshark Whitney Leggings</t>
  </si>
  <si>
    <t>GYMSHARK Geo Seamless Black/Charcoal Grey</t>
  </si>
  <si>
    <t>Gymshark Rest Day Sweats 2.0 Joggers</t>
  </si>
  <si>
    <t>Gymshark Everyday Seamless Zip Tracktop</t>
  </si>
  <si>
    <t>Gymshark Legacy Regular Leggings</t>
  </si>
  <si>
    <t>Nike Men's Sportswear Club Fleece Pants</t>
  </si>
  <si>
    <t>Women's Nike Sportswear Classic Wovens Loose UV Hooded Jacket</t>
  </si>
  <si>
    <t>Nike Women's Sportswear Classics High-Waisted Graphic Leggings</t>
  </si>
  <si>
    <t>Nike Women's High-Waisted Pleated Fleece Pants</t>
  </si>
  <si>
    <t>Nike Women's Dri-Fit Mid-Rise Joggers</t>
  </si>
  <si>
    <t>Reebok Women's Identity Back Vector Tricot Track Jacket</t>
  </si>
  <si>
    <t>Reebok Women's Lux Contour Leggings</t>
  </si>
  <si>
    <t>Reebok Women's Classics Wardrobe Essentials Fleece Pants</t>
  </si>
  <si>
    <t>Reebok Women's Active Collective DreamBlend Pants</t>
  </si>
  <si>
    <t>Reebok Women's Workout Ready 3/4 Leggings</t>
  </si>
  <si>
    <t>Rawlings Rugged Backpack Chocolate</t>
  </si>
  <si>
    <t>Apple Gift Card $500</t>
  </si>
  <si>
    <t>Fluidmaster 8300 Flush 'N Sparkle Automatic Toilet Bowl Cleaning System</t>
  </si>
  <si>
    <t>Fluidmaster PRO45 Toilet Fill Valve</t>
  </si>
  <si>
    <t>Fluidmaster PerforMAX All-In-One Toilet Repair Kit 400ARHRKP10</t>
  </si>
  <si>
    <t>Fluidmaster 550DFRK Dual-Flush Complete System</t>
  </si>
  <si>
    <t>Fluidmaster 3-Inch Dual Flush Valve Replacement 830V-001</t>
  </si>
  <si>
    <t>Fluidmaster Super Flapper</t>
  </si>
  <si>
    <t>Fluidmaster PRO45BW501 Brass Shank Fill Valve and Flapper Kit</t>
  </si>
  <si>
    <t>CVD 15-3 Bath Vanity Cabinet Kit</t>
  </si>
  <si>
    <t>Homfa 58'' Tall Bathroom Cabinet with Doors and Shelves</t>
  </si>
  <si>
    <t>Fallon 27" Oak Powder Vanity Marble</t>
  </si>
  <si>
    <t>HOMLUX 36 in.W x 21 in.D x 34.5 in.H Bath Vanity</t>
  </si>
  <si>
    <t>Ktaxon Bathroom Storage Cabinet</t>
  </si>
  <si>
    <t>Ktaxon Modern Mirror and Bathroom Vanity</t>
  </si>
  <si>
    <t>Ktaxon Bathroom Wall Cabinet Medicine Cabinet, Wall Mounted Storage Cabinet with Mirror Door and Shelves for Kitchen Laundry Room Hotels, White Finish</t>
  </si>
  <si>
    <t>Cutler Kitchen &amp; Bath Kato Wall Mount Vanity</t>
  </si>
  <si>
    <t>Brita Replacement Water Filter</t>
  </si>
  <si>
    <t>Brita Stream 10 Cups Water Pitcher</t>
  </si>
  <si>
    <t>Brita Metro Water Filter Pitcher</t>
  </si>
  <si>
    <t>Brita Slim 5 Cup Water Pitcher with One Advanced Filter</t>
  </si>
  <si>
    <t>Brita Water filter Marella XL bl</t>
  </si>
  <si>
    <t>Brita Soho Water Filter Pitcher</t>
  </si>
  <si>
    <t>Brita Everyday Water Filter Pitcher with Filter</t>
  </si>
  <si>
    <t>Brita Grand Water Filter Pitcher</t>
  </si>
  <si>
    <t>HONEYWELL PPT700WA PUR Water Filter Pitcher</t>
  </si>
  <si>
    <t>PUR XL 44-Cup Water Filter Dispenser with 2 Genuine PUR Filters</t>
  </si>
  <si>
    <t>HONEYWELL PUR 30 Cup Dispenser DS1800ZAV3RF</t>
  </si>
  <si>
    <t>PUR Faucet Mount Mineral Clear Replacement Filter 4 Pack</t>
  </si>
  <si>
    <t>PUR Plus 11 Cup Water Pitcher Filtration System</t>
  </si>
  <si>
    <t>Denali Pure PUR Filter6 Refrigerator Water Filter Replacement</t>
  </si>
  <si>
    <t>PUR MineralClear Replacement Faucet Filter 4pk</t>
  </si>
  <si>
    <t>Equate Triple Action Joint Health Dietary Supplement</t>
  </si>
  <si>
    <t>Equate Beauty Advanced Healing Ointment</t>
  </si>
  <si>
    <t>Equate Women's Hair Regrowth Treatment</t>
  </si>
  <si>
    <t>Hi Pro Pac Color Treated &amp; Highlighted Intense Protein Treatment</t>
  </si>
  <si>
    <t>Hi-Pro-Pac Extremely Protein Treatment</t>
  </si>
  <si>
    <t>Hi-pro-pac Color Treated Highlight Intense Pro Treatment</t>
  </si>
  <si>
    <t>Demert Hi Pro Pac Keratin Maintenance Replenishing Hair Masque</t>
  </si>
  <si>
    <t>Hi Pro Pac Macadamia Nut Oil Nourishing Treatment</t>
  </si>
  <si>
    <t>Joico K-Pak Deep Penetrating Reconstructor</t>
  </si>
  <si>
    <t>Neutrogena Bright Boost Illuminating Serum</t>
  </si>
  <si>
    <t>Neutrogena Hydro Boost Skin Rescue Balm</t>
  </si>
  <si>
    <t>Johnson &amp; Johnson Acne Treatment Neutrogena On the Spot 0.75 oz. Cream</t>
  </si>
  <si>
    <t>Neutrogena Sun Rescue Medicated Relief Gel</t>
  </si>
  <si>
    <t>Neutrogena Acne AM Treatment, 2 Ounce -- 12 per case</t>
  </si>
  <si>
    <t>Neutrogena Rapid Wrinkle Repair Retinol Regenerating Cream</t>
  </si>
  <si>
    <t>Neutrogena Rapid Wrinkle Repair Anti-Aging Retinol Cream</t>
  </si>
  <si>
    <t>Neutrogena visible Repair Retinol Serum</t>
  </si>
  <si>
    <t>Arm &amp; Hammer Cat Litter Deodorizer 20 oz (Pack of 4)</t>
  </si>
  <si>
    <t>PetSafe Ceramic Pet Fountain  for Cats and Small Dogs  60 Oz Water Capacity  Whisper-Quiet Water Flow  Great for Shy or Timid Pets  Fresh, Filtered Water</t>
  </si>
  <si>
    <t>PetSafe Healthy Pet Water Filter, for Healthy Pet Water Station for Dogs and Cats</t>
  </si>
  <si>
    <t>PetSafe ScoopFree Automatic Cat Litter Box Waste Bin Liners  Drawstring Litter Box Liner for ScoopFree Self Cleaning Clumping Litter Box and ScoopFree SmartSpin Litter Box  Easy Cleanup, 25 Count</t>
  </si>
  <si>
    <t>PetSafe Replacement Pump, Submersible, Quiet Operation, Compatible with Drinkwell Ceramic, Stainless Steel, 360 Pet Water Fountains (PAC00-13206)</t>
  </si>
  <si>
    <t>PetSafe Slimcat Slow Feeder Ball for Cats - Interactive Puzzle Game for Your Cat - Fill with Food and Treats - Great for Indoor Play for Kittens and Adult Cats, Portion Control and Fast Eaters (Blue)</t>
  </si>
  <si>
    <t>MidWest Homes for Pets Small Animal Pet Playpen /Exercise Pen, Blue and Green,1 Count (Pack of 1), Small Animal Playpen.</t>
  </si>
  <si>
    <t>MidWest Homes For Pets Square Exercise Pen Fabric Mesh Top</t>
  </si>
  <si>
    <t>MidWest Homes for Pets iCrate Dog Crate Starter Kit, 24-Inch Dog Crate Kit Ideal for Small Dog Breeds ( uo to 25 pounds) Includes Dog Crate, Pet Bed, 2 Dog Bowls &amp; Dog Crate Cover (Pink), 1524PK-KIT</t>
  </si>
  <si>
    <t>PetSafe Healthy Pet Food Station - Small, 2 lb Kibble Capacity - Gravity Pet Feeder Dry Food Dispenser - Automatic Cat Feeder or Small Dog Feeder - Removable Stainless Steel Bowl Included</t>
  </si>
  <si>
    <t>PetSafe Drinkwell Platinum Dog and Cat Water Fountain, Automatic Drinking Fountain for Pets, 168 Ounce,Grey</t>
  </si>
  <si>
    <t>Aqueon 125 Gallon Black Silicone Aquarium</t>
  </si>
  <si>
    <t>Aqueon NeoGlow LED Aquarium Kit</t>
  </si>
  <si>
    <t>Aqueon 10 Gallon Aquarium</t>
  </si>
  <si>
    <t>Aqueon Versa Top Hinged Glass Aquarium Top 24" x 12"</t>
  </si>
  <si>
    <t>Aqueon Reef-Ready Aquarium</t>
  </si>
  <si>
    <t>Tetra Water Cleaner Gravel Siphon for Aquariums, Easily Clean Freshwater Aquariums</t>
  </si>
  <si>
    <t>Tetra AquaSafe Plus, Aquarium Water Conditioner And Dechlorinator, 33.8 Ounces</t>
  </si>
  <si>
    <t>Gathre Activity Table</t>
  </si>
  <si>
    <t>Children S Factory Activity Table and Lid Set</t>
  </si>
  <si>
    <t>TAG Toys Child's Wooden Activity Table</t>
  </si>
  <si>
    <t>Kidoozie Sand 'n Splash Activity Table</t>
  </si>
  <si>
    <t>Correll Deluxe High-Pressure Top Activity Tables</t>
  </si>
  <si>
    <t>Thule Tepui Ruggedized Autana 3 Roof Top Tent</t>
  </si>
  <si>
    <t>iKamper Skycamp DLX Rooftop Tent</t>
  </si>
  <si>
    <t>Lippert Roll Top Camping Table 2023053727</t>
  </si>
  <si>
    <t>Ozark Trail 11 Person 3 Room Instant Cabin Tent</t>
  </si>
  <si>
    <t>Ozark Trail 12 Pack Camping Tool Set</t>
  </si>
  <si>
    <t>Ozark Trail 14' X 10' 10-Person Instant Cabin Tent, 31.86 Lbs,</t>
  </si>
  <si>
    <t>Ozark Trail Folding Chair</t>
  </si>
  <si>
    <t>Ozark Trail 4-Person Clip &amp; Camp Dome Tent</t>
  </si>
  <si>
    <t>Ozark Trail 11-Person Instant Cabin Tent</t>
  </si>
  <si>
    <t>Ozark Trail 4 Person Outdoor Camping Dome Tent,</t>
  </si>
  <si>
    <t>Ozark Trail 9.5 Inch Camping Frying Pan</t>
  </si>
  <si>
    <t>Auto Drive 5-piece Kit W/ 2 Seat Covers, Steering Wheel Cover &amp; Vent</t>
  </si>
  <si>
    <t>Drive Auto Products Car Trunk Storage Organizer with Straps (2-Pack)</t>
  </si>
  <si>
    <t>Auto Drive Automotive Black Hard-Sided Collapsible Trunk Organizer</t>
  </si>
  <si>
    <t>Auto Drive Waterproof Rear Bench Seat Protector</t>
  </si>
  <si>
    <t>Auto Drive Universal Seat Gap Organizer</t>
  </si>
  <si>
    <t>Armor All Ultimate Car Detailing Kit</t>
  </si>
  <si>
    <t>Armor All 2-Pc. Universal Vehicle Floor Mat Set</t>
  </si>
  <si>
    <t>Armor All New Car Scent Air Freshening Protectant Pump Spray</t>
  </si>
  <si>
    <t>Auto Care Starter Kit with Armor All Original Protectant and Tuff Stuff Cleaner</t>
  </si>
  <si>
    <t>Gatorade Lemon Lime Thirst Quencher</t>
  </si>
  <si>
    <t>Gatorade Glacier Cherry</t>
  </si>
  <si>
    <t>Banquet Mega Meats Boneless Chicken Strips</t>
  </si>
  <si>
    <t>Banquet Mega Original Crispy Chicken Filets</t>
  </si>
  <si>
    <t>Banquet Classic Fried Beef Steak Meal Chicken 10 oz.</t>
  </si>
  <si>
    <t>Banquet Original Crispy Assorted Pieces Fried Chicken, 29 oz -- 12 per case.</t>
  </si>
  <si>
    <t>Extra Value Meats Patties, Beef, 6 - 0.25 lb patties [24 oz (1.5 lbs)]</t>
  </si>
  <si>
    <t>Great Value Corned Beef 12oz Can - Pack Of 5</t>
  </si>
  <si>
    <t>Meat &amp; Fish Only - Double Share</t>
  </si>
  <si>
    <t>Dowinx Gaming Chair with Heated Massage Lumbar Support, Ergonomic Gaming Computer Chair with Pocket</t>
  </si>
  <si>
    <t>Dowinx Fabric Gaming Chair with Massage Lumbar Support, High Back Ergonomic Computer Chair with Footrest for Adult, Grey, Gray</t>
  </si>
  <si>
    <t>Dowinx Gaming Chair with Pocket Spring Cushion, Massage Game Chair Leather with Headrest, Ergonomic Computer Chair with Footrest 290LBS, Black</t>
  </si>
  <si>
    <t>Fitrx SmartBell Quick-Select Adjustable Dumbbell for Home Gym</t>
  </si>
  <si>
    <t>Classic Active Fitkicks Women's Footwear</t>
  </si>
  <si>
    <t>Titan Fitness Functional Trainer</t>
  </si>
  <si>
    <t>BalanceFrom Fitvids Home Gym System Workout Station with 330lb of Resistance, 122.5LB Weight Stack</t>
  </si>
  <si>
    <t>Fitvids Vibration Plate Exercise Machine</t>
  </si>
  <si>
    <t>Fitvids Complete Workout Home Gym Lx400 Adjustable Olympic Workout Bench with Squat Rack and 100-Pound Barbell Weight Set, Size: Bench &amp; Rack w/100LB</t>
  </si>
  <si>
    <t>Fitvids Hex Dumbbells</t>
  </si>
  <si>
    <t>Gymshark Everyday Seamless T-Shirt</t>
  </si>
  <si>
    <t>Multifunctional Full Body Home Gym Equipment</t>
  </si>
  <si>
    <t>Fitvids Nonslip Foam Balance Pad</t>
  </si>
  <si>
    <t>Jonsteen Red Maple Grow Kit 5805</t>
  </si>
  <si>
    <t>Burpee Coir Seed Starting Pellet</t>
  </si>
  <si>
    <t>MySeeds.Co Big Pack Italian Stone Pine Seeds</t>
  </si>
  <si>
    <t>The Jonsteen Company Coast Redwood Tree Seed Grow Kit</t>
  </si>
  <si>
    <t>St. John's Bread Tree Seeds</t>
  </si>
  <si>
    <t>Multi-function Mask Mobile Phone Artifact Machine High Temperature Sterilizer UV Sterilizer Nail Sterilization Box</t>
  </si>
  <si>
    <t>Big Eyes Jar Hands with Ceramic Lids Decorative Cans Candle Holders Storage Cans Cosmetic Storage Tank Pen Pencils Holder</t>
  </si>
  <si>
    <t>Acme Furniture Picardy 1 Entertainment Center， Antique Pearl</t>
  </si>
  <si>
    <t>ACME Furniture Gorsedd Sofa with 5 Pillows， Cream Fabric and Antique White</t>
  </si>
  <si>
    <t>Jura S8 Automatic Coffee Machine with PEP， Chrome Includes Milk Container， 2 Smart Filter Cartridges， Cleaning Tablets and 2 Espresso Cups Bundle</t>
  </si>
  <si>
    <t>Jura E8 Piano White Automatic Coffee Machine</t>
  </si>
  <si>
    <t>ACME Dresden Eastern King Bed - 23137EK - PU &amp; Cherry Oak</t>
  </si>
  <si>
    <t>Jura E8 Piano Black Automatic Coffee Machine， 64 ounces</t>
  </si>
  <si>
    <t>Belffin Modular Sectional Sofa Set with Ottomans Oversized U Shaped Sofa Set with Storage Seat Modular Sofa Couch with Reversible Chaises Modern Fabric Blue</t>
  </si>
  <si>
    <t>Jura ENA Micro 5 Automatic Coffee Machine， 1， Silver</t>
  </si>
  <si>
    <t>Jura ENA 8 Automatic Coffee Machine (Metropolitan Black) with Glass Milk Container Bundle (2 Items)</t>
  </si>
  <si>
    <t>HONBAY Modular Sectional Sofa with Ottoman Fabric Modular Couch with Chaise L Shape Corner Sofa with Storage Seats， Aqua Blue</t>
  </si>
  <si>
    <t>Jura ENA 8 Metropolitan Black Automatic Coffee Machine， 37 ounces</t>
  </si>
  <si>
    <t>Acme Furniture Satinka Dining Table， Light Gray Printed Faux Marble &amp; Mirrored Silver Finish</t>
  </si>
  <si>
    <t>ACME Valeria Sofa - - Watery Leather</t>
  </si>
  <si>
    <t>US Pride Furniture Modern Style High Density Foam Cool Grey Velvet Rolled Arm Chesterfield Living Room Set 2 PC with Removable Cushion &amp; Solid Wood Legs (S5608-5613) Sofas</t>
  </si>
  <si>
    <t>RARZOE 3 Pieces Living Room Furniture Sofa Sets，Modern Faux Leather Chesterfield Sofa&amp;Chesterfield Club Chair&amp;Chesterfield Loveseat Sofas Set with Nailhead Trim Scroll Arms for Living Room，Dark Brown</t>
  </si>
  <si>
    <t>Jura E6 Automatic Coffee Center，1892.71 liters， Platinum</t>
  </si>
  <si>
    <t>Merax Modern Large Upholstered U-Shape Sectional Sofa， Extra Wide Chaise Lounge Couch for Living Room， New_Dark Grey</t>
  </si>
  <si>
    <t>ACME FURNITURE Versailles Counter Height Table - 61150 - Bone White</t>
  </si>
  <si>
    <t>ACME Furniture Kitchen Cart， Distress Chestnut</t>
  </si>
  <si>
    <t>Gaggia Cadorna Prestige Super-Automatic Espresso Machine， Medium， 60.8 fl.oz.</t>
  </si>
  <si>
    <t>ACME Varian Dresser - - Mirrored</t>
  </si>
  <si>
    <t>Signature Design by Ashley Larkinhurst Faux Leather Queen Sofa Sleeper with Nailhead Trim and 2 Accent Pillows， Brown</t>
  </si>
  <si>
    <t>Amazon Brand – Stone &amp; Beam Balkan Contemporary Rolled-Arm Sofa Couch， 91W， Chalk</t>
  </si>
  <si>
    <t>Morden Fort Chesterfield Sectional L-Shape Polyester Fabric Sofa with Right Chaise Accent Tufted Couch for Living Room Furniture</t>
  </si>
  <si>
    <t>Signature Design by Ashley Denoron Reclining Power Sofa， Dark Brown</t>
  </si>
  <si>
    <t>Casa Andrea Milano Modern Large Velvet Fabric U-Shape Sectional Sofa， Double Extra Wide Chaise Lounge Couch， Black</t>
  </si>
  <si>
    <t>WILLIAMSPACE 85 Modern Sofa Couch for Living Room， Back Upholstered Fabric Luxury Organ Sofa with 3 Throw Pillows for Home， Office， Apartment， Claret</t>
  </si>
  <si>
    <t>HONBAY Convertible Sectional Sofa Couch Set L-Shape Sofa Couch Set 4 Seat Sofa Sectional with Storage Ottoman for Living Room，Bluish Grey (Sectional+Tray Ottoman)</t>
  </si>
  <si>
    <t>Amazon Brand – Stone &amp; Beam Hillman Mid-Century Sofa Couch with Wood Base and Legs， 78W， Ivory</t>
  </si>
  <si>
    <t>DEINPPA Modern Accent Barrel Sofa Swivel Barrel Chair with Storage Ottoman， Sofa Club Lounge， 360° Rotating Sofa Chair with 3 Pillows Soft Cushions for Living Room (Beige+Linen Fabric+Sponge)</t>
  </si>
  <si>
    <t>Breville Nespresso Vertuo Creatista Single Serve Coffee Maker， Espresso Machine， BVE850BSS - Brushed Stainless Steel</t>
  </si>
  <si>
    <t>HONBAY Convertible Sectional Sofa with Chaise Velvet L-Shaped Couch Reversible 4-Seat Sofa Sectional Couch for Living Room， Blue</t>
  </si>
  <si>
    <t>Delonghi ECAM23120SB Magnifica S Express Super Automatic Espresso Machine， 60 Ounces， Silver (Renewed)</t>
  </si>
  <si>
    <t>Jura Cool Control， 85 Ounces， Black</t>
  </si>
  <si>
    <t>Breville the Joule Oven Air Fryer Pro， BOV950BST， Black Stainless Steel</t>
  </si>
  <si>
    <t>Naomi Home Jenny Tufted Sectional Sofa Sleeper with Storage Chaise， Pull-Out Couch with Storage， Sectional Sofa Bed， L-Shaped Reversible Sleeper Sofa with Storage， Air Leather， Gray</t>
  </si>
  <si>
    <t>Lenovo ThinkPad P16 Intel Core i9-12900HX， 16C， 16.0 WQUXGA (3840x2400) IPS 600nits Anti-Glare， NVIDIA RTX A3000 12GB GDDR6， 32GB DDR5 RAM， 1TB NVMe SSD， Backlit KYB， Fingerprint Reader， Windows Pro</t>
  </si>
  <si>
    <t>ASUS 2022 ROG Strix Scar G533 15.6” 300Hz FHD Gaming Laptop PC 12th Intel 14-Core i9-12900H 64GB DDR5 2TB SSD NVIDIA GeForce RTX 3060 6GB WiFi 6E Thunderbolt4 RGB Backlit Windows 11 Pro w/ RE USB</t>
  </si>
  <si>
    <t>Optoma EH340UST 3D Ultra Short Throw DLP Projector - 16:9</t>
  </si>
  <si>
    <t>Talvania 40 Feet Inflatable Projector Screen for Outdoor and Indoor TV Movie Watching， Huge Screen， Blower， Tie Downs， Stakes， Sandbags， and Storage Bag， Quick Blow Up， Jumbo (40’ Multicolor)</t>
  </si>
  <si>
    <t>Dell Latitude 5530 Business Laptop， 15.6 FHD Display， Intel Core i7-1255U Processor， 32GB RAM， 1TB SSD， Webcam， HDMI， RJ45， Memory Card Reader， Backlit Keyboard， Wi-Fi 6， Windows 11 Pro</t>
  </si>
  <si>
    <t>Tripp Lite SmartOnline 120V 2.2kVA 1.8kW Double-Conversion UPS， Tower， Extended Run， Network Management Card Slot， LCD， USB， DB9， 2 Year Warranty &amp; $250，000 Insurance (SU2200XLCD)， Black</t>
  </si>
  <si>
    <t>Acer Nitro 5 AN517-55-72R4 Gaming Laptop | Intel Core i7-12700H | NVIDIA GeForce RTX 3050 Ti Laptop GPU | 17.3 FHD 144Hz IPS Display | 16GB DDR4 | 1TB PCIe Gen 4 SSD | Killer Wi-Fi 6 | Red Backlit KB</t>
  </si>
  <si>
    <t>Akia Screens Pull Up Projector Screen Motorized with Remote， Floor Rising Projector Screen Tab Tension 102 inch 16:9 Indoor Movie Video Home Theater Cinema Office， CineWhite， Black Casing AK-FMT102UH2</t>
  </si>
  <si>
    <t>RecPro RV Fiberglass/Filon Roofing | Arctic White | 102 Wide | Roof Repair/Replacement (40 Feet)</t>
  </si>
  <si>
    <t>CyberPower OL1500RTXL2U Smart App Online UPS System， 1500VA/1350W， 8 Outlets， 2U Rack/Tower</t>
  </si>
  <si>
    <t>Dell Inspiron 13 5310， 13.3 inch QHD Non-Touch Laptop - Intel Core i7-11390H， 16GB LPDDR4x RAM， 512GB SSD， NVIDIA GeForce MX450 with 2GB GDDR6， Windows 11 Home - Platinum Silver</t>
  </si>
  <si>
    <t>MADISON PARK SIGNATURE MPS137-0117 Victoria Dressers for Bedroom 6 Drawer Media Console Cabinet， Accent Living Room Storage Organizer， 19 Wide</t>
  </si>
  <si>
    <t>Agon AG493UCX2 Super Wide Curved Gaming Monitor， Dual QHD 5120x1440， 165Hz 1ms， FreeSync Premium， DisplayHDR 400， USB-C Docking &amp; KVM， Height-Adjustable</t>
  </si>
  <si>
    <t>Sysracks Server Rack Network Cabinet 37U Locking Deep Server Cabinet 32-Inch Depth Floor Network Rack on Wheels’ Portable Computer Cabinet - 4 X Fans - Thermostat - PDU - LCD Screen - Sensor - Shelf</t>
  </si>
  <si>
    <t>NovaScreen Spectrum Tab-Tension， 110-inch， Active 3D 1080 8K Ultra HD [16:9]. Electric Motorized Projector Screen， Indoor/Outdoor Projector Movie Screen for Home Theater.</t>
  </si>
  <si>
    <t>MSI Pulse GL66 15.6 144Hz 3ms FHD Gaming Laptop Intel Core i7-11800H RTX3050 16GB 1TBNVMe SSD Win11 - Gray (11UCK-1249)</t>
  </si>
  <si>
    <t>Dell 2023 Newest Inspiron 14 5425 Laptop， 14 FHD Display， AMD Ryzen 7 5825U， 32GB RAM， 1TB SSD， AMD Radeon Graphics， Wi-Fi 6， Bluetooth， Pebble Green， Window 11 Pro， Bundle with JAWFOAL</t>
  </si>
  <si>
    <t>Lenovo Slim 7i - 2022 - Slim &amp; Light Weight Laptop - Windows 11 Home - 16 Display - 16GB Memory - 1TB Storage - Intel i7 12th Gen - Storm Grey</t>
  </si>
  <si>
    <t>same day delivery New Model Lenovo ThinkCentre AIO PC  i7-7700T  quad core 16GB RAM,512GB SSD with webcam, Choose 24inch FullHD IPS Matt, Speaker ,Wifi, windows 11 pro, not used,new keyboard and mouse</t>
  </si>
  <si>
    <t>[PINK GAMER] RYZEN 5 5600G RGB Gaming Desktop &amp; Computer - VEGA/ RX GRAPHICS OPTIONS</t>
  </si>
  <si>
    <t>Lenovo ThinkPad T14 14 FHD (16GB RAM， 256GB PCIe SSD， AMD 6-Core Ryzen 5 Pro 4650U (Beats i7-1165G7)， IPS Anti-Glare) Business Laptop， Backlit Keyboard， Type-C， Webcam， Win 10 Pro / Win 11 Pro</t>
  </si>
  <si>
    <t>2020 Apple iPad Pro (12.9-inch， Wi-Fi， 512GB) - Space Gray (Renewed)</t>
  </si>
  <si>
    <t>SAMSUNG Galaxy Tab S7+ Plus 12.4-inch Android Tablet 128GB Wi-Fi Bluetooth S Pen Fast-Charging USB-C Port， Mystic Silver</t>
  </si>
  <si>
    <t>Dell Latitude 3520 Business Laptop Black (Intel i5-1135G7 4-Core， 16GB RAM， 256GB PCIe SSD， Intel UHD， 15.6 Full HD (1920x1080)， WiFi， Bluetooth， Webcam， 1xUSB 3.2， 1xHDMI， SD Card， Win 10 Pro)</t>
  </si>
  <si>
    <t>Samsung SP-LSP3BLAXZA 30-100 HDR Freestyle Smart Portable Projector with a Samsung VG-FSA3BA The Freestyle Socket Adaptor for Freestyle Projector (2022)</t>
  </si>
  <si>
    <t>Armaggeddon Thunderbolt 5600G Super Full Set Entry Gaming Desktop / Thunderbolt 5600G Gaming Desktop</t>
  </si>
  <si>
    <t>fitnessandfun 33’ Huge Inflatable Movie Screen Outdoor Incl Blower - Seamless Front and Rear Projection - Portable Blow Up Projector Screen for Churches， Grand Parties， Backyard Pool Fun(33 feet)</t>
  </si>
  <si>
    <t>FEELWORLD 17.3 Inch Pullout Rackmount Monitor 1RU Full HD HDMI 1920x1080 FW173-HD (HDMI)</t>
  </si>
  <si>
    <t>Dell Inspiron 3891 Compact Tower Desktop - Intel Core i5， 16GB DDR4 RAM， 256GB SSD， 1TB SATA HDD， Intel UHD Graphics 630， 2Yr OnSite， 6 Months Migrate Services， Windows 11 Home</t>
  </si>
  <si>
    <t>2020 Apple iPad Pro 2nd Gen (11 inch， Wi-Fi， 128GB) Silver (Renewed)</t>
  </si>
  <si>
    <t>Microsoft Surface Laptop Go 2 - 12.4 Touchscreen - Intel Core i5 8GB Memory - 128 SSD - Platinum (Latest Model)</t>
  </si>
  <si>
    <t>Dell Inspiron 13 5000 5310 Premium Laptop I 13.3 inch Full HD+ (300 Nits) I 11th Gen Intel 4-Core i5-11320H I 16GB DDR4 512GB SSD I Intel Iris Xe Graphics I Thunderbolt HDMI Backlit WiFi6 Win10 Silver</t>
  </si>
  <si>
    <t>069H 069 Toner Cartridge 4-Pack Compatible Replacement for Canon 069H Toner Cartridge for Canon imageCLASS MF753Cdw MF751Cdw LBP674Cdw Series Printer Ink</t>
  </si>
  <si>
    <t>Xtreme Power Conversion J60-600 600VA/360W 120V Lithium Ion UPS</t>
  </si>
  <si>
    <t>ScanSnap SV600 Overhead Book and Document Scanner</t>
  </si>
  <si>
    <t>Microsoft Surface Laptop 3 15 Touch 16GB 512GB AMD Ryzen 7 3780U， Platinum (Renewed)</t>
  </si>
  <si>
    <t>Yinker 4K Rack Mount HDMI Matrix 8x8， 4K@30Hz 8 in 8 Out Matirx Switcher &amp; Splitter Supports EDID HDCP， Arcylic Backlit Button/IR/RS232/LAN Switch</t>
  </si>
  <si>
    <t>Lenovo 2022 Flagship IdeaPad 14 FHD IPS Laptop， Intel Quad Core i5-10210U (Upto 4.2 GHz， Beat i7-8665U)， 8GB RAM， 512GB PCIe SSD， UHD Graphics， Bluetooth， HDMI， Webcam， Windows 11+MarxsolAccessory</t>
  </si>
  <si>
    <t>Acumen Disc 1 to 7 SD Duplicator - Multiple Secure Digital &amp; MicroSD SDHC SDXC Micro Flash Drive Memory Card Copier &amp; Sanitizer (DOD Compliant) System - 35mb per Seconds</t>
  </si>
  <si>
    <t>Uniden BCD536HP HomePatrol Series Scanner with Wi-Fi， TrunkTracker V， Backlit Keypad &amp; LCD， Control Channel Only Scanning， S.A.M.E. Weather Alert， USA/Canada Radio Database</t>
  </si>
  <si>
    <t>Microsoft Surface Pro X， 13 PixelSense Touchscreen Display， SQ1， 8GB Memory， 256GB Solid State Drive， Qualcomm Adreno 685 GPU， Windows 10 Pro， E8A-00001， Platinum (Renewed)</t>
  </si>
  <si>
    <t>New Model  with inbuilt webcam hp School connect HP 22-c0063w AIO 22" FullHD Celeron G4900T 2.9GHz 8GB RAM Choose 500 GB SSD/240GB/ 1TB HDD Win 11 in HP original Box/ 1 year warranty with new keyboard</t>
  </si>
  <si>
    <t>HP Pavilion Laptop (2022 Model)， 15.6’’ HD Display， Intel Celeron Quad-Core Processor， 16GB DDR4 RAM， 1TB SSD， Online Conferencing， Webcam， HDMI， Bluetooth， WiFi， Windows 11， Scarlet Red</t>
  </si>
  <si>
    <t>LENOVO ThinkCentre M910q Tiny Desktop Intel Core i7-7700T 2.90GHz 8-32GB DDR4 256/512GB NVMe SSD WiFi HDMI Win10Pro Used- LeInfotech</t>
  </si>
  <si>
    <t>212A Toner Cartridge 4 Pack Compatible Replacement for HP 212A 212X W2120A W2120X for HP Color Enterprise M555dn M554dn M555x MFP M578f M578dn Flow MFP M578c M578z Printer (Black Cyan Yellow Magenta)</t>
  </si>
  <si>
    <t>APC UPS 1500VA Battery Backup Surge Protector， BR1500G Backup Battery Power Supply with AVR &amp; UPS 1000VA UPS Battery Backup and Surge Protector， BX1000M Backup Battery Power Supply</t>
  </si>
  <si>
    <t>OKD Bar Cabinet， Mid Century Modern Kitchen Hutch Storage Cabinet with Wine and Glass Rack， Storage Shelves， and Drawers， Buffet Sideboard Cabinet for Home Kitchen， Dining Room， Cherry</t>
  </si>
  <si>
    <t>Lenovo 15.6 IdeaPad 1 Laptop， AMD Dual-core Processor， 15.6 HD Anti-Glare Display， Wi-Fi 6 and Bluetooth 5.0， HDMI， Windows 11 Home in S Mode(20GB RAM | 1TB SSD)</t>
  </si>
  <si>
    <t>MoNiBloom Large Multi-Tier Shoe Storage Cabinet with Shutter Doors， Bamboo Shoe Floor Storage Organizer Rack for 31-35 Pairs Entryway Hallway Mudroom， Brown</t>
  </si>
  <si>
    <t>HP 2022 15.6 HD BrightView Laptop， Intel Pentium Silver N5030 Processor， 8GB RAM， 256GB PCIe SSD， Intel HD Graphics 605， 720p HD Webcam， Stereo Speakers， Silver， Windows 11， 32GB USB Card</t>
  </si>
  <si>
    <t>Apple iPad mini 7.9 inches (Early 2019 ) 256GB， WiFi Only - Space Gray (Renewed)</t>
  </si>
  <si>
    <t>Dell Latitude 7490 Intel Core i7-8650U 16GB DDR4 RAM， 512GB SSD 14 FHD Windows 10 Pro Laptop (Renewed)</t>
  </si>
  <si>
    <t>Apple iPhone 14 Plus， 128GB， (PRODUCT) Red - Unlocked (Renewed)</t>
  </si>
  <si>
    <t>Apple iPhone 11 Pro Max， 64GB， Space Gray - Unlocked (Renewed)</t>
  </si>
  <si>
    <t>Samsung Galaxy S21+ 5G， US Version， 128GB， Phantom Black - Unlocked (Renewed)</t>
  </si>
  <si>
    <t>Kyocera DuraForce Ultra 5G UW E7110 | Ultra Rugged 5G Smartphone for Use on The Verizon Wideband Network in Black (Renewed)</t>
  </si>
  <si>
    <t>Apple iPhone XR， 64GB， Black for T-Mobile (Renewed)</t>
  </si>
  <si>
    <t>Omega Speedmaster ’57 Co-Axial Chronograph</t>
  </si>
  <si>
    <t>Omega Men’s 31130423001005 Speedmaster Analog Display Mechanical Hand Wind Silver with Black Dial Watch</t>
  </si>
  <si>
    <t>Omega Seamaster Planet Ocean Automatic Mens Watch 215.30.44.21.03.001</t>
  </si>
  <si>
    <t>Omega Speedmaster 38 Chronograph Men’s Watch 324.30.38.50.01.001</t>
  </si>
  <si>
    <t>Omega Men’s 326.32.40.50.06.001 Speed Master Racing Analog Display Swiss Automatic Black Watch</t>
  </si>
  <si>
    <t>CASIO G-SHOCK GMW-B5000V-1JR Radio Solar Watch (Japan Domestic Genuine Products)</t>
  </si>
  <si>
    <t>Hamilton American Classic Intra-Matic Mechanical Chronograph H Watch 40mm Case， Black Dial， Black Leather Strap (Model: H38429730)</t>
  </si>
  <si>
    <t>Seiko Prospex Turtle Diver 2020 Model SPB151J1</t>
  </si>
  <si>
    <t>Luminox Men’s 9441 P-38 Lightning 9420 Series Analog Display Analog Quartz Black Watch</t>
  </si>
  <si>
    <t>Men’s Hamilton Khaki Field Titanium Watch H70575733</t>
  </si>
  <si>
    <t>Hamilton Men’s H42415731 Timeless Classic Analog Display Swiss Automatic Black Watch</t>
  </si>
  <si>
    <t>Hamilton Khaki Aviation X-Wind GMT Swiss Chronograph Quartz Watch 46mm Case， Blue Dial， Silver Stainless Steel Bracelet (Model: H77922141)</t>
  </si>
  <si>
    <t>Seiko Prospex Alpinist Limited Model SBDC091 Made in Japan</t>
  </si>
  <si>
    <t>SEIKO PROSPEX Mens Save The Ocean Diver’s 200MSamurai Wave Blue Watch SRPD09K1</t>
  </si>
  <si>
    <t>CASIO G-SHOCK Grossy Black Series GW-M5610BB-1JF men’s Japan Import</t>
  </si>
  <si>
    <t>[Casio] Watch G-Shock Bluetooth Equipped Radio Solar GMW-B5000GD-4JF Men’s Pink Gold</t>
  </si>
  <si>
    <t>Luminox Mens Navy Seal Red Rubber Strap Black Dial Military Dive Watch</t>
  </si>
  <si>
    <t>Hamilton Jazzmaster Intra-Matic Automatic Men’s Watch H38735501</t>
  </si>
  <si>
    <t>Lum-Tec Comat B45 GMT Wrist Watch Beige | Nylon Strap</t>
  </si>
  <si>
    <t>Seiko Prospex Monster Stainless Steel Blue Dial</t>
  </si>
  <si>
    <t>Casio G-shock Love The Sea and The Earth GW-9405KJ-5JR Limited Edition Mens</t>
  </si>
  <si>
    <t>Luminox Men’s Wrist Watch Scott Cassell Deep Dive 1551: 45mm Black Display Stainless Steel Case Back 300 M Water Resistant</t>
  </si>
  <si>
    <t>SAMSUNG Galaxy Watch Pro 5 45mm LTE Smartwatch w/ Body， Health， Fitness and Sleep Tracker， Improved Battery， Sapphire Crystal Glass， GPS Route Tracking， Titanium Frame， US Version， Black</t>
  </si>
  <si>
    <t>SEIKO Prospex Special Edition SRPG21 Black Silicone Automatic Diver’s Watch</t>
  </si>
  <si>
    <t>SEIKO Men’s Pilot Watch Alarm Chronograph</t>
  </si>
  <si>
    <t>SEIKO SRPF03 Prospex Men’s Watch Silver-Tone 44mm Stainless Steel</t>
  </si>
  <si>
    <t>Luminox Men’s 3052 Colormark Navy Seal Black Resin Watch</t>
  </si>
  <si>
    <t>Luminox Atacama Adventurer Field XL.1764 Mens Watch 42mm - Military Watch in Silver/Blue Date Function 200m Water Resistant Sapphire Glass</t>
  </si>
  <si>
    <t>Luminox Bear Grylls Survival XB.3729 Mens Watch 42mm - Military Watch in Black Date Function 200m Water Resistant</t>
  </si>
  <si>
    <t>BOSS Men’s Stainless Steel Quartz Watch with Silicone Strap， Black， 22 (Model: 1513716)</t>
  </si>
  <si>
    <t>Luminox Atacama Adventurer Field XL.1768 Mens Watch 42mm - Automatic Watch in Braun Date Function 200m Water Resistant Sapphire Glass</t>
  </si>
  <si>
    <t>TAKA Jewellery Cresta Diamond Necklace 9K</t>
  </si>
  <si>
    <t>Luminox 3051 BLACKOUT EVO Navy SEAL Swiss Dive Watch</t>
  </si>
  <si>
    <t>Timex Men’s Navi XL Automatic 41mm Watch – Black Stainless Steel Case &amp; Dial Blue-Black Top Ring with Black Genuine Leather Strap</t>
  </si>
  <si>
    <t>SWAROVSKI Angelic Crystal Jewelry Collection， Rose Gold &amp; Gold Tone Finish</t>
  </si>
  <si>
    <t>Swarovski Lucent Single Crystal Earring Jewelry Collection</t>
  </si>
  <si>
    <t>Luminox Leatherback SEA Turtle Giant XS.0323.L 44mm - Military Watch in Black/Blue Date Function 100m Water Resistant</t>
  </si>
  <si>
    <t>Swarovski Curiosa Necklace and Earrings Jewelry Collection， Pink Crystals</t>
  </si>
  <si>
    <t>SWAROVSKI Atlantic Puffins Figurine Dark Multi One Size</t>
  </si>
  <si>
    <t>Men’s SNK805 SEIKO 5 Automatic Stainless Steel Watch with Green Canvas</t>
  </si>
  <si>
    <t>FEICE Unisex Square Watch Men’s Bauhaus Automatic Watch Mechanical Watches Analog Wristwatch -Sapphire Mirror -34mm Case -FM301</t>
  </si>
  <si>
    <t>Casio G-Shock G Shock GM-5600LC-7JF [G-Shock Precious Heart Selection] Men’s Watch Shipped from Japan Nov 2022 Model</t>
  </si>
  <si>
    <t>SWAROVSKI Women’s Millenia Pierced Hoop Earring Collection， Rhodium Finish， Clear Crystals</t>
  </si>
  <si>
    <t>OLEVS Mens Leather Watches Automatic Mechanical Skeleton Tourbillon Diamond Luxury Self Winding Dress Wrist Watches Moon Phase Waterproof Luminous</t>
  </si>
  <si>
    <t>Timex Dress Watch (Model: TW2U78400VQ)</t>
  </si>
  <si>
    <t>Swarovski Stone Bangle Bracelet Collection， Clear Crystals， Pink Crystals</t>
  </si>
  <si>
    <t>Swarovski Aladdin Abu Figurine with Multicolored Swarovski Crystals， Part of the Swarovski Aladdin Collection</t>
  </si>
  <si>
    <t>Kendra Scott Texas Pendant Necklace</t>
  </si>
  <si>
    <t>Casio DW-5600CA-2JF [G-Shock DIAL CAMO Utility Series] Watch Shipped from Japan Jan 2022 Released</t>
  </si>
  <si>
    <t>Swarovski Women’s Sparkling Dance Jewelry Collection， Rhodium Finish， Green Crystals， Clear Crystals</t>
  </si>
  <si>
    <t>CASIO Men’s Watch G-SHOCK DW-5600M-8JF</t>
  </si>
  <si>
    <t>CASIO G-Shock DW-5700TH-1JF [Throwback 1990s]</t>
  </si>
  <si>
    <t>LOREO Mens Silver Stainless Steel Sapphire Glass Black Rotating Bezel Men’s Automatic Watch</t>
  </si>
  <si>
    <t>Invicta Men’s 25852 Pro Diver Analog Display Quartz Gold Watch</t>
  </si>
  <si>
    <t>SWAROVSKI Jewelry Glowing Moon Necklace， Black</t>
  </si>
  <si>
    <t>JACH 104 Convertible Modular Sectional Sofa， Minimalist Mid-Century Velvet Sofas Couches， Luxury Modern 3-Seat Wide Couch Sectional for Living Room Bedroom Office Apartment (Green)</t>
  </si>
  <si>
    <t>MELLCOM Soft Linen Fabric Couch with Double Wide Chaise Lounge， Modern U-Shape Sectional Sofa Couch with Modern Metal Feet for Apartment Living Room， Blue</t>
  </si>
  <si>
    <t>LEVNARY Velvet Sectional Sofa with Chaise Lounge， Pull Out Sofa Bed Tufted Upholstered 3 Seater Sleeper Sofa with Thick Cushion， 78 Inch L-Shaped Couch for Living Room Home (Gray)</t>
  </si>
  <si>
    <t>CHITA Mid-Century Sofas Furniture 73.2’’W Faux Leather Sofa Couch Sets for Living Room Apartment， Cognac Brown</t>
  </si>
  <si>
    <t>Devion Furniture 83 Wide Reversible Fabric Sleeper Sofa Bed &amp; Storage Chaise-Dark Gray</t>
  </si>
  <si>
    <t>NOSGA Modern Chesterfield Fabric 3 Seater Couch Furniture， Deep Button Tufted Chesterfield Velvet Sofa with Scroll Arms， Upholstery Nailhead Trim Sofa Couches for Living Room(Grey)</t>
  </si>
  <si>
    <t>Lilola Home Reversible Sleeper Sectional Sofa with Storage Chaise and Pocket， Dark Gray</t>
  </si>
  <si>
    <t>Chanel Sublimage L’Essence Fondamentale 40ml</t>
  </si>
  <si>
    <t>Chanel Sublimage Le Fluide Ultimate Skin Regeneration Serum</t>
  </si>
  <si>
    <t>Chanel Sublimage La Lotion Supreme Ultimate 4.2-ounce Skin Regeneration</t>
  </si>
  <si>
    <t>CHANEL Moisturisers Le Lift Creme Riche， 1.7 Oz</t>
  </si>
  <si>
    <t>SISLEY Intensive Serum with Tropical Resins， 1 Ounce， 30/intensive serum with tropical resins - for (3473311415905)</t>
  </si>
  <si>
    <t>Sisley Phyto-Teint No. 2 Soft Beige Expert Foundation for Women， 1 Ounce</t>
  </si>
  <si>
    <t>SISLEY Black Rose Precious Face Oil， 0.84 Oz</t>
  </si>
  <si>
    <t>Sisley Women’s Phyto-Touche Sun Glow Gel， 1 Ounce</t>
  </si>
  <si>
    <t>sisley paris Restorative Body Cream for Women， 6.7 Ounce</t>
  </si>
  <si>
    <t>CHANEL Hydra Beauty Gel Crème 50g/1.7 OZ</t>
  </si>
  <si>
    <t>Chanel Vitalumiere Aqua Ultra Light Skin Perfecting Makeup SPF 15-30 ml， No.40 Beige</t>
  </si>
  <si>
    <t>SK II Facial Treatment Mask - 6 Sheets</t>
  </si>
  <si>
    <t>Dermalogica Multivitamin Power Recovery Masque (2.5 Fl Oz) Anti-Aging Face Mask with Vitamin C &amp; Lactic Acid - Restore and Repair Stressed， Aging Skin</t>
  </si>
  <si>
    <t>Sisley Botanical Buff &amp; Wash Facial Gel， 3.3-Ounce Tube</t>
  </si>
  <si>
    <t>Dr. Christopher’s MindTrac 16oz Pwd</t>
  </si>
  <si>
    <t>Sisley Phyto Eye Twist Waterproof Eyeshadow， 1 Topaze， 0.05 Ounce</t>
  </si>
  <si>
    <t>Sisley Botanical Floral Toning Lotion Alcohol-Free 8.4 Ounce</t>
  </si>
  <si>
    <t>Caudalie Instant Detox Clay Mask - Cleanse and visibly tighten pores in 10 minutes， 2.5 oz.</t>
  </si>
  <si>
    <t>IMAGE Skincare， AGELESS Total Resurfacing Masque， Anti-Aging Exfoliating Smoothing Facial Mask， 2 oz</t>
  </si>
  <si>
    <t>[Apptoys Smart Palette] - 1000+ Painting Content l 4-10 Years STEM Toys l Learning Painting Games | Interactive Painting Games | Gifts for Kids (Works with iPads， iPhones， Samsung tabs/Phones 6.0+)</t>
  </si>
  <si>
    <t>SISLEY Sisleya Global Anti Age Cream Extra Rich for Dry Skin 50ml/1.7oz</t>
  </si>
  <si>
    <t>MSI WF66 11UJ-267 Workstation Laptop (Intel i7-11800H 8-Core, 32GB RAM, 2TB SATA SSD, RTX A2000, 15.6" 60Hz Full HD (1920x1080), WiFi, Bluetooth, Backlit KB, Win 10 Pro) with WD19S 180W Dock</t>
  </si>
  <si>
    <t>HUGO #First Men’s Quartz Stainless Steel and Link Bracelet Casual Watch， Color: Black (Model: 1530187)</t>
  </si>
  <si>
    <t>Dell Optiplex 3000 MFF Business Desktop， 12th Gen Intel Core i5-12500T， 16GB RAM， 512GB PCIe SSD， HDMI， Displayport， RJ-45， Wired Keyboard&amp;Mouse， Wi-Fi 6， Windows 11 Pro， Black，16GB RAM | 512GB SSD</t>
  </si>
  <si>
    <t>SWAROVSKI Dazzling Swan Jewelry Collection， Blue Crystals， Pink Crystals， Clear Crystals</t>
  </si>
  <si>
    <t>Apple iPad Pro 2018 (11-inch， Wi-Fi + Cellular ， 1TB) - Space Gray - (Renewed)</t>
  </si>
  <si>
    <t>SAMSUNG Galaxy S23 Cell Phone， Factory Unlocked Android Smartphone， 256GB Storage， 50MP Camera， Night Mode， Long Battery Life， Adaptive Display， US Version， 2023， Green</t>
  </si>
  <si>
    <t>Rawlings | HEART OF THE HIDE Baseball Glove | Lightweight HYPERSHELL &amp; SPEEDSHELL Models | Multiple Styles</t>
  </si>
  <si>
    <t>Sidi Men’s Ergo 5 Carbon Scape Cycling</t>
  </si>
  <si>
    <t>Giro Scheme， Men’s Shoes</t>
  </si>
  <si>
    <t>SK-II Facial Treatment Mask， 6 ct.</t>
  </si>
  <si>
    <t>Anni Pinstripe Shirt</t>
  </si>
  <si>
    <t>Fiona Cotton Midi Dress</t>
  </si>
  <si>
    <t>Zara Women's Fruit Print Midi Dress</t>
  </si>
  <si>
    <t>Marcella Women's Yvonne Square Neck Jersey Top</t>
  </si>
  <si>
    <t>Connected Apparel Bell Sleeve Faux Wrap Dress Women's</t>
  </si>
  <si>
    <t>Ae Embroidered Peplum Top</t>
  </si>
  <si>
    <t>Lilly Pulitzer Women's Kristen Swing Dress</t>
  </si>
  <si>
    <t>Express Men's Quilted Bomber Jacket</t>
  </si>
  <si>
    <t>Izod Men's Holiday Button Mockneck Sweater</t>
  </si>
  <si>
    <t>Jos. A. Bank Men's Traveler Collection Slim Fit Check Dress Shirt</t>
  </si>
  <si>
    <t>Men's Casual Minimalist Long Sleeve Blazer and Pants Set</t>
  </si>
  <si>
    <t>Fashion Nova Men's Time to Shine Long Sleeve Button Up Shirt</t>
  </si>
  <si>
    <t>Express Men's Loose Brushed Fleece Hoodie</t>
  </si>
  <si>
    <t>INTO THE AM Men's Lightweight Hoodie Shirts s</t>
  </si>
  <si>
    <t>NZXT H7 Flow Mid-Tower Case CM-H72F</t>
  </si>
  <si>
    <t>Phanteks XT Pro Ultra Gaming Chassis</t>
  </si>
  <si>
    <t>YardGames Giant Tumbling Timbers Stacking &amp; Giant 4 in A Row Outdoor Game Bundle</t>
  </si>
  <si>
    <t>Best Choice Products Adjustable Regulation-Size Basketball Hoop</t>
  </si>
  <si>
    <t>Outdoor Gear Kids' Crest Snow Pants</t>
  </si>
  <si>
    <t>Hall of Games 2-in-1 Basketball and Baseball Pitchback Training Game</t>
  </si>
  <si>
    <t>Academy Sports + Outdoors Football Agility Training Kit</t>
  </si>
  <si>
    <t>Citizen Women's Watch Drive POV EM0234-59D</t>
  </si>
  <si>
    <t>Kate Spade Monroe Heart Stainless Steel Ring Watch</t>
  </si>
  <si>
    <t>Fossil Women's Karli Three-Hand Stainless Steel Watch</t>
  </si>
  <si>
    <t>Anne Klein Women's Premium Crystal Bangle Watch and Bracelet Set</t>
  </si>
  <si>
    <t>PopSockets PopGrip</t>
  </si>
  <si>
    <t>Skyline Case</t>
  </si>
  <si>
    <t>Tzumi Flexiview Hands-Free Smartphone Holder</t>
  </si>
  <si>
    <t>IKEA KRUBBET Holder for Mobile Phone</t>
  </si>
  <si>
    <t>Syncwire Cell Phone Ring Holder Stand 360 Degree Rotation Finger Ring Kickstand Polished Metal Phone Grip for Magnetic Car Mount Compatible</t>
  </si>
  <si>
    <t>FORNO Maderno 60-Inch 2-Piece Convertible Built-In Refrigerator/Freezer with Decorative Grill</t>
  </si>
  <si>
    <t>Revolution InstaGLO R180 Toaster</t>
  </si>
  <si>
    <t>Our Place Wonder Oven 6-in-1 Air Fryer &amp; Toaster</t>
  </si>
  <si>
    <t>GE 30 Freestanding Gas Range</t>
  </si>
  <si>
    <t>Ashley Furniture Colburn Wall Sconce</t>
  </si>
  <si>
    <t>Mueller Home Mueller Retro Toaster</t>
  </si>
  <si>
    <t>Electrolux 4 Pc. Stainless Steel French Door Kitchen Package</t>
  </si>
  <si>
    <t>West Bend QuikServe 2-Slice Toaster</t>
  </si>
  <si>
    <t>OMI WellBeauty Hair Nutrition Supplement</t>
  </si>
  <si>
    <t>Olly Heavenly Hair</t>
  </si>
  <si>
    <t>Volumizing Biotin Shampoo and Conditioner Set Sulfate Free Shampoo and Conditioner for Dry Damaged Hair Care</t>
  </si>
  <si>
    <t>Vegamour GRO Hair Serum &amp; Biotin Gummies Set for Thinning Hair</t>
  </si>
  <si>
    <t>Fenty Beauty by Rihanna The Comeback Kid Instant Damage Repair Hair Treatment</t>
  </si>
  <si>
    <t>WelleCo The Hair Elixir</t>
  </si>
  <si>
    <t>Shiseido Fino Premium Touch Hair Oil</t>
  </si>
  <si>
    <t>Caruso's Hair Food 60 Tablets</t>
  </si>
  <si>
    <t>Nioxin Professional Hair Fall Defense Serum</t>
  </si>
  <si>
    <t>Moroccanoil Hydrating Shampoo</t>
  </si>
  <si>
    <t>60uP In Home Balance Board Program Training System for Seniors， Regain or Maintain Balance， Strength， Alignment， &amp; Neuro-Brain Connections</t>
  </si>
  <si>
    <t>JOROTO Indoor Cycling Bike Exercise Bike with 35 pounds Flywheel and 10.2 inch Large Ipad Holder (Chain Drive)</t>
  </si>
  <si>
    <t>Igloo BMX 72 Quart Cooler with Cool Riser Technology， Fish Ruler， and Tie-Down Points</t>
  </si>
  <si>
    <t>Troy Lee Designs A3 MIPS Helmet</t>
  </si>
  <si>
    <t>Sidi Dominator 10 MTB Shoes</t>
  </si>
  <si>
    <t>Giro Vanquish MIPS Adult Road Cycling Helmet</t>
  </si>
  <si>
    <t>Sidi Men’s Modern</t>
  </si>
  <si>
    <t>Dokotoo Womens Blouses Fashion Long Sleeve Shirts V Neck Business Casual Tops Spring Summer Outfits 2025</t>
  </si>
  <si>
    <t>Dokotoo Women's Elegant Bow Tie Deep V Neck Mini Dress</t>
  </si>
  <si>
    <t>Women's Trendy Crew Neck Puff Short Sleeve Sweater Top</t>
  </si>
  <si>
    <t>Michael Kors Women's Michael Single-Breasted Coat</t>
  </si>
  <si>
    <t>Fashion Nova Men's Attucks Quilted Nylon Shirt</t>
  </si>
  <si>
    <t>Azaro Uomo Men's Slim Fit Line Print Performance Button-Up Shirt</t>
  </si>
  <si>
    <t>Banana Republic Men's Luxury-Touch Crew</t>
  </si>
  <si>
    <t>Azaro Uomo Men's Slim Fit Geometric Button Down Shirt</t>
  </si>
  <si>
    <t>Legendary Whitetails Men's Buck Camp Corduroy Flannel Shirt</t>
  </si>
  <si>
    <t>Redragon K686 Wireless Mechanical Keyboard</t>
  </si>
  <si>
    <t>Corsair 2500D Airflow Mid-Tower Dual Chamber PC Case</t>
  </si>
  <si>
    <t>Logitech M325S Wireless Mouse</t>
  </si>
  <si>
    <t>FSP ATX Mid Tower PC Computer Gaming Case</t>
  </si>
  <si>
    <t>Corsair iCUE 5000D RGB Mid-Tower Case</t>
  </si>
  <si>
    <t>Logitech MK955 Signature Slim Wireless Keyboard and Mouse Combo</t>
  </si>
  <si>
    <t>Asus ExpertCenter D5 Tower Computer</t>
  </si>
  <si>
    <t>ASUS NUC 14 Pro+ Desktop Computer</t>
  </si>
  <si>
    <t>Logitech M185 Wireless Mouse</t>
  </si>
  <si>
    <t>Silverstone Technology GD07B Home Theater Computer Case with Lockable Aluminum F</t>
  </si>
  <si>
    <t>Susuchens Wireless Mouse Plug And Play Long Standby Time Ergonomic 6 Button Sensitive Computer Accessories Wireless 2.4GHz Wireless Optical Mouse for</t>
  </si>
  <si>
    <t>Okinos Genuine Walnut Wood PC Case Pre-Installed 4 x 120mm ARGB &amp; PWM Fans</t>
  </si>
  <si>
    <t>Asus SimPro Dock 2 Docking Station</t>
  </si>
  <si>
    <t>Logitech K380s Pebble Keys 2 Wireless Keyboard</t>
  </si>
  <si>
    <t>Wholesale Computer Hardware &amp; oftware barebone ystem 8GPU machine complete et with graphics card Other Computer Accessories,1 Piece</t>
  </si>
  <si>
    <t>Aigybobo Learning Toys for Toddlers 1 2 3 Year Old, 20 Pcs Pet Dog Toys for Kids, Animal Counting Matching Sorting Fine Motor Educational Playset,</t>
  </si>
  <si>
    <t>Little Tikes Cozy Coupe</t>
  </si>
  <si>
    <t>Kids Smart Phone Toy Christmas Birthday Gift Ages 3-10</t>
  </si>
  <si>
    <t>Gokeey Transformable Fidget Spinners 4 Pcs for Kids and Adults Stress Relief Sensory Toys for Boys and Girls Fingertip Gyros for ADHD Autism for</t>
  </si>
  <si>
    <t>Sportneer Sports Tent</t>
  </si>
  <si>
    <t>Jaypro Sports Recreational Outdoor Volleyball System</t>
  </si>
  <si>
    <t>Tory Burch Women's Oval Stainless Steel Watch</t>
  </si>
  <si>
    <t>Nine West Women's Silver-Tone Mesh Watch</t>
  </si>
  <si>
    <t>Fossil Women's Carlie Watch</t>
  </si>
  <si>
    <t>Halukakah 18K Gold Plated Diamond Watch</t>
  </si>
  <si>
    <t>SYNCWIRE for MagSafe Ring Holder Magnetic Phone Ring Holder Magnet Cell Phone Grip Finger Ring Kickstand Compatible with iPhone 15/14/13/12 Pro Max</t>
  </si>
  <si>
    <t>Borivilla Cell Phone Strap Crossbody Universal Phone Lanyard Adjustable Strap Compatible with Most Smartphones Aztech</t>
  </si>
  <si>
    <t>Crystal Mobile Phone Holder, Phone Holder, Crystal Phone Grip, Crystal Phone Holder, Mobile Accessories, Phone Accessories, 4.5cmWx3.5cmL</t>
  </si>
  <si>
    <t>roomwell E-Star 3.3 Cu Ft Mini Fridge without Freezer - AUTO DEFROST, Reversible Single Door, Glass Shelf Refrigerator - A Space-Saving Marvel for</t>
  </si>
  <si>
    <t>Nourish Beaute Premium Hair Growth Shampoo and Conditioner</t>
  </si>
  <si>
    <t>Meaningful Beauty by Cindy Crawford</t>
  </si>
  <si>
    <t>Canvas Beauty Hair Blossom Growth Serum</t>
  </si>
  <si>
    <t>HAIRtamin Advanced Formula</t>
  </si>
  <si>
    <t>Beaute Blossom Premium Hair Set</t>
  </si>
  <si>
    <t>Viviscal Women's Hair Growth Supplements</t>
  </si>
  <si>
    <t>The Beauty Co to The Roots Hair Growth Oil</t>
  </si>
  <si>
    <t>It Works! Hair, Skin, and Nails Supplement</t>
  </si>
  <si>
    <t>Function of Beauty Pro Bond Repair Custom Shampoo</t>
  </si>
  <si>
    <t>Does Not Apply Hair Growth Shampoo and Conditioner Set</t>
  </si>
  <si>
    <t>The Let Them Theory: A Life-Changing Tool That Millions of People Can't Stop Talking About</t>
  </si>
  <si>
    <t>The Gift (eBook)</t>
  </si>
  <si>
    <t>Kobo Nia EPD w/Carta display</t>
  </si>
  <si>
    <t>The Frozen River: A GMA Book Club Pick: A Novel</t>
  </si>
  <si>
    <t>Find Me: A Novel</t>
  </si>
  <si>
    <t>The Invincible - Sony PlayStation 5 [Digital Download]</t>
  </si>
  <si>
    <t>Disney•Pixar Up - Sony PlayStation 5 &amp; PlayStation 4 [Digital Download]</t>
  </si>
  <si>
    <t>Gran Turismo 7 25th Anniversary Digital Deluxe Edition - Sony PlayStation 5 &amp; PlayStation 4 [Digital Download]</t>
  </si>
  <si>
    <t>Apple Gift Card</t>
  </si>
  <si>
    <t>Apple Gift Card $50 - For all things Apple - Products, apps, games, music, movies &amp; more.</t>
  </si>
  <si>
    <t>Textable Apple E-Gift Card | GiftYa</t>
  </si>
  <si>
    <t>Apple Gift Card App Store Itunes-value:10.25.50. 100.for Us Only</t>
  </si>
  <si>
    <t>$500 USA Apple Gift Card (Email Delivery) | Card Delivery</t>
  </si>
  <si>
    <t>Apple iTunes Gift Card 5 USD iTunes Key NORTH AMERICA</t>
  </si>
  <si>
    <t>Apple iTunes Gift Card 30 USD iTunes Key NORTH AMERICA</t>
  </si>
  <si>
    <t>Me, Myself, and Why: Searching for the Science of Self</t>
  </si>
  <si>
    <t>All Rhodes Lead Here: A Novel</t>
  </si>
  <si>
    <t>A Taste of Home eBook</t>
  </si>
  <si>
    <t>Self-Love: A Gift You Give Yourself</t>
  </si>
  <si>
    <t>A Touch of Persuasion: A Billionaire Wilderness Romance [eBook]</t>
  </si>
  <si>
    <t>Nintendo Switch Online Month Membership Card</t>
  </si>
  <si>
    <t>Nintendo Switch Sports</t>
  </si>
  <si>
    <t>Nintendo eShop Digital Card</t>
  </si>
  <si>
    <t>Persona 5 Royal</t>
  </si>
  <si>
    <t>Mens adidas Trefoil Essentials Pants</t>
  </si>
  <si>
    <t>adidas Women's Essentials 3-Stripes Fleece Pants</t>
  </si>
  <si>
    <t>adidas Women's All Me Essentials Full-Length Leggings</t>
  </si>
  <si>
    <t>ASICS Men's Spiral Relax Embroidery Tee</t>
  </si>
  <si>
    <t>ASICS Men's GT 2160</t>
  </si>
  <si>
    <t>ASICS Men's EX89</t>
  </si>
  <si>
    <t>ASICS Men's MOBILITY KNIT PANTS</t>
  </si>
  <si>
    <t>ASICS Men's ACTIBREEZE Jacquard Short Sleeve Top</t>
  </si>
  <si>
    <t>ASICS Men's ACTIBREEZE Jacquard Jacket</t>
  </si>
  <si>
    <t>ASICS Women's Nature V-Neck Short Sleeve Tee</t>
  </si>
  <si>
    <t>Gymshark Vital Seamless Crop Top</t>
  </si>
  <si>
    <t>Gymshark Everyday Seamless Leggings</t>
  </si>
  <si>
    <t>Gymshark Vital Seamless 2.0 Leggings</t>
  </si>
  <si>
    <t>Gymshark Vital Seamless Scoop Neck Top</t>
  </si>
  <si>
    <t>Gymshark Lift Seamless Shorts</t>
  </si>
  <si>
    <t>Gymshark Crest Long Sleeve T-Shirt</t>
  </si>
  <si>
    <t>Gymshark Whitney Joggers</t>
  </si>
  <si>
    <t>Nike Women's Mid-Rise Twill Trousers</t>
  </si>
  <si>
    <t>Nike Women's Mid-Rise Oversized Club Fleece Sweatpants</t>
  </si>
  <si>
    <t>Nike Women's Mid-Rise Repel Asymmetrical-Waist Trousers</t>
  </si>
  <si>
    <t>Nike Women's Sportswear Tech Fleece Oversized Hoodie</t>
  </si>
  <si>
    <t>Nike Men's Air Poly-Knit Track Pants</t>
  </si>
  <si>
    <t>Nike Women's Zenvy High-Waisted Flared Leggings</t>
  </si>
  <si>
    <t>Reebok Classics Vector Track Jacket</t>
  </si>
  <si>
    <t>Reebok Women's Lux High Rise Leggings</t>
  </si>
  <si>
    <t>Reebok Women's Train Tri-Back Sports Bra</t>
  </si>
  <si>
    <t>Reebok High Waist Q4 Pants</t>
  </si>
  <si>
    <t>Reebok Men's Identity Fleece Over-the-Head Hoodie</t>
  </si>
  <si>
    <t>Fluidmaster PRO45K Complete Toilet Repair Kit</t>
  </si>
  <si>
    <t>Fluidmaster Duo Flush 550DFR</t>
  </si>
  <si>
    <t>Homfa Bathroom Storage Cabinet</t>
  </si>
  <si>
    <t>Large Bathroom Floor Cabinet with 4 Drawers and Single Door</t>
  </si>
  <si>
    <t>Homfa Bathroom Floor Storage Cabinet</t>
  </si>
  <si>
    <t>OVE Decors Gabi 48 in. Single Sink Bathroom Vanity</t>
  </si>
  <si>
    <t>Signature Hardware Claudia 48" Mahogany Single Basin Vanity Cabinet</t>
  </si>
  <si>
    <t>Hampton Bay Hampton Bathroom Vanity Base Cabinet</t>
  </si>
  <si>
    <t>Homfa Farmhouse Bathroom Cabinet</t>
  </si>
  <si>
    <t>Ktaxon Tall Storage Cabinet</t>
  </si>
  <si>
    <t>Ktaxon 3-Tier Bathroom Storage Shelf</t>
  </si>
  <si>
    <t>Ktaxon PVC Small Bathroom Storage Cabinet</t>
  </si>
  <si>
    <t>Ktaxon Wall Mounted Mirrored Medicine Cabinet</t>
  </si>
  <si>
    <t>Nispira Blue RF-99XX Water Filter Replacement</t>
  </si>
  <si>
    <t>Katadyn Micropur Purification Tablets</t>
  </si>
  <si>
    <t>PUR Plus Horizontal Faucet Mount Water Filtration System</t>
  </si>
  <si>
    <t>Pur PPT711 Water Filters Replacement Compatble by AquaCrest</t>
  </si>
  <si>
    <t>PUR PS971185 Water Filter by SpiroPure at AllFilters.com</t>
  </si>
  <si>
    <t>Pur Faucet Mount MineralClear Replacement Filter 3-pack</t>
  </si>
  <si>
    <t>PUR Faucet Mount Replacement Water Filter Basic 2 Pack</t>
  </si>
  <si>
    <t>Equate Hair Regrowth Treatment for Women 3 Month Supply USA, 2 Ounces</t>
  </si>
  <si>
    <t>Equate Beauty Eczema Relief Skin Protection Cream</t>
  </si>
  <si>
    <t>Equate Triple Action Joint Health Coated Tablets</t>
  </si>
  <si>
    <t>Hi Pro Pac Keratin Protein No-frizz Hair Intense Protein Treatment</t>
  </si>
  <si>
    <t>Neutrogena Adapalene Gel Acne Treatment</t>
  </si>
  <si>
    <t>Neutrogena Clear and Defend Rapid Gel</t>
  </si>
  <si>
    <t>Neutrogena Cellular Facial Treatment</t>
  </si>
  <si>
    <t>Neutrogena Bright Boost Gel Cream, 15g</t>
  </si>
  <si>
    <t>Neutrogena Hydro Boost Gel-Cream Extra-Dry Skin</t>
  </si>
  <si>
    <t>Neutrogena Intense Repair Cica Balm</t>
  </si>
  <si>
    <t>Neutrogena Ageless Intensives Anti-Wrinkle Deep Wrinkle Moisture Night Moisturizer</t>
  </si>
  <si>
    <t>Hydro Boost Water Gel Neutrogena</t>
  </si>
  <si>
    <t>Neutrogena Stubborn Marks PM Treatment</t>
  </si>
  <si>
    <t>Arm Hammer SLIDE Platinum Multi-Cat Easy Clean-Up Clumping Cat Litter, 14 Days of Odor Control 18 lb</t>
  </si>
  <si>
    <t>Arm &amp; Hammer for Pets Dental Water Additive for Dogs, Tartar Control | Dog Dental Care Reduces Plaque &amp; Tartar Buildup Without Brushing | 16 Ounces - 24 Pack, Odorless and Flavorless</t>
  </si>
  <si>
    <t>Arm &amp; Hammer Multiple Cat Litter Deodorizer with Baking Soda (3 Pack)</t>
  </si>
  <si>
    <t>ARM &amp; HAMMER HardBall Lightweight Easy No-Mess Scooping Garden Bloom Scent Platinum Multi-Cat Clumping Litter, 8.5LB Bag</t>
  </si>
  <si>
    <t>ARM &amp; HAMMER Hardball Lightweight Platinum Multi-Cat Easy, No-Mess Scooping, Clumping Cat Litter, 16.5LB Bag, Garden Bloom Scent, Online Exclusive Formula</t>
  </si>
  <si>
    <t>Arm &amp; Hammer Arm Hammer Ultra Last Unscented Clumping Cat Litter, MultiCat 18lb, Pet Friendly with Baking Soda</t>
  </si>
  <si>
    <t>ARM &amp; HAMMER Clump &amp; Seal Platinum Multi-Cat Complete Odor Sealing Clumping Cat Litter with 14 Days of Odor Control, 37 lbs, Online Exclusive Formula</t>
  </si>
  <si>
    <t>PetSafe Scoop Crystal Pro Automatic Self Cleaning Cat Litter Box (27.6x19.1x16), Comes with 1 Disposable Litter Tray (Grey)</t>
  </si>
  <si>
    <t>PetSafe ScoopFree Crystal Cat Litter &amp; Refill Tray, Fresh Scent, 4.3 Lb Bag with Each Tray, Pack of 3</t>
  </si>
  <si>
    <t>MidWest Homes for Pets Spree Travel Pet Carrier, Dog Carrier Features Easy Assembly and Not The Tedious Nut &amp; Bolt Assembly of Competitors, Ideal for Small Dogs &amp; Cats</t>
  </si>
  <si>
    <t>Medium Dog Crate | MidWest Life Stages 30" Folding Metal Divider Panel, Floor Protecting Feet, Plastic Tray 30L x 19W 21H Inches, Breed</t>
  </si>
  <si>
    <t>MidWest Homes for Pets Replacement Dog Crate Pan for MidWest and New World Dog Crate, 36 Inch (LS), Black</t>
  </si>
  <si>
    <t>PetSafe Original Replacement Flap, Dog Door Replacement Flaps (Medium), Doggie Flaps Made of Non-Toxic Material, Weather Resistant, (Size- Large)</t>
  </si>
  <si>
    <t>PetSafe Busy Buddy Bristle Bone, Medium, Helps Keep Your Dog's Teeth Clean, Long-Lasting Playtime</t>
  </si>
  <si>
    <t>PetSafe Replacement Collar Accessory Kit for In-Ground &amp; Wireless Dog Receiver Collars - Includes Short &amp; Long Contact Points, Level Covers, Hardware From the Parent Company of INVISIBLE FENCE Brand</t>
  </si>
  <si>
    <t>Aqueon 20 Gallon Long Aquarium</t>
  </si>
  <si>
    <t>Aqueon 10 Gallon LED Aquarium Kit</t>
  </si>
  <si>
    <t>Aqueon LED MiniBow 5 SmartClean Aquarium Kit</t>
  </si>
  <si>
    <t>Aqueon LED BettaBow 2.5 SmartClean Aquarium Kit</t>
  </si>
  <si>
    <t>Aqueon Deluxe LED Full Aquarium Hood</t>
  </si>
  <si>
    <t>Tetra 26445 Fauna Aquatic Reptile Heater For Frogs, Newts &amp; Turtles,100 Watt,green</t>
  </si>
  <si>
    <t>Gigglescape Activity Table</t>
  </si>
  <si>
    <t>Carolina Activity Table</t>
  </si>
  <si>
    <t>Guidecraft Kids' Sensory Table System</t>
  </si>
  <si>
    <t>Kelty Camp Galley Deluxe</t>
  </si>
  <si>
    <t>Coleman 4-Person Cabin Camping Tent with Instant Setup</t>
  </si>
  <si>
    <t>E-Z Up Camping Cube</t>
  </si>
  <si>
    <t>Ozark Trail 1-Person Lightweight Backpacking Tent, 82 In. X 51 In., 3.65 Lb. Carry Weight, Orange,</t>
  </si>
  <si>
    <t>Ozark Trail 3-Person Camping Dome Tent</t>
  </si>
  <si>
    <t>Ozark Trail, 21' X 15' X 78" 10-Person Family Camping Tent, 26.4 Lbs,</t>
  </si>
  <si>
    <t>Ozark Trail, 12' X 8', 6 Person Dome Camping Tent,</t>
  </si>
  <si>
    <t>Ozark Trail 8 Person Yurt Camping Tent</t>
  </si>
  <si>
    <t>Ozark Trail 8-Person Instant Hexagon Cabin Tent</t>
  </si>
  <si>
    <t>AutoDrive Carbon Fiber Car Floor Mats</t>
  </si>
  <si>
    <t>Auto Drive 2 Piece Car Seat Covers</t>
  </si>
  <si>
    <t>Auto Drive Alex Sporty Car Kit</t>
  </si>
  <si>
    <t>Armor All Car Seat Organizer 2-Pack</t>
  </si>
  <si>
    <t>Armor All 12 Compartment Trunk Organizer</t>
  </si>
  <si>
    <t>Armor All Universal Car Seat Gap Organizer 2-Pack</t>
  </si>
  <si>
    <t>Armor All Car Cleaning Kit 7-Piece Set</t>
  </si>
  <si>
    <t>Armor All Ultra Shine Protectant</t>
  </si>
  <si>
    <t>Gatorade Fit Electrolyte Beverage</t>
  </si>
  <si>
    <t>Gatorade Fruit Punch Thirst Quencher 24 Fld Oz Plastic Bottle</t>
  </si>
  <si>
    <t>Banquet Chicken Breast Tenders</t>
  </si>
  <si>
    <t>Banquet Chicken Fried Beef Steak Meal</t>
  </si>
  <si>
    <t>Banquet Basic Chicken Nuggets and Fries</t>
  </si>
  <si>
    <t>Banquet Mega Meals Country Fried Chicken</t>
  </si>
  <si>
    <t>Banquet Classic Spaghetti And Meatball, Easy-To-Prepare Meal (10 OZ, Pack Of 12)</t>
  </si>
  <si>
    <t>Banquet Classic Meatloaf Meal</t>
  </si>
  <si>
    <t>Banquet Mega Bowls Chicken Fried Beef Steak</t>
  </si>
  <si>
    <t>Bornstein Seafoods Shrimp Meat 350-500 Count</t>
  </si>
  <si>
    <t>Country Boy Gator Marinated Alligator Legs</t>
  </si>
  <si>
    <t>Whole Branzino | Mediterranean by Meat N' Bone</t>
  </si>
  <si>
    <t>Great Value Chunk Light Tuna in Water</t>
  </si>
  <si>
    <t>Fresh Wild Caught Colossal Prawns for Sale | All Fresh Seafood</t>
  </si>
  <si>
    <t>Dowinx Gaming Chair with Cat Ears and Massage Lumbar Support</t>
  </si>
  <si>
    <t>Dowinx Fabric Gaming Chair with Pocket Spring Cushion,Breathable Computer Chair with Massage Lumbar Support and Footrest,High Back Game Office Chair</t>
  </si>
  <si>
    <t>Dowinx RGB Gaming Chair with LED Lights, Ergonomic Computer Chair for Adults, Reclining Chair, Video Game Chair with Adjustable Lumbar Suppor,</t>
  </si>
  <si>
    <t>Dowinx Gaming Chair with Tech Fabric</t>
  </si>
  <si>
    <t>Dowinx 6657A Gaming Chair</t>
  </si>
  <si>
    <t>Dowinx Gaming Chair Ergonomic Racing Style Recliner with Massage Lumbar Support 4D armrests Gamer Chair for Computer PU Leather</t>
  </si>
  <si>
    <t>Fitmax Ipool Gym Chin Up Bar for Upper Body</t>
  </si>
  <si>
    <t>FitKicks Women's Active Footwear</t>
  </si>
  <si>
    <t>Inspire Fitness FTX Functional Trainer</t>
  </si>
  <si>
    <t>Ritkeep 2025 New Year Sale Functional Trainer 1500lb Capacity Multi-Function Adjustable Power Cage Combo Destroyer M10</t>
  </si>
  <si>
    <t>Fitvids LX750 Multifunctional Full Home Gym System Workout Station</t>
  </si>
  <si>
    <t>Fitvids Multifunctional Workout Equipment</t>
  </si>
  <si>
    <t>Fitvids Multifunctional Home Gym System Workout Station</t>
  </si>
  <si>
    <t>Fitvids Machine Power Rack Home Gym</t>
  </si>
  <si>
    <t>Gymshark Lift Seamless Leggings</t>
  </si>
  <si>
    <t>PcheeBum Pchee V-Waist Pocket Leggings</t>
  </si>
  <si>
    <t>Mountain Valley Seed Company Organic Rye Grain Plant Seeds</t>
  </si>
  <si>
    <t>Brighter Blooms Shademaster Honeylocust Tree</t>
  </si>
  <si>
    <t>Quaking Aspen Tree Seeds</t>
  </si>
  <si>
    <t>California Sycamore Tree Seeds (PLATANUS RACEMOSA) (Western Sycamore) (California Plane Tree)</t>
  </si>
  <si>
    <t>Royal Paulownia Tomentosa 1000+ Seeds, FASTEST GROWING TREE in the world</t>
  </si>
  <si>
    <t>CZ Grain Weeping Silver Birch Tree Plant Seeds</t>
  </si>
  <si>
    <t>S/M/L Unique Shape Wooden Dark Cat Puzzle Toy Jigsaw Pieces Smooth And Waterproof Puzzle Art Toys Gifts for Family Game</t>
  </si>
  <si>
    <t>M10 Dual-mode Mouse 2.4G bluetooth Compatible Mute Silent Wireless Mouse Chargeable for Laptop</t>
  </si>
  <si>
    <t>Jura GIGA 6 Aluminum Automatic Coffee Machine</t>
  </si>
  <si>
    <t>Acme Furniture 1 Drawer and 4 Doors Wood Server， Antique White</t>
  </si>
  <si>
    <t>Jura Expresso S8 Piano Black - 15381</t>
  </si>
  <si>
    <t>Jura E8 Automatic Coffee Machines 15271， 64Fl oz， Chrome</t>
  </si>
  <si>
    <t>Jura E8 Chrome Automatic Coffee Machine， 64oz</t>
  </si>
  <si>
    <t>Jura Z6 Automatic Coffee Machine， Aluminum (Renewed)</t>
  </si>
  <si>
    <t>Acme Furniture Sofa， Tan， Pattern Fabric &amp; Antique Oak</t>
  </si>
  <si>
    <t>Acme Furniture Upholstered Sofas， Tan/Brown/Espresso</t>
  </si>
  <si>
    <t>Acme Furniture Noralie Dining Table in Mirrored and Faux Diamonds</t>
  </si>
  <si>
    <t>Bridgevine Home TV Stand for 75 Inch TV， Entertainment Center for 75 Inch tv， tv Stand with Storage， Fully Assembled</t>
  </si>
  <si>
    <t>HONBAY Modular Sectional Sofa U Shaped Sectional Couch with Ottomans Reversible Modular Sofa 7 Seater Couch with Storage Seat， Grey</t>
  </si>
  <si>
    <t>ACME Furniture Rovledo Double Pedestal Dining Table， Cherry</t>
  </si>
  <si>
    <t>ACME Vendome Vanity Desk - 22009 - Cherry</t>
  </si>
  <si>
    <t>Jura E4 Piano Black Automatic Coffee Machine</t>
  </si>
  <si>
    <t>Acme Furniture DITA Entertainment Center， Walnut</t>
  </si>
  <si>
    <t>Acme Furniture Achelle Chair， 28 H x 48 W x 41 D， Black</t>
  </si>
  <si>
    <t>Modway Sanguine Vintage Glamour Channel Tufted Performance Velvet Upholstered Sofa in Gray</t>
  </si>
  <si>
    <t>Breville Barista Touch BES880BSS Stainless Steel Espresso Machine w/ Touchscreen Controls + Built-In Grinder + Knock Box Mini</t>
  </si>
  <si>
    <t>Breville Barista Touch Espresso Machine， 67 fluid ounces， Brushed Stainless Steel， BES880BSS</t>
  </si>
  <si>
    <t>Breville Smart Oven Pizzaiolo Pizza Oven， BPZ820BSS， Brushed Stainless Steel</t>
  </si>
  <si>
    <t>Ucloveria Sectional Sofa Couch， Upholstered L Shaped Sofa Couch， Sleeper Sofa Bed with 3 Sofa Pillows， 6 Seat Oversized Corner Sofa Couch with Chaise for Living Room， 88*88， Grey</t>
  </si>
  <si>
    <t>CECER U Shaped Modular Sectional Sofa， Convertible L Shaped Couch Sofa， Queen Sleeper Sofa， Variable Modular Oversized Couches for Living Room， (Beige)</t>
  </si>
  <si>
    <t>PHILIPS 3200 Series Fully Automatic Espresso Machine w/ LatteGo， Silver， EP3246/74</t>
  </si>
  <si>
    <t>Casa Andrea Milano Modern Large Velvet Fabric U-Shape Sectional Sofa， Double Extra Wide Chaise Lounge Couch， Royal Blue</t>
  </si>
  <si>
    <t>Devion Furniture Faux Leather Sectional Sofa with Ottoman in Black (Pillows Included)</t>
  </si>
  <si>
    <t>Mid Century Lounge Chair and Ottoman， Modern Chair Classic Design， Top White Grain Leather Palisander Wood， Heavy Duty Base Support for Living Room Study Lounge Office</t>
  </si>
  <si>
    <t>LINSY HOME Pull Out Sofa Bed， 2-in-1 Convertible Sleeper Couch with Memory Foam Mattress， Two Seat Loveseat Sleeper Sofa Bed for Living Room， Dark Grey， Full Size</t>
  </si>
  <si>
    <t>Café Affetto Automatic Espresso Machine + Milk Frother | Built-In &amp; Adjustable Espresso Bean Grinder | One-Touch Brew in 90 Seconds | Matte White， 1.2 Liter， (C7CEBBS4RW3)</t>
  </si>
  <si>
    <t>CHITA Mid-Century Sofas 74.4’’W Sofa Couch Sets for Living Room Apartment， Easy Assembly， Flax Beige</t>
  </si>
  <si>
    <t>Breville Polyscience HydroPro Plus Sous Vide Immersion Circulator， 1450 Watt， Bluetooth， Stainless， CSV750PSS1BUC1</t>
  </si>
  <si>
    <t>DM Furniture 360°Swivel Bar Stools Set of 4 Linen Fabric 27 Counter Height Barstools with Back/Wood Legs Upholstered Stool Chairs for Home/Kitchen Island/Breakfast Bar， Grey</t>
  </si>
  <si>
    <t>Lestar Fabric Sofa Couch 3 Seats Modern Upholstered Sofas 3 Seater Couches with Nails and Armrests (Beige)</t>
  </si>
  <si>
    <t>YDF Modern Fabric Loveseat Sofa with 2 USB Charging Ports， Suitable for Small Space Couch， Bedroom Living Room Small Apartment Sofa， Dark Gray</t>
  </si>
  <si>
    <t>Devion Furniture Russ Sectional Sleeper Sofa Bed， Light Gray</t>
  </si>
  <si>
    <t>Inodoro higiénico de alta temperatura, inodoro de baño, grifo de salud, fila de suelo, drenaje de pared, dorado, nuevo, 2022CD</t>
  </si>
  <si>
    <t>De’Longhi ESAM3300 Magnifica Super Automatic 14 cups Espresso &amp; Coffee Machine (Renewed)</t>
  </si>
  <si>
    <t>JULYFOX Yellow Velvet Fabric Sofa Couch， 70 inch Wide Mid Century Modern Living Room Couch 700lb Heavy Duty</t>
  </si>
  <si>
    <t>Rosevera Genevieve Upholstered Fine Polyester Collection Tufted Loveseat Couch， Contemporary Chesterfield Armrest，Sectional Sofa for Living Room Apartment， 3SEAT， Beige 3SEAT</t>
  </si>
  <si>
    <t>Tchibo Fully Automatic Coffee &amp; Espresso Machine with Two Whole Bean Coffee， 17.6 Ounce Bags - Revolutionary Single-Serve， Bean-To-Brew Coffee Maker - No Pods， No Waste</t>
  </si>
  <si>
    <t>Dell XPS 17 9720 Laptop 17 inch UHD+ Touchscreen Display， Intel Core i7-12700H， 16GB DDR5， 512GB SSD， NVIDIA GeForce RTX 3050， Killer Wi-Fi 6， Window 11 Pro， 1-Year Premium Support - Silver</t>
  </si>
  <si>
    <t>Pemberly Row 78 Farmhouse Wood Home Bar Unit Cabinet with Stemware Rack， Wine Rack for Dining Room Kitchen in Off White Dark Brown</t>
  </si>
  <si>
    <t>Eaton Tripp Lite Series 2200VA Smart UPS Back Up， Sine Wave， 1920W， 7 Outlets， 2U Rackmount， Extended Run &amp; Network Card Option， LCD， USB， DB9， 3-Year Warranty &amp; 250，000 Insurance (SMART2200RMXL2U)</t>
  </si>
  <si>
    <t>Apple 2022 12.9-inch iPad Pro (Wi-Fi， 256GB) - Space Gray (6th Generation)</t>
  </si>
  <si>
    <t>Dell XPS 8950 Desktop Computer - 12th Gen Intel Core i7-12700， 32GB DDR5 RAM， 512GB SSD + 1TB HDD， Intel UHD 770 Graphics， Killer Wi-Fi 6， Air Cooling， USB-C， Bluetooth， Windows 11 Pro - Black</t>
  </si>
  <si>
    <t>HP Envy 17t High Performance Laptop， 17.3 Full HD Touchscreen， Intel Core i7-1165G7 Processor， Intel Iris Xe Graphics， 16GB RAM， 1TB SSD， Backlit Keyboard， Wi-Fi 6， Windows 10 Home</t>
  </si>
  <si>
    <t>Lenovo ThinkPad T15 2th Gen 2 15.6 FHD(1920 x 1080) 300 Nits IPS Anti-Glare， i7-1165G7，16GB RAM， 512GB NVMe SSD， Backlit KYB， Fingerprint Reader， Win10Pro</t>
  </si>
  <si>
    <t>CyberPower PR1500RTXL2UN Smart App Sinewave UPS System， 1500VA/1500W， 8 Outlets， 2U Rack/Tower， RMCARD205 Pre-Installed， EBM Option， Black</t>
  </si>
  <si>
    <t>SAMSUNG 13.3” Galaxy Book2 Pro Laptop Computer， i7 / 8GB / 512GB， 12th Gen Intel Core Processor， Evo Certified， Lightweight， 2022 Model， Graphite</t>
  </si>
  <si>
    <t>Dell Inspiron 15 Touchscreen Laptop 2022 Newest， 15.6 FHD Display， 11th Gen Intel Core i7-1165G7 (up to 4.7 GHz)， 16GB RAM， 512GB PCIE SSD， Webcam， Bluetooth 5， HDMI， Windows 11， Black</t>
  </si>
  <si>
    <t>Elite Screens Aeon CineWhite A8K， 103 Diag， 16:9 Aspect Ratio， ISF Certified 8K Ultra HD Home Theater Fixed Frame Edge Free Projection Sound Transparent Perforated Weaved Screen， AR103H-A8K</t>
  </si>
  <si>
    <t>(ALLSTARS : We are Back/ Mini PC Promo) ASUS PN51 Ryzen7 5700U / PN51-S1-B-B7216MD +16GB 3200MHz+1TB NVME SSD+Unactivated MS Win10 Home (AMD Ryzen 7 5700U / Intel WiFi 6 / BT5.0 / 2.5G LAN / HDMI+DP /</t>
  </si>
  <si>
    <t>Dell Inspiron 5400 All-in-One Desktop， 23.8 FHD IPS Touchscreen， 11th Gen Intel Core i5-1135G7 Processor， Intel Iris Xe Graphics， Webcam， Wireless Mouse&amp;KB， Windows 11 (32GB | 1TB SSD)</t>
  </si>
  <si>
    <t>HP Victus 15.6 Gaming Laptop PC， NVIDIA GeForce RTX 3050 Ti， AMD Ryzen 7 5800H， Refined 1080p IPS Display， Compact Design， All-in-One Keyboard with Enlarged Touchpad， HD Webcam (15-fb0028nr， 2022)</t>
  </si>
  <si>
    <t>ProGrade Digital Memory Card - CFexpress Type B for Cameras | Optimized for Express Transfer of Files &amp; Large Storage | 650GB Cobalt Series</t>
  </si>
  <si>
    <t>HP 17.3ft HD+ Laptop， Intel Core i5-1135G7 Processor(&gt; i7-1065G7)， 16GB RAM， 512GB PCIe SSD， Backlit Keyboard， Iris Xe Graphics， HD Audio， Webcam， Win 10， Silver， 32GB USB Card， HP， Natural Silver</t>
  </si>
  <si>
    <t>2022 Newest Lenovo IdeaPad 3i Laptop， 17.3 HD+ Display， 11th Gen Intel Core i5-1135G7， Intel Iris Xe Graphics， 20GB RAM， 512GB PCIe SSD， WiFi， Webcam， Fingerprint Reader， Windows 11 Home， Blue</t>
  </si>
  <si>
    <t>UPS Uninterruptible Power Supply Pure Sine Wave 6kVA/5.4kW Single Phase Online UPS</t>
  </si>
  <si>
    <t>Brother MFC‐L8905CDW Business Color Laser All‐in‐One Printer， 7” Touchscreen Display， Duplex Print/Scan， Wireless</t>
  </si>
  <si>
    <t>【DELIVERY IN 24 HOURS】ASUS PN51-S1-B-B5215MD AMD Ryzen 5 5500U / HDMI / DP / WIFI 6 / Bluetooth 5.0 Barebone Mini PC (3YEARS WARRANTY)</t>
  </si>
  <si>
    <t>Digital Check TellerScan 240 Business Check Scanner (75 DPM with Inkjet) (Certified Refurbished)</t>
  </si>
  <si>
    <t>ASUS VivoBook Flip 14 Thin and Light 2-in-1 Laptop， 14” FHD Touch Display， AMD Ryzen 7 5700U， 8GB RAM， 512GB SSD， Stylus， Windows 10 Home， Fingerprint Reader， Bespoke Black， TM420UA-DS71T</t>
  </si>
  <si>
    <t>Projector Screen， Paris Rhône 100” 4K Ultra HD 16:9 Ambient Light Rejecting Fixed Frame ALR Projector Screen， Ceiling Light Rejecting Projection Screen for Ultra-Short Throw Projectors</t>
  </si>
  <si>
    <t>Aruba Instant On 1930 24-Port Gb Ethernet 24xGE PoE (370W)， 4X 1G/10G SFP+， L2+ Smart Switch US Cord (JL684A#ABA)</t>
  </si>
  <si>
    <t>Apple iPad Air (10.9-inch， Wi-Fi， 256GB) - Space Gray (Latest Model， 4th Generation) (Renewed)</t>
  </si>
  <si>
    <t>HP Pavilion 15.6 HD Laptop Computer， Intel Pentium Processor， 16GB RAM， 1TB SSD， Webcam， USB-C， HDMI， Ethernet RJ-45， WiFi， Includes 1-Year Microsoft 365， Windows 11 S， Scarlet Red， TiTac Card</t>
  </si>
  <si>
    <t>Lenovo IdeaPad 3 14 FHD Laptop， 11th Gen Intel 4-Core i7-1165G7， Intel Iris Xe Graphics， 12GB RAM， 512GB PCIe SSD， FP Reader， Webcam， USB-C， HDMI， SD Card Reader， WiFi 6， SPS HDMI Cable， Win 11 Home</t>
  </si>
  <si>
    <t>2022 Newest HP Laptop with Microsoft Office Included 1-Year， 15.6 HD Screen， AMD Athlon 3050U 16GB RAM 1TB SSD HDMI Port Webcam Gold White Windows 11 | College Student Bundle， ROKC HDMI Cable</t>
  </si>
  <si>
    <t>Dell 2022 Newest Inspiron 3511 Laptop， 15.6 FHD Touchscreen， Intel Core i5-1135G7， 16GB DDR4 RAM， 512GB PCIe SSD， SD Card Reader， Webcam， HDMI， Wi-Fi， Windows 11 Home， Black</t>
  </si>
  <si>
    <t>Acer Aspire Vero AV15-51-7617 Green PC | 15.6 FHD IPS 100% sRGB-Display | 11th Gen Intel Core i7-1195G7 | Intel Iris Xe Graphics | 16GB DDR4 | 512GB NVMe SSD | Wi-Fi 6 | PCR Materials | Vero-Sleeve</t>
  </si>
  <si>
    <t>RYDEEN TOMBO 360X Surround View 4K Dash Camera 10-inch Touchscreen Frameless Rearview Mirror with TFT Monitor w/Auto Brightness Day/Night， Backup Video-in， Backup Camera Included</t>
  </si>
  <si>
    <t>Dell Newest Inspiron 15 3511 Laptop， 15.6 FHD Touchscreen， Intel Core i5-1035G1， 12GB RAM， 256GB PCIe NVMe M.2 SSD， SD Card Reader， Webcam， HDMI， WiFi， Windows 11 Home， Black</t>
  </si>
  <si>
    <t>Dell Inspiron 15.6-inch Full HD Touch-Screen Intel i5-1035G1 12GB 256GB SSD Win 10 Laptop</t>
  </si>
  <si>
    <t>TiVo Edge for Antenna 500GB (Includes Service (AIP) a $449.99 Value)， Live， DVR and Streaming 4K UHD Media Player with Dolby Vision HDR and Dolby Atmos</t>
  </si>
  <si>
    <t>2022 Newest HP 14 Laptop， 14 HD IPS Display， AMD Ryzen 3 3250U Processor， AMD Radeon Graphics， 16GB RAM， 1TB SSD， USB Type-C， HDMI， Long Battery Life Up to 10 Hours， Windows 11 + Microfiber Cloth</t>
  </si>
  <si>
    <t>Dell Latitude 7490 14in FHD Touch Screen Notebook Laptop， Intel Core i7-8650U 16GB DDR4 RAM， 512GB SSD Windows 10 Pro Laptop (Renewed)</t>
  </si>
  <si>
    <t>Rugged Android 11 Handheld Barcode Scanner Touch Screen Mobile Computer Portable PDA 1D &amp; 2D Bar Code Reader Wi-Fi &amp; 4G LTE， for Warehouse Inventory Logistics &amp; Assets Tracking</t>
  </si>
  <si>
    <t>Apple 2021 10.2-inch iPad (Wi-Fi， 256GB) - Silver</t>
  </si>
  <si>
    <t>HP 2022 Newest 15.6’’ HD Laptop， Intel Quad-core Celeron N4120 Processor (Upto 2.6GHz)， 4GB RAM， 128GB SSD， HD Webcam， Wi-Fi 5， Bluetooth， Fast Charge， Windows 11 S+MarxsolCables， Natural Silver</t>
  </si>
  <si>
    <t>Apple iPhone 12 Pro， 256GB， Pacific Blue - Unlocked (Renewed Premium)</t>
  </si>
  <si>
    <t>Apple iPhone 14， 128GB， Midnight - Unlocked (Renewed)</t>
  </si>
  <si>
    <t>Apple iPhone 11 Pro， US Version， 256GB， Space Gray - Unlocked (Renewed)</t>
  </si>
  <si>
    <t>Nothing Phone1 5G Dual 256GB 8GB RAM Factory Unlocked Smartphone (GSM Only | No CDMA - not Compatible with Verizon/Sprint) – Black</t>
  </si>
  <si>
    <t>Apple iPhone 11， 64GB， White - Unlocked (Renewed Premium)</t>
  </si>
  <si>
    <t>Apple iPhone 8 Plus， 256GB， Space Gray - For AT&amp;T / T-Mobile (Renewed)</t>
  </si>
  <si>
    <t>Apple iPhone 8 4.7in， 256 GB， Fully Unlocked， Red (Renewed)</t>
  </si>
  <si>
    <t>Omega Men’s 326.30.40.50.03.001 Speed Master Racing Analog Display Swiss Automatic Silver Watch</t>
  </si>
  <si>
    <t>Omega Men’s 32630405003001 Speed Master Analog Display Automatic Self-Wind Silver-Tone Watch</t>
  </si>
  <si>
    <t>Omega Men’s 326.30.40.50.01.002 Speed Master Racing Analog Display Swiss Automatic Silver Watch</t>
  </si>
  <si>
    <t>Chrono-Matic 50 AUTO Chrono - Limited Edition</t>
  </si>
  <si>
    <t>SEIKO PROSPEX Great Blue Hole Special Edition Diver’s 200m Automatic Watch SPB083J1</t>
  </si>
  <si>
    <t>Hamilton Men’s H77706553 Analog Display Swiss Automatic Brown Watch</t>
  </si>
  <si>
    <t>Hamilton Men’s H32616553 Jazzmaster Silver-Dial Watch with Brown Band</t>
  </si>
  <si>
    <t>Luminox Men’s Master Carbon Seal Blue/Black 45mm Automatic Analog Dive Watch</t>
  </si>
  <si>
    <t>Luminox Master Carbon Seal Automatic XS.3875 Mens Watch 45mm - Military Dive Watch in Red/Black Date and Day Function 200m Water Resistant Sapphire Glass</t>
  </si>
  <si>
    <t>Hamilton American Classic Intra-Matic Swiss Automatic Watch 40mm Case， Beige Dial， Silver Stainless Steel Bracelet (Model: H38425120)</t>
  </si>
  <si>
    <t>Hamilton Watch American Classic Intra-Matic Auto 40mm Case， Beige Dial， Black Leather Strap (Model: H38425720)</t>
  </si>
  <si>
    <t>American Classic Intra-Matic Auto</t>
  </si>
  <si>
    <t>Luminox Master Carbon Seal 3801 Watch Set (Two Straps) 46mm</t>
  </si>
  <si>
    <t>SEIKO SPB210 Prospex Men’s Watch Brown 39.5mm Stainless Steel</t>
  </si>
  <si>
    <t>Luminox Bear Grylls Survival XB.3741 Mens Watch 45mm - Military Watch in Black Date Function Chronograph Compass 300m Water Resistant Sapphire Glass</t>
  </si>
  <si>
    <t>Casio GMW-B5000EH-1JR [G-Shock 40th Anniversary Limited Edition G-Shock x ERIC Haze Collaboration Model] Watch Shipped from Japan Oct 2022 Model</t>
  </si>
  <si>
    <t>Luminox ICE-SAR Arctic XL.1201 Mens Watch 46mm - Military Watch in Silver/Black Date Function 200m Water Resistant Sapphire Glass</t>
  </si>
  <si>
    <t>SEIKO SRPD27 Prospex Men’s Watch Black 42.4mm Stainless Steel</t>
  </si>
  <si>
    <t>Seiko Men’s Japanese Mechanical Automatic Watch</t>
  </si>
  <si>
    <t>Luminox X Volition Navy Seal Chronograph XS.3581.BO.VOL Mens Watch 45mm - Military Dive Watch in Black/Gray Camo Date Function 200m Water Resistant Sapphire Glass</t>
  </si>
  <si>
    <t>Seiko SBDL089 [PROSPEX SPEEDTIMER Solar Chronograph] mens Watch Shipped from Japan</t>
  </si>
  <si>
    <t>Kendra Scott White Diamond Heart Pendant Necklace in 14k Gold， Fine Jewelry for Women</t>
  </si>
  <si>
    <t>SEIKO SNE586 Prospex Men’s Watch Black 38.5mm Stainless Steel</t>
  </si>
  <si>
    <t>OLEVS Watch for Men Automatic Brown Leather Blue Face Mechanical Men Watch Skeleton Calendar Fashion Self Winding Wrist Watch Tourbillon Man Waterproof Watches Sapphire Crystal Diamond Luminous</t>
  </si>
  <si>
    <t>SEIKO SNJ025 Prospex Men’s Watch Black 47.8mm Stainless Steel</t>
  </si>
  <si>
    <t>Luminox Navy Seal Chronograph 3581</t>
  </si>
  <si>
    <t>Luminox Navy Seal Mens Watch Black Out (XS.3502.BO / 3500 Series): 200 Meter Waterproof + Light Weight Carbon Case and Band + Constant Night Visibility</t>
  </si>
  <si>
    <t>Luminox Navy Seal XS.3503.ND.L Mens Watch 45mm - Military Dive Watch in Blue/Green Date Function 200m Water Resistant</t>
  </si>
  <si>
    <t>SWAROVSKI Dextera necklace， Pavé， Statement， Mixed links， White， Rhodium plated</t>
  </si>
  <si>
    <t>Luminox G Patagonia Carbonox Mens Watch 43 mm - Military Watch Date Function 100m Water Resistant - Different Variations</t>
  </si>
  <si>
    <t>Luminox Men’s 3001 Quartz Navy Seal Dive Watch</t>
  </si>
  <si>
    <t>Seiko 5 Sports Men’s Automatic Watch</t>
  </si>
  <si>
    <t>Pagani Design Watches for Men Automatic GMT Watch Japan NH34 Movement Sapphire Glass Stainless Steel 40MM Super Luminous Waterproof Wrist Watch</t>
  </si>
  <si>
    <t>SUUNTO Core， Outdoor Sports Watch</t>
  </si>
  <si>
    <t>Swarovski</t>
  </si>
  <si>
    <t>Garmin 010-02173-11 Venu， GPS Smartwatch with Bright Touchscreen Display， Features Music， Body Energy Monitoring， Animated Workouts， Pulse Ox Sensor and More， Black</t>
  </si>
  <si>
    <t>SWAROVSKI Crystal Star Wars Ewok Wicket</t>
  </si>
  <si>
    <t>Casio] Watch G-Shock Radio Solar City Camouflage Series GAW-100CT-1AJF Men’s Black</t>
  </si>
  <si>
    <t>Swarovski Crystal Jewelry Sets， Necklace and Earring Collection</t>
  </si>
  <si>
    <t>Timex 32.5 mm Q LCA Timex Reissue Digital LCA Stainless Steel</t>
  </si>
  <si>
    <t>Swarovski Emily Tennis Bracelet Jewelry Collection， Clear Crystals， Blue Crystals， Pink Crystals (Amazon Exclusive)</t>
  </si>
  <si>
    <t>Swarovski Lifelong Bow Pierced Earrings White One Size</t>
  </si>
  <si>
    <t>SWAROVSKI Symbolic Hand OM Pendant Necklace Light Multi/Green One Size</t>
  </si>
  <si>
    <t>Swarovski Crystal Stone Rhodium-Plated Hoop Earrings</t>
  </si>
  <si>
    <t>SWAROVSKI Infinity Crystal Jewelry Collections， Rhodium &amp; Rose Gold Tone Finish</t>
  </si>
  <si>
    <t>Lyromix 3 in 1 Sofa Bed for Living Room， Convertible Loveseat Sleeper Full Size， Velvet Pull Out Couch with 2 Pillows &amp; Detachable Storage Bag， Black</t>
  </si>
  <si>
    <t>Signature Design by Ashley Darcy Casual Plush Sofa， Brown</t>
  </si>
  <si>
    <t>ACME Hutch &amp; Buffet， Cherry</t>
  </si>
  <si>
    <t>toyshi Eyelash LED Floor Light， Moon Floor Lamp， Ring Light for Lash Extension， Lighting for Beauty， Skincare， Lashes， Eyebrows， Filming Content Creation</t>
  </si>
  <si>
    <t>Sublimage Le Teint Ultimate Radiance Generating Cream Foundation by Chanel No 10 Beige</t>
  </si>
  <si>
    <t>Chanel Sublimage Le Teint Background Makeup， Plus Glass Jar and Brush 30 ml</t>
  </si>
  <si>
    <t>Qiounlse Tiffany Torchiere Floor Lamp Mission Style Stained Glass Shade 12 Standing Corner Torch Uplight Lamps 69 Tall Vintage Reading Light Fixture for Living Room Bedroom Office</t>
  </si>
  <si>
    <t>SISLEY Eye Contour Mask 30ml/1oz (10093)</t>
  </si>
  <si>
    <t>SISLEY Ecological Compound Day and Night (with Pump)， 2 Ounce</t>
  </si>
  <si>
    <t>ELEMIS Pro-Collagen Marine Cream | Lightweight Anti-Wrinkle Daily Face Moisturizer Firms， Smoothes， and Hydrates with Powerful Marine + Plant Actives</t>
  </si>
  <si>
    <t>UGWUIA Led Face Mask Light Therapy 7 Color Led Light Therapy Facial Mask Blue Red Light Therapy for Face Acne Reduction Skin Care Mask</t>
  </si>
  <si>
    <t>sisley paris Phyto Hydra Teint Beautifying Tinted Moisturizer SPF 15-03 Women Makeup 1.3 oz No.2 Medium</t>
  </si>
  <si>
    <t>Sisley Botanical Moisturizer with Cucumber， 1.5-Ounce Jar</t>
  </si>
  <si>
    <t>Sisley 3 Soft Beige</t>
  </si>
  <si>
    <t>DIME Beauty Super Firm Serum for Skin Tightening &amp; Firming， 1 Count</t>
  </si>
  <si>
    <t>Sand &amp; Sky Australian Pink Clay Porefining Mask for Blackheads， Enlarged Pores and Pigmentation</t>
  </si>
  <si>
    <t>toyshi Hidden Camera Detectors - Hidden Devices Detector， Bug Detector， Anti Spy Detector， GPS Tracker &amp; Listening Device Jammer， Hidden Camera Detector for Home Office Auto and Travel</t>
  </si>
  <si>
    <t>Fitterfirst Pro Fitter 3D Cross Trainer and Downhill Ski Trainer</t>
  </si>
  <si>
    <t>Apple iPhone 14 Pro Max， 256GB， Space Black - Unlocked (Renewed)</t>
  </si>
  <si>
    <t>Apple 2024 MacBook Air 15-inch Laptop with M3 chip: 15.3-inch Liquid Retina Display, 8GB Unified Memory, 256GB SSD Storage, Backlit Keyboard, 1080p FaceTime HD Camera, Touch ID; Midnight</t>
  </si>
  <si>
    <t>Apple 2024 MacBook Air 15-inch Laptop with M3 chip: 15.3-inch Liquid Retina Display, 8GB Unified Memory, 512GB SSD Storage, Backlit Keyboard, 1080p FaceTime HD Camera, Touch ID; Silver</t>
  </si>
  <si>
    <t>Apple 2024 MacBook Air 15-inch Laptop with M3 chip: 15.3-inch Liquid Retina Display, 16GB Unified Memory, 512GB SSD Storage, Backlit Keyboard, 1080p FaceTime HD Camera, Touch ID; Silver</t>
  </si>
  <si>
    <t>Apple 2023 MacBook Pro Laptop M3 Pro chip with 12‑core CPU, 18‑core GPU: 16.2-inch Liquid Retina XDR Display, 18GB Unified Memory, 512GB SSD Storage. Works with iPhone/iPad; Space Black</t>
  </si>
  <si>
    <t>Apple 2023 MacBook Pro Laptop M3 Pro chip with 12‑core CPU, 18‑core GPU: 16.2-inch Liquid Retina XDR Display, 36GB Unified Memory, 512GB SSD Storage. Works with iPhone/iPad; Silver</t>
  </si>
  <si>
    <t>Dell Alienware X16 Gaming Laptop (2023) | 16" FHD+ | Core i9-2TB SSD - 32GB RAM | 14 Cores @ 5.4 GHz - 13th Gen CPU Win 11 Home (Renewed)</t>
  </si>
  <si>
    <t>MSI WF66 11UJ-267 Workstation Laptop (Intel i7-11800H 8-Core, 64GB RAM, 512GB PCIe SSD + 2TB HDD, RTX A2000, 15.6" Full HD (1920x1080), WiFi, Bluetooth, Webcam, Win 10 Pro) with Loot Box</t>
  </si>
  <si>
    <t>Dell Precision 7000 7760 Workstation Laptop (2021) | 17.3" FHD | Core Xeon W - 2TB SSD + 2TB SSD - 128GB RAM - RTX A4000 | 8 Cores @ 5 GHz - 11th Gen CPU - 8GB GDDR6 Win 10 Pro (Renewed)</t>
  </si>
  <si>
    <t>Smith &amp; Wesson Men’s Watch， Tactical Tough Military Watch， Swiss Tritium， 20ATM Black Dial， Stainless Steel Caseback， Diver Watch， Metal and Rubber Straps， 42mm， Father’s Day Gift (Blue)</t>
  </si>
  <si>
    <t>Apple 2022 11-inch iPad Pro (Wi-Fi， 128GB) - Space Gray (4th Generation)</t>
  </si>
  <si>
    <t>3G Cardio Elite UB Upright Bike - Commercial Grade - Compact Footprint - Ultra Comfortable Seat - Magnetic Resistance - 350 LB User Capacity</t>
  </si>
  <si>
    <t>Apple 2022 iPad Air (10.9-inch， Wi-Fi + Cellular， 64GB) - Blue (5th Generation)</t>
  </si>
  <si>
    <t>REDMAGIC 8 Pro Smartphone 5G， 120Hz Gaming Phone， 6.8 Full Screen， Under Display Camera， 6000mAh Android Phone， Snapdragon 8 Gen 2， 12+256GB， 65W Charger， Dual-Sim， US Unlocked Cell Phone Black</t>
  </si>
  <si>
    <t>Fashion Nova Women's It's Always Casual Pant Set</t>
  </si>
  <si>
    <t>H&amp;M Ladies Loose-Fit Shacket</t>
  </si>
  <si>
    <t>SHEIN Women's Casual Set with Zip Front Long Sleeve T-Shirt and Flared Pants</t>
  </si>
  <si>
    <t>Lacoste Men's Waffle-Knit Thermal Sleep Shirt</t>
  </si>
  <si>
    <t>INCERUNMEN Men's Loose Fit Pullover Two-Piece Outfit</t>
  </si>
  <si>
    <t>Polo Ralph Lauren Men's Estate Rib Quarter Zip Pullover</t>
  </si>
  <si>
    <t>HP All-in-One Computer</t>
  </si>
  <si>
    <t>NZXT H5 Flow ATX Mid-Tower Case</t>
  </si>
  <si>
    <t>Dell OptiPlex Small Form Factor Desktop Computer</t>
  </si>
  <si>
    <t>NZXT H5 Flow ATX Mid-Tower Case CC-H51FW-R1</t>
  </si>
  <si>
    <t>Laptop Computer with FHD Win 11 and Beat i3 1115G4</t>
  </si>
  <si>
    <t>MSI Cubi NUC 1M-007US</t>
  </si>
  <si>
    <t>Corsair iCUE Link 2500X RGB Micro ATX Dual Chamber PC Case</t>
  </si>
  <si>
    <t>Samsung Essential S3 24 FHD 1800R Curved Computer Monitor</t>
  </si>
  <si>
    <t>HP 14-dq0020nr 14 Notebook Intel Celeron N4020</t>
  </si>
  <si>
    <t>Best Buy Essentials Full-Size Wireless Membrane Keyboard and Mouse Bundle</t>
  </si>
  <si>
    <t>HP Desktop AMD Ryzen 3</t>
  </si>
  <si>
    <t>Frogg Toggs Men's All Sport Rain Suit</t>
  </si>
  <si>
    <t>Champion Sports Outdoor Agility Pole Set</t>
  </si>
  <si>
    <t>PRIMED 3-in-1 Soccer Trainer</t>
  </si>
  <si>
    <t>Costway 10ft 43'' In/Outdoor Adjustable Height Basketball Hoop System</t>
  </si>
  <si>
    <t>Invicta Men's Pro Diver 26970 Quartz Watch</t>
  </si>
  <si>
    <t>JBW Cristal 28 Diamond Bracelet Watch &amp; Bracelet Set</t>
  </si>
  <si>
    <t>Case-Mate Chunky Chain Phone Wristlet</t>
  </si>
  <si>
    <t>Nite Ize Squeeze Clippable Phone Holder</t>
  </si>
  <si>
    <t>ohsnap! Snap 4 Luxe Magnetic Phone Grip</t>
  </si>
  <si>
    <t>hOmeLabs Beverage Refrigerator and Cooler</t>
  </si>
  <si>
    <t>Nostalgia Retro 3-in-1 Breakfast Station</t>
  </si>
  <si>
    <t>Magic Chef 24 Built In Wall Oven with Fan Convection</t>
  </si>
  <si>
    <t>Frigidaire Gallery 2.2 Cu. Ft. Built-In Microwave</t>
  </si>
  <si>
    <t>Rocco Super Smart Beverage Fridge</t>
  </si>
  <si>
    <t>Galanz Retro Top Freezer Refrigerator</t>
  </si>
  <si>
    <t>Hair Supplements for Hair Prose Reduces Hair Loss</t>
  </si>
  <si>
    <t>New You New Hair Bundle</t>
  </si>
  <si>
    <t>Hers Triple Threat Thickening &amp; Moisturizing Hair Defense Shampoo + Conditioner</t>
  </si>
  <si>
    <t>Codeage Hair Vitamins Biotin</t>
  </si>
  <si>
    <t>Sutra Beauty Hair Cocktail</t>
  </si>
  <si>
    <t>Design Essentials Herbal Complex 4 Hair &amp; Scalp Treatment</t>
  </si>
  <si>
    <t>Gisou Honey Infused Hair Oil</t>
  </si>
  <si>
    <t>Olaplex Hair Perfector No. 3</t>
  </si>
  <si>
    <t>Kitsch Rosemary &amp; Biotin Shampoo and Conditioner Bar Set</t>
  </si>
  <si>
    <t>Biotin Hair Growth Supplement</t>
  </si>
  <si>
    <t>Matrix Food For Soft Gift Set</t>
  </si>
  <si>
    <t>Rawlings | HEART OF THE HIDE Baseball Glove | Traditional Break-In | Multiple Styles</t>
  </si>
  <si>
    <t>Alexia Meditation Seat (Light Grey， Vegan Leather)</t>
  </si>
  <si>
    <t>Calvin Klein Women's Wool Blend Belted Wrap Coat</t>
  </si>
  <si>
    <t>Michael Michael Kors Women's Michael Belted Hooded Puffer Coat</t>
  </si>
  <si>
    <t>The Seraphina Dress</t>
  </si>
  <si>
    <t>Women's Lightweight Knit Short Sleeve Crew Neck Short Sleeve Top</t>
  </si>
  <si>
    <t>Fashion Nova Wilma Sleeveless Ponte One Shoulder Mini Dress</t>
  </si>
  <si>
    <t>Fashion Nova Men's Tyrant Dress Shirt</t>
  </si>
  <si>
    <t>Bonobos Men's Watson Plaid Everyday Casual Shirt</t>
  </si>
  <si>
    <t>Match Men's Wild Cargo Pants</t>
  </si>
  <si>
    <t>Boss Men's Slim-Fit Quilted Full-Zip Hooded Puffer Jacket</t>
  </si>
  <si>
    <t>HYTE Y60 ATX Mid-Tower Case</t>
  </si>
  <si>
    <t>HP All-in-One Desktop PC 22 FHD</t>
  </si>
  <si>
    <t>Redragon K509 rgb-Backlit Gaming Keyboard,104 Keys Wired Mechanical Feeling Low Profile Quiet Keyboard</t>
  </si>
  <si>
    <t>CORSAIR FRAME 4000D Modular Mid-Tower PC Case</t>
  </si>
  <si>
    <t>Cooler Master HAF 700 Evo Full Tower Case</t>
  </si>
  <si>
    <t>Dell Dock WD19S 130W 14CN6 210-AZBG</t>
  </si>
  <si>
    <t>Usb Optical Wired Computer Mouse</t>
  </si>
  <si>
    <t>Wholesale PC Case</t>
  </si>
  <si>
    <t>Asus Nuc 14 Pro Mini Processor</t>
  </si>
  <si>
    <t>Hp 14 Intel Quad-core Laptop</t>
  </si>
  <si>
    <t>PicassoTiles 2-in-1 Magnetic Marble Run Set &amp; Racing Track Set</t>
  </si>
  <si>
    <t>Melissa &amp; Doug Bead Maze Classic Toy</t>
  </si>
  <si>
    <t>Franklin Sports Authentic Steel Football Goal Post</t>
  </si>
  <si>
    <t>SMOOTOR All-Weather Sports Tent</t>
  </si>
  <si>
    <t>Invicta Men's Reserve Gladiator Chronograph Quartz Diamond Watch</t>
  </si>
  <si>
    <t>versus Versace Women's Les Docks Bracelet Watch</t>
  </si>
  <si>
    <t>Jessica Simpson Rose Gold-Tone Expansion Band Ring Watch Set</t>
  </si>
  <si>
    <t>Bulova Men's Precisionist Icon Chronograph Watch</t>
  </si>
  <si>
    <t>Realtree EZ PIC Cell Phone Holder</t>
  </si>
  <si>
    <t>Klsniur Cell Phone Stand</t>
  </si>
  <si>
    <t>Tapp Collections Leather Neck Pouch for Phone Style 2</t>
  </si>
  <si>
    <t>Smartphone Strap</t>
  </si>
  <si>
    <t>Frigidaire Gallery 30-Inch Wall Oven and Microwave Combination</t>
  </si>
  <si>
    <t>Home Decorators Collection Tuilene 21 Integrated LED Matte Black Ceiling Fan with Light and Remote Control</t>
  </si>
  <si>
    <t>32 cu. ft. Mega Capacity 3-Door French Door Refrigerator with Dual Auto Ice Maker in Matte Black Steel</t>
  </si>
  <si>
    <t>27.2 in. Indoor Flower-Shaped Lighting Ceiling Fan with 6 Speed and 3 Color Temperature Adjustment</t>
  </si>
  <si>
    <t>Smeg Mini Stainless Steel Kettle</t>
  </si>
  <si>
    <t>McGee &amp; Co. | Gilson Lantern Medium</t>
  </si>
  <si>
    <t>26 Cu. Ft. 36 Standard Depth Side by Side Refrigerator</t>
  </si>
  <si>
    <t>Haden Dorset 4-Slice Toaster and Electric Kettle</t>
  </si>
  <si>
    <t>Soapbox Biotin &amp; Superfruit Blend Strengthening Shampoo</t>
  </si>
  <si>
    <t>Function of Beauty Hair Goal Volumize</t>
  </si>
  <si>
    <t>The Hair, Skin &amp; Nails Antioxidants 120 Tablets</t>
  </si>
  <si>
    <t>Maple Holistics Biotin Conditioner</t>
  </si>
  <si>
    <t>Clinic Plus + Naturally Strong Health Shampoo with Herbal Extracts</t>
  </si>
  <si>
    <t>Dabur Vatika Health Shampoo</t>
  </si>
  <si>
    <t>More Beauty Professional Hair Serum With Hyaluronic Acid And Biotin</t>
  </si>
  <si>
    <t>Betterbrand Betterhair Daily Hair Supplement, Natural Blend For Loss</t>
  </si>
  <si>
    <t>The Inheritance: A Novel [eBook]</t>
  </si>
  <si>
    <t>Meebook M6 E-Book Reader 2023</t>
  </si>
  <si>
    <t>Open: Living with an Expansive Mind in a eBook</t>
  </si>
  <si>
    <t>Growth Mindset E-Book A Guide to Professional and Personal Growth</t>
  </si>
  <si>
    <t>Invisible Man</t>
  </si>
  <si>
    <t>Billy Straight</t>
  </si>
  <si>
    <t>With This Ring: A Novel</t>
  </si>
  <si>
    <t>Be with Me: A Novel [eBook]</t>
  </si>
  <si>
    <t>White Hot</t>
  </si>
  <si>
    <t>Wahala: A Novel</t>
  </si>
  <si>
    <t>Be You!</t>
  </si>
  <si>
    <t>Fabledom - Sony PlayStation 5 [Digital Download]</t>
  </si>
  <si>
    <t>Sony PlayStation eGift Card</t>
  </si>
  <si>
    <t>Persona 3 Reload</t>
  </si>
  <si>
    <t>Grand Theft Auto Online (PlayStation5) - Sony PlayStation 5 [Digital Download]</t>
  </si>
  <si>
    <t>Horizon Forbidden West Full Game Digital Code - Sony Ps5 &amp; Ps4</t>
  </si>
  <si>
    <t>Sony GODFALL PS5 PRE-ORDER DIGITAL LOOT CODE - New Electronics</t>
  </si>
  <si>
    <t>$100 Apple Gift Card - App Store, Apple Music, iTunes, iPhone, iPad, AirPods, accessories, and more [Digital]</t>
  </si>
  <si>
    <t>Apple eGift Card</t>
  </si>
  <si>
    <t>Apple $200 Gift Card US</t>
  </si>
  <si>
    <t>Apple Gift Card App Store Itunes-value:10.25.50.100 For Us Only</t>
  </si>
  <si>
    <t>Apple iTunes Gift Card 13 USD iTunes Key UNITED STATES</t>
  </si>
  <si>
    <t>E-Circuit Revolution: Navigating the World of Online Electronics; eBook; Author - SREEKUMAR V T</t>
  </si>
  <si>
    <t>When I'm with You</t>
  </si>
  <si>
    <t>Bright Young Women: A Novel</t>
  </si>
  <si>
    <t>Evermore: The Immortals [eBook]</t>
  </si>
  <si>
    <t>Miss Mole</t>
  </si>
  <si>
    <t>The UnNoticed Entrepreneur Book 1: Step Into the Spotlight eBook</t>
  </si>
  <si>
    <t>Everything Is Fine: A Memoir</t>
  </si>
  <si>
    <t>Nintendo eShop Digital Gift Card</t>
  </si>
  <si>
    <t>Nintendo Super Mario 3D All-Stars</t>
  </si>
  <si>
    <t>Mario Tennis Aces</t>
  </si>
  <si>
    <t>Nintendo World Championships NES Edition</t>
  </si>
  <si>
    <t>adidas Women's Essentials 3 Stripes Leggings</t>
  </si>
  <si>
    <t>adidas Originals Women's Adicolor Neuclassics Tracksuit Pants</t>
  </si>
  <si>
    <t>adidas Men's Adicolor 3-Stripes Joggers</t>
  </si>
  <si>
    <t>adidas Men's Z.N.E. Full-Zip</t>
  </si>
  <si>
    <t>adidas Men's 3-Stripes Tricot Tapered Track Pants</t>
  </si>
  <si>
    <t>adidas Women's D4T Knit Training Pants</t>
  </si>
  <si>
    <t>adidas Women's Cloudfoam Pure Running Shoes</t>
  </si>
  <si>
    <t>adidas Barreda Decode Men's Shoes White</t>
  </si>
  <si>
    <t>adidas Women's Energize Tracksuit</t>
  </si>
  <si>
    <t>ASICS Men's Spiral Embroidery Woven Pants</t>
  </si>
  <si>
    <t>ASICS Men's Stretch Knit Jogger Pants</t>
  </si>
  <si>
    <t>ASICS Women's Training Core Tight</t>
  </si>
  <si>
    <t>ASICS Unisex Classic Knit Pant</t>
  </si>
  <si>
    <t>ASICS Men's Double Weave 7in Shorts</t>
  </si>
  <si>
    <t>ASICS GEL-NYC Sportstyle Sneakers</t>
  </si>
  <si>
    <t>ASICS Men's Court 9in Shorts</t>
  </si>
  <si>
    <t>ASICS Women's Flex Stretch Short Sleeve Top</t>
  </si>
  <si>
    <t>Gymshark Men's Flat Knit Logo-Print Hoody</t>
  </si>
  <si>
    <t>Gymshark Elevate Leggings 2.0</t>
  </si>
  <si>
    <t>Gymshark Crossover Leggings</t>
  </si>
  <si>
    <t>Nike Men's Club Fleece Pullover Hoodie</t>
  </si>
  <si>
    <t>Nike Men's Club Knit Joggers</t>
  </si>
  <si>
    <t>Nike Women's Zenvy Gentle-Support High-Waisted Full-Length Leggings</t>
  </si>
  <si>
    <t>Nike Women's Phoenix Fleece Over-Oversized Hoodie</t>
  </si>
  <si>
    <t>Nike Women's Windrunner High-Waisted Woven Open-Hem Pants</t>
  </si>
  <si>
    <t>Nike Women's Sportswear Classic High-Waisted 7/8 Leggings</t>
  </si>
  <si>
    <t>Nike Men's Sportswear Club Puffer Jacket</t>
  </si>
  <si>
    <t>Reebok Women's Work Out Ready High-Rise Leggings</t>
  </si>
  <si>
    <t>Reebok Men's Outerverse Strength Pants</t>
  </si>
  <si>
    <t>Reebok Women's Active Collective DreamBlend Mid-Layer Sweatshirt</t>
  </si>
  <si>
    <t>Reebok Men's Training Tech T-Shirt</t>
  </si>
  <si>
    <t>Fluidmaster PerforMAX Universal Toilet Fill Valve 400H-002-P10</t>
  </si>
  <si>
    <t>Fluidmaster Univerasl Toilet Fill Valve 400A</t>
  </si>
  <si>
    <t>Fluidmaster Anti-Siphon Fill Valve</t>
  </si>
  <si>
    <t>Fluidmaster Everything Toilet Repair Kit</t>
  </si>
  <si>
    <t>Fluidmaster PRO45B Fill Valve</t>
  </si>
  <si>
    <t>Fluidmaster PRO45-AU Bottom Entry Toilet Valve</t>
  </si>
  <si>
    <t>Fluidmaster PerforMAX 2" Rubber Universal Water-Saving Toilet Flapper</t>
  </si>
  <si>
    <t>Fluidmaster PerforMAX Flush Valve Kit Red/Black Rubber</t>
  </si>
  <si>
    <t>Fluidmaster Click Seal Braided Stainless Steel Toilet Connector</t>
  </si>
  <si>
    <t>Homfa Freestanding Bathroom Storage Floor Cabinet</t>
  </si>
  <si>
    <t>Hampton Bay Hampton Assembled 30 x 34.5 x 21 in. Bathroom Vanity Base Cabinet KVSB30-MO</t>
  </si>
  <si>
    <t>Home Decorators Collection Ashburn 60 in. W x 21.75 in. D Vanity Cabinet</t>
  </si>
  <si>
    <t>Craft + Main Ashburn 36 in. W x 21.75 in. D Vanity Cabinet</t>
  </si>
  <si>
    <t>Fresca Oxford 60" Traditional Bathroom Cabinets</t>
  </si>
  <si>
    <t>Ktaxon Over The Toilet Bathroom Storage Cabinet</t>
  </si>
  <si>
    <t>Ktaxon Tall Bathroom Storage Cabinet</t>
  </si>
  <si>
    <t>Ktaxon 64" Tall Storage Cabinet</t>
  </si>
  <si>
    <t>Brita Instant Powerful Countertop Water Filtration Device</t>
  </si>
  <si>
    <t>Brita Basic Faucet Water Filter System</t>
  </si>
  <si>
    <t>Brita Tahoe Large Water Filter Water Pitcher</t>
  </si>
  <si>
    <t>Brita Basic Faucet Mount Water Filtration System</t>
  </si>
  <si>
    <t>Brita Total 360 Water Filtration System BRDPFS</t>
  </si>
  <si>
    <t>Brita Metro 5-Cup Water Filtration Pitcher</t>
  </si>
  <si>
    <t>Brita Extra Large Ultramax 27 Cup Black Filtered Water Dispenser with 1 Elite Filter</t>
  </si>
  <si>
    <t>Brita Complete Water Faucet Filtration System with Light Indicator (42201CT)</t>
  </si>
  <si>
    <t>Pur Ultimate Lead Pitcher Replacement Filter 3-Pack</t>
  </si>
  <si>
    <t>PUR Ultimate 11-Cup Pitcher</t>
  </si>
  <si>
    <t>PUR Ultimate 30-Cup Dispenser</t>
  </si>
  <si>
    <t>PUR 7 Cup Water Pitcher Filtration System PPT700L</t>
  </si>
  <si>
    <t>Pur Faucet Mount Water Replacement Filter 3-Pack</t>
  </si>
  <si>
    <t>Equate Beauty Maximum Strength Spot Treatment Gel</t>
  </si>
  <si>
    <t>Equate Extra Strength Hair Regrowth Treatment for Men</t>
  </si>
  <si>
    <t>2-pack Equate Hair Regrowth Treatment Men (comp Rogaine) 6 Mo Supply</t>
  </si>
  <si>
    <t>Equate Women's Hair Loss &amp; Regrowth Treatment</t>
  </si>
  <si>
    <t>Equate Extra Strength Anti-Itch Cream</t>
  </si>
  <si>
    <t>Hi Pro Pac Intense Protein Treatment, Keratin Protein No-Frizz Hair, 1.75 fl oz (52 ml)_140211</t>
  </si>
  <si>
    <t>Hi Pro Pac Hair Masque</t>
  </si>
  <si>
    <t>Hi-pro-pac Treat Extremely Damaged Hari Repair Intense Protein Tube 8 Oz 6 Pack</t>
  </si>
  <si>
    <t>X2 Hi Pro Pac Extremely Damaged Hair Repair Intense Protein Treatment</t>
  </si>
  <si>
    <t>Neutrogena Hydro Boost Glow Booster</t>
  </si>
  <si>
    <t>Johnson &amp; Johnson Neutrogena On the Spot Acne Treatment, Tube, Cream, Unscented, 2.5% Strength, 0.75 oz., 1 Count, #70501001790, #70501001790 EA</t>
  </si>
  <si>
    <t>Neutrogena Hydro Boost Hydrating Hydrogel Mask</t>
  </si>
  <si>
    <t>Neutrogena Light Therapy Acne Spot Treatment</t>
  </si>
  <si>
    <t>Neutrogena Hydro Boost Moisturizing Night Mask</t>
  </si>
  <si>
    <t>Neutrogena Stubborn Acne Facial Treatment</t>
  </si>
  <si>
    <t>Arm &amp; Hammer For Pets Cat Litter Deodorizer with Activated Baking Soda 20 oz (Pack of 4)</t>
  </si>
  <si>
    <t>Arm &amp; Hammer Forever Fresh Clumping Cat Litter Lavender, MultiCat 18lb With 20% More Lavender Freshness, Pet Friendly With Essential Oils</t>
  </si>
  <si>
    <t>PetSafe ScatMat Indoor Electric Training Mat for Cats &amp; Dogs, Medium, 30" x 16"</t>
  </si>
  <si>
    <t>PetSafe Foam Filters for Cat and Dog Fountains, 2-Pack, Replacement Filters for Viva Pet Water Fountains for Cats and Dogs - PAC00-17960</t>
  </si>
  <si>
    <t>PetSafe Healthy Pet Water Station - Small, 64 oz Capacity - Gravity Pet Water Fountain, Automatic Cat Water Fountain, Dog Water Fountain, Water Dispenser - Removable Stainless Steel Bowl Included</t>
  </si>
  <si>
    <t>PetSafe ScoopFree Crystal Pro Self Cleaning Litter Box, Automatic Cat Litter Box, Includes Disposable Crystal Litter Tray (Grey, Uncovered)</t>
  </si>
  <si>
    <t>MidWest Homes for Pets Wire Mesh Pet Safety Gate, Pressure Mounted Dog Gate Measures 24 Inches Tall &amp; Expands to 27-41.5 Inches Wide, Natural Wood &amp; White Powder Coated Wire Mesh</t>
  </si>
  <si>
    <t>MidWest Homes for Pets Newly Enhanced Double Door iCrate Dog Crate, Includes Leak-Proof Pan, Floor Protecting Feet, Divider Panel &amp; New Patented Features</t>
  </si>
  <si>
    <t>PetSafe Never Rust Wall Entry Pet Door - Telescoping Frame - Insulates Better Than Metal, Energy Efficient - Interior &amp; Exterior Walls, Weatherproof, Easy to Install &amp; Clean (White - Large)</t>
  </si>
  <si>
    <t>PetSafe Stay &amp; Play Wireless Dog Collar, Wireless Dog Fence System Rechargeable and Waterproof Receiver Collar, Quick Charge in 2-3 Hours, Fence for Dogs, Electric Containment for Pets</t>
  </si>
  <si>
    <t>PetSafe Deluxe Ultralight Pet Fence Receiver Collar Electric Dog Containment, In Ground Dog Fence Waterproof Feature, Low Battery Indicator, Pet Collars for Dogs Collar Receiver</t>
  </si>
  <si>
    <t>PetSafe Easy Walk No-Pull Dog Harness - The Ultimate Harness to Help Stop Pulling - Take Control &amp; Teach Better Leash Manners - Helps Prevent Pets Pulling on Walks, Medium, Black/Silver</t>
  </si>
  <si>
    <t>Aqueon 55 Gallon Aquarium</t>
  </si>
  <si>
    <t>Aqueon 5.5 Gallon Aquarium</t>
  </si>
  <si>
    <t>Aqueon Rimless Rectangle Aquarium</t>
  </si>
  <si>
    <t>Aqueon QuietFlow LED Pro Power Filter</t>
  </si>
  <si>
    <t>Aqueon Betta Falls 3 Section Aquarium Fish Tank</t>
  </si>
  <si>
    <t>Aqueon 150 Gallon Aquarium 72x18x29</t>
  </si>
  <si>
    <t>Tetra Bubbling LED Aquarium Kit 1 Gallon, Hexagon Shape, With Color-Changing Light Disc</t>
  </si>
  <si>
    <t>Tetra ColorFusion Aquarium 20 Gallon Fish Tank Kit, Includes LED Lighting and Decor</t>
  </si>
  <si>
    <t>Tetra EasyStrips 6-In-1 Aquarium Test Strips, Water Testing 100 Count (Pack of 1)</t>
  </si>
  <si>
    <t>Tetra Whisper Filter Cartridges 4 Count, Extra Small, For aquarium Filtration (AQ-78052),white</t>
  </si>
  <si>
    <t>Tetra 16172 AquaSafe Fish Tank Water Conditioner, 8.45 fl oz</t>
  </si>
  <si>
    <t>Tetra Whisper Bio-Bag Filter Cartridges for Aquariums - Unassembled</t>
  </si>
  <si>
    <t>Correll Rectangle Activity Table White</t>
  </si>
  <si>
    <t>Crate &amp; Kids Baby Wooden Activity Table</t>
  </si>
  <si>
    <t>Jonti-Craft Berries KYDZ Activity Table - Round</t>
  </si>
  <si>
    <t>Wonder &amp; Wise Awesome Activity Table</t>
  </si>
  <si>
    <t>Dolu 3-In-1 Activity Table Sand, Water &amp; Creativity</t>
  </si>
  <si>
    <t>Disney Frozen Activity Table</t>
  </si>
  <si>
    <t>#1595 KYDZ Activity Table - Rectangle - 24" X 48", 15"- 24" Ht Freckled Gray, Navy Trim</t>
  </si>
  <si>
    <t>Bird in Hand Large Grid Preschool Top Activity Table</t>
  </si>
  <si>
    <t>CORE 12-Person Straight Wall Cabin Tent</t>
  </si>
  <si>
    <t>Guide Gear Premium Truck Tent</t>
  </si>
  <si>
    <t>Life Intents Stella Stargazing Tent</t>
  </si>
  <si>
    <t>Ozark Trail 10 Person Instant Cabin Tent</t>
  </si>
  <si>
    <t>AutoDrive Heavy Duty Universal All Weather Rubber Car Floor Mat</t>
  </si>
  <si>
    <t>Auto Drive Fur Bling Steering Wheel Cover</t>
  </si>
  <si>
    <t>SCT Car Organizer and Mobile Office Bundle</t>
  </si>
  <si>
    <t>CAR PASS 34 PCS Bling Car Accessories Set for Women, Leather Car Seat Covers Steering Wheel Covers 15'', USB Charger Phone Holder Shining Rhinestone</t>
  </si>
  <si>
    <t>Armor All 2 in 1 Magnet Phone Mount</t>
  </si>
  <si>
    <t>Armor All Car Care Kit</t>
  </si>
  <si>
    <t>Armor All Premier Car Care Kit</t>
  </si>
  <si>
    <t>Armor All AA12V2 0903 Car VAC Compact Orange</t>
  </si>
  <si>
    <t>Gatorade Orange Thirst Quencher</t>
  </si>
  <si>
    <t>Gatorade G Fit Watermelon Strawberry Electrolyte Beverage 16.9 oz Bottle</t>
  </si>
  <si>
    <t>Gatorade BEVERAGE,GATORADE,LEMON QUA32868</t>
  </si>
  <si>
    <t>Banquet Family Size Salisbury Steaks &amp; Brown Gravy</t>
  </si>
  <si>
    <t>Banquet Hot and Spicy Wings, 11 Ounce -- 12 per case.</t>
  </si>
  <si>
    <t>Banquet Mega Meals Bacon Cheddar Patty</t>
  </si>
  <si>
    <t>Banquet Meatloaf Meal</t>
  </si>
  <si>
    <t>Banquet Mega Meats Original Crispy Chicken Homestyle Mashed Potatoes Frozen Meal</t>
  </si>
  <si>
    <t>Banquet Mega Meals Salisbury Steak</t>
  </si>
  <si>
    <t>Banquet Mega Bowls Country Fried Chicken</t>
  </si>
  <si>
    <t>Butcher Shop Frenched Pork Rack Meal</t>
  </si>
  <si>
    <t>Beck &amp; Bulow Seafood Selection Box</t>
  </si>
  <si>
    <t>Fulton Fish Market Fresh Shucked East Coast Oysters</t>
  </si>
  <si>
    <t>Whelk Meat (per pound) Pre-steamed/Cooked (previously frozen) | The Fresh Lobster Company</t>
  </si>
  <si>
    <t>Aqua Star Seafood Medley</t>
  </si>
  <si>
    <t>Great Value Corned Beef Hash</t>
  </si>
  <si>
    <t>Soft Shell Crab | The Fresh Market</t>
  </si>
  <si>
    <t>Great Value Premium White Chicken W/applewood Flavor - 2.6 Oz Pouch X2</t>
  </si>
  <si>
    <t>Great Value 100% Pure Beef Burgers 3lb 13ct - 13ct Case</t>
  </si>
  <si>
    <t>Fulton's Finest American Red Snapper Portions</t>
  </si>
  <si>
    <t>Fresh Cuttlefish 1.6-1.8 lbs</t>
  </si>
  <si>
    <t>Korramenu Fish Steak Pack (~1.25 lb)</t>
  </si>
  <si>
    <t>Wholey Haddock Premium Skinless &amp; Boneless</t>
  </si>
  <si>
    <t>Dowinx LS-6650 PU Leather Gaming Chair</t>
  </si>
  <si>
    <t>Dowinx Fabric Gaming Chair with Pocket Spring &amp; Massage Support 6657K</t>
  </si>
  <si>
    <t>Dowinx 6659 Gaming Chair Breathable Fabric with Pocket Spring Cushion</t>
  </si>
  <si>
    <t>Dowinx Fabric Gaming Chair</t>
  </si>
  <si>
    <t>Fitkicks Men's Active Footwear</t>
  </si>
  <si>
    <t>The Entire Gym</t>
  </si>
  <si>
    <t>Fitvids Lx760 Multifunctional Full Home Gym System Workout Station</t>
  </si>
  <si>
    <t>Fitvids Rubber Encased Hex Dumbbell</t>
  </si>
  <si>
    <t>Fitvids Neoprene Dumbbell Set with Rack</t>
  </si>
  <si>
    <t>Vital Apparel Refine High Waist Workout Leggings</t>
  </si>
  <si>
    <t>Gymshark Adapt Fleck Seamless Leggings</t>
  </si>
  <si>
    <t>Pecan Tree Seeds</t>
  </si>
  <si>
    <t>Pine Tree Farms Nutsie Classic Seed Log</t>
  </si>
  <si>
    <t>Fast-Growing-Trees.com Colorado Blue Spruce Tree</t>
  </si>
  <si>
    <t>CZ Grain Green Apple Tree Plant Seeds</t>
  </si>
  <si>
    <t>The Jonsteen Company Whitebark Pine Tree Seed Grow Kit</t>
  </si>
  <si>
    <t>Brighter Blooms Wildfire Black Gum Tree</t>
  </si>
  <si>
    <t>Blue Heat Masking Tape Resistant High Temperature Polyimide Adhesive Part Blue Sticker Heated Bed Protect Paper for 3D Printer</t>
  </si>
  <si>
    <t>MECOOL KP2 1080P Projector 600ANSI Lumens Linux OS 4.19 Netflix Certified 1+8GB Auto Focus Vertical Keystone Correction Smart Home Theater</t>
  </si>
  <si>
    <t>6 in 1 Steam Deck Docking Station TV Base Stand Alloy Holder Dock 4K@60Hz/PD100W/RJ45/USB3.0 USB-C Hub For Steam Deck Console</t>
  </si>
  <si>
    <t>Eaget T1 Class10 High Speed TF Memory Card 32GB 64GB 128GB Micro SD Card Flash Card Smart Card for Phone Camera Driving Recorder</t>
  </si>
  <si>
    <t>3D Interlocking Puzzles Game Toy Jigsaw Puzzle Toy Bamboo Small Size For Adults Kids IQ Brain Teaser Kong Ming Lock</t>
  </si>
  <si>
    <t>Portable USB LED UV Sterilization Box Multifunctional For Mask Pacifier Headset USB Connector</t>
  </si>
  <si>
    <t>3D Printer Lab X1 Silicone Cover Protection High Temperature Wear-resistant Removable for Lab X1 Carbon X1 P1P Hotend Extruder</t>
  </si>
  <si>
    <t>5PCS MK8/V6//Volcano Brass Nozzle PTFE Coating Nozzle Clone CHT MK8 V6 Nozzle For CR10 Ender3 SWX1 3d printer Hotend Extruder</t>
  </si>
  <si>
    <t>ACME Picardy II Sofa w/7 Pillows - - Fabric &amp; Antique Pearl</t>
  </si>
  <si>
    <t>POLY &amp; BARK Napa Leather Couch – Right-Facing Sectional Leather Sofa - Tufted Back Full Grain Leather Couch with Feather-Down Topper On Seating Surfaces – Pure-Aniline Italian Leather – Cognac Tan</t>
  </si>
  <si>
    <t>Jura E8 Automatic Coffee Machine 15270，64 ounces， Piano Black</t>
  </si>
  <si>
    <t>Jura S8 Automatic Coffee Machine 64 oz， Moonlight Silver</t>
  </si>
  <si>
    <t>Container Furniture Direct Lotus Mid Century Modern Velvet Upholstered Living Room Rolled Arms， Chair， Loveseat and Sofa， Grey</t>
  </si>
  <si>
    <t>ACME Chelmsford Hutch &amp; Buffet - - Antique Taupe</t>
  </si>
  <si>
    <t>ACME Chantelle Eastern King Bed - - Rose Gold PU &amp; Pearl White</t>
  </si>
  <si>
    <t>Meridian Furniture Lola Collection Modern | Contemporary Velvet Upholstered Sofa with Gold Tipped Black Legs and Channel Tufted Design， 85 W x 35 D x 33.5 H， Olive</t>
  </si>
  <si>
    <t>Acme Furniture Dresden TV Console， Vintage Bone White</t>
  </si>
  <si>
    <t>ACME Furniture Kacela Server， Champagne</t>
  </si>
  <si>
    <t>Breville BES880BSS Barista Touch Espresso Machine Brushed Stainless Steel + Manufacturer’s Warranty + Knock Box Mini</t>
  </si>
  <si>
    <t>Jura Capresso Nordic White ENA 4 Full</t>
  </si>
  <si>
    <t>Signature Design by Ashley Bladen Faux Leather Full Sofa Sleeper， Gray</t>
  </si>
  <si>
    <t>Merax L Shaped Sectional Sofa Couch Sleeper Bed with Storage Ottoman and Chaise for Living Room， Small Apartment Love Seats， Beige_Linen</t>
  </si>
  <si>
    <t>Poundex Linen-Like Fabric Sofas in Grey</t>
  </si>
  <si>
    <t>Casa Andrea Milano LLC Modern Large Velvet Fabric Sectional Sofa L Shape Couch with Extra Wide Chaise Lounge， Slate</t>
  </si>
  <si>
    <t>BALUS Reversible Sectional Sleeper Sofa with Storage Chaise， 83 Inch L-Shape Sectional Sofa Couch， Velvet Upholstered Pull Out Sofa Bed Couch for Living Room， Office and Small Apartment (Dark Grey)</t>
  </si>
  <si>
    <t>Amazon Brand – Stone &amp; Beam Blaine Modern Upholstered Living Room Accent Chair， 32.3W， Navy Blue</t>
  </si>
  <si>
    <t>PHILIPS 3200 Series Fully Automatic Espresso Machine - Classic Milk Frother， 4 Coffee Varieties， Intuitive Touch Display， Black， (EP3221/44)</t>
  </si>
  <si>
    <t>PaPaJet Sleeper Sofa， Sofa Bed with Storage Chaise-2 in 1 Pull Out Couch Bed for Living Room， Sectional Couch with Pull Out Bed Gray</t>
  </si>
  <si>
    <t>Breville Combi Wave 3-in-1 Microwave， Air Fryer， and Toaster Oven， Brushed Stainless Steel， BMO870BSS1BUC1</t>
  </si>
  <si>
    <t>Janoray Farmhouse Dining Chairs Set of 4 with Wooden Round Leather Upholstered Back and Seat for Dining Room Kitchen- Brown</t>
  </si>
  <si>
    <t>HP ProLiant ML30 Gen10 Tower Server， Intel Xeon E-2124 Quad-Core 3.3GHz 8MB， 32GB DDR4 RAM， 8TB Storage， RAID， iLO 5</t>
  </si>
  <si>
    <t>Pemberly Row 80 Farmhouse Transitional Wood Home Bar Unit Cabinet Set with Stemware Rack， Wine Storage for Dining Room Kitchen in Tobacco Leaf</t>
  </si>
  <si>
    <t>Dell XPS 13 9310 Laptop - 13.4-inch OLED 3.5K (3456x2160) Touchscreen Display， Intel Core i7-1185G7， 32GB LPDDR4x RAM， 1TB SSD， Intel Iris Xe Graphics， 1-Year Premium Support Windows 11 Home - Silver</t>
  </si>
  <si>
    <t>Dell XPS 8940 Gaming Tower PC- Intel i7-11700 - 32GB RAM， 512GB NVMe SSD + 1TB HDD - Nvidia Geforce RTX 3060 Ti 8GB 4K， DisplayPort， HDMI， DVD， AX Wi-Fi， Bluetooth， SD Card - Windows 10 Pro (Renewed)</t>
  </si>
  <si>
    <t>HP 2022 Victus 15.6 144Hz FHD IPS Gaming Laptop， Intel Core i7-11800H Processor， 64GB RAM， 2TB PCIe SSD， Backlit Keyboard， NVIDIA GeForce RTX 3050Ti Graphics， Windows 11， Black， 32GB USB Card</t>
  </si>
  <si>
    <t>HP Envy Business Laptop， 17.3 FHD Touchscreen， Intel Core i7-1260P Processor， 32GB RAM， 2TB SSD， IR Camera， Backlit Keyboard， Wi-Fi 6， HDMI， Windows 11 Pro， Silver</t>
  </si>
  <si>
    <t>ASUS ROG Strix G15 Gaming Laptop 2023 Newest， 15.6 IPS 144Hz Display， NVIDIA GeForce RTX 3060， AMD Ryzen 7 4800H (8-Core)， 16GB RAM， 1TB SSD， Backlit Keyboard， Windows 11 Home， Bundle with Cefesfy</t>
  </si>
  <si>
    <t>Dell Latitude 5000 Series 5420 Business Laptop， 14 FHD Touchscreen， Intel Core i5-1145G7 Processor， 32GB RAM， 512GB SSD， Webcam， HDMI， RJ45， Media Card Reader， Backlit KB， Wi-Fi 6， Windows 11 Pro</t>
  </si>
  <si>
    <t>Lenovo ThinkBook 15 Gen 4 15.6 FHD Touchscreen (12th Gen Intel 10-Core i7-1255U， 16GB RAM， 512GB PCIe SSD， Narrow Bezel IPS) Business Laptop， Backlit KB， Fingerprint， Thunderbolt 4， Win 11 Pro</t>
  </si>
  <si>
    <t>Acer Aspire XC-1760 (i512R8512G03) desktop with 12th Gen Intel Core processor and 8GB RAM</t>
  </si>
  <si>
    <t>2020 Apple iPad Pro (12.9-inch， Wi-Fi， 256GB) - Space Gray (Renewed)</t>
  </si>
  <si>
    <t>CableCreation Mini HDMI to HDMI Cable 0.5ft， 100 Pack Mini-HDMI Male to HDMI Female Adapter， Supports 4K 60Hz， 3D， for Camera， Camcorder， Graphics Card， Laptop， Tablet， HDTV， Projector， Black</t>
  </si>
  <si>
    <t>Lenovo IdeaCentre AIO 3i - 2022 - All-in-One Desktop - 27 FHD Touch Display - 5MP Camera - Windows 11 Home - 8GB Memory - 512GB Storage - Intel Core i5-1240P - Black - Mouse &amp; Keyboard Included</t>
  </si>
  <si>
    <t>HP Pavilion 15 Laptop， 12th Generation Intel Core i7-1255U Processor， 16 GB RAM， 512 GB SSD， 15.6 Full HD Display， Windows 11 Pro， Fingerprint Reader， Wi-Fi &amp; Bluetooth， HD Webcam (15-eg2025nr 2022)</t>
  </si>
  <si>
    <t>HP Envy x360 2-in-1 Laptop， 15.6 FHD Touchscreen， AMD Ryzen 5 5625U Processor， 32GB RAM， 1TB SSD， Webcam， Backlit Keyboard， HDMI， Wi-Fi 6， Windows 11 Home， Stylus Pen Included</t>
  </si>
  <si>
    <t>Dell Inspiron 3910 Desktop Computer Tower - 12th Gen Intel Core i5-12400， 16GB DDR4 RAM， 256GB SSD + 1TB HDD， Intel UHD Graphics 730， WiFi 6， HDMI， Bluetooth， USB-C， Windows 11 Home - Blue</t>
  </si>
  <si>
    <t>Dell Inspiron 24 Inch All-in-One Computer， Windows 11 Home， AMD Ryzen 5 5625U， AMD Radeon Graphics， 8GB DDR4 RAM， 256GB SSD， FHD (1920 x 1080)， MediaTek Wi-Fi 6， Infinity Display， 5415 - Black</t>
  </si>
  <si>
    <t>ASUS  PN51 Barebone Mini PC / AMD Ryzen 7 5700U / 5 5500U NUC for Office Media Study Win 10 Pro NUC</t>
  </si>
  <si>
    <t>(ALLSTARS : We are Back/ Mini PC Promo) ASUS PN51 / PN51-S1-B Ryzen7 5700U / PN51-S1-B-B7216MD Barebone (NO RAM NO SSD) (AMD Ryzen 7 5700U / Intel WiFi 6 / BT5.0 / 2.5G LAN / HDMI+DP / USB3.2 Type-C x</t>
  </si>
  <si>
    <t>Sony CFexpress Type A Memory Card 320GB</t>
  </si>
  <si>
    <t>HP 15 Laptop， 11th Gen Intel Core i5-1135G7 Processor， 16GB RAM， 512B SSD， 15.6-inch Full HD (1920 x 1080) Display， HDMI， 802.11ac， Bluetooth， Windows 10 Home， Long Battery Life， Accessories Included</t>
  </si>
  <si>
    <t>Lenovo Flex 5 Laptop， 14.0 FHD Touch Display， AMD Ryzen 5 5500U， 16GB RAM， 512GB Storage， AMD Radeon Graphics， Windows 11 Home， Graphite Grey</t>
  </si>
  <si>
    <t>Ergotron – HX Dual Monitor Arm， VESA Desk Mount – for 2 Monitors Up to 32 Inches， 5 to 17.5 lbs Each – Matte Black</t>
  </si>
  <si>
    <t>2022 Newest Dell Inspiron 15.6 FHD Touchscreen Laptop， Intel 10th Generation Core i5-1035G1(Up to 3.60GHz， Beat i7-8550U)， 16GB Memory， 512GB PCIe SSD， Intel UHD Graphics， WiFi， Webcam， HDMI， Win11 S</t>
  </si>
  <si>
    <t>HP Color LaserJet Pro M283fdw Wireless All-in-One Laser Printer， Remote Mobile Print， Scan &amp; Copy， Duplex Printing， Works with Alexa (7KW75A)</t>
  </si>
  <si>
    <t>Dell Inspiron 3891 Compact Tower Desktop - Intel Core i5-11400， 12GB DDR4 RAM， 1TB HDD， Intel UHD Graphics 730 with Shared Graphics Memory， Windows 10 Home - Black (Latest Model) (Renewed)</t>
  </si>
  <si>
    <t>HP 17-inch Laptop， 11th Generation Intel Core i5-1135G7， Iris Xe Graphics， 8 GB RAM， 256 GB SSD， Windows 11 Home (17-cn0025nr，Natural Silver)</t>
  </si>
  <si>
    <t>Night Owl 8 Channel Bluetooth Video Home Security Camera System with (4) Wired IP 4K HD Indoor/Outdoor Spotlight Cameras with Audio and 2TB Hard Drive (Expandable up to 12 Cameras)</t>
  </si>
  <si>
    <t>Dell Inspiron 15 3525 Lightweight Student Laptop - 15.6 inch FHD (1920 x 1080) 120Hz Display， AMD Ryzen 5 5625U， 8GB DDR4 RAM， 256GB SSD， AMD Radeon Graphics， USB-C， HDMI， Windows 11 Home - Black</t>
  </si>
  <si>
    <t>OTVOC Laptop 15.6 inch Windows 11， VocBook 15， Intel Celeron N5100， 16GB RAM， 512GB PCIE NvMe SSD ， 4TB Expansion， 15.6 FHD IPS， 2.0MP， 2.4G+5G WiFi， Bluetooth 5.0， Type-C， HDMI， RJ45， HDD， Silver</t>
  </si>
  <si>
    <t>Sysracks - Server Rack – Wall Mount Rack - Locking Cabinet for Network - Electronics - Security - Audio - Video - AV Equipment - Data Rack - Legs/Power Strip/Shelf/Fan - 24-Inch Deep Sysracks… (18U)</t>
  </si>
  <si>
    <t>Apple iPhone SE 3rd Gen， 64GB， Midnight - Unlocked (Renewed)</t>
  </si>
  <si>
    <t>NEW Bose QuietComfort Earbuds II， Wireless， Bluetooth， World’s Best Noise Cancelling In-Ear Headphones with Personalized Noise Cancellation &amp; Sound， Triple Black</t>
  </si>
  <si>
    <t>Apple iPhone XS， US Version， 64GB， Space Gray - AT&amp;T (Renewed)</t>
  </si>
  <si>
    <t>Omega Speedmaster Co-Axial Chronograph Dark Side of the Moon Black Dial Black Fabric Mens Watch 31192445101003</t>
  </si>
  <si>
    <t>Breitling Black Dial Navitimer 8 Chronograph B01 Chronometer 43 AB0117131B1A1</t>
  </si>
  <si>
    <t>Omega Speedmaster Chronograph Automatic Black Dial Men’s Watch 324.30.38.50.01.001</t>
  </si>
  <si>
    <t>Omega Men’s 32632405001001 Speed Master Analog Display Automatic Self Wind Black Watch</t>
  </si>
  <si>
    <t>Omega Seamaster Railmaster Automatic Mens Stainless Steel Watch 220.10.40.20.01.001</t>
  </si>
  <si>
    <t>Seiko Prospex 1965 62MAS Reissue Diver’s Recreation Grey Dial Sapphire Automatic Watch SPB143J1</t>
  </si>
  <si>
    <t>Hamilton Men’s Intra-Matic Auto Chrono Auto Chrono American Classic Watch - H38416711</t>
  </si>
  <si>
    <t>Hamilton Khaki Field Day Date Automatic Mens Watch H71626735</t>
  </si>
  <si>
    <t>Khaki Field Auto Chrono</t>
  </si>
  <si>
    <t>Jazzmaster Auto Chrono</t>
  </si>
  <si>
    <t>Luminox Master Carbon Seal XS.3813.L Mens Watch 46mm - Military Diving Watch in Black/Green Date Function 300m Water Resistant Sapphire Glass</t>
  </si>
  <si>
    <t>Hamilton Men’s H64455533 Khaki King Series Stainless Steel Automatic Watch with Brown Leather Band</t>
  </si>
  <si>
    <t>Luminox Commando Frogman XS.3301 Mens Watch 46mm - Military Dive Watch in Black/Grey Date Function 200m Water Resistant Sapphire Glass</t>
  </si>
  <si>
    <t>Seiko Prospex Special Edition SRPF77 Blue Silicone Automatic Day Date Diver’s Watch</t>
  </si>
  <si>
    <t>Luminox Men’s Pacific Diver Sea Series Red/Black 44mm Analog Dive Watch</t>
  </si>
  <si>
    <t>Luminox Navy Seal Mens Watch 45mm - Military Dive Watch in Black Date Function Chronograph 200m Water Resistant - XS.3581.EY</t>
  </si>
  <si>
    <t>1/3 Carat Diamond，Channel-Set 14K White Gold Bridal Wedding Band Ring (H-I， SI1-SI2) by La4ve Diamonds|Real Diamond Jewelry For Women|Gift Box Included (Round Diamond，Baguette， Blue Sapphire Baguette)</t>
  </si>
  <si>
    <t>SEIKO SRPG13 Prospex Men’s Watch Green 42.4mm Stainless Steel</t>
  </si>
  <si>
    <t>Seiko Men Prospex - Solar ’Tuna’ PADI Dive Watch Analog/Digital</t>
  </si>
  <si>
    <t>Casio G-Shock G-Steel GST-B300-1AJF Carbon Core Guard Solar Men’s Watch (Japan Domestic Genuine Products)</t>
  </si>
  <si>
    <t>SAMSUNG Galaxy Watch 5 40mm Bluetooth Smartwatch w/ Body， Health， Fitness and Sleep Tracker， Improved Battery， Sapphire Crystal Glass， Enhanced GPS Tracking， US Version， Pink Gold Bezel w/ Pink Band</t>
  </si>
  <si>
    <t>Seiko Men’s SSC139 Excelsior Gunmetal and Silver-Tone Stainless Steel Solar Watch</t>
  </si>
  <si>
    <t>SAMSUNG Galaxy Watch 5 44mm Bluetooth Smartwatch w/Body， Health， Fitness and Sleep Tracker， Improved Battery， Sapphire Crystal Glass， Enhanced GPS Tracking， US Version， Blue</t>
  </si>
  <si>
    <t>Luminox Men’s Bear Grylls Survival Black/Orange 42mm Analog Dive Watch</t>
  </si>
  <si>
    <t>Seiko Men’s Analogue Automatic Watch Seiko 5 Sports</t>
  </si>
  <si>
    <t>FEICE Automatic Watch for Men Bauhaus Watch Mens Mechanical Watch Stainless Steel Domed Mirror Analog Casual Dress Watches Unisex -FM202 (42mm)</t>
  </si>
  <si>
    <t>CASIO G-SHOCK GW-M5610RB-4JF Mens Japan Import</t>
  </si>
  <si>
    <t>SEIKO SRPD59 5 Sports Men’s Watch Silver-Tone 42.5mm Stainless Steel</t>
  </si>
  <si>
    <t>Amazfit T-Rex 2 Smart Watch for Men， Dual-Band &amp; 6 Satellite Positioning， 24-Day Battery Life， Ultra-Low Temperature Operation， Rugged Outdoor GPS Military Smartwatch， Real-time Navigation-Black</t>
  </si>
  <si>
    <t>Swarovski Constella Crystal Jewelry Collection， Gold Tone Finish</t>
  </si>
  <si>
    <t>LOBINNI Fashion Business Mens Watches with Stainless Steel Waterproof Automatic Machinery Watch for Men， Auto Date-Week</t>
  </si>
  <si>
    <t>SWAROVSKI Women’s Cosmopolitan Crystal Watch Collection</t>
  </si>
  <si>
    <t>Casio GM-S5600BR-5JF [G-Shock Bronze Color Theme Model] Watch Shipped from Japan Aug 2022 Model</t>
  </si>
  <si>
    <t>Timex Men’s Expedition Tide-Temp-Compass 45mm TW2V22200VQ Quartz Watch</t>
  </si>
  <si>
    <t>SEIKO Men’s Analogue Automatic Watch with Textile Strap SNZG11K1</t>
  </si>
  <si>
    <t>Kendra Scott Baguette Elle Drop Earrings</t>
  </si>
  <si>
    <t>Swarovski The Child， Mandalorian Figurine， Green and Gold Tone Crystals， Part of the Swarovski Star Wars Collection</t>
  </si>
  <si>
    <t>Casio G-Shock Men’s Watch GD-120MB-1ER</t>
  </si>
  <si>
    <t>Kendra Scott Layton Statement Earrings</t>
  </si>
  <si>
    <t>Swarovski Hear Heart Jewelry Collection， Clear Crystals (Amazon Exclusive)</t>
  </si>
  <si>
    <t>Casio G-Shock DW-5600WM-5JF [Utility Wavy Marble]</t>
  </si>
  <si>
    <t>Invicta Men’s Pro Diver Automatic Watch with Silicone Band， Black (Model 23678)</t>
  </si>
  <si>
    <t>Swarovski Stone Ring Jewelry Collection， Pink Crystals， Rose Gold Tone Finish</t>
  </si>
  <si>
    <t>SZUBEE 8888 L Shaped Sectional Sofa Living Room Furniture Deep Button Tufted Velvet Upholstered Rolled Arm Classic Chesterfield 3 Pillows Included， Gray</t>
  </si>
  <si>
    <t>Lilola Home Zoey Dark Gray Linen Convertible Sleeper Sofa with Side Pocket</t>
  </si>
  <si>
    <t>LEISLAND 79 Modern Sectional Sofa Couch for Living Room， Small Couches for Small Spaces， Chenille L Shaped Sofas with Solid Wood Frame， Detachable Cover， Attached Armrest， Easy to Install(Golden)</t>
  </si>
  <si>
    <t>Edenbrook Jensen Upholstered Couch - Couches for Living Room - Charcoal Upholstered Couch - Living Room Furniture - Small Couch - Seats Three - Scoop Arm Modern Couch</t>
  </si>
  <si>
    <t>toyshi Eyelash LED Floor Light， Half Moon Floor Lamp， Ring Light for Lash Extension， Lighting for Beauty， Skincare， Lashes， Eyebrows， Filming Content Creation</t>
  </si>
  <si>
    <t>Chanel Sublimage La Creme Yeux Ultimate Regener. 15gr</t>
  </si>
  <si>
    <t>sisley paris Anti-Age Global Revitalizer for Unisex Normal Skin， 1.7 Ounce (SISLEY-550101)</t>
  </si>
  <si>
    <t>toyshi Hi_Friend LED Lamp for Eyelash Extensions， 26 - Lash Lamp for Tattoo Artists， Nail Tech， Esthetician - Cool， Warm Lighting Lamp with Adjustable Brightness &amp; Height (White)</t>
  </si>
  <si>
    <t>SISLEY Sisley Supremya Eyes at Night The Supreme Anti-Aging Eye Serum， 0.52 Ounce， 0.52 Fl Ounce () (3473311540508)</t>
  </si>
  <si>
    <t>Germaine de Capuccini - Timexpert SRNS Pro 60+ Extra Nourishing Highly Demanding Cream - Improves Pigmentation and Hydration - Covers All the Needs of Mature Skin - 1.7 oz</t>
  </si>
  <si>
    <t>Sisley Hydra-Global Intense Anti-Aging Hydration， 1.4 Ounce</t>
  </si>
  <si>
    <t>Chanel LES BEIGES Healthy Glow Foundation SPF 25 / PA++ # 32 Rosé</t>
  </si>
  <si>
    <t>Sisley Phyto Teint Eclat Compact Foundation No. 2 Soft Beige for Women， 0.35 Ounce</t>
  </si>
  <si>
    <t>Valmont Black Rose Anti-Aging Nutrition Precious Face Oil， 0.59 Pound</t>
  </si>
  <si>
    <t>CHANEL LE LIFT CREME YEUX， 0.5291 Ounce</t>
  </si>
  <si>
    <t>Facial Treatment Mask/10 pc.</t>
  </si>
  <si>
    <t>Tata Harper Resurfacing Mask， Glow Giving Mask， 100% Natural， Made Fresh in Vermont， 30ml</t>
  </si>
  <si>
    <t>Clarins V-Facial Intensive Wrap Face Mask | Award-Winning Facial Contouring Mask | Visibly Reduces Puffiness and Swelling Caused by Stress， Heat and Hormonal Changes | Promotes Even Skin Tone | 2.5 Oz</t>
  </si>
  <si>
    <t>GERMAINE DE CAPUCCINI FOR MEN - Eye Contour Solutions Serum | Eye serum for Men | Eye Serum for Dark circles and Puffiness - Anti-fatigue Eye Serum - All skin types - 0.5 oz</t>
  </si>
  <si>
    <t>GERGO Floor Lamp， Remote Control with 4 Color Temperatures， LED Torchiere Floor Lamp with Adjustable Reading Lamp for Bedroom， Standing Lamps for Living Room， Bulb Included (Matte Black)</t>
  </si>
  <si>
    <t>LED Lamp for Eyelash Extensions， 28 - Lash Lamp for Tattoo Artists， Nail Tech， Esthetician - Cool， 360° Warm Lighting Lamp with Adjustable Brightness &amp; Height Bedroom， Party Gift Tiktok LED Wall Lamp</t>
  </si>
  <si>
    <t>GKTG Floor Lamp for Living Room， Dimmable Floor Lamp with Remote Control， 10W Color Changing LED Bulb Included， Modern Standing lamp Tall Lamp for Bedroom， Office， Reading (Black)</t>
  </si>
  <si>
    <t>Jelly Mask Powder for Facials Skin Care， Natural Gel Face Masks， Professional Peel Off Jelly Mask， Moisturizing， Brightening &amp; Hydrating， Mask Powder for Wrinkles &amp; Acne 23 Fl Oz (Hyalorunic Acid)</t>
  </si>
  <si>
    <t>Supertop for Truck 2 - ’09-10 Ram 1500; ’11-21 1500; for 5.5 ft. Bed; w/o RamBox</t>
  </si>
  <si>
    <t>Giro Regime Mens Road Cycling Shoes</t>
  </si>
  <si>
    <t>CHANEL SUBLIMAGE LA CRÈME Ultimate Skin Regeneration - Texture Universal 1.7 OZ.</t>
  </si>
  <si>
    <t>Apple 2024 MacBook Air 13-inch Laptop with M3 chip: 13.6-inch Liquid Retina Display, 8GB Unified Memory, 256GB SSD Storage, Backlit Keyboard, 1080p FaceTime HD Camera, Touch ID; Starlight</t>
  </si>
  <si>
    <t>Apple 2024 MacBook Air 13-inch Laptop with M3 chip: 13.6-inch Liquid Retina Display, 8GB Unified Memory, 512GB SSD Storage, Backlit Keyboard, 1080p FaceTime HD Camera, Touch ID; Space Gray</t>
  </si>
  <si>
    <t>Apple 2024 MacBook Air 15-inch Laptop with M3 chip: 15.3-inch Liquid Retina Display, 8GB Unified Memory, 256GB SSD Storage, Backlit Keyboard, 1080p FaceTime HD Camera, Touch ID; Space Gray</t>
  </si>
  <si>
    <t>Apple 2024 MacBook Air 15-inch Laptop with M3 chip: 15.3-inch Liquid Retina Display, 8GB Unified Memory, 512GB SSD Storage, Backlit Keyboard, 1080p FaceTime HD Camera, Touch ID; Space Gray</t>
  </si>
  <si>
    <t>Apple 2024 MacBook Air 13-inch Laptop with M3 chip: 13.6-inch Liquid Retina Display, 16GB Unified Memory, 512GB SSD Storage, Backlit Keyboard, 1080p FaceTime HD Camera, Touch ID; Starlight</t>
  </si>
  <si>
    <t>Apple 2024 MacBook Air 15-inch Laptop with M3 chip: 15.3-inch Liquid Retina Display, 8GB Unified Memory, 512GB SSD Storage, Backlit Keyboard, 1080p FaceTime HD Camera, Touch ID; Starlight</t>
  </si>
  <si>
    <t>Apple 2023 MacBook Pro Laptop M3 Pro chip with 12‑core CPU, 18‑core GPU: 14.2-inch Liquid Retina XDR Display, 18GB Unified Memory, 1TB SSD Storage. Works with iPhone/iPad; Space Black</t>
  </si>
  <si>
    <t>Dell Precision 7000 7680 Workstation Laptop (2023) | 16" FHD+ | Core i9-1TB SSD - 64GB RAM | 24 Cores @ 5.5 GHz - 13th Gen CPU Win 11 Pro (Renewed)</t>
  </si>
  <si>
    <t>Apple iPhone 13， 128GB， Blue - Unlocked (Renewed)</t>
  </si>
  <si>
    <t>PVC RV Rubber Roof Kit 45 mil | 9’6’’ Wide x 10’-40’ Long RV (Camper) Roof Repair (40’)， White， (RVK45PVCW95)</t>
  </si>
  <si>
    <t>Dell Latitude 7420 14 Intel Core i5-1145G7 256GB PCIe SSD 16GB FHD Touch (1920X1080) 300 NIT IR Cam Win 11 Pro (Certified Refurb)</t>
  </si>
  <si>
    <t>Apple iPhone 12 Pro Max， 512GB， Graphite - Unlocked (Renewed Premium)</t>
  </si>
  <si>
    <t>Marcy Magnetic Elliptical Trainer Cardio Workout Machine</t>
  </si>
  <si>
    <t>maurices Women's Leighton Long Sleeve Business Casual Blouse</t>
  </si>
  <si>
    <t>WHITE FOX Can't Justify It Long Sleeve Knit Top</t>
  </si>
  <si>
    <t>Spanx Women's AirEssentials Crew Neck Dress</t>
  </si>
  <si>
    <t>Crystal Doll Juniors' Ruffle-Sleeve Fit Flare Dress</t>
  </si>
  <si>
    <t>LeStyleParfait Men's Multi-Pockets Two-Piece Clothing Set</t>
  </si>
  <si>
    <t>H&amp;M Men's Loose Fit Sweatshirt</t>
  </si>
  <si>
    <t>Men's Casual Clothing Set</t>
  </si>
  <si>
    <t>The Mens store The Mens store Mens Tartan Plaid Casual Shirt</t>
  </si>
  <si>
    <t>Dell Optiplex 3020 Desktop Computer, Intel Core I5, 16gb RAM 2TB HDD Windows 11 Pro, Includes</t>
  </si>
  <si>
    <t>Corsair 3500X Mid-Tower PC Case</t>
  </si>
  <si>
    <t>Asus M3400WYA-DH503 All-in-One Computer</t>
  </si>
  <si>
    <t>CLX Gaming Desktop Computer with AMD Ryzen 7 5700G, 16GB Memory, and 1TB SSD</t>
  </si>
  <si>
    <t>Eureka Ergonomic Height-Adjustable Illuminated Panel CPU Cart</t>
  </si>
  <si>
    <t>HP All-in-One Computer &amp; Display</t>
  </si>
  <si>
    <t>HP Desktop Computer Core i5-13400</t>
  </si>
  <si>
    <t>Nimo 15.6 FHD Student Laptop</t>
  </si>
  <si>
    <t>Academy Sports + Outdoors 44 in Portable Basketball System</t>
  </si>
  <si>
    <t>KidKraft All-in-One Sports Adventure Playset</t>
  </si>
  <si>
    <t>Franklin Sports Spyderball</t>
  </si>
  <si>
    <t>Jaypro Sports Outdoor Competition Volleyball System</t>
  </si>
  <si>
    <t>MinnARK 3-in-1 Outdoor Yard Games Multigame Set for All Ages</t>
  </si>
  <si>
    <t>Multi-Sport Combo Net Set</t>
  </si>
  <si>
    <t>Spikeball Weekender Set</t>
  </si>
  <si>
    <t>TISSOT Gentleman Men's Watch</t>
  </si>
  <si>
    <t>14K White Gold VVS Moissanite Diamond Watch</t>
  </si>
  <si>
    <t>Altar'd State Dainty Rectangle Gold Watch</t>
  </si>
  <si>
    <t>Michael Kors Women's Emery Three-Hand Stainless Steel Watch, Earrings, and Bracelet Gift Set</t>
  </si>
  <si>
    <t>Kendra Scott Alex 35mm Gold Tone Watch</t>
  </si>
  <si>
    <t>Nixon Time Teller Watch</t>
  </si>
  <si>
    <t>Anne Klein Women's Round Mother of Pearl Dial Swarovski Crystal Watch Set</t>
  </si>
  <si>
    <t>Tory Burch Women's Miller Bangle Bracelet Watch Set</t>
  </si>
  <si>
    <t>Rado Men's The Original Watch R12393633</t>
  </si>
  <si>
    <t>Olivia Burton Women's Bejewelled Stainless Steel Bracelet Watch</t>
  </si>
  <si>
    <t>Van Cleef &amp; Arpels Sweet Alhambra Pink Gold Watch</t>
  </si>
  <si>
    <t>Vera Bradley Waterproof Phone Pouch with Lanyard</t>
  </si>
  <si>
    <t>Deco Gear Universal Smartphone Accessory Kit</t>
  </si>
  <si>
    <t>Kikkerland Perfect Phone Stand</t>
  </si>
  <si>
    <t>LOVEHANDLE Universal Phone Grip for Most Smartphones, Mini Tablets and</t>
  </si>
  <si>
    <t>Vera Bradley Phone Cord</t>
  </si>
  <si>
    <t>MOFT Snap-on Phone Stand &amp; Wallet MagSafe Compatible</t>
  </si>
  <si>
    <t>Nostalgia Retro 3-in-1 Family Size Breakfast Station</t>
  </si>
  <si>
    <t>Smeg Dolce &amp; Gabbana Fab5 Mini Fridge</t>
  </si>
  <si>
    <t>Smeg Refrigerator FAB28 Retro Style</t>
  </si>
  <si>
    <t>Beautiful 6 Qt Programmable Slow Cooker</t>
  </si>
  <si>
    <t>GE Profile Washer/Dryer Combo PFQ97HSPVDS</t>
  </si>
  <si>
    <t>Complete Hair Health System</t>
  </si>
  <si>
    <t>Solgar Skin Nails Hair</t>
  </si>
  <si>
    <t>Andrew Lessman Healthy Hair Skin &amp; Nails 5000 mcg High Bioactivity Biotin</t>
  </si>
  <si>
    <t>Ultimate Hair Growth Bundle - Hair Growth, Strength, Reduce Breakage - Premium Chebe Extract from Africa</t>
  </si>
  <si>
    <t>Wagner Hair, Skin &amp; Nails Capsules</t>
  </si>
  <si>
    <t>Kerastase Genesis Anti Hair-Fall Fortifying Serum</t>
  </si>
  <si>
    <t>Growth Bomb Hair &amp; Nail Booster 60 Tablets</t>
  </si>
  <si>
    <t>Bondi Boost Intensive Spray 125ml</t>
  </si>
  <si>
    <t>Charter Club Women's Packable Hooded Puffer Coat</t>
  </si>
  <si>
    <t>Women's Loose Fit Long Sleeve Crew Neck Top</t>
  </si>
  <si>
    <t>EVALESS Women's Crewneck Short Sleeve Textured Tee</t>
  </si>
  <si>
    <t>Women's Elegant A-Line Short Sleeve Dress with Pockets</t>
  </si>
  <si>
    <t>Bofell Womens Fashion Tops Hoodies for Women Pullover Oversized Sweatshirts Long Sleeve Shirts Loose Fit</t>
  </si>
  <si>
    <t>Women's Dressy Casual Lace Long Sleeve Button Down Shirt</t>
  </si>
  <si>
    <t>BEPEI Womens Tops Dressy Casual 3/4 Sleeve Blouses V Neck Business Work Shirts</t>
  </si>
  <si>
    <t>Lauren Ralph Lauren Women's Heritage Down &amp; Feather Fill Puffer Coat with Faux-</t>
  </si>
  <si>
    <t>maurices Women's Cressa Long Sleeve Cardigan</t>
  </si>
  <si>
    <t>Fashion Nova Men's Skyline Shirt Combo</t>
  </si>
  <si>
    <t>Fashion Nova Men's Beck Textured Shirt</t>
  </si>
  <si>
    <t>Men's Loose Fit Heavy Cotton T-Shirt</t>
  </si>
  <si>
    <t>Men's Colorblock Button Down Shirt</t>
  </si>
  <si>
    <t>Men's Sonoma Goods For Life Sweater Fleece Quarter Zip Pullover, Size: Small, Brown</t>
  </si>
  <si>
    <t>Polo Ralph Lauren Men's Luxury Jersey Quarter-Zip Pullover</t>
  </si>
  <si>
    <t>Microsoft Designer Compact Keyboard Bluetooth</t>
  </si>
  <si>
    <t>Samsung 990 EVO Plus SSD MZ-V9S</t>
  </si>
  <si>
    <t>Thermaltake Tower 300 Micro ATX Gaming Case</t>
  </si>
  <si>
    <t>Lenovo Preferred Pro II Keyboard</t>
  </si>
  <si>
    <t>ANYPLUS USB C Hub Laptop Docking Station</t>
  </si>
  <si>
    <t>RREAKA 6 in 1 Microsoft Surface Pro X Hub Docking Station</t>
  </si>
  <si>
    <t>Abacus Technology Slim Computer Case</t>
  </si>
  <si>
    <t>DOCKCASE Explorer Edition USB C Hub 10-in-1</t>
  </si>
  <si>
    <t>HP 14 inch HD Display Student and Business Laptop</t>
  </si>
  <si>
    <t>KOKODI Kids Smart Phone Toys Birthday Gifts Unicorn Toddler Play Phone</t>
  </si>
  <si>
    <t>VTech Kidi Star Drum Pad</t>
  </si>
  <si>
    <t>Stanley Jr. Battery Operated Toy Drill</t>
  </si>
  <si>
    <t>Ivtivfu Flying Orb Ball Bring Magic into Reality Flying Ball Toy</t>
  </si>
  <si>
    <t>Best Choice Products 3-in-1 Kids Push and Pedal Toddler Ride On Wagon Play Toy Stroller w/ Sounds</t>
  </si>
  <si>
    <t>Magnetic Tiles Kids Toys for 3 4 5 6 7 8+ Year Old Boys Girls Magnetic Building Blocks Toys Preschool Learning Sensory Montessori Toys for 3+ Year</t>
  </si>
  <si>
    <t>SYSKENI 56PCS Magnetic Blocks Toddler Toys, Magnetic Building Blocks Magnet Toys, Magnetic Blocks for Kids Ages 3-5 4-8, STEM Sensory Toys Magnet</t>
  </si>
  <si>
    <t>East Oak TPU Clear Sport Tent</t>
  </si>
  <si>
    <t>Zimtown 8' x 5' Portable Soccer Goal Net</t>
  </si>
  <si>
    <t>All in Motion Basic Hand Weight Set</t>
  </si>
  <si>
    <t>Park &amp; Sun Spiker SL Volleyball Net System</t>
  </si>
  <si>
    <t>Basketball Hoop 10ft Adjustable Height Portable Goal Court System 45in Shatterproof Backboard for Kids</t>
  </si>
  <si>
    <t>AGame Elite Volleyball Set</t>
  </si>
  <si>
    <t>Academy Sports + Outdoors One Push 10 ft x 10 ft Texas Straight Leg Canopy</t>
  </si>
  <si>
    <t>Hey Harper Women's DNA Waterproof Pearl Watch</t>
  </si>
  <si>
    <t>Anne Klein Women's Gold Metal Black Diamond Set</t>
  </si>
  <si>
    <t>Cartier Panthère Ladies Stainless Steel Diamond Watch</t>
  </si>
  <si>
    <t>Fossil Women's Ring Watch</t>
  </si>
  <si>
    <t>Berny Women's Vintage Oval Quartz Watch</t>
  </si>
  <si>
    <t>Timex Men's Chronograph Watch</t>
  </si>
  <si>
    <t>EOQIFJM Universal Cell Phone Stand</t>
  </si>
  <si>
    <t>LOVEHANDLE Universal Phone Grip for Smartphones &amp; Mini Tablets - Phone Holder for Hand - Wireless Charging Compatible - Made in The USA - Solid</t>
  </si>
  <si>
    <t>SINJIMORU Stick-On Phone Card Holder with Cash Storage</t>
  </si>
  <si>
    <t>CASETiFY Pebbled Phone Strap - Greige</t>
  </si>
  <si>
    <t>PopSockets PopWallet+ Phone Wallet</t>
  </si>
  <si>
    <t>Frigidaire Gallery 30 Electric Range GCRE3060BF</t>
  </si>
  <si>
    <t>Smeg Drip Coffee Machine</t>
  </si>
  <si>
    <t>CT1002-47 Black and Wood Color Charm Ceiling Fan with Remote and Light Kit, Elegant Pendant for Dining Room Bar, Home Decoration</t>
  </si>
  <si>
    <t>Haden Heritage 2-Slice Toaster</t>
  </si>
  <si>
    <t>Hotpoint 4.0 cu. ft. Capacity Washer with Stainless Steel Basket,Cold Plus and Water Level Control</t>
  </si>
  <si>
    <t>Galanz 3.1 Cu ft Retro Mini Fridge with Freezer</t>
  </si>
  <si>
    <t>Smeg Estetica 50's Style Filtered Coffee Machine</t>
  </si>
  <si>
    <t>Herbalosophy Biotin with Argan Oil and Vitamin B7 Shampoo &amp; Conditioner Set</t>
  </si>
  <si>
    <t>Vanilla &amp; Almond Shampoo</t>
  </si>
  <si>
    <t>Nature's Truth Hair, Skin &amp; Nails with Biotin</t>
  </si>
  <si>
    <t>Rose Hips Conditioner</t>
  </si>
  <si>
    <t>Aussie Miracle Moist Shampoo and Conditioner Hair Set</t>
  </si>
  <si>
    <t>YOGI'S GIFT Celebrating Health Herbal Hair Care Combo Pack (500g/17.65oz) | Hair Mask with Ayurvedic Powders: Amla, Reetha, Shikakai, Brahmi,</t>
  </si>
  <si>
    <t>Natural First Organic Apple Cider Vinegar Finishing Rinse</t>
  </si>
  <si>
    <t>OGX Thick &amp; Full + Biotin &amp; Collagen Extra Strength Volumizing Shampoo + Conditioner with Vitamin B7 &amp; Hydrolyzed Wheat Protein for Fine Hair</t>
  </si>
  <si>
    <t>Luseta Biotin &amp; Collagen Conditioner</t>
  </si>
  <si>
    <t>Hairfluence - W/ Biotin, Niacin, Collagen, Healthy Skin, Hair &amp; Nails</t>
  </si>
  <si>
    <t>Maple Holistics Biotin Shampoo and Conditioner Set</t>
  </si>
  <si>
    <t>The Psychology of Money: Timeless Lessons on Wealth, Greed, and Happiness</t>
  </si>
  <si>
    <t>A Court of Thorns and Roses</t>
  </si>
  <si>
    <t>Room</t>
  </si>
  <si>
    <t>It Starts with Us: A Novel</t>
  </si>
  <si>
    <t>Sony PlayStation Store Bow Gift Card</t>
  </si>
  <si>
    <t>$150 PlayStation Store Gift Card [Digital Code]</t>
  </si>
  <si>
    <t>Assassin's Creed Mirage Deluxe Edition</t>
  </si>
  <si>
    <t>Sony Destiny 2: Digital Deluxe Content Included - Electronics</t>
  </si>
  <si>
    <t>Rise of The Ronin</t>
  </si>
  <si>
    <t>Apple Gift Card 3 USD - Apple Key - UNITED STATES</t>
  </si>
  <si>
    <t>$250 Apple Gift Card</t>
  </si>
  <si>
    <t>Buy a $100 US Apple Music Gift Card - Email Delivery</t>
  </si>
  <si>
    <t>Beaufort</t>
  </si>
  <si>
    <t>Theodore Boone: The Accomplice [eBook]</t>
  </si>
  <si>
    <t>Bookshop Cinderella eBook</t>
  </si>
  <si>
    <t>Special Delivery; eBook; Author - E. R. Paskey</t>
  </si>
  <si>
    <t>What We Leave Behind: A Novel [eBook]</t>
  </si>
  <si>
    <t>Morning Light</t>
  </si>
  <si>
    <t>Bracia Karamazow</t>
  </si>
  <si>
    <t>One Piece Odyssey Deluxe Edition</t>
  </si>
  <si>
    <t>Ubisoft UNO PC</t>
  </si>
  <si>
    <t>Carnival Games</t>
  </si>
  <si>
    <t>Castlevania Advance Collection</t>
  </si>
  <si>
    <t>Nintendo Switch Online Individual Expansion Membership Gift Card</t>
  </si>
  <si>
    <t>Giftlands Nintendo Switch</t>
  </si>
  <si>
    <t>Adidas Women's 3-Stripes Leggings</t>
  </si>
  <si>
    <t>adidas Women's Farm Tiro Track Top</t>
  </si>
  <si>
    <t>adidas Women's Cloudfoam Pure Low-Top Running Shoes</t>
  </si>
  <si>
    <t>adidas Men's Tiro 25 Essentials Training Pants</t>
  </si>
  <si>
    <t>Adidas Men's Designed 2 Move 3-Stripes Primeblue Shorts</t>
  </si>
  <si>
    <t>ASICS Men's Logo Sweat Shorts</t>
  </si>
  <si>
    <t>ASICS My Run Tee</t>
  </si>
  <si>
    <t>Asics Men's Long Sleeve Core Top</t>
  </si>
  <si>
    <t>Gymshark | United We Sweat Pocket Leggings</t>
  </si>
  <si>
    <t>Gymshark Women's Everyday Seamless Stretch-Woven Leggings</t>
  </si>
  <si>
    <t>Gymshark Lift Seamless Zip Up Jacket</t>
  </si>
  <si>
    <t>Gymshark Lifting Essentials Graphic Brushed Oversized Joggers</t>
  </si>
  <si>
    <t>Gymshark Long Sleeve Training Top</t>
  </si>
  <si>
    <t>Gymshark Vital Seamless 2.0 Long Sleeve Top</t>
  </si>
  <si>
    <t>Nike Women's Sportswear Phoenix Plush High-Waisted Wide-Leg Cozy Fleece Pants</t>
  </si>
  <si>
    <t>Nike Women's Oversized Phoenix Fleece Sweatshirt</t>
  </si>
  <si>
    <t>Nike Women's Sportswear Plush Pants</t>
  </si>
  <si>
    <t>Nike Men's Tech Woven Pants</t>
  </si>
  <si>
    <t>Reebok Women's Active Collective SkyStretch Woven Pants</t>
  </si>
  <si>
    <t>Reebok Women's Lux High-Rise Colorblock Leggings</t>
  </si>
  <si>
    <t>Reebok Men's Active Collective DreamBlend Pants</t>
  </si>
  <si>
    <t>Fluid Master 400a Toilet Water Fill Valve For American Standard</t>
  </si>
  <si>
    <t>Fluidmaster Better Than Wax Wax-Free Toilet Gasket</t>
  </si>
  <si>
    <t>Fluidmaster PRO45H Pro Series Adjustable Fill Valve</t>
  </si>
  <si>
    <t>Fluidmaster PerforMAX Toilet Fill Valve</t>
  </si>
  <si>
    <t>Fluidmaster PRO550K Duo Flush Dual Flush Retrofit Valve Kit</t>
  </si>
  <si>
    <t>Homfa Bathroom Wall Mirror Cabinet, 27.6 X 23.6 Inch Multipurpose</t>
  </si>
  <si>
    <t>Homfa Modern Wooden Freestanding Bathroom Storage Cabinet</t>
  </si>
  <si>
    <t>Homcom Under Sink Bathroom Cabinet</t>
  </si>
  <si>
    <t>Ktaxon Bathroom Medicine Cabinet</t>
  </si>
  <si>
    <t>Ktaxon Bathroom Vanity Cabinet</t>
  </si>
  <si>
    <t>Ktaxon Wooden Bathroom Wall Medicine Cabinet</t>
  </si>
  <si>
    <t>35.4 in. Bath Vanity Cabinet</t>
  </si>
  <si>
    <t>Ktaxon Tall Bathroom Storage Cabinet Organizer</t>
  </si>
  <si>
    <t>VASAGLE Tall Bathroom Cabinet</t>
  </si>
  <si>
    <t>Design House Wyndham 24" Single Free Standing Vanity Cabinet</t>
  </si>
  <si>
    <t>24" Bathroom Vanity Cabinet Without Sink</t>
  </si>
  <si>
    <t>Brita On Tap Water Filtration System</t>
  </si>
  <si>
    <t>Brita Elite Fridge Friendly 27 Cup Filtered Water Dispenser with 2 Filters</t>
  </si>
  <si>
    <t>Brita Extra Large 27-Cup UltraMax Filtered Water Dispenser with Filter - Gray: Water Filtration, Hand Wash, Flip-Top Lid</t>
  </si>
  <si>
    <t>Brita Total 360 2-Stage Drinking Water Filtration System</t>
  </si>
  <si>
    <t>Brita Large Tahoe Water Filter Pitcher 50686</t>
  </si>
  <si>
    <t>Brita 27-Cup Water Filter System</t>
  </si>
  <si>
    <t>Brita 18-Cup Ultramax Water Dispenser</t>
  </si>
  <si>
    <t>PUR Faucet Mount Water Filtration System</t>
  </si>
  <si>
    <t>SimPure Y7W Countertop Reverse Osmosis Water Filtration Purification System</t>
  </si>
  <si>
    <t>PUR 3-Stage Under Sink Universal Reverse Osmosis Water Filtration System</t>
  </si>
  <si>
    <t>PUR 88 oz. BlueWhite Water Filtration Pitcher - No. PPT111W</t>
  </si>
  <si>
    <t>Equate Fiber Therapy for Regularity</t>
  </si>
  <si>
    <t>Hi-pro-pac Keratin Intense Protein Treatment 8 Ounce 235ml (3 Pack)</t>
  </si>
  <si>
    <t>Joico K-Pak H.K.P Liquid Protein Chemical Perfector</t>
  </si>
  <si>
    <t>Hi Pro Pac Macadamia Nut Oil Nourishing Shampoo</t>
  </si>
  <si>
    <t>Neutrogena Visible Repair Regenerating Cream with Retinol + Peptide For Anti-Ageing, Wrinkles &amp; Fine Lines - 50 gm</t>
  </si>
  <si>
    <t>Neutrogena Norwegische FORMEL Sofort Einziehende Feuchtigkeitscreme, 200 ml Cream</t>
  </si>
  <si>
    <t>Neutrogena Very Dry and Damaged Feet Cream</t>
  </si>
  <si>
    <t>Neutrogena Comfort Balm Deep Hydration 300ml</t>
  </si>
  <si>
    <t>Arm &amp; Hammer Complete Care Fresh Dental Water Additive for Cats - Cat Dental Care Solution for Bad Breath, Includes Cat Toothpaste Enzymatic Action, Ideal for Cat Grooming Supplies, 8 Fl Oz</t>
  </si>
  <si>
    <t>Arm &amp; Hammer Cat Crystal Deodorizer for Kitty Litter Box - Calming Lavender &amp; Vanilla Scented Cat Litter Smell Eliminator - Crystal Odor Control for Cats Mess Cleanup - Pet Home Supplies, 15 Oz</t>
  </si>
  <si>
    <t>Arm &amp; Hammer Cloud Control Platinum Multi-Cat Clumping Cat Litter with Hypoallergenic Light Scent, 14 Days of Odor Control, 27.5 lbs, Online Exclusive Formula</t>
  </si>
  <si>
    <t>PetSafe Interior Cat Door: 2-Way Locking, Indoor Pet Door Flap - Tinted Privacy Door for Cat Litter Box or Pet Feeder, Built-In Door Lock, Durable Door Frame, DIY Easy Install, Hardware Kit Included</t>
  </si>
  <si>
    <t>PetSafe Drinkwell Replacement Foam Filters - Compatible with PetSafe Ceramic and Stainless Steel Pet Fountains for Water Dispensers, 2 Pack (PAC00-13711)</t>
  </si>
  <si>
    <t>MidWest Homes for Pets Replacement Rubber Crate Feet, Large, Black, Pack of 4, FEET-4L</t>
  </si>
  <si>
    <t>PetSafe Sliding Glass Pet Door Security Bar - Easy to Install - Lock Your Sliding Glass Dog Door - Compatible with PetSafe Sliding Glass Pet Doors - for Sliding Glass Doors up to 72 Wide</t>
  </si>
  <si>
    <t>PetSafe Chilly Penguin, Freezable Dog Toy for Small Dogs, Fill and Freeze, Frozen Dog Toy to Fill with Treats, French Vanilla Scented, Interactive Pet Puzzle for Boredom or Separation Anxiety, Small</t>
  </si>
  <si>
    <t>Aqueon Reef-Ready Aquarium 125 Gallon</t>
  </si>
  <si>
    <t>Aqueon 75 Gallon Aquarium</t>
  </si>
  <si>
    <t>Aqueon 20 Gallon High Aquarium</t>
  </si>
  <si>
    <t>TetraFauna ReptoFilter for Frogs, Newts &amp; Turtles</t>
  </si>
  <si>
    <t>Tetra Carbon Filters for Aquariums, Fits Whisper EX Filters, Cleans Aquarium Water, 4 Count</t>
  </si>
  <si>
    <t>Wonder &amp; Wise Hi-Lo Activity Table</t>
  </si>
  <si>
    <t>Costway Kids Multi Activity Play Table</t>
  </si>
  <si>
    <t>54'' Nest Activity Table</t>
  </si>
  <si>
    <t>Avenlur Cordia Activity Table and Chair Set</t>
  </si>
  <si>
    <t>Humble Crew Kids 2-in-1 Round Activity Table and 2 Chairs Set</t>
  </si>
  <si>
    <t>ECR4Kids Dry- Erase Square Activity Table with 2 Chairs and Adjustable</t>
  </si>
  <si>
    <t>Lifetime Compact Folding Table 280488</t>
  </si>
  <si>
    <t>Go Time Gear Life Tent Emergency Survival Shelter</t>
  </si>
  <si>
    <t>Quechua Arpenaz 4.1, Family Camping Tent, 4 Person in Black</t>
  </si>
  <si>
    <t>Hard Shell Roof Top Tent with Rack Mount</t>
  </si>
  <si>
    <t>POMOLY Dome X4 Freestanding Dome Hot Tent</t>
  </si>
  <si>
    <t>KingCamp Camping Square SUV Tent</t>
  </si>
  <si>
    <t>Cabela's Alaskan Guide Model Geodesic 8-Person Tent</t>
  </si>
  <si>
    <t>Ozark Trail 28-Piece Premium Camping Combo Set</t>
  </si>
  <si>
    <t>GCI Outdoor Freestyle Rocker Portable Rocking Chair</t>
  </si>
  <si>
    <t>Ozark Trail 15' x 15' 8-Person Glamping Bell Tent with String Lights</t>
  </si>
  <si>
    <t>Ozark Trail 7-Person 2-in-1 Screen House Connect Tent with 2 Doors</t>
  </si>
  <si>
    <t>Auto Drive Universal Fit on Car Visors</t>
  </si>
  <si>
    <t>Auto Drive Expandable Car Clothes Hanger Bar</t>
  </si>
  <si>
    <t>Auto Drive Universal Car Kit</t>
  </si>
  <si>
    <t>High Road Compact Swingaway Front Seat Organizer for Drivers</t>
  </si>
  <si>
    <t>AutoDrive 12-Volt Window Fan and Defogger</t>
  </si>
  <si>
    <t>EzyDog Drive Dog Car Harness</t>
  </si>
  <si>
    <t>Shein 7pcs Bling Car Accessories for Women</t>
  </si>
  <si>
    <t>Auto Drive Universal-fit 4-pc Butterfly Cover Seat Steering Wheel</t>
  </si>
  <si>
    <t>Auto Drive Steering Wheel Cover</t>
  </si>
  <si>
    <t>Armor All Original Protectant Sponge</t>
  </si>
  <si>
    <t>Armor All Drying Towel</t>
  </si>
  <si>
    <t>Armor All Original Protectant, 4 oz Bottles at Dollar Tree</t>
  </si>
  <si>
    <t>Gatorade Orange Thirst Quencher 28 Fld Oz Bottle</t>
  </si>
  <si>
    <t>Gatorade Classic Thirst Quencher</t>
  </si>
  <si>
    <t>Gatorade Frost Glacier Cherry Thirst Quencher</t>
  </si>
  <si>
    <t>Gatorade G Series Thirst Quencher, Fruit Punch - 28 fl oz bottle</t>
  </si>
  <si>
    <t>Gatorade Fierce Melon Thirst Quencher (32 fl oz)</t>
  </si>
  <si>
    <t>Gatorade 20oz 24pk Case</t>
  </si>
  <si>
    <t>Banquet Crispy Fried Chicken Family Pack</t>
  </si>
  <si>
    <t>Banquet Mega Meats Frozen Meatloaf</t>
  </si>
  <si>
    <t>Banquet Classic Chicken Fried Chicken Meal</t>
  </si>
  <si>
    <t>Banquet Brown 'N Serve French Toast Breakfast (5.07 oz) | Dierbergs</t>
  </si>
  <si>
    <t>Banquet Mega Meals Frozen Salisbury Steak Dinner</t>
  </si>
  <si>
    <t>Banquet, Homestyle Bakes, Creamy Chicken &amp; Biscuits, 28.10oz Box (Pack of 3)</t>
  </si>
  <si>
    <t>Adams Hometown Market Banquet Chicken Strips Meal</t>
  </si>
  <si>
    <t>Fresh Pacific Bluefin Tuna Akami</t>
  </si>
  <si>
    <t>Bluefin Tuna 'Chutoro' Sashimi</t>
  </si>
  <si>
    <t>Great Value 100% Pure Beef Burgers, 75% Lean/25% Fat 8lb 30ct - 30ct Case</t>
  </si>
  <si>
    <t>Extra Value Beef Patties</t>
  </si>
  <si>
    <t>(8 pack) Great Value Original Luncheon Meat, High Protein, 12 oz Aluminum Can</t>
  </si>
  <si>
    <t>Great American Swai Fillets</t>
  </si>
  <si>
    <t>The Fresh Market Steak with Gorgonzola Cream Meal</t>
  </si>
  <si>
    <t>Dowinx Gaming Chair</t>
  </si>
  <si>
    <t>Dowinx 6689L Gaming Chair</t>
  </si>
  <si>
    <t>Dowinx Gaming Chair with Heated Massage Lumbar Support,Ergonomic Computer Chair with Pocket Spring Cushion,Reclining Game Chair with Adjustable</t>
  </si>
  <si>
    <t>PRX Performance Home Gym Equipment Sets Couple's Prime Package</t>
  </si>
  <si>
    <t>Ritkeep Home Weight Set Training System Functional Muscle Strike Home Gym Smith Machine with Weight Stack PMAX-5600 Pro</t>
  </si>
  <si>
    <t>Fitter First Core Strength Pro Fitter 3D Cross Trainer</t>
  </si>
  <si>
    <t>Force USA C10 All in One Functional Trainer Smith Machine Power Rack</t>
  </si>
  <si>
    <t>Fitkicks Women's Earn Your Spot Foldable Water Shoes</t>
  </si>
  <si>
    <t>Fitrx SmartBell Total Body Gym Weight Plate</t>
  </si>
  <si>
    <t>FitRx SmartBell, Quick-Select Adjustable Dumbbell For Home Gym, 5-52.5 Lbs. Weight, Black, Single,</t>
  </si>
  <si>
    <t>FitRX Pro Handheld Therapeutic Percussion Massage Gun</t>
  </si>
  <si>
    <t>GR8FLEX Women's High Performance Gym with Total Over 100 Workout Exercises</t>
  </si>
  <si>
    <t>Fitvids Soft Kettlebells</t>
  </si>
  <si>
    <t>Inspire Fitness CG3 Home Gym Functional Trainer</t>
  </si>
  <si>
    <t>2 Qty Fitvids Home Gym Station Weight Plate 12lb Lx750/800/900 (24</t>
  </si>
  <si>
    <t>Fitvids Encased Exercise &amp; Fitness Hex Dumbbell</t>
  </si>
  <si>
    <t>Gymshark Everyday Seamless Tight Fit Crew Neck Tee</t>
  </si>
  <si>
    <t>Fitvids Under-Desk Elliptical Machine</t>
  </si>
  <si>
    <t>Fitvids Puzzle Exercise Mat With Eva Foam Interlocking Tiles For Mma,</t>
  </si>
  <si>
    <t>Fitvids Horizontal Plate And Olympic Bar Rack Organizer With Steel</t>
  </si>
  <si>
    <t>Organic Rye Grain Seeds</t>
  </si>
  <si>
    <t>Sugar Maple Seeds</t>
  </si>
  <si>
    <t>Grain Wheat Hard White Seeds</t>
  </si>
  <si>
    <t>CZ Grain Empress Tree Plant Seeds</t>
  </si>
  <si>
    <t>Kentucky Coffeetree</t>
  </si>
  <si>
    <t>Outsidepride Eucalyptus Silver Dollar Tree Seeds</t>
  </si>
  <si>
    <t>3 Tiers Wood Plant Rack Multi-layer Flower Pot Stand Wooden Storage Shelf Display Rack Home Office Garden Furniture</t>
  </si>
  <si>
    <t>[Newest Version] Multi-function Dual Ultraviolet Automatic Sterilizer Mobile Phone Sterilization Box Toothbrush Children Tableware Underwear Mask Disinfection Tool</t>
  </si>
  <si>
    <t>1pc Push Bubble Sensory Toy Butterfly Shape Anti-stress Fidget Toys Reliever Funny Educational Puzzle Toy for Adults Kids Creative Gifts</t>
  </si>
  <si>
    <t>PTFE Coated Motor Lead Screw T8 Lead 2/8mm Pitch 2mm POM Nut for Ender-3 Series/CR-10 Series/Sidewinder 3D Printer Part</t>
  </si>
  <si>
    <t>Hooker Furniture Rhapsody Tufted Upholstered Sleigh Bed</t>
  </si>
  <si>
    <t>Jura X8 Platinum Automatic Espresso &amp; Cappuccino Machine with Touch Screen</t>
  </si>
  <si>
    <t>ACME Versailles Curio Cabinet - - Bone White</t>
  </si>
  <si>
    <t>Jura E8 Coffee Machine 15341 Piano White</t>
  </si>
  <si>
    <t>ACME Chantelle Sofa w/3 Pillows - 53540 - Rose Gold PU/Fabric &amp; Pearl White</t>
  </si>
  <si>
    <t>Jura E8 Automatic Coffee Machine (Piano Black) Bundle with Glass Milk Container (2 Items)</t>
  </si>
  <si>
    <t>Breville BES980XL Oracle Espresso Machine， Brushed Stainless Steel</t>
  </si>
  <si>
    <t>Jura E6 Piano White 15559</t>
  </si>
  <si>
    <t>Alexent 5 Seats Sleeper sectional Sofa in 118 inch (Nail Arm， Dark Gray)</t>
  </si>
  <si>
    <t>POLY &amp; BARK Lissie Right Sectional Sofa， Cumulus Grey</t>
  </si>
  <si>
    <t>ACME Vendome Bench - - PU &amp; Cherry</t>
  </si>
  <si>
    <t>Amazon Brand – Rivet Modern Sofa Couch with Metal Legs， 85W， Teal Velvet</t>
  </si>
  <si>
    <t>Serta Sofa Full Size Convertible Loveseat， Java</t>
  </si>
  <si>
    <t>SPINN Espresso &amp; Coffee Machine， Smart WiFi Automatic Coffee Maker， Cold Brew &amp; Espresso Machine Combo with Programmable Centrifugal Brewing &amp; Grinder， Water Supply Line Compatible， No Refills， Silver</t>
  </si>
  <si>
    <t>Amazon Brand - Stone &amp; Beam Westview Extra-Deep Down-Filled Loveseat Sofa Couch， 75.6W， Cream</t>
  </si>
  <si>
    <t>Naomi Home Freya Oversized Genuine Leather Sofa - Ultimate Comfort - Modern Leather Couch - Mid-Century Living Room Sofa， Eco-Friendly Sofa Couch， Reversible Cushions， Espresso</t>
  </si>
  <si>
    <t>Breville Barista Express Espresso Machine， Brushed Stainless Steel， BES870XL</t>
  </si>
  <si>
    <t>PHILIPS 2200 Series Fully Automatic Espresso Machine - Classic Milk Frother， 2 Coffee Varieties， Intuitive Touch Display， Black， (EP2220/14)</t>
  </si>
  <si>
    <t>COSIKIE Espresso Machine with Grinder， Semi Automatic Espresso Machine with Steamer Milk Frother， All in One Espresso Coffee Machines 20 Bar， Home Barista Cappuccino Coffee Maker (Silver)</t>
  </si>
  <si>
    <t>Mjkone Velvet Reversible Sleeper Sofa Couch with Large Storage Chaise， 3-Seat Reversible Pull Out Sofa Couch Bed， L-Shape Sectional Sleeper Sofa Couches for Apartment， Living Room，Dark Grey</t>
  </si>
  <si>
    <t>AMERLIFE Deep Seat Sofa-Contemporary Chenille Sofa Couch， 97 Wide Large 3 Seater Sofa for Living Room-Oversized Sofa Comfy Sofa Beige</t>
  </si>
  <si>
    <t>Breville BCI600XL Smart Scoop Ice Cream Maker， Brushed Stainless Steel</t>
  </si>
  <si>
    <t>Chesterfield Sofa for Living Room， 3 Seater Velvet Couch Home Theater Seating Upholstered Accent Arm Sofa for Bedroom， Office， Apartment (Drak Green)</t>
  </si>
  <si>
    <t>Roland V-60HD HD Plug-n-Play Video Switcher with Audio for Live Event and Streaming</t>
  </si>
  <si>
    <t>Lenovo ThinkPad P16 Intel Core i9-12900HX， 16C， 16.0 WUXGA (1920x1200) IPS 300nits Anti-Glare， NVIDIA RTX A2000 8GB GDDR6， 32GB DDR5 RAM， 1TB NVMe SSD， Backlit KYB， Fingerprint Reader， Windows Pro</t>
  </si>
  <si>
    <t>Lenovo ThinkPad P16 Intel Core i7-12800HX， 16C， 16.0 WQUXGA (3840x2400) IPS 600nits Anti-Glare， NVIDIA RTX A1000 4GB GDDR6， 64GB DDR5 RAM， 1TB NVMe SSD， Backlit KYB， Fingerprint Reader， Windows Pro</t>
  </si>
  <si>
    <t>JYXOIHUB Smart Board， 49 Inch Digital Electronic Whiteboard and Smartboard for Classroom， Screen Mirroring from for Live Streaming， Digital Signage Displays and Player for Advertising(Board Only)</t>
  </si>
  <si>
    <t>Armer 55’’ Smart Board 4K UHD Interactive Board All in One Computer/Tablet for Office and Classroom，Robust App Ecosystem for Collaboration(Board Only)</t>
  </si>
  <si>
    <t>2022 MSI GE76 Raider 17.3 144Hz (Intel 8-Core i7-11800H， 64GB RAM， 2TB PCIe SSD， RTX 3060)， FHD Gaming Laptop， Thunderbolt 4， Webcam， RGB Backlit， IST HDMI， Windows 10</t>
  </si>
  <si>
    <t>Elite Screens Yard Master Electric， 150 inch Outdoor Motorized Projector Screen Rain Water Protection 16:9 Remote Control 8K 4K Ultra HD 3D Movie Theater 150 Auto Projection Screen</t>
  </si>
  <si>
    <t>Elite Screens Aeon CLR 3 Series，123 inch Projector Screen Diag 16:9 4K/8K Ultra HD Edge Free Ceiling Ambient Light Rejecting Fixed Frame Projector Screen Home Theater， AR123H-CLR3</t>
  </si>
  <si>
    <t>HP Envy Laptop， 17.3 FHD IPS Touchscreen， 12th Gen Intel Core i7-1260P， 32GB RAM， 1TB PCIe SSD， IR Camera， Backlit Keyboard， Wi-Fi 6， Windows 11 Home， Silver</t>
  </si>
  <si>
    <t>LG gram (2022) 14Z90Q Ultra Lightweight Laptop， 14 (1920 x 1200) IPS Display， Intel Evo 12th Gen i7 1260P Processor， 16GB LPDDR5， 512GB NVMe SSD， FHD Webcam， WiFi 6E， Thunderbolt 4， Windows 11， Gray</t>
  </si>
  <si>
    <t>Dell Newest Business Laptop Latitude 3520， 15.6 FHD Display， Intel i7-1165G7， 32GB RAM， 1TB SSD， Webcam， USB-C， HDMI， Wi-Fi 6， Windows 11 Pro</t>
  </si>
  <si>
    <t>Akia Screens CLR and ALR Projector Screen 123 inch 16:9 Ceiling Light Rejecting and Ambient Light Rejecting Projection Screen for UST Projection， Edge Free Fixed Frame Screen AK-NB123H-CLR2</t>
  </si>
  <si>
    <t>Night Owl 16 Channel Bluetooth Video Home Security Camera System with (12) Wired 4K UHD Indoor/Outdoor Spotlight Cameras with Audio and 2TB Hard Drive (Expandable up to 16 Cameras)</t>
  </si>
  <si>
    <t>Sound Devices MixPre-6 II Portable 32-Bit Float Multichannel Audio Recorder/Mixer， and USB Audio Interface</t>
  </si>
  <si>
    <t>ASUS VivoBook 17X Laptop， 17.3 inch FHD Display， Intel Core i7-12700H CPU， Intel Iris Xe Graphics， 16GB RAM， 1TB SSD， Fingerprint Sensor， Windows 11 Home， Quiet Blue， K1703ZA-DS76</t>
  </si>
  <si>
    <t>[ZEN] RYZEN 5 Custom Gaming RGB PC - AMD Gaming Desktop with Customizable Computer Specs</t>
  </si>
  <si>
    <t>Same Day Delivery [Refurbished] HP Eliteone 800 G5/G4 24 inch FullHD Choose Touch or non touch,i7-9700 8 core or 8700 upto 3.3Ghz 16GB DDR4 RAM 512GB SSD inbuilt webcam 5G Wifi /speaker Win 11,1 year</t>
  </si>
  <si>
    <t>Armaggeddon Comet Pro 6600 Customized MATX Gaming PC | AMD Ryzen | RX 6600</t>
  </si>
  <si>
    <t>Dell Inspiron 16 5625 Small Thin &amp; Light Portable Laptop - 16 inch FHD+ (1920 x 1200) Display， AMD Ryzen 7 5825U， 16GB DDR4 RAM， 512GB SSD， Radeon Graphics， Bluetooth， Windows 11 Pro - Silver</t>
  </si>
  <si>
    <t>Apple 2020 MacBook Air Laptop M1 Chip， 13 Retina Display， 8GB RAM， 256GB SSD Storage， Backlit Keyboard， FaceTime HD Camera， Touch ID. Works with iPhone/iPad; Space Gray</t>
  </si>
  <si>
    <t>5-Pack (2BK+1C+1M+1Y) 827A | CF300A CF301A CF302A CF303A Remanufactured Toner Cartridge Compatible for HP Laserjet Enterprise Flow MFP M880 M880z+ M880z+NFC M880z Printer Ink Cartridge</t>
  </si>
  <si>
    <t>2022 HP Pavilion 17.3-inch IPS FHD Laptop， Intel Quad Core i5-1135G7 (Beats i7-1065G7，Upto 4.2GHz)， Iris Xe Graphics， 16GB RAM， 1TB PCIe SSD，Backlit Keyboard， WiFi 5，Webcam， Windows 11+HubxcelCables</t>
  </si>
  <si>
    <t>Apple Watch Ultra [GPS + Cellular 49mm] Titanium Case with Yellow/Beige Trail Loop， S/M (Renewed)</t>
  </si>
  <si>
    <t>Blackmagic Design Video Assist 3G SDI/HDMI 7 Recorder Monitor Bundle with Lithium-Ion Battery Pack， AC/DC Charger， and 6’ HDMI Cable</t>
  </si>
  <si>
    <t>Dell Inspiron 14 Inch 5425 Small Thin Lightweight Laptop - 16:10 FHD+ 1920 x 1200p， AMD Ryzen 5 5625U， 8GB Memory， 512GB SSD， AMD Radeon Graphics， MediaTek Wi-Fi 6， Windows 11 - Platinum Silver</t>
  </si>
  <si>
    <t>Fujitsu fi-7260 ADF + Flatbed Professional Scanner (Certified Refurbished)</t>
  </si>
  <si>
    <t>Dell Newest Inspiron 15 3511 Laptop， 15.6 FHD Touchscreen， Intel Core i5-1035G1， 32GB RAM， 1TB PCIe NVMe M.2 SSD， SD Card Reader， Webcam， HDMI， WiFi， Windows 11 Home， Black</t>
  </si>
  <si>
    <t>HP 2022 Newest 15.6’’ HD Touchscreen Laptop， Quad Core Intel i5-1135G7 (Beat i7-1065G7，Upto 4.2GHz)， Iris Xe Graphics， 16GB RAM， 512GB SSD， HD Webcam， WiFi， 11+ Hours Battery， Win11 S， Marxsolcables</t>
  </si>
  <si>
    <t>Home and Office Desktop Computer! Great PC for Office and Student USE! [FREE WIFI USB] Z3N™</t>
  </si>
  <si>
    <t>Same day delivery  New Model  9th gen HP 590-p0053w Pavilion i5-9400 6-Core 2.9 GHz (4.1 GHz Turbo)  16GB RAM  128GB SSD  Win 10 +2TB HDD with New Hp keyboard /HP mouse 1 year  warranty ,upgraded ,ope</t>
  </si>
  <si>
    <t>Dell Newest Inspiron 15 3511 Laptop， 15.6 FHD Touchscreen， Intel Core i5-1035G1， 16GB RAM， 1TB PCIe NVMe M.2 SSD， SD Card Reader， Webcam， HDMI， WiFi， Windows 11 Home， Black</t>
  </si>
  <si>
    <t>HP 2022 Newest 15 Business Laptop， 15.6 FHD， Intel Quad-Core i5-1135G7 up to 4.2GHz (Beat i7-1065G7)， 8GB DDR4 RAM， 256GB PCIe SSD， WiFi 6， Bluetooth 5.2， Windows 11 Pro， 64GB Flash Drive</t>
  </si>
  <si>
    <t>Fitnessandfun 30ft Seamless Inflatable Projector Movie Screen Outdoor Front and Rear Mega Theater Screen for Outside， Parties， Activities and Churches (30ft with Blower)</t>
  </si>
  <si>
    <t>SINGTRONIC KA-550Pro Professional 1500W Mixing Amplifier Karaoke， Built in Voice Recording Function， Bluetooth Function (Connect to Smart Devices to Sing on YouTube)， Optical/Coax Inputs</t>
  </si>
  <si>
    <t>[GAMING/CAD DESIGN] HP EliteDesk 800 G2 SFF Intel Core i7-6700 6th Gen 8GB DDR4 RAM 256GB new SSD with AMD RADEON GPU  Windows 10 Pro ,MS Office [Refurbished]</t>
  </si>
  <si>
    <t>Lenovo ThinkCentre M700z AIO Desktop / i5-6th / 8GB RAM / 256GB SSD/ Win 10 pro / MS office /Free USB wire keyboard and mouse (Refurbished)</t>
  </si>
  <si>
    <t>HP 305A Black， Cyan， Magenta， Yellow Toner Cartridges (4-pack) | Works with LaserJet Pro 300 M351， LaserJet Pro 300 MFP M375， LaserJet Pro 400 M451， LaserJet Pro 400 MFP M475 | CE305AQ1</t>
  </si>
  <si>
    <t>Dell Precision 7720 17.3 FHD， Core i7 6820HQ 2.7GHz， 32GB RAM， 512GB SSD， Windows 10 Pro 64Bit， CAM (Renewed)</t>
  </si>
  <si>
    <t>Fujitsu ScanSnap PA03603-B005 S1300 Instant PDF Sheet-Fed Mobile Scanner</t>
  </si>
  <si>
    <t>Lenovo - 2022 - IdeaPad 3i - Everyday Laptop Computer - Intel Core i5 12th Gen - 14.0 FHD Display - 8GB Memory - 256GB Storage - Windows 11 Home</t>
  </si>
  <si>
    <t>Apple 2022 10.9-inch iPad (Wi-Fi， 64GB) - Blue (10th Generation)</t>
  </si>
  <si>
    <t>bjyx Shoe Rack Metal Rotating Shoe Cabinet Vertical Round Shoe Rack Storage Simple and Modern for The Entrance (Size: 50 x 13.8in) 9th Floor gold</t>
  </si>
  <si>
    <t>HP 15.6 Laptop with Intel 4-core CPU， 15.6 HD LED Display， Intel Quad-core Processor， Bluetooth and Wi-Fi， HDMI， Long Battery Life， Windows 11 Home in S Mode(16GB RAM | 1TB SSD)</t>
  </si>
  <si>
    <t>Panasonic Professional XLR Audio Video Microphone Adaptor with 2 XLR Terminals – Accessory Compatible with LUMIX GH5， GH5S， S1 and S1R Mirrorless Digital Cameras - DMW-XLR1， Black</t>
  </si>
  <si>
    <t>Acer Aspire 5 A515-45-R74Z Slim Laptop | 15.6 Full HD IPS | AMD Ryzen 5 5500U Hexa-Core Mobile Processor | AMD Radeon Graphics | 8GB DDR4 | 256GB NVMe SSD | WiFi 6 | Backlit KB | Windows 11 Home</t>
  </si>
  <si>
    <t>HIKV DS-7616NI-I2/16P 16 Channel 16 PoE 4K NVR Network Video Recorder， Up to 12MP Resolution Input， Embedded Plug &amp; Play， Support Two Way Audio and Alarm in/Out， Original English Version(NO HDD)</t>
  </si>
  <si>
    <t>Lenovo 2022 Newest Ideapad 3 Laptop， 15.6 HD Touchscreen， 11th Gen Intel Core i3-1115G4 Processor， 8GB DDR4 RAM， 256GB PCIe NVMe SSD， HDMI， Webcam， Wi-Fi 5， Bluetooth， Windows 11 Home， Almond</t>
  </si>
  <si>
    <t>iPhone 13 Pro， 128GB， Sierra Blue - Unlocked (Renewed Premium)</t>
  </si>
  <si>
    <t>Apple iPhone 14 Plus， 128GB， Purple - Unlocked (Renewed)</t>
  </si>
  <si>
    <t>Apple iPhone 14 Plus， 128GB， Midnight - Unlocked (Renewed)</t>
  </si>
  <si>
    <t>Apple iPhone 12 Pro Max， 128GB， Graphite - Unlocked (Renewed Premium)</t>
  </si>
  <si>
    <t>Apple iPhone 14， 128GB， Blue - Unlocked (Renewed)</t>
  </si>
  <si>
    <t>Google Pixel 7-5G Android Phone - Unlocked Smartphone with Wide Angle Lens and 24-Hour Battery - 128GB - Snow</t>
  </si>
  <si>
    <t>SAMSUNG Galaxy S20 FE 5G Cell Phone， Factory Unlocked Android Smartphone， 128GB， Pro Grade Camera， 30X Space Zoom， Night Mode， US Version， Cloud Mint Green</t>
  </si>
  <si>
    <t>Apple Iphone X， 256GB， Space Gray - Fully Unlocked (Renewed)</t>
  </si>
  <si>
    <t>SAMSUNG Galaxy A53 5G (SM-A536E/DS) Dual SIM，128 GB 6GB RAM， Factory Unlocked GSM， International Version - No Warranty - (Awesome Black)</t>
  </si>
  <si>
    <t>Samsung Galaxy S20+ 5G 128GB Fully Unlocked Smartphone (Renewed)</t>
  </si>
  <si>
    <t>Apple iPhone XR， US Version， 64GB， Red - Unlocked (Renewed)</t>
  </si>
  <si>
    <t>OnePlus Nord N200 | 5G Unlocked Android Smartphone U.S Version | 6.49 Full HD+LCD Screen | 90Hz Smooth Display | Large 5000mAh Battery | Fast Charging | 64GB Storage | Triple Camera，Blue Quantum</t>
  </si>
  <si>
    <t>Omega Speedmaster Chronograph Automatic White Dial Mens Watch 329.33.44.51.04.001</t>
  </si>
  <si>
    <t>Hamilton Men’s H32766513 Jazzmaster Analog Display Automatic Self Wind Brown Watch</t>
  </si>
  <si>
    <t>American Classic Intra-Matic Auto Chrono</t>
  </si>
  <si>
    <t>Luminox Atacama Field Automatic XL.1907.NF Mens Watch 44mm - Military Watch in Silver/White Date Function 200m Water Resistant Sapphire Glass</t>
  </si>
  <si>
    <t>Movado Men’s Bold Verso Swiss Quartz Watch with Stainless Steel Link Bracelet， Blue</t>
  </si>
  <si>
    <t>SEIKO SFK003 Prospex Solar Sumo GMT Green Dial Automatic Watch</t>
  </si>
  <si>
    <t>SEIKO Prospex ‘Black Series’ Solar Diver’s 1965 Re-Interpretation Watch SNE587P1</t>
  </si>
  <si>
    <t>Movado Men’s Bold Evolution Pale Yellow Gold Ion-Plated Steel Case and Mesh Bracelet， Yellow Gold</t>
  </si>
  <si>
    <t>Jazzmaster Gent Quartz</t>
  </si>
  <si>
    <t>Luminox ICE-SAR Arctic XL.1002 Mens Watch 46mm - Military Watch in Black Date Function 200m Water Resistant Sapphire Glass</t>
  </si>
  <si>
    <t>Luminox Bear Grylls Mens Watch Survival Land Series - 3798: 45mm Black/Green Stainless Steel Black Paracord Strap</t>
  </si>
  <si>
    <t>Seiko Prospex Special Edition SRPF79 Blue Silicone Automatic Diver’s Watch</t>
  </si>
  <si>
    <t>Luminox Official 46mm Spartan Watch for Men Black (XL.1001/1000 Series): Limited Edition with Black Dial/Black Signature Strap/White Markers</t>
  </si>
  <si>
    <t>Casio GMW-B5000 Series G-Shock Wristwatch， Bluetooth-Equipped Solar Radio Control， Multi-Finished Black (Stainless Steel)</t>
  </si>
  <si>
    <t>Coutura Men’s Solar Perpetual Calendar Alarm Chronograph Watch</t>
  </si>
  <si>
    <t>SEIKO PROSPEX Solar Diver’s Stainless Steel Watch SNE589</t>
  </si>
  <si>
    <t>SEIKO SNJ029 Prospex Men’s Watch Tan 50.5mm Stainless Steel</t>
  </si>
  <si>
    <t>SEIKO SRPG57 Prospex Men’s Watch Black 42.4mm Stainless Steel</t>
  </si>
  <si>
    <t>Luminox ICE-SAR Arctic XL.1001 Mens Watch 46mm - Military Watch in Black Date Function 200m Water Resistant Sapphire Glass</t>
  </si>
  <si>
    <t>SWAROVSKI Passage Chrono Crystal Watch Collection， Leather Strap</t>
  </si>
  <si>
    <t>Citizen Men’s Eco-Drive Sport Luxury World Chronograph Atomic Time Keeping Watch in Stainless Steel with Blue Polyurethane strap， Blue Dial (Model: AT8020-03L)</t>
  </si>
  <si>
    <t>Ladies’ Swarovski Crystalline Pure Rose Gold Tone Watch 5269250</t>
  </si>
  <si>
    <t>Luminox Men’s SEA Stainless Steel Swiss-Quartz Watch with Leather Strap， Black， 24 (Model: 3251)</t>
  </si>
  <si>
    <t>Citizen Eco-Drive Promaster Sailhawk Mens Watch， Stainless Steel with Polyurethane Strap， Dive Watch</t>
  </si>
  <si>
    <t>Men’s Luminox Navy Seal 3500 Series Watch 3508.Gold</t>
  </si>
  <si>
    <t>Luminox Leatherback SEA Turtle Giant Blackout XS.0321.BO.L Mens Watch 44mm - Military Watch in Black Date Function 100m Water Resistant</t>
  </si>
  <si>
    <t>LUXURMAN Unique Large Mens Diamond Watch 18k Yellow Gold Plated by 0.12ctw of Diamonds</t>
  </si>
  <si>
    <t>Luminox Outdoor Womens Watch Navy Seals Colormark (XS.3057.WO/ 3050 Series): Swiss Made + White Fiberglass Case Dial and Band + 200m Waterproof</t>
  </si>
  <si>
    <t>Invicta Men’s 15827 Reserve Analog Display Swiss Quartz Gold Watch</t>
  </si>
  <si>
    <t>Timex 38 mm Expedition North Field Post Mechanical Eco-Friendly Leather Strap Watch</t>
  </si>
  <si>
    <t>BOSS Men’s Stainless Steel Quartz Watch with Leather Strap， Brown， 22 (Model: 1513860)</t>
  </si>
  <si>
    <t>SWAROVSKI Stella Crystal Jewelry Collection， Rhodium &amp; Rose Gold Tone Finish</t>
  </si>
  <si>
    <t>TSAR BOMBA Luxury Tonneau Watches for Men 5ATM Waterproof Square Chronograph Analog Mens Watch Work Sport Fashion Stylish Business Minimalist Classic Wrist Watches Japanese Movement Gift for Men</t>
  </si>
  <si>
    <t>Amazfit GTS 4 Smart Watch for Men， Dual-Band GPS， Alexa Built-in， Bluetooth Calls， 150+ Sports Modes， Heart Rate SPO₂ Monitor， 1.75” AMOLED Display， Health Fitness Watch for Android iPhone， Black</t>
  </si>
  <si>
    <t>Timex Men’s Waterbury Traditional GMT 39mm TW2U99100VQ Quartz Watch</t>
  </si>
  <si>
    <t>SEIKO Men’s 5 Automatic Watch SNZG15K1</t>
  </si>
  <si>
    <t>Casio G-Shock Black Dial Black Resin Multi Quartz Men’s Watch AWGM510BB-1A</t>
  </si>
  <si>
    <t>SEIKO Men’s SSB325 Analog Display Japanese Quartz Black Watch， White</t>
  </si>
  <si>
    <t>Timex 41 mm Expedition North Field Post Solar Recycled Fabric Strap Watch</t>
  </si>
  <si>
    <t>Seiko Men’s Quartz Watch Stainless Steel with Silicone Strap</t>
  </si>
  <si>
    <t>SEIKO Analogical SSB397P1， Silver， Bracelet</t>
  </si>
  <si>
    <t>CASIO G-Shock Watch GD-100-1AJF Japan Import</t>
  </si>
  <si>
    <t>Casio G-Shock DW-5600BBMA-1D Digital Black Mens Watch 200M WR DW-5600 Original</t>
  </si>
  <si>
    <t>SWAROVSKI Christmas Set， A.E. 2019 Ornament， Crystal</t>
  </si>
  <si>
    <t>Invicta Men’s 13708 Grand Diver Automatic Black Textured Dial Two-Tone Stainless Steel Watch</t>
  </si>
  <si>
    <t>Swarovski Sparkling Dance Round Jewelry Collection， Rhodium Finish， Blue Crystals， Clear Crystals</t>
  </si>
  <si>
    <t>Best Choice Products Tufted Faux Leather 3-Seat L-Shape Sectional Sofa Couch Set w/Chaise Lounge， Ottoman Coffee Table Bench， Black</t>
  </si>
  <si>
    <t>Akrenar 82 Modern Oversized Sofa， Sofas with Two Pillows， Couches for Living Room， Bedroom，Beige</t>
  </si>
  <si>
    <t>HONBAY Reversible Sectional Couch with Ottoman L-Shaped Sofa for Small Spaces Sectional Sofa with Chaise in Dark Grey</t>
  </si>
  <si>
    <t>CHANEL Sublimage La Creme Ultimate Skin Regeneration Cream for Unisex， 1.7 Ounce</t>
  </si>
  <si>
    <t>SUBLIMAGE LE TEINT Ultimate Radiance - Generating Cream Foundation/1 oz. 12 Beige Rose</t>
  </si>
  <si>
    <t>Germaine de Capuccini - Timexpert Lift (IN) | Supreme Definition Eye Contour Emulsion - Anti-Aging Eye Cream for a Firm， Luminous and Rejuvenated Look</t>
  </si>
  <si>
    <t>Sisley Phyto-touche Sun Glow Gel， 1 Ounce</t>
  </si>
  <si>
    <t>U-NEED 100 pcs Korean Face Sheet Mask (10 Types x 10 pcs) Natural Facial Mask Sheet | Tencel | Skin Care | Made in Korea | Moisturizing &amp; Tightening | Pigment Balancing</t>
  </si>
  <si>
    <t>Sisley Purifying Re-balancing Lotion with Tropical Resins for Women， 4.2 Ounce</t>
  </si>
  <si>
    <t>Sisley by Sisley: PHYTOCERNES EYE CONCEALER - #1 NATURAL--/0.58OZ</t>
  </si>
  <si>
    <t>Scottish Kilt Semi Dress Grey Rabbit Sporran with Rampant Lion &amp; Tassels Caps</t>
  </si>
  <si>
    <t>Proactiv Skin Purifying Acne Face Mask and Acne Spot Treatment - Detoxifying Facial Mask with 6% Sulfur 3 Oz 90 Day Supply</t>
  </si>
  <si>
    <t>Rawlings Heart of the Hide Duffel Bag， Large， Black</t>
  </si>
  <si>
    <t>Dell 2023 Newest Inspiron Laptop, 15.6" FHD Touchscreen, Intel Core i7 1355U Processor (up to 5GHz, 10 cores), 64GB RAM, 1TB SSD, Intel Iris Xe Graphics, Wi-Fi 6, Bluetooth, Windows 11 Home</t>
  </si>
  <si>
    <t>Apple 2024 MacBook Air 13-inch Laptop with M3 chip: 13.6-inch Liquid Retina Display, 8GB Unified Memory, 512GB SSD Storage, Backlit Keyboard, 1080p FaceTime HD Camera, Touch ID; Starlight</t>
  </si>
  <si>
    <t>Apple 2023 MacBook Pro Laptop M3 chip with 8‑core CPU, 10‑core GPU: 14.2-inch Liquid Retina XDR Display, 8GB Unified Memory, 512GB SSD Storage. Works with iPhone/iPad; Silver</t>
  </si>
  <si>
    <t>2020 Dell Precision 7550 Laptop 15.6" - Intel Core i9 10th Gen - i9-10885H - Eight Core 5.3Ghz - 512GB SSD - 64GB RAM - Nvidia Quadro RTX 3000 - 1920x1080 FHD - Windows 10 Pro (Renewed)</t>
  </si>
  <si>
    <t>Apple 2023 MacBook Pro Laptop M3 Pro chip with 12‑core CPU, 18‑core GPU: 16.2-inch Liquid Retina XDR Display, 18GB Unified Memory, 512GB SSD Storage. Works with iPhone/iPad; Silver</t>
  </si>
  <si>
    <t>2020 Apple iPad Pro 2nd Gen (11 inch， Wi-Fi + Cellular， 256GB) Space Gray (Renewed)</t>
  </si>
  <si>
    <t>Women's Stone Stretch Woven Belted Puffball Mini Dress</t>
  </si>
  <si>
    <t>Urban Outfitters Bri Double Bow Satin Mini Dress</t>
  </si>
  <si>
    <t>INC International Concepts Women's Metallic Pleated Midi Dress</t>
  </si>
  <si>
    <t>Ivy City Women's Bejeweled Dress</t>
  </si>
  <si>
    <t>LightInTheBox Women's Breathable Print Shirt Pant Button</t>
  </si>
  <si>
    <t>COOFANDY Men's Slim Fit Long Sleeve Dress Shirt</t>
  </si>
  <si>
    <t>Mania Men's Fashion Set Bottoms</t>
  </si>
  <si>
    <t>Bonobos Men's Stretch Everyday Casual Shirt</t>
  </si>
  <si>
    <t>Men's Elegant Fashion Suit</t>
  </si>
  <si>
    <t>Men's Casual Slim Fit Long Sleeve Dress Shirt</t>
  </si>
  <si>
    <t>Besign LS03 Aluminum Laptop Stand</t>
  </si>
  <si>
    <t>NZXT H6 Flow Mid-Tower Case</t>
  </si>
  <si>
    <t>Lenovo ThinkPad Universal USB-C Dock</t>
  </si>
  <si>
    <t>HP Envy Desktop TE01-5000t</t>
  </si>
  <si>
    <t>MD Sports 4 Piece Table Tennis Table</t>
  </si>
  <si>
    <t>Forza Match Soccer Goals</t>
  </si>
  <si>
    <t>Backyard Ball Bundle Pro</t>
  </si>
  <si>
    <t>Academy Sports + Outdoors Easy Shade 10 ft x 10 ft Slant Leg Canopy Yellow - Canopy/Car Ports</t>
  </si>
  <si>
    <t>Wild Sports Tailgate Toss</t>
  </si>
  <si>
    <t>Fossil Women's Raquel Two-Tone Stainless Steel Watch es5368</t>
  </si>
  <si>
    <t>Cartier Ladies Panthere de Cartier Watch</t>
  </si>
  <si>
    <t>Shinola Lava Lake Monster Watch</t>
  </si>
  <si>
    <t>Waldor &amp; Co. CO.Chrono 39 Sardinia Seiko Watch</t>
  </si>
  <si>
    <t>Omega Seamaster Diver 300M Automatic Men's Watch</t>
  </si>
  <si>
    <t>Tiffany Hardwear Sterling Silver and Steel Diamond Bezel</t>
  </si>
  <si>
    <t>Urban Outfitters Rhinestone Double Hearts Chain Watch</t>
  </si>
  <si>
    <t>Lamicall Phone Stand</t>
  </si>
  <si>
    <t>Apple 20W USB-C Power Adapter</t>
  </si>
  <si>
    <t>Nano Phone Stand Kit</t>
  </si>
  <si>
    <t>Mous MagSafe Compatible Black Leather Phone Case</t>
  </si>
  <si>
    <t>Velvet Caviar Phone Accessories Gift Set</t>
  </si>
  <si>
    <t>Quad Lock Phone Ring/Stand</t>
  </si>
  <si>
    <t>Big Chill Original Retro Fridge</t>
  </si>
  <si>
    <t>Beautiful 14 Cup Programmable Touchscreen Coffee Maker</t>
  </si>
  <si>
    <t>CHENYAOAI Floating Shelves</t>
  </si>
  <si>
    <t>Insignia 1.7 Cu. Ft. Mini Fridge</t>
  </si>
  <si>
    <t>Meaningful Beauty Age-Proof Hair Care System</t>
  </si>
  <si>
    <t>NUTRAFOL Women's Hair Growth Supplement</t>
  </si>
  <si>
    <t>Purity Products MyBiotin Hair, Skin &amp; Nails Formula</t>
  </si>
  <si>
    <t>ACT+ACRE Stem Cell Shampoo</t>
  </si>
  <si>
    <t>One United All-In-One Multi-Benefit Treatment Redken</t>
  </si>
  <si>
    <t>Mielle Rosemary Mint Scalp &amp; Hair Strengthening Oil</t>
  </si>
  <si>
    <t>Software Hair Thickening Shampoo</t>
  </si>
  <si>
    <t>Cenovis Hair Skin Nails 60 Tablets</t>
  </si>
  <si>
    <t>Shea Moisture Coconut Hibiscus Curl Shine Shampoo</t>
  </si>
  <si>
    <t>Altor SAF Lock - Angle Grinder Proof Bicycle U-Lock</t>
  </si>
  <si>
    <t>Women's High Low Asymmetrical Ruffle Hem Peplum Shirt Dress</t>
  </si>
  <si>
    <t>Dokotoo Women's Dressy Casual V-Neck 3/4 Sleeve Top</t>
  </si>
  <si>
    <t>Women's Round Neck Long Sleeve Blouse and Pants Set</t>
  </si>
  <si>
    <t>Shibever Fall Shirts for Women Long Sleeve Tops with Button Casual Blouse Loose Fit V-Neck Solid</t>
  </si>
  <si>
    <t>Alex Vando Men's Regular Fit Long Sleeve Stretch Dress Shirt</t>
  </si>
  <si>
    <t>Fashion Nova Men's Crepe Button Up Shirt</t>
  </si>
  <si>
    <t>ATG Wrangler Men's Synthetic Utility Pant</t>
  </si>
  <si>
    <t>Tommy Hilfiger Men's Quilted Puffer Jacket</t>
  </si>
  <si>
    <t>Corsair Nautilus 240 RS ARGB Liquid CPU Cooler</t>
  </si>
  <si>
    <t>Silicon Power DDR5 64GB Memory</t>
  </si>
  <si>
    <t>GEEKOM A8 Max Ai Mini PC</t>
  </si>
  <si>
    <t>"HP Portable Laptop, Student and Business, 14" HD Display, Intel Quad-Core N4120, 16GB DDR4 RAM, 64GB eMMC, 1 Year Office 365, Webcam, SD Card Reader</t>
  </si>
  <si>
    <t>Glorious Model O 2 Wired Gaming Mouse</t>
  </si>
  <si>
    <t>HP Universal USB-C Hub and Laptop Charger Combo</t>
  </si>
  <si>
    <t>Dell OptiPlex 7000 7020 Plus Desktop Computer Intel Core i7 14th Gen i7-14700</t>
  </si>
  <si>
    <t>Keychron K3 Ultra-Slim Wireless Mechanical Keyboard</t>
  </si>
  <si>
    <t>Corsair K55 RGB PRO Gaming Keyboard</t>
  </si>
  <si>
    <t>Corsair K70 RGB TKL Champion Series Mechanical Gaming Keyboard</t>
  </si>
  <si>
    <t>10 in 1 Type C Docking Station</t>
  </si>
  <si>
    <t>Toysery Airplane Toys</t>
  </si>
  <si>
    <t>FKATEEN Kids Smart Phone</t>
  </si>
  <si>
    <t>Magna Tiles Space 32 Piece Set</t>
  </si>
  <si>
    <t>Huaker Building Toys 109 Piece Stem Toys</t>
  </si>
  <si>
    <t>VTech Magic Star Learning Table</t>
  </si>
  <si>
    <t>Franklin Sports X-40 Outdoor Pickleball</t>
  </si>
  <si>
    <t>Skywalker Sports Volleyball Kit</t>
  </si>
  <si>
    <t>Michele Serein Chronograph Quartz Diamond Watch</t>
  </si>
  <si>
    <t>Ladies Citizen Quartz Watch EU6080-58D</t>
  </si>
  <si>
    <t>Mous Iridescent Phone Case for iPhone 16 Plus</t>
  </si>
  <si>
    <t>ESR HaloLock Universal MagSafe Ring</t>
  </si>
  <si>
    <t>Phone Loops</t>
  </si>
  <si>
    <t>PopSockets PopGrip Slide Stretch</t>
  </si>
  <si>
    <t>PHOOZY Apollo II + Antimicrobial</t>
  </si>
  <si>
    <t>Smeg 50's Retro Style Mini Refrigerator</t>
  </si>
  <si>
    <t>Frigidaire 3.2 Cu. Ft. Retro Compact Refrigerator with Built-In Side Bottle Opener</t>
  </si>
  <si>
    <t>Drew Barrymore Beautiful Rotating Belgian Waffle Maker</t>
  </si>
  <si>
    <t>Frigidaire Gallery 24 Built-In Dishwasher</t>
  </si>
  <si>
    <t>Haden Heritage 4 Slice Wide Slot Toaster with Electric Water Kettle</t>
  </si>
  <si>
    <t>Routine Wellness Unscented Shampoo</t>
  </si>
  <si>
    <t>Hair Biology Argan Oil Taming Serum with Biotin</t>
  </si>
  <si>
    <t>Function of Beauty Straight Hair Mask Base with Seaweed Extract</t>
  </si>
  <si>
    <t>Function of Beauty Straight Hair Shampoo</t>
  </si>
  <si>
    <t>The Best We Could Do: An Illustrated Memoir</t>
  </si>
  <si>
    <t>The Song of Achilles, E-book</t>
  </si>
  <si>
    <t>If He Had Been with Me [eBook]</t>
  </si>
  <si>
    <t>The Trouble with Before [eBook]</t>
  </si>
  <si>
    <t>PlayStation Store Gift Card</t>
  </si>
  <si>
    <t>Sony ZV-1F Vlogging Camera</t>
  </si>
  <si>
    <t>PlayStation Store Digital Gift Card</t>
  </si>
  <si>
    <t>PlayStation Gift Card</t>
  </si>
  <si>
    <t>Sony PlayStation Store Gifting 25 Gift Card</t>
  </si>
  <si>
    <t>Ghost of Tsushima Director's Cut</t>
  </si>
  <si>
    <t>Bloodborne PlayStation</t>
  </si>
  <si>
    <t>Transcripted - Sony PlayStation 4 [Digital Download]</t>
  </si>
  <si>
    <t>$200 Apple Gift Card (Email Delivery)</t>
  </si>
  <si>
    <t>Gift Me: Apple Gift Card</t>
  </si>
  <si>
    <t>Buy a $50 Canada Apple Gift Card - Email Delivery</t>
  </si>
  <si>
    <t>Apple 100 USD Gift Card (United States) - Digital Key</t>
  </si>
  <si>
    <t>Buy Apple Gift Card With USD Coin - Value 50 USD</t>
  </si>
  <si>
    <t>Apple Gift Card App Store Itunes-value:10.25.50.100. For Us Only</t>
  </si>
  <si>
    <t>Apple iTunes Gift Card 8 USD - iTunes Key - UNITED STATES</t>
  </si>
  <si>
    <t>Buy a 100PLN Poland Apple Gift Card - Email Delivery</t>
  </si>
  <si>
    <t>Need Me; eBook; Author - Cynthia Eden</t>
  </si>
  <si>
    <t>Complete Guide to Being Happier (EBOOK BUNDLE)</t>
  </si>
  <si>
    <t>Crazy About You [eBook]</t>
  </si>
  <si>
    <t>Sociable: A Novel</t>
  </si>
  <si>
    <t>Empowered: Ordinary People, Extraordinary Products [eBook]</t>
  </si>
  <si>
    <t>Nintendo eShop Gift Card</t>
  </si>
  <si>
    <t>Inside Nintendo Switch</t>
  </si>
  <si>
    <t>Clubhouse Games 51 Worldwide Classics</t>
  </si>
  <si>
    <t>Playstation Stray</t>
  </si>
  <si>
    <t>The Legend of Zelda: Tears of The Kingdom</t>
  </si>
  <si>
    <t>adidas Originals Women's Essentials Fleece Loose Joggers</t>
  </si>
  <si>
    <t>adidas Originals Men's Adicolor Classics Beckenbauer Track Pants</t>
  </si>
  <si>
    <t>adidas Women's All Me 7/8 Leggings</t>
  </si>
  <si>
    <t>adidas 3-Stripes Flared Firebird Women's Track Pants Beige</t>
  </si>
  <si>
    <t>ASICS Men's ACTIBREEZE Woven Shorts</t>
  </si>
  <si>
    <t>ASICS Women's ACTIBREEZE Light Shorts</t>
  </si>
  <si>
    <t>ASICS Women's Logo 7/8 Tight</t>
  </si>
  <si>
    <t>Gymshark Vital Seamless 2.0 Crop Top</t>
  </si>
  <si>
    <t>Gymshark Energy+ Seamless T-Shirt</t>
  </si>
  <si>
    <t>Gymshark Vital Seamless Leggings</t>
  </si>
  <si>
    <t>Gymshark Arrival 5' Shorts</t>
  </si>
  <si>
    <t>Gymshark Sweat Seamless Leggings</t>
  </si>
  <si>
    <t>Gymshark Arrival 7' Shorts</t>
  </si>
  <si>
    <t>Nike Women's Sportswear Club Fleece Full-Zip Hoodie</t>
  </si>
  <si>
    <t>Nike Women's Sportswear Tech Fleece High Waisted Slim Pants</t>
  </si>
  <si>
    <t>Nike Women's High-Waisted Wide-Leg Phoenix Fleece Sweatpants</t>
  </si>
  <si>
    <t>Nike Men's Solo Swoosh Track Pants</t>
  </si>
  <si>
    <t>Nike Women's Sportswear Essentials High-Rise Woven Pants</t>
  </si>
  <si>
    <t>Reebok Men's Workout Ready Track Pants</t>
  </si>
  <si>
    <t>Reebok Men's Identity Open Hem Pants</t>
  </si>
  <si>
    <t>Reebok Women's Identity Back Vector Tricot Track Pants</t>
  </si>
  <si>
    <t>Reebok Women's Workout Ready Pant Program Bootcut Pants</t>
  </si>
  <si>
    <t>Reebok Women's Active Collective DreamBlend 7/8 Leggings</t>
  </si>
  <si>
    <t>Reebok Women's Identity Small Logo Fleece Wide Leg Pants</t>
  </si>
  <si>
    <t>Reebok Women's Classics Franchise Track Pants</t>
  </si>
  <si>
    <t>Reebok Men's Club C 85 Vintage Shoes</t>
  </si>
  <si>
    <t>Reebok Men's Ri Brand Proud Pants</t>
  </si>
  <si>
    <t>Fluidmaster Toilet Fill Valve 400A</t>
  </si>
  <si>
    <t>Fluidmaster 2" Flush Valve with Flapper 507A</t>
  </si>
  <si>
    <t>Fluidmaster Sure Fit Universal Toilet Flapper 503</t>
  </si>
  <si>
    <t>Homfa Over Toilet Storage Rack</t>
  </si>
  <si>
    <t>Homfa 70.3"H Bathroom Storage Cabinet</t>
  </si>
  <si>
    <t>Elegant Lighting Grant Single Bathroom Vanity VF90230</t>
  </si>
  <si>
    <t>Modern Wall Mounted Bathroom Cabinet with Drawers, Doors, and Shelf</t>
  </si>
  <si>
    <t>Ktaxon Bathroom Floor Cabinet</t>
  </si>
  <si>
    <t>Ktaxon Over the Toilet Bathroom Storage Spacesaver, Freestanding Bathroom Cabinet with Double Doors and Adjustable Shelves, White Finish, Size: 23.63</t>
  </si>
  <si>
    <t>Costway Bathroom Storage Wooden 4 Drawer Cabinet Cupboard 2 Shelves Free Standing</t>
  </si>
  <si>
    <t>Brita Stream Filter Pitcher</t>
  </si>
  <si>
    <t>PUR Water Pitcher Replacement Filter 4-Pack</t>
  </si>
  <si>
    <t>P&amp;G Purifier of Water Portable Water Purifier Packets</t>
  </si>
  <si>
    <t>PUREPLUS PUR Countertop Water Filter Pitcher CRF950Z PPF900Z</t>
  </si>
  <si>
    <t>PUR Water Pitcher Replacement Filter 2-Pack</t>
  </si>
  <si>
    <t>Honeywell Pur 11 Cup Water Filter Pitcher CR1100C</t>
  </si>
  <si>
    <t>PUR Plus 11 Cup Water Pitcher Filtration System PPT110WA</t>
  </si>
  <si>
    <t>6 Pack Water Filter Replacement for Pur Water Filter Faucet, Pur RF-9999 , Compatible with All Pur Faucet Mount Filtration Systems, NSF Certified</t>
  </si>
  <si>
    <t>Equate Athlete's Foot Antifungal Cream</t>
  </si>
  <si>
    <t>Equate Comfort Flow Nasal Wash System</t>
  </si>
  <si>
    <t>Equate Benzoyl Peroxide Acne Treatment Gel</t>
  </si>
  <si>
    <t>Equate Therapy Combo Packs 2 Count</t>
  </si>
  <si>
    <t>Equate Refreshing Apricot Scrub</t>
  </si>
  <si>
    <t>Equate Women's Minoxidil Topical Solution for Hair Regrowth</t>
  </si>
  <si>
    <t>Equate Baby Diaper Rash Paste</t>
  </si>
  <si>
    <t>Equate Itch Relief Gel</t>
  </si>
  <si>
    <t>Hi-Pro-Pac Tea Tree &amp; Mint Hair &amp; Scalp Masque</t>
  </si>
  <si>
    <t>Hi Pro Pac Macadamia Nut Oil Nourishing Masque</t>
  </si>
  <si>
    <t>Hi-Pro-Pac Keratin Intense Protein Treatment</t>
  </si>
  <si>
    <t>Neutrogena On The Spot Acne Treatment</t>
  </si>
  <si>
    <t>Neutrogena Stubborn Body Acne Treatment Spray</t>
  </si>
  <si>
    <t>Arm &amp; Hammer 2-in-1 Deodorizing &amp; Dander Reducing Shampoo for Cats, Dander Remover for Dander and Odors, Baking Soda Moisturizes and Deodorizes, Lavender Chamomile Scent, 20 Fl Oz (Pack of 1)</t>
  </si>
  <si>
    <t>Arm &amp; Hammer for Pets Clinical Care Dental Enzymatic Toothpaste for Dogs | Soothes Inflamed Gums | Safe for Puppies | Fresh Breath Vanilla Ginger - 72 Pack</t>
  </si>
  <si>
    <t>Arm &amp; Hammer for Pets Complete Care Cat &amp; Kitten Dental Kit | Includes 2.5 oz Tuna Flavor Enzymatic Cat Toothpaste, Cat Toothbrush, and Rubber Finger Brush for Cats</t>
  </si>
  <si>
    <t>Arm &amp; Hammer Complete Care Fresh Dental Water Additive for Dogs, 16 Fl Oz - Flavorless Dog Water Additive, Dog Mouth Wash, Dog Dental Rinse, PetWater Additive, Pets Dental Care for Bad Breath</t>
  </si>
  <si>
    <t>ARM HAMMER Naturals Cat Litter, Multi Cat, 18lb Bag</t>
  </si>
  <si>
    <t>Arm &amp; Hammer Cloud Control Platinum Multi-Cat Clumping Cat Litter with Hypoallergenic Light Scent, 14 Days of Odor Control, 18 lbs, Online Exclusive Formula</t>
  </si>
  <si>
    <t>Feline Pine Platinum Non-Clumping Cat Litter 18lb.</t>
  </si>
  <si>
    <t>PetSafe Drinkwell Platinum Dog and Cat Water Fountain Replacement Pump or as a Back-up Pump During cleanings</t>
  </si>
  <si>
    <t>PetSafe Drinkwell Replacement Filter Pack for Outdoor Dog Water Fountain, 3 Carbon Filters &amp; 1 Foam Filter</t>
  </si>
  <si>
    <t>MidWest Homes for Pets Ultima Pro Series 36' Dog Crate | Extra-Strong Double Door Folding Metal Dog Crate w/Divider Panel, Floor Protecting 'Roller Feet' &amp; Leak-Proof Plastic Pan</t>
  </si>
  <si>
    <t>Aqueon Aquarium Starter Kit with LED Lighting</t>
  </si>
  <si>
    <t>Aqueon 55 Gallon LED Aquarium Kit</t>
  </si>
  <si>
    <t>Aqueon Aquarium Essentials Kit</t>
  </si>
  <si>
    <t>Aqueon Bow Front LED Aquarium Kit</t>
  </si>
  <si>
    <t>AQUEON LED AQUARIUM KIT RECTANGLE PREPRICED (29 GAL-30X12X18 IN)</t>
  </si>
  <si>
    <t>Tetra 1 Gallon Half Moon Small Fish Tank w/ Movable LED Light, For Betta &amp; Gold Fish, Aquarium</t>
  </si>
  <si>
    <t>IKEA Dundra Activity Table with Storage</t>
  </si>
  <si>
    <t>Milliard 2-in-1 Kids Art Table and Art Easel Table Chair Set</t>
  </si>
  <si>
    <t>Constructive Playthings Toddler Activity Table</t>
  </si>
  <si>
    <t>RDS Gear Obsidian 4 Season Camping Shelter</t>
  </si>
  <si>
    <t>Softopper Camper Top Tent</t>
  </si>
  <si>
    <t>REI Co-op Trailgate Vehicle Sleeping Platform</t>
  </si>
  <si>
    <t>The North Face Wawona 6 Tent</t>
  </si>
  <si>
    <t>RBM All-Seasons Tent Hexagon</t>
  </si>
  <si>
    <t>Forest River RV Sabre 36FLX</t>
  </si>
  <si>
    <t>Big Agnes Sage Canyon Shelter Deluxe</t>
  </si>
  <si>
    <t>Ozark Trail 4-Person Connect Tent</t>
  </si>
  <si>
    <t>Ozark Trail 4-Person Four Season Dome Tent</t>
  </si>
  <si>
    <t>Ozark Trail Wmt-141078c 14 Ft X 10 Ft 10 Person Instant Cabin Tent</t>
  </si>
  <si>
    <t>Custom Accessories 4-Piece Value All-Season Floor Mat</t>
  </si>
  <si>
    <t>Auto Drive Storage &amp; Organization | Hanging Car Organizer | Color: Black/Gray | Size: Os | Dhopkins0117's Closet</t>
  </si>
  <si>
    <t>Auto Drive Universal Multi-Pocket Backseat Organizer</t>
  </si>
  <si>
    <t>Covercraft LeBra Custom Hood Protector 45190-01</t>
  </si>
  <si>
    <t>Auto Drive Universal Butterfly Accordion Sun Shade</t>
  </si>
  <si>
    <t>Auto Drive Universal Fit Carbon Fiber Steering Wheel Cover</t>
  </si>
  <si>
    <t>Armor All Car Cleaning Kit 12-Piece Holiday Gift Set</t>
  </si>
  <si>
    <t>Armor All 4-Piece All Season Floor Mats</t>
  </si>
  <si>
    <t>Armor All Quick Clean Kit</t>
  </si>
  <si>
    <t>Clorox Company Armor All Car Wash / Cleaner</t>
  </si>
  <si>
    <t>Armor All Ultra Shine Protectant Wipes</t>
  </si>
  <si>
    <t>Armor All Original Protectant Wipe 30-Count</t>
  </si>
  <si>
    <t>Armor All Extreme Shield Protectant</t>
  </si>
  <si>
    <t>Armor All Cleaning Kit</t>
  </si>
  <si>
    <t>Gatorade Cool Blue Thirst Quencher (20 fl oz)</t>
  </si>
  <si>
    <t>Gatorade Thirst Quencher Sports Drink 5 Flavors Variety Pack</t>
  </si>
  <si>
    <t>Gatorade Electrolyte Beverage Cherry Lime 16.9 fl oz</t>
  </si>
  <si>
    <t>Gatorade Fruit Punch Thirst Quencher</t>
  </si>
  <si>
    <t>Gatorade Thirst Quencher Frost Variety Pack, 24 Pack/20 fl. oz</t>
  </si>
  <si>
    <t>Gatorade Variety Pack 20 fl oz Bottles (Pack of 12)</t>
  </si>
  <si>
    <t>Gatorade Cool Blue Thirst Quencher 24 Fld Oz Plastic Bottle</t>
  </si>
  <si>
    <t>Gatorade Frost Icy Charge Thirst Quencher</t>
  </si>
  <si>
    <t>Banquet Brown 'N Serve French Toast Breakfast</t>
  </si>
  <si>
    <t>Banquet Popcorn Chicken</t>
  </si>
  <si>
    <t>Banquet Classic Dinners Salisbury Steak Meal (11.88 oz) | Dierbergs</t>
  </si>
  <si>
    <t>Banquet Family Size Chicken Alfredo with Broccoli</t>
  </si>
  <si>
    <t>Banquet Chicken Nuggets with Mac &amp; Cheese</t>
  </si>
  <si>
    <t>Snake River Farms Steak &amp; Seafood Collection</t>
  </si>
  <si>
    <t>Taste of Freedom - Best Sellers Meat Box</t>
  </si>
  <si>
    <t>Buendnerfleisch about 1.25 lbs</t>
  </si>
  <si>
    <t>Premium Fish Variety Gift Box Assorted Filets 12 Pack</t>
  </si>
  <si>
    <t>Great American Seafood Combination Meal</t>
  </si>
  <si>
    <t>Simply Balanced Swai Fillets</t>
  </si>
  <si>
    <t>Great Value Alaskan Pink Salmon 2 Pack</t>
  </si>
  <si>
    <t>Cajun Seafood Meal for Three for Dine-In; Valid Any Day | Happy Crab</t>
  </si>
  <si>
    <t>Dowinx Simple Series LS-6657D-Pink</t>
  </si>
  <si>
    <t>Dowinx LS-6658 Classic Fabric Gaming Chair</t>
  </si>
  <si>
    <t>Dowinx Gaming Office Chair</t>
  </si>
  <si>
    <t>Dowinx Breathable Fabric Gaming Chair</t>
  </si>
  <si>
    <t>Dowinx Gaming Chair with Pocket Spring Cushion, Ergonomic Computer Chair with Massage Lumbar and Footrest for Adults, High Back Game Chair Leather</t>
  </si>
  <si>
    <t>Dowinx Gaming Chair Fabric with Pocket Spring Cushion, High Back Ergonomic Computer Chair with Footrest for Adults, Massage Lumbar Support Swivel Game</t>
  </si>
  <si>
    <t>Dowinx Fabric Gaming Chair with Heated Massage Lumbar Support, Breathable Fabric Tall Gaming Chair with Footrest and Pocket Spring Cushion, High</t>
  </si>
  <si>
    <t>Dowinx LS-6655 Gaming Chair</t>
  </si>
  <si>
    <t>GTPLAYER 2024 Gaming Chair</t>
  </si>
  <si>
    <t>Dowinx Gaming Chair with Massage Lumbar Support - Ergonomic Suede Fabric Computer Chair with Adjustable Footrest, High Back Reclining Office Gaming Ch</t>
  </si>
  <si>
    <t>The Harbor HH80 V2 Elite Half Rack &amp; Smith Machine Trainer</t>
  </si>
  <si>
    <t>TRX Fit System Suspension Trainer</t>
  </si>
  <si>
    <t>Southern Catalpa Tree Seeds</t>
  </si>
  <si>
    <t>Great River Organic Milling Whole Grain Rye Grain Organic 25-Pounds Pack of 1</t>
  </si>
  <si>
    <t>CZ Grain Wild Banana Tree Plant Seeds</t>
  </si>
  <si>
    <t>Pine Tree Farms Nutsie Seed Cake</t>
  </si>
  <si>
    <t>WEE Fingertip Magic Bean Stress Relief Rotating Gyroscope Round Cube Toys Children Adult Educational Puzzle Toys</t>
  </si>
  <si>
    <t>Head-Mounted Isolation Protective Cover Anti-Fog Anti-Gas Enhanced Face Mask HD Protective</t>
  </si>
  <si>
    <t>TWO TREES® Trimming Scrapers with 10Pcs Blades Material Model Pruning Trimming Device for 3D Printers</t>
  </si>
  <si>
    <t>B06-L Desktop Wooden Storage Box Multi-layer Storage Racks with 1 Drawer File Books Shelf Bookshelf Pens Pencils Holder Organizer</t>
  </si>
  <si>
    <t>Seewei 7 in 1 Type-C Docking Station USB-C Hub Splitter Adaptor with USB2.0 USB3.0 USB-C2.0 PD100W USB-C 4K*2K@30Hz HDMI SD/TF Card Reader Slot Multiports Hub for PC Laptop</t>
  </si>
  <si>
    <t>Jura E8 Espresso Coffee Machine， 64 ounces (White)</t>
  </si>
  <si>
    <t>Breville Oracle Touch Espresso Machine， 84oz， Black Truffle</t>
  </si>
  <si>
    <t>POLY &amp; BARK Lyon Sofa in Full-Grain Pure-Aniline Italian Leather， Cognac Tan</t>
  </si>
  <si>
    <t>Acanva Modern L-Shaped Sectional Sofa， 3 Seat Upholstered Couch with Solid Wood Legs for Living Room， Bedroom and Lounge， Left Hand Facing Chaise， White</t>
  </si>
  <si>
    <t>Belffin Modular Sectional Sofa Couch with Reversible Double Chaises Velvet L Shaped Sectional Couch Convertible Sectional Sofa with Storage Grey</t>
  </si>
  <si>
    <t>Betsy Furniture Microfiber Reclining Sofa Couch Set Living Room Set 8007 (Grey， Sofa+Loveseat+Recliner)</t>
  </si>
  <si>
    <t>Furniture of America Eston Traditional Chenille Upholstered Sofa in Ivory</t>
  </si>
  <si>
    <t>HONBAY Oversized Sectional Sofa with Chaise Modern Sleeper Modular Sofa Couch U Shaped Sofa Sectional for Living Room， Grey</t>
  </si>
  <si>
    <t>Acme 5-Piece Bedroom Set Bed， Dresser， Chest and 2 Nightstands(Black， Queen)</t>
  </si>
  <si>
    <t>POLY &amp; BARK Napa Leather Couch – 88.5-Inch Leather Sofa with Tufted Back - Full Grain Leather Couch with Feather-Down Topper On Seating Surfaces – Pure-Aniline Italian Leather – Cognac Tan</t>
  </si>
  <si>
    <t>ACME FURNITURE Denton Curio Cabinet， Cherry</t>
  </si>
  <si>
    <t>ACME Versailles Chest - 21136 - Bone White</t>
  </si>
  <si>
    <t>ACME Versailles Counter Height Table - 61155 - Cherry Oak</t>
  </si>
  <si>
    <t>HONBAY Reversible Sectional Sofa L Shaped Couch with Storage Convertible Modular Sofa with Chaise， Aqua Blue</t>
  </si>
  <si>
    <t>Casa Andrea Milano Modern 3 Piece Microfiber and Faux Leather L Shaped Sectional Sofa with Reversible Chaise &amp; Ottoman， Large， Grey</t>
  </si>
  <si>
    <t>Modway Engage Mid-Century Modern Upholstered Fabric Loveseat in Beige</t>
  </si>
  <si>
    <t>Legend Vansen 82.7’’ Velvet Loveseat with Storage Convertible Sofa Bed Sleeper for Living Room and Bedroom Sofabed， Blue</t>
  </si>
  <si>
    <t>Signature Design by Ashley Bolzano Faux Leather Double Seat Manual Reclining Sofa， Brown</t>
  </si>
  <si>
    <t>Signature Design by Ashley Darcy Casual Plush L-Shaped Reversible Sofa Chaise Chofa， Grayish Brown</t>
  </si>
  <si>
    <t>Lexicon Vega Living Room Sofa， Light Gray</t>
  </si>
  <si>
    <t>JOMEED Convertible Sectional Sofa Couch， Modern Oversized Velvet Fabric L-Shaped Couch Sofa Bed with Adjustable Backrest for Living Room， Apartment</t>
  </si>
  <si>
    <t>Breville Duo Temp Pro Espresso Machine，61 Fluid Ounces， Stainless Steel， BES810BSS</t>
  </si>
  <si>
    <t>GDFStudio Waldo Tufted Wingback Recliner Chair(Warm Stone).</t>
  </si>
  <si>
    <t>Breville Sous Chef Pro 16 Cup Food Processor， Brushed Stainless Steel， BFP800XL</t>
  </si>
  <si>
    <t>VIVIDSTORM-Projection Screen，PRO Slimline Motorized Office Presentation，Remote Controlled Drop Down Screen，Color Display Feature，Compatible with 4K Ultra Short Throw Laser Projector，VBMSLUST120H</t>
  </si>
  <si>
    <t>Apple 2021 11-inch iPad Pro Wi-Fi + Cellular 2TB - Silver</t>
  </si>
  <si>
    <t>Smart Board， 43 Inch JYXOIHUB Interactive Whiteboard， Electronic Whiteboard， Screen Mirroring from Android and iOS for Live Streaming， for Advertising Display and Classroom (Wall Mount inclued)</t>
  </si>
  <si>
    <t>Tripp Lite SMART3000NET 3000VA 2400W UPS Smart Tower AVR 120V XL DB9 for Servers， 8 Outlets</t>
  </si>
  <si>
    <t>Dell XPS 13 9310 Touchscreen Laptop 13.4 inch FHD+ Thin and Light. Intel Core i7-1195G7， 16GB LPDDR4x RAM， 512GB SSD， Intel Iris Xe Graphics， Windows 11 Pro， 2Yr OnSite， 6 Months Migrate – Silver</t>
  </si>
  <si>
    <t>Microsoft Surface Laptop 5 (2022)， 15 Touch Screen， Thin &amp; Lightweight， Long Battery Life， Fast Intel i7 Processor for Multi-Tasking， 512GB Storage with Windows 11， Black</t>
  </si>
  <si>
    <t>Microsoft Surface Laptop 4 15-inch Touchscreen 256GB SSD 3.0GHz i7 with Windows 10 Pro (16GB RAM， Intel i7-1185G7， Wi-Fi， Latest Model) – Matte Black， 5IF-00001</t>
  </si>
  <si>
    <t>Dell XPS 8940 Desktop Computer Tower - Intel Core i7-11700， 32GB DDR4 RAM， 512GB SSD + 1TB HDD， Wired Keyboard and Mouse Combo， Intel UHD Graphics 750， Wi-Fi 6， USB， Bluetooth， Windows 11 Pro – Black</t>
  </si>
  <si>
    <t>Elite Screens Spectrum AcousticPro UHD 135-inch Motorized Projector Screen Electric Projection Screen 16:9 4K Moiré-Free Sound Transparent Perforated Weave 4K Ready Drop Down Projector Screen</t>
  </si>
  <si>
    <t>ASUS TUF Dash 15 (2022) Gaming Laptop， 15.6 144Hz FHD Display， Intel Core i7-12650H， GeForce RTX 3060， 16GB DDR5， 512GB SSD， Thunderbolt 4， Windows 11 Home， Off Black， FX517ZM-AS73</t>
  </si>
  <si>
    <t>Lenovo IdeaCentre 5i Gaming Desktop， 12th Gen Intel Core i7-12700， Geforce RTX 3060， 32GB RAM， 512GB PCIe SSD + 1TB HDD， Wi-Fi 6， DisplayPort， HDMI， Windows 11 Home， Black</t>
  </si>
  <si>
    <t>4-Pack (BK+C+Y+M) 658A | W2000A W2001A W2002A W2003A Toner Cartridge Compatible for HP Color Laserjet Enterprise M751 M751n(T3U43A) M751dn(T3U44A) Printer Ink Cartridge</t>
  </si>
  <si>
    <t>ASUS ZenBook Flip S13 Slim Laptop， 13.3” 4K OLED Touch， Intel Evo Platform Core i7-1165G7， 16GB RAM， 1TB SSD， Thunderbolt 4， TPM， Windows 11 Pro， AI Noise-Cancellation， Jade Black UX371EA-XH76T</t>
  </si>
  <si>
    <t>HP Envy Laptop， 17.3 Full HD Touchscreen， 12th Gen Intel Core i7-1260P， 32GB RAM， 1TB PCIe SSD， IR Camera， Backlit Keyboard， HDMI， Wi-Fi 6， Windows 11 Home， Silver</t>
  </si>
  <si>
    <t>LG HU70LA 4K UHD Smart Home Theater CineBeam Projector with Alexa Built-in， LG ThinQ AI， Google Assistant， and LG webOS Lite Smart TV (Netflix， and VUDU) (Renewed)</t>
  </si>
  <si>
    <t>Microsoft Surface Pro 9 (2022)， 13 2-in-1 Tablet &amp; Laptop， Thin &amp; Lightweight， Intel 12th Gen i5 Fast Processor for Multi-Tasking， 8GB RAM， 256GB Storage with Windows 11， Platinum</t>
  </si>
  <si>
    <t>2020 Lenovo ThinkPad E15 15.6” FHD Business Laptop Computer， 10th gen Intel i5-10210U (up to 4.20GHz)， 32GB RAM， 1TB SSD， WiFi HDMI Win10 Pro</t>
  </si>
  <si>
    <t>Lenovo ThinkBook G3 Business Laptop， 15.6 Full HD Display， AMD Ryzen 7 5700U (Beat i7-1260P)， Windows 11 Pro， 32GB RAM， 1TB SSD， RJ-45， Backlit Keyboard， Fingerprint， Long Battery Life， Durlyfish</t>
  </si>
  <si>
    <t>Lenovo IdeaPad Slim 9i 14 Business Laptop | 14 UHD 4K Multi-Touch (500nits) | 11th Gen Intel 4-core i7-1195G7 | 16GB DDR4 512GB SSD | Fingerprint Backlit Thunderbolt Win11Pro Black + USB-C Adapter</t>
  </si>
  <si>
    <t>aoonav Android 11 Snapdragon 665 Car Stereo Radio for Dodge Ram 2018 2019 2020 2021 Auto Audio 12.1 Inch Multimedia Video Player GPS Navigation 1080P Touch Screen Carplay WiFi Bluetooth Head Unit</t>
  </si>
  <si>
    <t>HP Pavilion x360 2-in-1 14 FHD Touchscreen Laptop Computer， Intel Quad-Core i5-1135G7 up to 4.2GHz (Beat i7-1065G7)， 8GB DDR4 RAM， 512GB PCIe SSD， WiFi 6， Silver， Windows 11， BROAG Extension Cable</t>
  </si>
  <si>
    <t>Apple iPad Pro 10.5in - 512GB Wifi - 2017 Model - SILVER (Renewed)</t>
  </si>
  <si>
    <t>HP 2022 Newest 17.3 HD+ Display Laptop， 11th Gen Intel Core i3-1115G4(Up to 4.1GHz， Beat i5-1030G7)， 32GB DDR4 RAM， 1TB PCIe SSD， Bluetooth， HDMI， Webcam， Windows 11， Silver， w/ 3in1 Accessories</t>
  </si>
  <si>
    <t>Fujitsu FI-7140 Document Scanner， PA03670-B101</t>
  </si>
  <si>
    <t>HP 2022 Newest 17 Laptop， 17.3 FHD IPS Display， Intel Core i5-1135G7 Quad-Core Processor， Intel Iris Xe Graphics， 16GB RAM， 1TB PCIe SSD， HDMI， Windows 11 + Microfiber Cloth</t>
  </si>
  <si>
    <t>GoPro HERO11 Black Creator Edition - Includes HERO11 ， Volta (Battery Grip， Tripod， Remote)， Media Mod， Light Mod， Enduro Battery， and Carrying Case</t>
  </si>
  <si>
    <t>Lenovo IdeaPad 3 Laptop， 15.6 HD+ Display， AMD Ryzen 5 5500U， 8GB RAM， 512GB Storage， AMD Radeon 7 Graphics， Windows 11 Home， Abyss Blue</t>
  </si>
  <si>
    <t>2022 Apple iPad (10.9-inch， Wi-Fi + Cellular， 64GB) - Pink (Renewed)</t>
  </si>
  <si>
    <t>APC SMT2200RM2U Smart-UPS 2200VA 1980W 120V LCD Rackmount 2U Battery Power Backup (Renewed)</t>
  </si>
  <si>
    <t>BUFFALO LinkStation 720 16TB 2-Bay Home Office Private Cloud Data Storage with Hard Drives Included/Computer Network Attached Storage/NAS Storage/Network Storage/Media Server/File Server</t>
  </si>
  <si>
    <t>2022 Newest Dell Inspiron 15 3511 Laptop， 15.6 FHD Touchscreen， Intel Core i5-1035G1， 16GB RAM， 1TB PCIe NVMe M.2 SSD， SD Card Reader， Webcam， HDMI， WiFi， Windows 11 Home， Black</t>
  </si>
  <si>
    <t>HP Newest Flagship 14 HD Business Laptop Computer， 4-Core i5-1135G7(Up to 4.2GHz， Beat i7-1060G7)， 16GB RAM， 512GB PCIe SSD， Iris Xe Graphics， Webcam， WiFi， Bluetooth， Win 11 Home， w/GM Gaming Mouse</t>
  </si>
  <si>
    <t>Dell Inspiron 15 3511， 15.6 inch FHD Laptop - Intel Core i5-1135G7， 12GB DDR4 RAM， 256GB SSD， Intel Iris Xe Graphics， Windows 11 Home - Carbon Black</t>
  </si>
  <si>
    <t>Class A Customs PVC Extreme Duty RV Rubber Roof Kit | 8.5 ft Wide X 35 ft Long | RV Rubber Roof Membrane Kit | RV Camper Trailer Rubber Roof Repair | Motor Home Roof</t>
  </si>
  <si>
    <t>Dell Inspiron 15 3000 15.6-inch Full HD 11th Gen Intel Core i5-1135G7 12GB 256GB SSD Laptop</t>
  </si>
  <si>
    <t>HP 2022 Newest Pavilion 15.6 HD Laptop， Intel Quad-core Pentium Processor， 16GB RAM， 1TB SSD， 11 Hr Battry Life， Intel UHD Graphics， HD Webcam， Bluetooth， HDMI， USB Type-C， Scarlet Red， Win 11</t>
  </si>
  <si>
    <t>Lenovo X1 Carbon 6th Generation Ultrabook: Core i7-8550U， 16GB RAM， 512GB SSD， 14inch Full HD Display， Backlit Keyboard (Renewed)</t>
  </si>
  <si>
    <t>Dell 2022 Newest Inspiron 15 Laptop， 15.6 HD Display， Intel Celeron N4020 Processor， 16GB DDR4 RAM， 1TB PCIe SSD， Webcam， HDMI， Wi-Fi， Bluetooth， Windows 11 Home， Black</t>
  </si>
  <si>
    <t>Denon DN-500CB Professional CD/Media Player with Bluetooth/USB/Aux Inputs and RS-232C， Bluetooth 3.0 Pairing to (8) Devices， Slot-loading CD Transport， USB Host Port for File Playback</t>
  </si>
  <si>
    <t>Home Source Corner Bar Cabinet with Rotating Wine Rack Mahogany</t>
  </si>
  <si>
    <t>SAMSUNG Galaxy S22 Ultra Cell Phone， Factory Unlocked Android Smartphone， 128GB， 8K Camera &amp; Video， Brightest Display Screen， S Pen， Long Battery Life， Fast 4nm Processor， US Version， Green</t>
  </si>
  <si>
    <t>Apple iPhone 14 Pro， 128GB， Deep Purple - Unlocked (Renewed)</t>
  </si>
  <si>
    <t>Apple iPhone 14， 256GB， Purple - Unlocked (Renewed)</t>
  </si>
  <si>
    <t>iPhone 13， 128GB， Pink - Unlocked (Renewed Premium)</t>
  </si>
  <si>
    <t>Apple iPhone 12 Pro， 128GB， Gold - Unlocked (Renewed Premium)</t>
  </si>
  <si>
    <t>Samsung Galaxy S20 Ultra， 128GB， Cosmic Black - Fully Unlocked (Renewed)</t>
  </si>
  <si>
    <t>Samsung Electronics Galaxy Note 20 5G Unlocked Android Cell Phone | US Version | 128GB of Storage | Mobile Gaming Smartphone | Long-Lasting Battery | Mystic Gray (Renewed)</t>
  </si>
  <si>
    <t>Omega Seamaster Planet Ocean Automatic Mens Watch 215.30.44.22.01.001</t>
  </si>
  <si>
    <t>Omega DeVille Prestige Black Dial Automatic Mens Watch 424.13.40.21.01.001</t>
  </si>
  <si>
    <t>Hamilton American Classic Intra-Matic Mechanical Chronograph H Watch 40mm Case， White Dial， Silver Stainless Steel Bracelet (Model: H38429110)</t>
  </si>
  <si>
    <t>Hamilton Men’s H77616133 Khaki X-Wind Automatic Watch</t>
  </si>
  <si>
    <t>Casio G-Shock GMW-B5000TCF-2JR Radio Solar Watch Limited Edition (Japan Domestic Genuine Product)</t>
  </si>
  <si>
    <t>Khaki Aviation X-Wind Auto Chrono</t>
  </si>
  <si>
    <t>Luminox Automatic Sport Timer Mens Watch</t>
  </si>
  <si>
    <t>Hamilton Jazzmaster Viewmatic Swiss Automatic Watch 40mm Case， Black Dial， Brown Leather Strap (Model: H32515535)</t>
  </si>
  <si>
    <t>Luminox Navy Seal XS.4221.NV.F Mens Watch 45mm - Military Dive Watch in Black Date Function 200m Water Resistant Sapphire Glass</t>
  </si>
  <si>
    <t>Luminox ICE-SAR Arctic XL.1202 Mens Watch 46mm - Military Watch in Silver/Black Date Function 200m Water Resistant Sapphire Glass</t>
  </si>
  <si>
    <t>Victorinox Fieldforce Classic Chrono Watch</t>
  </si>
  <si>
    <t>Luminox Men’s Pacific Diver Sea Series Silver/Blue 44mm Analog Dive Watch</t>
  </si>
  <si>
    <t>Luminox Men’s Pacific Diver Chronograph Series Black Out 44mm Analog Dive Watch</t>
  </si>
  <si>
    <t>LIV GX1 Swiss Made Chronograph 45mm 316L SS Case， 3D Multi-Layer w/Quickset Date - Rugged Classic Watch for Men- Scratch Resistant Sapphire Crystal - 660 Feet Water Resistant - BGW9 Swiss Luminova</t>
  </si>
  <si>
    <t>Seiko ProspexAntarctica Tuna Diver’s 200m Automatic Blue Dial Watch SRPH77K1</t>
  </si>
  <si>
    <t>SEIKO SRPE33 Prospex Men’s Watch Silver-Tone 44mm Stainless Steel</t>
  </si>
  <si>
    <t>Luminox Atacama Adventurer Field XL.1761 Mens Watch 42mm - Adventure Watch in Silver/Black Date Function 200m Water Resistant Sapphire Glass</t>
  </si>
  <si>
    <t>Hamilton Khaki Aviation Pilot Pioneer Swiss Chronograph Quartz Watch 41mm Case， Black Dial， Brown Leather NATO Strap (Model: H76522531)</t>
  </si>
  <si>
    <t>Luminox Men’s Pacific Diver Sea Series Black Out 44mm Analog Dive Watch</t>
  </si>
  <si>
    <t>SEIKO PROSPEX Solar Diver’s Blue and Red Bezel Stainless Steel Watch SNE591</t>
  </si>
  <si>
    <t>Luminox Men’s Navy Seal 3000 EVO Series 43mm Analog Black Out Dive Watch</t>
  </si>
  <si>
    <t>Luminox Navy SEAL Dive Watch Black Velcro Band - L3901</t>
  </si>
  <si>
    <t>Luminox Men’s 3151 Navy SEAL Luminescent Watch with Black Rubber Band</t>
  </si>
  <si>
    <t>SAMSUNG Galaxy Watch 4 LTE 46mm Smartwatch with ECG Monitor Tracker for Health， Fitness， Running， Sleep Cycles， GPS Fall Detection， Bluetooth， US Version， Black</t>
  </si>
  <si>
    <t>CASIO G-Shock Connected GMW-B5000-1JF Origin Radio Solar Watch (Japan Domestic Genuine Products)</t>
  </si>
  <si>
    <t>Luminox Navy Seal XS.3501.F Mens Watch 45mm - Dive Watch in Black Date Function 200m Water Resistant</t>
  </si>
  <si>
    <t>SEIKO SRPE27 Prospex Men’s Watch Silver-Tone 42.4mm Stainless Steel</t>
  </si>
  <si>
    <t>Ticwatch Pro 3 Ultra GPS Smartwatch Qualcomm SDW4100 and Mobvoi Dual Processor System Wear OS Smart Watch for Men Blood Oxygen Fatigue Assessment 3-45 Days Battery NFC Mic Speaker</t>
  </si>
  <si>
    <t>TAKA Jewellery Cresta 18K Cross Diamond Pendant</t>
  </si>
  <si>
    <t>SEIKO SNE549 Prospex Men’s Watch Silver-Tone 43.5mm Stainless Steel</t>
  </si>
  <si>
    <t>Luminox Men’s 3005 Original Navy SEAL Dive Watch</t>
  </si>
  <si>
    <t>Swarovski Gema Jewelry Collection， Gold-tone and Rhodium Finish， Multicolored Crystals</t>
  </si>
  <si>
    <t>Luminox Navy Seal Blackout XS.3081.BO.F Mens Watch 44mm - Military Dive Watch in Black Date Function Chronograph 200m Water Resistant</t>
  </si>
  <si>
    <t>SEIKO Men’s SNZG15 SEIKO 5 Automatic Stainless Steel Watch with Nylon Strap</t>
  </si>
  <si>
    <t>Fitbit Versa 4 Fitness Smartwatch with Daily Readiness， GPS， 24/7 Heart Rate， 40+ Exercise Modes， Sleep Tracking and more， Pink Sand/Copper Rose， One Size (S &amp; L Bands Included)</t>
  </si>
  <si>
    <t>SWAROVSKI Millenia Octagon Cut Crystal Bracelet Jewelry Collection</t>
  </si>
  <si>
    <t>Luminox Mens Wrist Watch Leatherback Sea Turtle Giant 44 mm Black Green Display (XS.0337): 100 M Waterproof + Super Luminova + Carbonox Case</t>
  </si>
  <si>
    <t>Luminox Leatherback SEA Turtle Giant XS.0333 Mens Watch 44mm - Military Watch in Black Date Function 100m Water Resistant</t>
  </si>
  <si>
    <t>Casio G-shock Japanese Model Limited [ Gd-100gb-1jf ]</t>
  </si>
  <si>
    <t>SEIKO SRPD61 5 Sports Men’s Watch Silver-Tone 42.5mm Stainless Steel</t>
  </si>
  <si>
    <t>Casio GM-5600G-9JF [G-Shock Black and Gold Model] Watch Shipped from Japan Aug 2022 Model</t>
  </si>
  <si>
    <t>Men’s SNK807 SEIKO 5 Automatic Stainless Steel Watch with Blue Canvas Band</t>
  </si>
  <si>
    <t>Amazfit T-Rex Pro Smart Watch for Men Rugged Outdoor GPS Fitness Watch， 15 Military Standard Certified， 100+ Sports Modes， 10 ATM Water-Resistant， 18 Day Battery Life， Blood Oxygen Monitor， Black</t>
  </si>
  <si>
    <t>SWAROVSKI Vittore Wide Ring Silver 7</t>
  </si>
  <si>
    <t>Swarovski Orbita Crystal Jewelry Collection， Rhodium Tone &amp; Gold Tone Finish</t>
  </si>
  <si>
    <t>Swarovski Constella Cocktail Ring Jewelry Collection， Princess and Round Pavé Cut， Clear Crystals</t>
  </si>
  <si>
    <t>SWAROVSKI Eternal Flower Jewelry Collection Bangle Bracelets， Earrings， Necklaces</t>
  </si>
  <si>
    <t>Sisley Sisleya Le Teint Anti Aging Foundation， 2r Organza， 1 Ounce</t>
  </si>
  <si>
    <t>CHANEL Sublimage La Creme Yeux Ultimate Regeneration Eye Cream， 0.5 Oz</t>
  </si>
  <si>
    <t>SISLEY， Ecological Compound Piece Set Ecological Compound 125ml + Buff Wash Face Gel 10ml + HydraGlobal Serum 5ml + HydraGlobal 10ml， Multi， 4 Count， (Pack of 4)</t>
  </si>
  <si>
    <t>CHANEL LE Lift Firming - Anti-Wrinkle Creme Riche 50G.</t>
  </si>
  <si>
    <t>SISLEY Double Tenseur Instant &amp; Long-term Gel for Women， Multicolor 1 Fl Oz (Pack of 1)</t>
  </si>
  <si>
    <t>Sisley Women’s Phyto-Teint Expert Foundation， 3 Natural， 1 Ounce</t>
  </si>
  <si>
    <t>18 RGB Ring Light kit with Stand， 18 2500K-8500K LED Dimmable Circle Ring Light for Photography Video YouTube Vimeo Portrait Lighting Live Streaming</t>
  </si>
  <si>
    <t>Sisley by Sisley， Triple-Oil Balm Make-Up Remover &amp; Cleanser - Face &amp; Eyes -125g/4.4oz</t>
  </si>
  <si>
    <t>Hot Head Torch</t>
  </si>
  <si>
    <t>SISLEY Velvet Sleeping Mask With Saffron Flowers， 2 oz (908-69102)</t>
  </si>
  <si>
    <t>Germaine de Capuccini - Timexpert Radiance C+ | Illuminating Antioxidant Eye Contour Cream - Vitamin C and Vitamin E Eye Cream - Protects Against Free radicals damage - 0.5 Fl oz</t>
  </si>
  <si>
    <t>JJ.Yoma Facial Cream Maker， Professional Facial Mask Machine Collagen Fruit Vegetable DIY Automatic Facial Care Masks Maker with Human Voice Reminder</t>
  </si>
  <si>
    <t>Sisley Floral Toning Lotion By Sisley for Women - 8.4 Oz Toning Lotion， 8.4 Oz</t>
  </si>
  <si>
    <t>HDLWIS Facial Mask Machine， DIY Face Mask Machine Multi-Function Automatical Natural Fruit Vegetable Face Mask Maker With Human Voice Reminder &amp; 32 Counts Collagen Pills</t>
  </si>
  <si>
    <t>Arc Standing Lamp for Living Room-Arc Floor Lamp with Table， Remote Control Bright Tall Reading Lamp Stepless Dimmer 2400LM， Black Modern Floor Lamp for Living Room， Bedroom， Study Room， Office</t>
  </si>
  <si>
    <t>BRÜUN Peel-Off Jelly Mask Premium Modeling Rubber Mask Spa Set - 10 Treatments (24k Gold， Lavender， Kiwi， Peppermint， Egyptian Rose， Matcha， Chamomile， Tea tree， Jazmine)</t>
  </si>
  <si>
    <t>Power Your Fun Robo Pets Unicorn Toy for Girls and Boys - Remote Control Robot Toy with Interactive Hand Motion Gestures， STEM Toy Program Treats， Walking and Dancing Robot Unicorn Kids Toy (Pink)</t>
  </si>
  <si>
    <t>Dell Latitude 5000 5540 15.6" FHD Business Laptop Computer, 13th Gen Intel 10-Core i7-1355U, 32GB DDR4 RAM, 1TB PCIe SSD, WiFi 6E, Bluetooth, Backlit Keyboard, Fingerprint Reader, Windows 11 Pro</t>
  </si>
  <si>
    <t>Apple 2024 MacBook Air 13-inch Laptop with M3 chip: 13.6-inch Liquid Retina Display, 8GB Unified Memory, 256GB SSD Storage, Backlit Keyboard, 1080p FaceTime HD Camera, Touch ID; Midnight</t>
  </si>
  <si>
    <t>Apple 2024 MacBook Air 13-inch Laptop with M3 chip: 13.6-inch Liquid Retina Display, 8GB Unified Memory, 512GB SSD Storage, Backlit Keyboard, 1080p FaceTime HD Camera, Touch ID; Midnight</t>
  </si>
  <si>
    <t>Apple 2024 MacBook Air 13-inch Laptop with M3 chip: 13.6-inch Liquid Retina Display, 16GB Unified Memory, 512GB SSD Storage, Backlit Keyboard, 1080p FaceTime HD Camera, Touch ID; Silver</t>
  </si>
  <si>
    <t>Apple 2024 MacBook Air 15-inch Laptop with M3 chip: 15.3-inch Liquid Retina Display, 8GB Unified Memory, 512GB SSD Storage, Backlit Keyboard, 1080p FaceTime HD Camera, Touch ID; Midnight</t>
  </si>
  <si>
    <t>Apple 2024 MacBook Air 15-inch Laptop with M3 chip: 15.3-inch Liquid Retina Display, 16GB Unified Memory, 512GB SSD Storage, Backlit Keyboard, 1080p FaceTime HD Camera, Touch ID; Midnight</t>
  </si>
  <si>
    <t>Apple 2024 MacBook Air 15-inch Laptop with M3 chip: 15.3-inch Liquid Retina Display, 16GB Unified Memory, 512GB SSD Storage, Backlit Keyboard, 1080p FaceTime HD Camera, Touch ID; Space Gray</t>
  </si>
  <si>
    <t>MSI WF66 11UJ-267 Workstation Laptop (Intel i7-11800H 8-Core, 64GB RAM, 128GB PCIe SSD + 1TB HDD, RTX A2000, 15.6" 60Hz Full HD (1920x1080), WiFi, Bluetooth, Win 10 Pro) with Topload Bag</t>
  </si>
  <si>
    <t>Aritzia Wilfred Women's Goodlux Bloomsbury Dress</t>
  </si>
  <si>
    <t>Aeropostale Women's Cotton Pullover Hoodie</t>
  </si>
  <si>
    <t>Women's Tunic</t>
  </si>
  <si>
    <t>Duluth Trading Company Women's Ponte Pro Knit 3/4 Sleeve Dress</t>
  </si>
  <si>
    <t>Boston Proper Beyond Travel Asymmetrical Dress</t>
  </si>
  <si>
    <t>Fashion Nova All for Looks Midi Dress</t>
  </si>
  <si>
    <t>Quince Women's Flowknit Wide Leg Pants</t>
  </si>
  <si>
    <t>Women's Trendy Long Sleeve Knit Sweater</t>
  </si>
  <si>
    <t>The Desk To Dinner Shirt Tailored for Men by Bonobos</t>
  </si>
  <si>
    <t>Fashion Nova Men's Dark Diamonds Shirt</t>
  </si>
  <si>
    <t>Darkflash Micro-ATX Gaming PC Case</t>
  </si>
  <si>
    <t>HYTE Y70 Touch Modern Aesthetic Case</t>
  </si>
  <si>
    <t>HP All-in-One Desktop 22 Pentium J5040</t>
  </si>
  <si>
    <t>amazon basics Stereo 2.0 Speakers for Pc or Laptop</t>
  </si>
  <si>
    <t>Asus NUC 14 Pro</t>
  </si>
  <si>
    <t>Microsoft Surface Laptop Copilot+ PC 13.8 Snapdragon X Elite 16GB</t>
  </si>
  <si>
    <t>GoSports Sports Netting</t>
  </si>
  <si>
    <t>SA Sports Empire Compound Crossbow</t>
  </si>
  <si>
    <t>MaxKare Portable Basketball Hoop</t>
  </si>
  <si>
    <t>Academy Sports + Outdoors 10 ft x 10 ft Easy Shade Slant Leg Canopy</t>
  </si>
  <si>
    <t>Hit Mit Multi-Sport Adjustable Indoor/Outdoor Net Set</t>
  </si>
  <si>
    <t>Spalding 54 inch Shatter-proof Polycarbonate Exacta Height Portable Basketball Hoop System</t>
  </si>
  <si>
    <t>TopGold 4 Person Portable Sports Tent</t>
  </si>
  <si>
    <t>Franklin Sports 3-Hole Football Target</t>
  </si>
  <si>
    <t>Nine West Women's Emmett Classic Round Brushed Gold Bracelet Watch</t>
  </si>
  <si>
    <t>Sensyne Phone Tripod and Selfie Stick</t>
  </si>
  <si>
    <t>Bellroy Venture Phone Case for iPhone 16 Pro</t>
  </si>
  <si>
    <t>PopSockets Tidepool Mixed Bag PopGrip</t>
  </si>
  <si>
    <t>Lamicall Cell Phone Stand, Phone Cradle Phone Dock, Holder Compatible with Phone 12 Mini 11 Pro Xs Max XR X 6 6s 7 8 Plus 5 5s 5c All</t>
  </si>
  <si>
    <t>Wildflower Bling Screen Protector</t>
  </si>
  <si>
    <t>Samsung Bespoke Stainless Steel Kitchen Package</t>
  </si>
  <si>
    <t>Decor 2.4 Cu. ft. Mini Fridge</t>
  </si>
  <si>
    <t>Galanz Retro Refrigerator with Top Freezer Frost Free Dual Door Fridge</t>
  </si>
  <si>
    <t>Cafe Express 2-Slice Toaster</t>
  </si>
  <si>
    <t>iRestore Max Growth Hair Growth System</t>
  </si>
  <si>
    <t>BeautyFit Beauty Essentials Hair Skin Nails Formula Capsules</t>
  </si>
  <si>
    <t>300 Softgels with Biotin and Coconut Oil</t>
  </si>
  <si>
    <t>epres Healthy Hair Shampoo &amp; Conditioner Duo</t>
  </si>
  <si>
    <t>Country Life Maxi Hair Plus</t>
  </si>
  <si>
    <t>Sugarbear Hair Vegan Supplement</t>
  </si>
  <si>
    <t>Gold Lust Repair Restore Shampoo Oribe</t>
  </si>
  <si>
    <t>Dermal Therapy Hair Restoring Serum 60ml</t>
  </si>
  <si>
    <t>Vaseline Hair Tonic</t>
  </si>
  <si>
    <t>Swisse Ultiboost Hair Skin Nails Liquid 500ml</t>
  </si>
  <si>
    <t>The Beauty Chef Supergenes Healthy Hair &amp; Nails</t>
  </si>
  <si>
    <t>Mise en Scene Perfect Serum</t>
  </si>
  <si>
    <t>Women's Casual Loose Fit Long Sleeve Shirt</t>
  </si>
  <si>
    <t>BLENCOT Women's Casual Ruffle Cap Sleeve V-Neck Flowy Midi Dress with Pocket</t>
  </si>
  <si>
    <t>ONLYpuff Women's Graphic Pocket Tunic Top</t>
  </si>
  <si>
    <t>Zara Men's Relaxed Fit Knit T-Shirt</t>
  </si>
  <si>
    <t>Cotton King Men's Long Sleeve Oxford Shirt</t>
  </si>
  <si>
    <t>Fashion Nova Men's Ethel Textured Knit Relaxed Tee Shirt</t>
  </si>
  <si>
    <t>Legendary Whitetails Men's Recluse Cotton Henley Shirt</t>
  </si>
  <si>
    <t>Plugable Thunderbolt 4 Dock</t>
  </si>
  <si>
    <t>SilverStone Raven Mini-Itx Gaming Computer Case</t>
  </si>
  <si>
    <t>Lenovo V15 G2 Intel Core RAM</t>
  </si>
  <si>
    <t>Redragon K556 RGB LED Backlit Wired Mechanical Gaming Keyboard</t>
  </si>
  <si>
    <t>SanDisk Ultra PLUS SDXC Memory Card</t>
  </si>
  <si>
    <t>Logitech MX Keys S Wireless Keyboard</t>
  </si>
  <si>
    <t>Asus NUC 14 Pro UCFF 165H</t>
  </si>
  <si>
    <t>HP 24-cr0030 All-in-One Desktop Computer</t>
  </si>
  <si>
    <t>Toy Choi's 2-in-1 Kids Vacuum That Really Works - Toy Vacuum for Toddlers with Sound Effects, Pretend Play Kids Vacuum Cleaner, Household</t>
  </si>
  <si>
    <t>The Learning Journey Learn with Me Color Fun Fish Bowl</t>
  </si>
  <si>
    <t>Crate &amp; Kids Plush Campfire Kids Playset</t>
  </si>
  <si>
    <t>Pillowhale Children's Wooden Foldable Portable BBQ Mini Kitchen Grill Toy</t>
  </si>
  <si>
    <t>Children's Educational Tablet Smart Toy for Kids</t>
  </si>
  <si>
    <t>BananMelonBM 67 Pcs Cat and Dog Pet Figurine Playset</t>
  </si>
  <si>
    <t>Fisher Price Laugh &amp; Learn Mix &amp; Learn DJ Table</t>
  </si>
  <si>
    <t>Park &amp; Sun Tournament 4000 Volleyball Set</t>
  </si>
  <si>
    <t>WEIZE Mountain Bike</t>
  </si>
  <si>
    <t>Hall of Games 32-ft Outdoor Volleyball and Badminton Net with Carrying Bag Accessories Set</t>
  </si>
  <si>
    <t>URCUZER Sport Tent</t>
  </si>
  <si>
    <t>Kffkff Portable Volleyball Net Kit</t>
  </si>
  <si>
    <t>Zensport Full Size 22ft Portable Pickleball Net Set</t>
  </si>
  <si>
    <t>Bulova Women's Rhapsody Watch 97P145</t>
  </si>
  <si>
    <t>Fossil Women's Carlie Rose Gold Dial Watch</t>
  </si>
  <si>
    <t>JBW Women's Olympia Platinum Series 2.55 ctw Diamond Watch</t>
  </si>
  <si>
    <t>Anne Klein Women's Premium Crystal Bangle Watch Set in Rose and Rose Gold</t>
  </si>
  <si>
    <t>Shinola Derby Mother of Pearl and Diamond Bracelet Watch</t>
  </si>
  <si>
    <t>Peugeot Women's 34x24mm Tank Watch with Crystal Bezel</t>
  </si>
  <si>
    <t>Citizen Men's BN0200-56E Promaster Diver Titanium Watch</t>
  </si>
  <si>
    <t>TAURI 3 in 1 for iPhone 16 Case, Compatible with MagSafe [Anti-Yellowing] with 2X Screen Protectors, Military-Grade Protection, Shockproof Slim</t>
  </si>
  <si>
    <t>Suptig Phone Holder</t>
  </si>
  <si>
    <t>PopSockets Dreamy Heart Phone Grip</t>
  </si>
  <si>
    <t>SOOPII Magnetic Phone Ring Holder</t>
  </si>
  <si>
    <t>GE Front Load Washer GFW550SSNWW</t>
  </si>
  <si>
    <t>Haden Heritage 4-Slice Wide Slot Toaster</t>
  </si>
  <si>
    <t>Evan Alexander Grooming My Hair Repair System</t>
  </si>
  <si>
    <t>InstaSkincare Biotin Shampoo and Conditioner Set</t>
  </si>
  <si>
    <t>Hers Triple Threat System Hair Care Kit</t>
  </si>
  <si>
    <t>Routine Wellness Coconut &amp; Vanilla Shampoo</t>
  </si>
  <si>
    <t>Bioprogramming Hair Dryer Repronizer 107D Plus</t>
  </si>
  <si>
    <t>Nature's Bounty Optimal Solutions Hair, Skin and Nails Extra Strength Rapid Release Liquid Softgels</t>
  </si>
  <si>
    <t>Eva NYC Take Care Healthy Hair Shampoo</t>
  </si>
  <si>
    <t>Custom Co-Wash by Function of Beauty</t>
  </si>
  <si>
    <t>MIGUHARA Daily Silk Effect Hair Serum</t>
  </si>
  <si>
    <t>Function of Beauty Pro The Moisture Shot Hydrating Hair Goal Concentrate Mix-In</t>
  </si>
  <si>
    <t>HealthKart HK Vitals Healthy Hair Multivitamin Biotin Shampoo &amp; Conditioner Combo</t>
  </si>
  <si>
    <t>Fundamentals of E-book and Papersback Book Publishing: Your Guide to Action</t>
  </si>
  <si>
    <t>Rakuten Kobo Libra Color e-reader Black</t>
  </si>
  <si>
    <t>All Your Perfects: A Novel</t>
  </si>
  <si>
    <t>Cher: Part One: The Memoir [eBook]</t>
  </si>
  <si>
    <t>Dreamland: A Novel</t>
  </si>
  <si>
    <t>In Five Years: A Novel [eBook]</t>
  </si>
  <si>
    <t>Inside - Sony PlayStation 4 [Digital Download]</t>
  </si>
  <si>
    <t>PlayStation 5 DualSense Wireless Controller Sony</t>
  </si>
  <si>
    <t>Apple eGift Card - $10+</t>
  </si>
  <si>
    <t>$200 Apple Gift Card - Apps, Games, Apple Arcade, and more (Email Delivery)</t>
  </si>
  <si>
    <t>Apple iTunes Gift Card 16 USD iTunes Key UNITED STATES</t>
  </si>
  <si>
    <t>Apple $100 Gift Card US</t>
  </si>
  <si>
    <t>Apple Gift Cards (US)</t>
  </si>
  <si>
    <t>Apple Gift Card for Employees - Custom Branding and Messaging</t>
  </si>
  <si>
    <t>Wieland [eBook]</t>
  </si>
  <si>
    <t>Unmasking the Billionaire: A Halloween Romance; eBook; Author - Emma Bray</t>
  </si>
  <si>
    <t>A Taste of Sugar</t>
  </si>
  <si>
    <t>GIft With Purchase</t>
  </si>
  <si>
    <t>Donkey Kong Country Returns</t>
  </si>
  <si>
    <t>eCash - Nintendo eShop Gift Card (Digital Download)</t>
  </si>
  <si>
    <t>Red Dead Redemption</t>
  </si>
  <si>
    <t>FAIRY TAIL (Nintendo Switch) - Nintendo eShop Account - GLOBAL</t>
  </si>
  <si>
    <t>adidas Women's Farm Tiro Track Pants</t>
  </si>
  <si>
    <t>Men's adidas 3-Stripes Tricot Regular Sportswear Track Jacket</t>
  </si>
  <si>
    <t>Adidas Originals Adicolor Firebird Track Pants</t>
  </si>
  <si>
    <t>adidas Women's Adicolor Classic Firebird Loose Track Pants</t>
  </si>
  <si>
    <t>adidas Men's Lite Racer Adapt 7.0 Shoes</t>
  </si>
  <si>
    <t>adidas Originals Men's Adicolor Firebird Baggy Fit Track Pants</t>
  </si>
  <si>
    <t>ASICS Nature Short Sleeve Tee</t>
  </si>
  <si>
    <t>ASICS Men's ACTIBREEZE 3D Sandal</t>
  </si>
  <si>
    <t>ASICS Women's Mobility Knit Pants</t>
  </si>
  <si>
    <t>ASICS Women's 7/8 Performance Tight</t>
  </si>
  <si>
    <t>Men ASICS Seamless Short Sleeve Top</t>
  </si>
  <si>
    <t>ASICS Men's Gel-Venture 9 Running Shoes</t>
  </si>
  <si>
    <t>ASICS Men's Mobility Knit Jacket</t>
  </si>
  <si>
    <t>Gymshark Women's Elevate Mesh-Panels Stretch-Woven Top</t>
  </si>
  <si>
    <t>Gymshark Everyday Seamless Long Sleeve Crop Top</t>
  </si>
  <si>
    <t>Nike Men's Tech Fleece Full-Zip Windrunner Hoodie</t>
  </si>
  <si>
    <t>Nike Women's High-Waisted Oversized Phoenix Fleece Sweatpants</t>
  </si>
  <si>
    <t>Nike Women's Sportswear Woven Pants</t>
  </si>
  <si>
    <t>Reebok Women's Archive Evolution French Terry Pants</t>
  </si>
  <si>
    <t>Reebok Men's Sport Classics Pants</t>
  </si>
  <si>
    <t>Reebok Men's Athlete Training Pants</t>
  </si>
  <si>
    <t>Reebok Men's Running Pants</t>
  </si>
  <si>
    <t>Reebok Women's Wide Cargo Pant</t>
  </si>
  <si>
    <t>Fluidmaster Complete Toilet Tank Repair Kit 400AKRP10</t>
  </si>
  <si>
    <t>#PRO45H - Fluidmaster Fill Valve with Tank and Bowl Water Level Control</t>
  </si>
  <si>
    <t>FM8100 Fluidmaster Flush &amp; Sparkle Bowl Cleaning System</t>
  </si>
  <si>
    <t>Fluidmaster 3in Universal Toilet Flapper</t>
  </si>
  <si>
    <t>Fluidmaster Flush 'n' Sparkle Toilet Bowl Refill Cartridges</t>
  </si>
  <si>
    <t>Fluidmaster Flush Valve</t>
  </si>
  <si>
    <t>Fluidmaster 703A Flapperless Fill Valve for Glacier Bay &amp; Niagra Toilets</t>
  </si>
  <si>
    <t>Glacier Bay Hampton Bathroom Vanity Cabinet</t>
  </si>
  <si>
    <t>Chans Furniture 78 Inch Traditional Style Solid Wood Hopkinton Double Sink Bathroom Vanity Set With White Marble Top</t>
  </si>
  <si>
    <t>Design House Wyndham White Semi-Gloss Bathroom Wall Cabinet</t>
  </si>
  <si>
    <t>Kohler Hadron 48" Bathroom Vanity Cabinet with Sink and Quartz Top</t>
  </si>
  <si>
    <t>Bathroom Floor Cabinet</t>
  </si>
  <si>
    <t>Ktaxon Industrial Wall Mounted Bathroom Storage Cabinet Medicine Cabinet Organizer Save Space</t>
  </si>
  <si>
    <t>Ktaxon 68 inch Bathroom Cabinet</t>
  </si>
  <si>
    <t>Ktaxon Wooden Bathroom Medicine Cabinet</t>
  </si>
  <si>
    <t>Bathroom Wall Cabinet</t>
  </si>
  <si>
    <t>Wall Mounted Bathroom Cabinet</t>
  </si>
  <si>
    <t>Brita Soho Color Series Water Filter Pitcher</t>
  </si>
  <si>
    <t>Brita Hub Compact Countertop Water Filtration Device</t>
  </si>
  <si>
    <t>Brita Hub Instant Powerful Countertop Filtration 87341</t>
  </si>
  <si>
    <t>Brita On Tap Faucet Water Filter System</t>
  </si>
  <si>
    <t>Brita 10-Cup Water Filter Pitcher</t>
  </si>
  <si>
    <t>Brita 35618 Faucet Filter System</t>
  </si>
  <si>
    <t>Replacement Pitcher Filter PUR</t>
  </si>
  <si>
    <t>PUR Plus 30-Cup Dispenser Filtration System</t>
  </si>
  <si>
    <t>Equate Men's Hair Regrowth Treatment</t>
  </si>
  <si>
    <t>Equate Fast Acting Dairy Digestive Dietary Supplements</t>
  </si>
  <si>
    <t>3 packs of Maximum Strength Vagicaine Anti-Itch Cream, 1oz, By Equate (3 Pack)</t>
  </si>
  <si>
    <t>Equate Extra Strength Cool &amp; Heat Pain Relieving Cream, 3 oz</t>
  </si>
  <si>
    <t>Equate Maximum Strength Antifungal Liquid</t>
  </si>
  <si>
    <t>Equate Deep Cleansing Skin Cream 2 Pack</t>
  </si>
  <si>
    <t>Equate Vision Formula 50+ Softgels</t>
  </si>
  <si>
    <t>Hi-pro-pac Strength Enhancing Hair Booster Treatment</t>
  </si>
  <si>
    <t>Hi-Pro-Pac Extremely Damaged Hair Intense Protein Treatment</t>
  </si>
  <si>
    <t>Hi Pro Pac Shea Butter Moisture Masque</t>
  </si>
  <si>
    <t>Hi-pro-pac Intense Protein Treatment for Colored and Highlighted Hair Defense</t>
  </si>
  <si>
    <t>Hi Pro Pac Hair Polishing Treatment</t>
  </si>
  <si>
    <t>Hi-pro Packette Extremely Protein Treatment</t>
  </si>
  <si>
    <t>Hi Pro Pac Moroccan Mend Argan Oil Intense Salon Treatment 8 Packs</t>
  </si>
  <si>
    <t>Neutrogena Clear &amp; DEFEND+ Daily Serum</t>
  </si>
  <si>
    <t>Arm &amp; Hammer Complete Care Dog Dental Spray, 6 Fl Oz | Mint Flavor Dog Dental Spray for Easy Brushless Cleaning | Baking Soda Enhanced Formula for Fresh Breath and Tartar Control</t>
  </si>
  <si>
    <t>ARM &amp; HAMMER LITTER SCOOP WASTE BAG 3CT REFILLS</t>
  </si>
  <si>
    <t>ARM &amp; HAMMER Clump &amp; Seal Cat Litter, Fresh Scent 14lb</t>
  </si>
  <si>
    <t>Arm &amp; Hammer Tearless Kitten Shampoo for CatsNatural Cat Shampoo for Odor Control with Baking Soda, 20 Fl Oz Gentle Cleansing Kitten Shampoo in Sweet Almond Scent (Pack of 1)</t>
  </si>
  <si>
    <t>PetSafe ScoopFree Odor Control Crystal Cat Litter, Fresh Scent, 4.3 Lb Bag, Pack of 2</t>
  </si>
  <si>
    <t>PetSafe Drinkwell Cat Water Fountain Carbon Replacement Filters - Compatible with Drinkwell 1/2 Gallon, 1 Gallon, 2 Gallon, Avalon, Pagoda, Sedona and Seascape Fountains, 12-Pack</t>
  </si>
  <si>
    <t>PetSafe ScoopFree Odor Control Crystal Cat Litter, Fresh Scent, 8 Lb Bag</t>
  </si>
  <si>
    <t>MidWest Homes for Pets Replacement Plastic Handle for Dog Fold and Carry Crate, Black, Handle-1</t>
  </si>
  <si>
    <t>MidWest Homes for Pets Square Exercise Pen Fabric Mesh Bottom, 22.05"L x 9.85"W x 9.85"H</t>
  </si>
  <si>
    <t>MidWest Homes For Pets Metal Dog Crate Replacement Pan; 36 inch</t>
  </si>
  <si>
    <t>MidWest Homes for Pets Snap'y Fit Food Bowl | Pet Bowl, 20 oz. (2.5 cups) | Dog Bowl Easily Affixes to a Metal Dog Crate, Cat Cage or Bird Cage | Pet Bowl Measures 6L x 6W x 2H Inches,Silver</t>
  </si>
  <si>
    <t>Pet Loo Pee-Pod with Sponge - 7-Pack - Indoor Toilet Tray for Pets - Urine Disposal</t>
  </si>
  <si>
    <t>PetSafe Extreme Weather Aluminum Dog Door, Energy-Efficient, 3 Flaps for Insulation, Large, for Exterior Doors, Built for Extreme Weather (White - Large)</t>
  </si>
  <si>
    <t>PetSafe Gentle Leader No-Pull Head Collar for Dogs, Dog Head Collar - The Ultimate Solution to Pulling, Padded Nose Loop, Quick-Snap Neck Strap, Dog Halter, Large - Black</t>
  </si>
  <si>
    <t>Aqueon 20 Gallon LED Aquarium Kit</t>
  </si>
  <si>
    <t>Aqueon LED MiniBow SmartClean Fish Aquarium Kit</t>
  </si>
  <si>
    <t>Aqueon 210 Gallon Glass Rectangle Aquarium</t>
  </si>
  <si>
    <t>Aqueon SmartClean Power Filter with EcoRenew Filter Cartridge</t>
  </si>
  <si>
    <t>Tetra Cleaning Bacteria 8 Ounces, For A Clean Aquarium And Healthy Water, PHL309494</t>
  </si>
  <si>
    <t>Tetra Whisper Easy to Use Air Pump for Aquariums (Non-UL)</t>
  </si>
  <si>
    <t>Tetra Whisper IQ Power Filter 45 Gallons, 215 GPH, With Stay Clean Technology</t>
  </si>
  <si>
    <t>Tetra 26446 HT Submersible Aquarium Heater With Electronic Thermostat, 100-Watt, Multicolor, 10-30 Gallon</t>
  </si>
  <si>
    <t>TetraFauna ReptoFilter Filter Cartridges, Size Medium, Filter Cartridge Refills. 3 Count</t>
  </si>
  <si>
    <t>Tetra Whisper Bio-Bag Filter Cartridges For Aquariums - Ready To Use BLUE, Large, 3 Count (Pack of 1)</t>
  </si>
  <si>
    <t>Lakeshore Brick- Building Activity Table</t>
  </si>
  <si>
    <t>Activity Table for Preschool</t>
  </si>
  <si>
    <t>Harmony All-in-One Activity Table</t>
  </si>
  <si>
    <t>Camping Tent Stove</t>
  </si>
  <si>
    <t>23ZERO Walkabout 2.0 Roof Top Tent</t>
  </si>
  <si>
    <t>L.L.Bean Acadia 8-Person Cabin Tent</t>
  </si>
  <si>
    <t>Ozark Trail 20-Person 4-Room Cabin Tent With 3 Separate Entrances For Camping,</t>
  </si>
  <si>
    <t>Ozark Trail 4-Person Dome Tent</t>
  </si>
  <si>
    <t>Ozark Trail 22-Piece Camping Tent Combo</t>
  </si>
  <si>
    <t>Ozark Trail 10-Person Cabin Tent with LED Lighted Poles</t>
  </si>
  <si>
    <t>Auto Drive Ergo Comfort Steering Wheel Cover</t>
  </si>
  <si>
    <t>Auto Drive 5-Piece Seat Cover and Car Steering Wheel Kit</t>
  </si>
  <si>
    <t>Car and Driver Bluetooth FM Transmitter Vent Mount</t>
  </si>
  <si>
    <t>Auto Drive Pivoting Tablet Holder</t>
  </si>
  <si>
    <t>Auto Effects Multi Function Car Tray</t>
  </si>
  <si>
    <t>Armor All Ultra Shine Total Vehicle Detailer</t>
  </si>
  <si>
    <t>Armor All Extreme Cleaner Wheel &amp; Tire</t>
  </si>
  <si>
    <t>Armor All Air Freshener Vent Clip Midnight Air</t>
  </si>
  <si>
    <t>Armor All Car Care Cleaning and Wash Kit</t>
  </si>
  <si>
    <t>Gatorade Cool Blue Thirst Quencher 28 fl oz</t>
  </si>
  <si>
    <t>Gatorade Fierce Blue Cherry Thirst Quencher</t>
  </si>
  <si>
    <t>Gatorlyte Electrolyte Beverage Rapid Rehydration</t>
  </si>
  <si>
    <t>Gatorade</t>
  </si>
  <si>
    <t>Gatorade Thirst Quencher Aqua Blast Sports Drink</t>
  </si>
  <si>
    <t>Banquet Chicken Nuggets Value Pack 48 oz</t>
  </si>
  <si>
    <t>Banquet Chicken Fried Chicken Meal</t>
  </si>
  <si>
    <t>Banquet Broccoli &amp; Chicken Over Rice with Creamy Sauce</t>
  </si>
  <si>
    <t>Banquet Mega Meal Boneless Fried Chicken</t>
  </si>
  <si>
    <t>Wild Combo Seafood Box</t>
  </si>
  <si>
    <t>Banquet Homestyle Gravy &amp; Sliced White Meat Turkey</t>
  </si>
  <si>
    <t>Omaha Steaks Seafood Favorites Assortment</t>
  </si>
  <si>
    <t>Meat Package #2: The Steak &amp; Sausage Spectacular</t>
  </si>
  <si>
    <t>Grumpy Butcher Premium Prepared Meals Smoked Beef Brisket &amp; Fingerling Potatoes 6 Pack</t>
  </si>
  <si>
    <t>Pacific Wild Seafood Package | To-Table Seasonal Package - 10 lbs of wild seafood in season</t>
  </si>
  <si>
    <t>Boar's Head Ovengold Roasted Turkey Breast</t>
  </si>
  <si>
    <t>(6 pack) Great Value Premium Skinless &amp; Boneless Pink Salmon, 2.5 oz</t>
  </si>
  <si>
    <t>Fresh King Crab - 4.5 lb ~ 5.5 lb</t>
  </si>
  <si>
    <t>Seafood Mix 5 Lb.</t>
  </si>
  <si>
    <t>Creole Foods Louisiana Crawfish Tail Meat</t>
  </si>
  <si>
    <t>Big City Fresh Ground Beef 8 Ounce 24 per Case</t>
  </si>
  <si>
    <t>Dowinx Gaming Chair Fabric with Pocket Spring Cushion, High Back Ergonomic Computer Chair with Footrest for Adults, Massage Lumbar Support Swivel</t>
  </si>
  <si>
    <t>Dowinx Gaming Chair with Footrest, Ergonomic Massage Game Chair for Adults, Heavy-Duty PC Computer Chair with Massage Lumbar Support, Adjustable Recli</t>
  </si>
  <si>
    <t>Dowinx Gaming Chair with Pocket Spring Cushion, Ergonomic Computer Chair with Footrest and Lumbar Support for Office or Gaming, Black and White</t>
  </si>
  <si>
    <t>PRX Fold-In ONE Rack</t>
  </si>
  <si>
    <t>FitterFirst Pro Fitter 3D Cross Trainer</t>
  </si>
  <si>
    <t>Titan Fitness Wall and Rack Mounted Pulley Tower</t>
  </si>
  <si>
    <t>PRX Performance Home Gym Equipment Sets Indy Prime Package</t>
  </si>
  <si>
    <t>Titan Fitness 3-In-1 Heavy Foam Plyometric Box</t>
  </si>
  <si>
    <t>PRX Performance Couple's Elite Package Home Gym Equipment Sets</t>
  </si>
  <si>
    <t>FITT Curve All in One Inflatable Workout System</t>
  </si>
  <si>
    <t>New Image Unisex's FITT Cube Total Body Workout HIIT Machine</t>
  </si>
  <si>
    <t>Fitvids LX770 Multifunctional Full Home Gym System Workout Station</t>
  </si>
  <si>
    <t>Total Gym Fit Signature Series Plus</t>
  </si>
  <si>
    <t>Fitvids Heavy Duty Adjustable and Foldable Utility Weight Bench</t>
  </si>
  <si>
    <t>Rainbow Eucalyptus Tree Seeds</t>
  </si>
  <si>
    <t>Brighter Blooms Golden Raintree</t>
  </si>
  <si>
    <t>CZ Grain 40 Banyan Tree Plant Seeds</t>
  </si>
  <si>
    <t>Brighter Blooms Canadian Hemlock Tree</t>
  </si>
  <si>
    <t>Care Kit Growscripts Orchard Tree Care Kit</t>
  </si>
  <si>
    <t>Cycads Tree Seeds</t>
  </si>
  <si>
    <t>DIY Physical Experiments Technology Kit Magdeburg Hemisphere Atmospheric Pressure Demonstration Test Students Learning Toys</t>
  </si>
  <si>
    <t>JURA GIGA 6 Automatic Coffee Machine， Silver and Glass Milk Container Bundle (2 Items)</t>
  </si>
  <si>
    <t>Belffin Modular Large Sectional Sofa with Storage Seat Oversized U Shaped Couch with Reversible Chaise Modular Sofa Set with Ottoman Velvet Blue</t>
  </si>
  <si>
    <t>Jura Z10 Fully Automatic Coffee Machine Diamond Black with Glass Milk Container， 16.9 Oz</t>
  </si>
  <si>
    <t>Jura X8 15177 Automatic Coffee Machine w/PEP 64oz Capacity Programmable</t>
  </si>
  <si>
    <t>Jura S8 Automatic Coffee and Espresso Machine (Piano Black) with Cleaning Tablets (6-Count) and 2 Smart Filter Cartridges Bundle (4 Items)</t>
  </si>
  <si>
    <t>Jura WE6 Professional Espresso and Coffee Center</t>
  </si>
  <si>
    <t>Acme 5-Piece Bedroom Set Bed， Dresser， Chest and 2 Nightstands (White， Queen)</t>
  </si>
  <si>
    <t>kevinplus 101’’ Boucle Curved Sofa Couch for Living Room， Modern Mid-Century Cloud Upholstered Sofa Contemporary Living Room Sofa for Home Apartment Office Studio， 4 Pillows， Beige</t>
  </si>
  <si>
    <t>Jura Impressa C9 One Touch 64OZ. Espresso Machine in Piano Black 13422 (Renewed)</t>
  </si>
  <si>
    <t>Acme Furniture Rectangular Wood Coffee Table， Antique White</t>
  </si>
  <si>
    <t>Arabic U Shaped Sofa Set， Arabic Floor Seating， Arabic Floor Sofa， Arabic Majlis Sofa， Arabic Couches， Floor Seating Sofa MA 36</t>
  </si>
  <si>
    <t>Acanva Luxury Mid-Century Modern Vegan Leather Single Cushion Living Room Sofa， 87 Couch， Mocha Bisque</t>
  </si>
  <si>
    <t>Acme Furniture Round Dining Table with Single Pedestal， Antique Platinum</t>
  </si>
  <si>
    <t>HONBAY Convertible Sectional Sofa Modular Sectional Couch 5 Seater L Shaped Sofa with Storage Seat for Living Room， Aqua Blue</t>
  </si>
  <si>
    <t>Amazon Brand – Stone &amp; Beam Rustin Contemporary Deep-Seated Sofa Couch， 89W， Cream</t>
  </si>
  <si>
    <t>ACME 12145 Dresden Dresser， Cherry Oak Finish</t>
  </si>
  <si>
    <t>Jura ENA 4 Metropolitan Black Espresso Machine Bundle with 3-Phase Cleaning Tablets， and Clearyl Smart Water Filters Cartridge (4 Items)</t>
  </si>
  <si>
    <t>SIENWIEY Sectional Sofa Set， L-Shape Faux Leather Couch Living Room Sofa Set with Chaise， Storage Ottoman Using for Living Room Furniture(Left Chaise，Ginger)</t>
  </si>
  <si>
    <t>Zulay Magia Super Automatic Coffee Espresso Machine - Durable Automatic Espresso Machine With Grinder - Espresso Coffee Maker With Easy To Use 7” Touch Screen， 20 Coffee Recipes， 10 User Profiles</t>
  </si>
  <si>
    <t>Signature Design by Ashley Jesolo Modern Faux Leather Manual Pull Tab Double Reclining Sofa， Dark Brown</t>
  </si>
  <si>
    <t>LifeStyle Solutions Serta Honor Convertible Sofa Sofabed， Navy Blue</t>
  </si>
  <si>
    <t>OSP Home Furnishings Russell Reversible Sectional Sofa with 2 Pillows and Coffee Finished Legs， Navy</t>
  </si>
  <si>
    <t>Amazon Brand – Rivet Bigelow Modern Sofa Couch with Wood Base， 89.4W， Light Grey / Blonde</t>
  </si>
  <si>
    <t>Amazon Brand – Stone &amp; Beam Lessing Tufted Upholstered Glider， 32.7W， Cadet Blue</t>
  </si>
  <si>
    <t>DKLGG Living Room Sectional Couch with Storage Ottoman， Modern PU Leather L-Shaped Sofa Couch Set， Brown Modular Sofa Sectional w/Cup Holder， Living Room Furniture Set for Apartment， Small Space</t>
  </si>
  <si>
    <t>ZINUS Benton Sofa Couch / Grid Tufted Cushions / Easy， Tool-Free Assembly， Dark Grey</t>
  </si>
  <si>
    <t>Amazon Brand – Stone &amp; Beam 5-Shelf Bookcase， 75H， Weathered Oak Finish</t>
  </si>
  <si>
    <t>Dell XPS 17 9720 Laptop17.0-inch UHD+ (3840 x 2400) Touchscreen Display， Intel Core i9-12900HK， 32GB Memory， 1TB SSD， NVIDIA GeForce RTX 3060， Intel Killer Wi-Fi 6， Windows 11 Pro - Silver</t>
  </si>
  <si>
    <t>Tripp Lite Smart SM2200RMDVTAA 2200VA Dual Voltage 120V - 230V TAA/GSA UPS (Black)</t>
  </si>
  <si>
    <t>JWSIT 200 inch Projector Screen with Stand，Upgraded 3 Layers PVC 16:9 Large Outdoor Projector Screen，Portable Outdoor Movie Screen with Carrying Bag for Large Commercial Performance</t>
  </si>
  <si>
    <t>Lenovo ThinkPad X1 Extreme Gen 3 15.6 FHD (Intel 6-Core i7-10750H， 32GB RAM， 1TB PCIe SSD， GTX 1650 Ti) Mobile Workstation Laptop， 2 x Thunderbolt 3， Backlit， Fingerprint， IST HDMI， Win 10 Pro</t>
  </si>
  <si>
    <t>Apple 2021 12.9-inch iPad Pro Wi‑Fi + Cellular 512GB - Space Gray</t>
  </si>
  <si>
    <t>Dell Inspiron 14 Plus 7420 Laptop - 14 inch， 2.2K 16:10， Intel Core i7-12700H， 16GB DDR5 RAM， 1TB SSD， Intel Iris Xe， 2 Yr Onsite + AntiVirus， Migrate， Windows 11 Pro + Office 365 - Atlantic Blue</t>
  </si>
  <si>
    <t>Dell XPS 13 9320 Plus 13.4 Laptop Intel Core i5-1240P (12-Core) 512GB PCIe SSD 16GB RAM 3.5K OLED (3456x2160) InfinityEdge Touch Win 11 PRO (Renewed)</t>
  </si>
  <si>
    <t>Liebert PSI5 Lithium-Ion UPS - 1500VA 1350W 120V， Line Interactive AVR Mini Tower Sine Wave UPS， 0.9 Power Factor Uninterruptible Power Supply(Battery Backup) with Surge Protection(PSI5-1500MT120LI)</t>
  </si>
  <si>
    <t>Lenovo ThinkPad T14 14 FHD (AMD 6-Core Ryzen 5 Pro 4650U (Beats i7-1165G7)， 16GB RAM， 512GB SSD) Business Laptop， IPS Anti-Glare， Backlit Keyboard， 2 x Type-C， Webcam， Win 10 Pro / Win 11 Pro - 2022</t>
  </si>
  <si>
    <t>HP LTO Ultrium-7 Data Cartridge， 20 x LTO Ultrium 7-6 TB / 15 TB - bar Code Labeled C7977AN</t>
  </si>
  <si>
    <t>Lenovo ThinkPad E15 Gen 3 15.6 FHD + IPS Display Laptop (Ryzen 7 5825U 8-Core， 16GB RAM， 512GB PCIe SSD， AMD Radeon， 15.6 Full HD (1920x1080)， WiFi 6， BT 5.2， Webcam， USB 3.2， Win 10P) with Hub</t>
  </si>
  <si>
    <t>Atomos Ninja V+ 5 8K HDMI H.265 Raw Recording Monitor with WD Blue 500GB Sata SSD Essential Bundle – Includes: 2X Rechargeable Lithium-Ion Battery + Battery Charger + Microfiber Cleaning Cloth</t>
  </si>
  <si>
    <t>Lenovo ThinkPad E14 Gen 3 14 FHD IPS (AMD Ryzen 7 5700U， 16GB RAM， 512GB PCIe SSD， 8-Core (Beat i7-1165G7)) Business Laptop， Anti-glare， Type-C (DP and Charge)， Webcam， Win 10 Pro / 11 Pro</t>
  </si>
  <si>
    <t>ASUS TUF F15 Gaming Laptop | 15.6 FHD 144Hz (Adaptive-Sync) | 11th Gen Intel 6-Core i5-11400H (&gt;i7-9750H) | 16GB DDR4 512GB SSD | GeForce RTX 3050 4GB | Backlit USB-C Win11 Black + 32GB MicroSD Card</t>
  </si>
  <si>
    <t>Fujitsu Fi-8170</t>
  </si>
  <si>
    <t>Same day delivery HP 21.5" FullHD Touch-Screen Ryzen-3  All in one PC  New Model  with inbuilt webcam hp School/office use 8GB RAM 480GB SSD Win 10 Home Black  1 year warranty with keyboard and mouse</t>
  </si>
  <si>
    <t>Lenovo IdeaPad 3i 15.6 FHD Gaming Laptop 2022， 11th Gen Intel i5-11300H(up to 4.4GHz)， 16GB RAM 1TB NVMe SSD， GeForce GTX 1650， USB-A&amp;C RJ45， Windows 11</t>
  </si>
  <si>
    <t>Dell Latitude 3410 3000 14 FHD (Intel Quad-Core i5-10210U (Beat i7-8565U)， 16GB RAM， 512GB PCIe SSD， Full HD IPS) Business Student Education Laptop， Type-C， RJ-45， HDMI， Win 10 Pro / Win 11 Pro</t>
  </si>
  <si>
    <t>Lenovo IdeaPad Gaming 3 - 2022 - Everyday Gaming Laptop - NVIDIA GeForce RTX 3050 Graphics - 15.6 FHD Display - 120 Hz - AMD Ryzen 5 6600H - 8GB DDR5 - 258GB SSD - Win 11 - Free 3-month Xbox GamePass</t>
  </si>
  <si>
    <t>ZEN - INTEL 12TH GEN MULTIMEDIA DESKTOP PC - GREAT FOR STUDY AND WORK</t>
  </si>
  <si>
    <t>2021 Newest Dell OptiPlex 3080 Micro Form Factor Business Desktop， Intel Core i5-10500T， 16GB DDR4 RAM， 512GB SSD， WiFi， HDMI， Bluetooth， Wired Keyboard&amp;Mouse， Windows 10 Pro</t>
  </si>
  <si>
    <t>Talvania 33 Feet Inflatable Projector Screen for Outdoor and Indoor TV Movie Watching， Huge Screen， Blower， Tie Downs， Stakes， Sandbags， and Storage Bag， Quick Blow Up， Jumbo (33’ Purple)</t>
  </si>
  <si>
    <t>Vertical Cable Access Control Cable Plenum: 22AWG/3 Pair Shielded + 18AWG/4 Conductor + 22AWG/4 Conductor + 22AWG/2 Conductor， Stranded Bare Copper Conductors， 500ft Spool， Yellow</t>
  </si>
  <si>
    <t>Apple iPad Pro 12.9-inch 512GB MPKY2LL/A (2nd Generation， Wi-Fi Only， Space Gray) Mid 2017 (Renewed)</t>
  </si>
  <si>
    <t>Samsung The Freestyle 550-Lumen Full HD HDR Smart Projector Big Screen Experience with Premium 360 Sound (SP-LSP3BLAXZA) + HDMI Cable + Cable Straps + Cleaning Kit + More</t>
  </si>
  <si>
    <t>Lenovo Ideapad 15.6 FHD Laptop， for College and Business， AMD Ryzen 5 5625U(&gt; i5-11320H)， 16GB DDR4 RAM， 512GB NVMe SSD， Fingerprint， Backlit Keyboard， WiFi 6， Webcam， HDMI， Win 11， CUE Accessories</t>
  </si>
  <si>
    <t>HP Pavilion Gaming Desktop PC - AMD 6-Core Ryzen 5 5600G Processor， AMD Radeon RX5500， 8GB RAM， 256GB PCIe NVMe SSD， Win 10 Home</t>
  </si>
  <si>
    <t>2022 Apple iPad Air (10.9-inch， Wi-Fi + Celullar， 64GB) Blue (Renewed)</t>
  </si>
  <si>
    <t>HP [Windows 11 Pro] 15.6 HD Touchscreen Business Laptop， 11th Gen Intel Core i3-1115G4 Processor， 12GB RAM， 256GB SSD， HDMI， WiFi， Type-C， Long Battery Life， Silver， PCS</t>
  </si>
  <si>
    <t>ViewSonic ID2456 24 Inch Touch Display Tablet with Active Stylus， Advanced Ergonomics and USB C for Digital Writing， Graphics Drawing， Remote Teaching， Distance Learning</t>
  </si>
  <si>
    <t>WEMAX PSA01 UST Projector Screen， 100-inch Ambient Light Rejecting ALR Projection Screen for Ultra Short Throw Projection， Fixed Frame Screen for Nova Support Other Brands UST Projectors</t>
  </si>
  <si>
    <t>OUVISLITE 4 Bay NAS 16TB Personal Cloud Storage Device with Intel N4500 Processor 4GB DDR4 256GB SSD Included， Support Up to 4TB SSD × 4， iOS/Android for Data and Media Files (Diskless)</t>
  </si>
  <si>
    <t>HP 15.6 Diagonal Full HD (1920 x 1080) Laptop， 11th Gen Intel Core i5-1135G7 Processor， 8GB DDR4 RAM， 256GB SSD， 802.11ac， Bluetooth， HDMI， Windows 11</t>
  </si>
  <si>
    <t>4-Pack (BK+C+Y+M) 215A | W2310A W2311A W2312A W2313A Toner Cartridge Replacement for HP Color Laserjet Pro MFP M182nw(7KW55A) M182n(7KW54A) M183fw(7KW56A) M155 M182 Printer Ink Cartridge</t>
  </si>
  <si>
    <t>2020 Dell Inspiron 14 Laptop Computer 10th Gen Intel i3 1005G1 Up to 3.4GHz 4GB DDR4 RAM 128GB PCIe SSD Untel UHD Graphics HDMI 802.11ac WiFi Bluetooth 4.1 Windows 10</t>
  </si>
  <si>
    <t>Sysracks - Wall Mount Server Rack - Locking Network Cabinet - AV Enclosure - VENTED Audio Rack - Networking Enclosure 24 Inch Depth IT Computer Cabinet - Casters - PDU - Shelf (18U (24w x24d x35h))</t>
  </si>
  <si>
    <t>REOLINK Smart 5MP 8CH Home Security Camera System， 4pcs Wired 5MP PoE IP Cameras Outdoor with Person Vehicle Detection， 4K 8CH NVR with 2TB HDD for 24-7 Recording， RLK8-520D4-5MP</t>
  </si>
  <si>
    <t>DS18 ZR1600.4D Car Amplifier Class D 4-Channel Stereo Full Range Amp 7200 Watts Peak Power - Adjustable Frequency High/Low Pass Setting - Guaranteed to Supercharge Your Car Audio Sound System</t>
  </si>
  <si>
    <t>Apple iPad Pro 10.5in with ( Wi-Fi + Cellular ) - 64GB， Space Gray (Renewed)</t>
  </si>
  <si>
    <t>Apple iPhone 12 Pro Max， 128GB， Silver - Unlocked (Renewed Premium)</t>
  </si>
  <si>
    <t>Apple iPhone 14， 128GB， (PRODUCT) Red - Unlocked (Renewed)</t>
  </si>
  <si>
    <t>Apple iPhone 12 Pro， 128GB， Graphite - Unlocked (Renewed Premium)</t>
  </si>
  <si>
    <t>Samsung Galaxy A53 5G (128GB， 6GB) 6.5 120Hz Full HD+， IP67 Water Resistant， Dual SIM GSM 4G Volte Unlocked (for US + Global) International Model A536E/DS (25W Charging Cube Bundle， Awesome Blue)</t>
  </si>
  <si>
    <t>Apple iPhone XS Max， US Version， 64GB， Space Gray - Unlocked (Renewed)</t>
  </si>
  <si>
    <t>Samsung Galaxy S21 5G G991U 128GB Smartphone - T-Mobile Locked - (Renewed)</t>
  </si>
  <si>
    <t>Apple iPhone XR， 64GB， Black - Unlocked (Renewed)</t>
  </si>
  <si>
    <t>Apple iPhone XS， US Version， 64GB， Space Gray - Unlocked (Renewed)</t>
  </si>
  <si>
    <t>Apple iPhone X， US Version， 64GB， Silver - Unlocked (Renewed)</t>
  </si>
  <si>
    <t>Google Pixel 6 – 5G Android Phone - Unlocked Smartphone with Wide and Ultrawide Lens - 128GB - Stormy Black (Renewed)</t>
  </si>
  <si>
    <t>Omega Speedmaster Moonwatch 304.33.44.52.03.001</t>
  </si>
  <si>
    <t>Omega Speedmaster Racing Automatic Chronograph Mens Watch 329.32.44.51.01.001</t>
  </si>
  <si>
    <t>Omega Men’s Speedmaster Analog Display Mechanical Hand Wind Silver Watch 311.30.42.30.01.006</t>
  </si>
  <si>
    <t>Omega 326.30.40.50.11.001 Speedmaster Racing Men’s Chronograph Watch</t>
  </si>
  <si>
    <t>Khaki Aviation X-WIND DAY DATE AUTO CHRONO</t>
  </si>
  <si>
    <t>Omega Men’s 326.30.40.50.06.001 Speed Master Racing Analog Display Swiss Automatic Silver Watch</t>
  </si>
  <si>
    <t>Swarovski 10x42 NL Pure Binoculars</t>
  </si>
  <si>
    <t>Omega Men’s 42410372001001 Analog Display Swiss Automatic Silver Watch</t>
  </si>
  <si>
    <t>Hamilton Men’s H77616533 Khaki ; Dial color - Black X Chronograph Watch</t>
  </si>
  <si>
    <t>Hamilton Men’s ’Jazzmaster’ Swiss Automatic Stainless Steel Watch， Color:Silver-Toned (Model: H32596181)</t>
  </si>
  <si>
    <t>SEIKO PROSPEX SBDC141 [Diver Scuba 1965 Mechanical Divers Modern Design Men’s Nylon Band]</t>
  </si>
  <si>
    <t>Casio Men G-SHOCK GMW-B5000G-1JF Radio Solar Watch (Japan Domestic Genuine Products)</t>
  </si>
  <si>
    <t>Seiko Prospex 3rd GenSumo Diver’s 200m Automatic Black Dial Sapphire Glass Watch SPB101J1</t>
  </si>
  <si>
    <t>Hamilton H38455781 Intra-Matic Automatic Men’s Watch Black Leather</t>
  </si>
  <si>
    <t>Hamilton Khaki Navy Automatic Movement Black Dial Men’s Watch H82335131</t>
  </si>
  <si>
    <t>Luminox ICE-SAR Arctic XL.1203 Mens Watch 46mm - Adventure Watch in Black Date Function 200m Water Resistant Sapphire Glass</t>
  </si>
  <si>
    <t>Casio G-Shock GST-B200X-1A9JF G-Steel Carbon Core Guard Solar Men’s Watch (Japan Domestic Genuine Products)</t>
  </si>
  <si>
    <t>Luminox Men’s Navy Seal Pacific Diver 3120 Series Silver Stainless Steel Oyster Band Black Dial Quartz Analog Watch</t>
  </si>
  <si>
    <t>Luminox Bear Grylls Air Series GMT XB.3761 Swiss Made Black Watch</t>
  </si>
  <si>
    <t>TSAR BOMBA Luxury Mens Automatic Mechanical Watches - Japanese Movement Sapphire Glass - 50M Waterproof Men’s Watch - Square Wrist Watches Silicone Band Luminous Elegant Gifts for Men</t>
  </si>
  <si>
    <t>KUOE Old Smith 90-002 No-Date， Automatic NH38 Movement， Black， Replacement Belt Included， 35mm case</t>
  </si>
  <si>
    <t>Kendra Scott White Diamond Heart Stud Earrings in 14k Gold， Fine Jewelry for Women</t>
  </si>
  <si>
    <t>Luminox Navy Seal Chronograph Blackout XS.3581.BO Mens Watch 45mm - Military Watch in Black Date Function Chronograph 200m Water Resistant</t>
  </si>
  <si>
    <t>Luminox Atacama Adventurer Field XL.1762 Mens Watch 42mm - Adventure Watch in Silver/Black Date Function 200m Water Resistant Sapphire Glass</t>
  </si>
  <si>
    <t>SEIKO PROSPEX Solar Diver’s Blue Dial Black Rubber Watch SNE593</t>
  </si>
  <si>
    <t>TSAR BOMBA Men’s Automatic Watch - Japanese Movement - Sapphire Glass - 100m Waterproof - Luxury Fluororubber Strap -Gifts for Men</t>
  </si>
  <si>
    <t>Fossil Gen 6 44mm Touchscreen Smartwatch with Alexa Built-In， Heart Rate， Blood Oxygen， Activity Tracking， GPS， Speaker， Smartphone Notifications</t>
  </si>
  <si>
    <t>Swarovski Lucent Earring Jewelry Collection， Rhodium Tone Finish， Blue Crystal， Pink Crystal</t>
  </si>
  <si>
    <t>Timex 40 mm Marlin Automatic Leather Strap Watch</t>
  </si>
  <si>
    <t>TRIWA Nikki Minimalist Watch for Women – Ladies Fashion Analog Wrist Watches 36mm</t>
  </si>
  <si>
    <t>Swarovski Ortyx bracelet， Triangle Swarovski Zirconia</t>
  </si>
  <si>
    <t>SEIKO SRPD77 5 Sports Men’s Watch Green 42.5mm Stainless Steel</t>
  </si>
  <si>
    <t>SRPD79 Seiko Sports 5 Men’s Watch Black 42.5mm Stainless Steel</t>
  </si>
  <si>
    <t>Stauer 1930 Dashtronic Watch – Automatic Watches for Men – Cotswold Genuine Mens Watches Leather Band w/Stainless Steel Case – Automated Movement &amp; 3-ATM Water Resistant Watch – Mens Wrist Watches</t>
  </si>
  <si>
    <t>Casio G-Shock Digital Dial Stainless Steel Quartz Men’s Watch GD120TS-1</t>
  </si>
  <si>
    <t>SWAROVSKI Tennis Deluxe Crystal Bracelet and Necklace Jewelry Collection</t>
  </si>
  <si>
    <t>Citizen Men’s Sport Casual Garrison 3-Hand Day/Date Eco-Drive Nylon Strap Watch， Arabic Markers， 100 Meters Water Resistant， Luminous Hands and Markers</t>
  </si>
  <si>
    <t>Mondaine Helvetica MH1.B3120.LB Mens and Womens Watch 34mm - Wrist Watch Black Leather Strap 30m Waterproof Sapphire Crystal Stainless Steel case</t>
  </si>
  <si>
    <t>SEIKO Men’s SNK809 5 Automatic Stainless Steel Watch with Black Canvas Strap</t>
  </si>
  <si>
    <t>Timex Men’s Marlin Automatic Watch with Stainless Steel Strap， Gold， 20 (Model: TW2T34600)</t>
  </si>
  <si>
    <t>NIXON Siren SS A1211-100m Water Resistant Women’s Digital Sport Watch (36mm Watch Face， 18mm-16mm Silicone Band)</t>
  </si>
  <si>
    <t>Moto 360 3rd Gen 2020 - Wear OS by Google - Touch Screen - Luxury Stainless Steel Smartwatch - Genuine Leather and High-Impact Sports Bands - Champagne Gold</t>
  </si>
  <si>
    <t>DW-5600MW-7D Casio G-Shock Mens Digital Grey Sport Quartz Casio</t>
  </si>
  <si>
    <t>Seiko Men’s SNKN37 Stainless Steel Automatic Self-Wind Watch with Brown Leather Band</t>
  </si>
  <si>
    <t>Swarovski Chroma Jewelry Collection， Rhodium Finish， Pink Crystal， Clear Crystals</t>
  </si>
  <si>
    <t>MVMT Field Men’s Analog Watch</t>
  </si>
  <si>
    <t>CHANEL SUBLIMAGE LE TEINT ULTIMATE RADIANCE-GENERATING CREAM FOUNDATION # 30 BEIGE</t>
  </si>
  <si>
    <t>Chanel Sublimage Le Teint Ultimate Radiance-Generating Cream Foundation - # 30 Beige Women Foundation 1 oz</t>
  </si>
  <si>
    <t>BIOEFFECT EGF Day Serum with Hyaluronic Acid and Natural Barley Growth Factor， Oil-Free Wrinkle Serum for Face， Boosts Hydration， Firming， Refines Pores， Smooths Skin Texture for All Skin Types</t>
  </si>
  <si>
    <t>Sisley Sisley Sisleya Le Teint Anti Aging Foundation - #3r， Peach， 30 Ml/1 Ounce， 1 Ounce</t>
  </si>
  <si>
    <t>CHANEL Hydra Beauty Micro Serum Intense Replenishing Hydration for Unisex， 1.7 Fl Oz</t>
  </si>
  <si>
    <t>Chanel Sublimage .17 oz / 5 ml Ultimate Skin Regenerating Texture Supreme</t>
  </si>
  <si>
    <t>Hanacure® All-In-One Facial - Starter</t>
  </si>
  <si>
    <t>SIMPEXPE Jade Facial Mask，100% Natural Stone Jade Sleep Mask，Anti-Aging Jade Eye Mask Beauty Massage Tools for Puffy Eyes Dark Circles</t>
  </si>
  <si>
    <t>Mediheal 20 Combo Pack Facial Sheet Mask - N.M.F， Tea Tree， W.H.P， Collagen， Vita Lightbeam - Best Mask Sheet Combo Value Variety Pack - Hydrating Daily Skincare Sheet Face Sheet Mask</t>
  </si>
  <si>
    <t>Vitamin Enzyme Mask (Plant Based) by MaryRuth’s - 74% Organic Ingredients， Vitamins &amp; Glycolic Acid gently remove dead skin cells to allow new skin tissue to emerge 4oz For Men &amp; Women</t>
  </si>
  <si>
    <t>HP 17 Laptop Computer, 17.3" FHD, 13th Gen Intel 10-Core i5-1335U CPU (Beat i7-1270P), 64GB DDR4 RAM, 4TB PCIe SSD, Intel Iris Xe Graphics, WiFi 6, BT 5.3, Backlit Keyboard, Windows 11 Pro, Tichang</t>
  </si>
  <si>
    <t>Apple 2023 MacBook Pro Laptop M3 chip with 8‑core CPU, 10‑core GPU: 14.2-inch Liquid Retina XDR Display, 8GB Unified Memory, 512GB SSD Storage. Works with iPhone/iPad; Space Gray</t>
  </si>
  <si>
    <t>Apple 2024 MacBook Air 13-inch Laptop with M3 chip: 13.6-inch Liquid Retina Display, 16GB Unified Memory, 512GB SSD Storage, Backlit Keyboard, 1080p FaceTime HD Camera, Touch ID; Space Gray</t>
  </si>
  <si>
    <t>Dell XPS 9710 Laptop (2021) | 17" FHD+ | Core i7-4TB SSD + 4TB SSD - 32GB RAM - RTX 3050 | 8 Cores @ 4.6 GHz - 11th Gen CPU Win 10 Home (Renewed)</t>
  </si>
  <si>
    <t>Apple 2023 MacBook Pro Laptop M3 Max chip with 14‑core CPU, 30‑core GPU: 14.2-inch Liquid Retina XDR Display, 36GB Unified Memory, 1TB SSD Storage. Works with iPhone/iPad; Silver</t>
  </si>
  <si>
    <t>Dell Alienware m18 Gaming Laptop (2023) | 18" FHD+ | Core i9-2TB SSD + 2TB SSD - 64GB RAM - RTX 4070 | 24 Cores @ 5.4 GHz - 13th Gen CPU - 8GB GDDR6X Win 11 Pro (Renewed)</t>
  </si>
  <si>
    <t>Fashion to Figure Twist-Neck Keyhole Midi Dress</t>
  </si>
  <si>
    <t>Abercrombie &amp; Fitch Women's Linen-Blend High-Neck Top</t>
  </si>
  <si>
    <t>Bonobos Men's Everyday Casual Shirt</t>
  </si>
  <si>
    <t>Fashion Nova Men's Dre Faux Suede Long Sleeve Button Up Shirt</t>
  </si>
  <si>
    <t>Kenneth Cole Men's Classic Wool Peacoat</t>
  </si>
  <si>
    <t>Carbon2cobalt Men's Cotton Short-Sleeve Night &amp; Day Print Shirt</t>
  </si>
  <si>
    <t>Calvin Klein Men's Prosper Wool-Blend Slim Fit Overcoat</t>
  </si>
  <si>
    <t>Polo Ralph Lauren Men's Fleece Hoodie</t>
  </si>
  <si>
    <t>Express Men's Varsity Logo Brushed Fleece Hoodie</t>
  </si>
  <si>
    <t>Tommy Hilfiger Men's Modern-Fit Corduroy Sport Coat</t>
  </si>
  <si>
    <t>Logitech MX Master 3S</t>
  </si>
  <si>
    <t>Razer Tomahawk Mini-ITX Computer Case</t>
  </si>
  <si>
    <t>Dell KM3322W Wireless Keyboard and Mouse</t>
  </si>
  <si>
    <t>Corsair iCUE Link 3500X RGB Mid-Tower PC Case</t>
  </si>
  <si>
    <t>EastPoint Sports Badminton Set</t>
  </si>
  <si>
    <t>Tissot Gentleman Powermatic 80 Silicium 18K Gold Men's Bezel Watch</t>
  </si>
  <si>
    <t>Nine West Women's Crystal Accented Bracelet Watch</t>
  </si>
  <si>
    <t>Lisen Adjustable Cell Phone Stand</t>
  </si>
  <si>
    <t>Rokform MagSafe Compatible Sport Ring Grip and Stand</t>
  </si>
  <si>
    <t>Nite Ize Hitch Phone Anchor and Tether</t>
  </si>
  <si>
    <t>Baublebar All The Beige Custom iPhone Case</t>
  </si>
  <si>
    <t>Ohsnap Snap 4 Luxe Magnetic Phone Grip &amp; Stand</t>
  </si>
  <si>
    <t>OCTOBUDDY Silicone Suction Phone Case Adhesive Mount</t>
  </si>
  <si>
    <t>OtterBox Defender Series Pro XT MagSafe Case for Apple iPhone 16 Pro Max</t>
  </si>
  <si>
    <t>Unique Appliances Classic Retro French Door Refrigerator</t>
  </si>
  <si>
    <t>Frigidaire Gallery Built-In Microwave</t>
  </si>
  <si>
    <t>Cooluli Decor 1.7 CuFt Glass Beverage Cooler</t>
  </si>
  <si>
    <t>Classic Retro 7 cu. ft Bottom Freezer Refrigerator Unique</t>
  </si>
  <si>
    <t>Frigidaire Gallery 4 Piece Stainless Steel Kitchen Package</t>
  </si>
  <si>
    <t>GE 30 Free-Standing Electric Range</t>
  </si>
  <si>
    <t>Smeg Mini Fridge</t>
  </si>
  <si>
    <t>The Ordinary Multi-Peptide Serum for Hair Density</t>
  </si>
  <si>
    <t>Rose Hips Shampoo | Strengthen Hair &amp; Reduce Breakage | For Thinning Hair | Routine</t>
  </si>
  <si>
    <t>MIELLE Rosemary Mint Organics Infused with Biotin and Encourages Growth Hair Products for Stronger and Healthier Hair and Styling Bundle Set</t>
  </si>
  <si>
    <t>Healthiest Hair Method</t>
  </si>
  <si>
    <t>K18 Leave-In Molecular Repair Hair Mask</t>
  </si>
  <si>
    <t>Swisse Ultiboost Hair Skin Nails+</t>
  </si>
  <si>
    <t>Shiseido Fino Premium Touch Hair Mask</t>
  </si>
  <si>
    <t>Coco &amp; Eve Pro Youth Duo Kit</t>
  </si>
  <si>
    <t>Women's Casual Off Shoulder Batwing Sleeve Knit Sweater</t>
  </si>
  <si>
    <t>Fashion Nova Tali High Slit Sweater Collar Mini Dress</t>
  </si>
  <si>
    <t>EVALESS Women's Sexy Patchwork Lace Crewneck Short Sleeve Tee Shirt</t>
  </si>
  <si>
    <t>Women's Casual Loose Lace Long Sleeve Top</t>
  </si>
  <si>
    <t>Women's Silk Button Down V Neck Long Sleeve Shirt</t>
  </si>
  <si>
    <t>Abercrombie &amp; Fitch Men's Twill Zip Shirt Jacket</t>
  </si>
  <si>
    <t>Men's Flashy Retro Satin Button-Down Shirt</t>
  </si>
  <si>
    <t>Azaro Uomo Men's Slim Fit Long Sleeve Geometric Button-Down Shirt</t>
  </si>
  <si>
    <t>Nautica Men's Modern-Fit Bi-Stretch Suit</t>
  </si>
  <si>
    <t>Nike Men's Sportswear T Shirt</t>
  </si>
  <si>
    <t>Kenneth Cole Reaction Men's Ready Flex Slim Fit Suit</t>
  </si>
  <si>
    <t>AOC N97 Processor Laptop Computer</t>
  </si>
  <si>
    <t>Montech King 65 Pro ARGB PC Tower Case</t>
  </si>
  <si>
    <t>BOSGAME Mini PC with Dual LAN, 2.5GbE, AMD Ryzen 7 5825u, 32GB</t>
  </si>
  <si>
    <t>GIISSMO USB-C Docking Station with Dual Monitor</t>
  </si>
  <si>
    <t>HP External Drive F2B56AA</t>
  </si>
  <si>
    <t>GEEKOM XT1 Mega AI Mini PC</t>
  </si>
  <si>
    <t>Higround Trailhead 65% Mechanical Gaming Keyboard</t>
  </si>
  <si>
    <t>Corsair 6500D Airflow Mid-Tower PC Case</t>
  </si>
  <si>
    <t>Apple Macbook Air 13 M2 256GB Bundle</t>
  </si>
  <si>
    <t>Skytech Gaming Computer Parts</t>
  </si>
  <si>
    <t>Frcolor Keyboard Mouse Computer Combo</t>
  </si>
  <si>
    <t>IQ Builder STEM Construction Engineering Fun Educational Building Toy Set</t>
  </si>
  <si>
    <t>Upgraded Quick Push Game Pop Bubble Up Toys for Kids, Funny Toys for Boys Kids Ages 5-7 8-13 Kids Christmas Birthday Gifts for 3-12 Year Old Boys,</t>
  </si>
  <si>
    <t>Vimorg Kids Smart Phone Unicorns Gifts for Girls</t>
  </si>
  <si>
    <t>Joozfee Gifts for Girls Age 6-8</t>
  </si>
  <si>
    <t>Feoxialy Magnetic Blocks for Toddlers</t>
  </si>
  <si>
    <t>Forza Boundary Poles</t>
  </si>
  <si>
    <t>Park &amp; Sun Tournament Flex 1000 Outdoor Volleyball</t>
  </si>
  <si>
    <t>Pickleball Central Franklin X-40 Performance Outdoor Pickleball Optic 6-Pack</t>
  </si>
  <si>
    <t>Tymyp Basketball Hoop Outdoor 4.9-10ft Basketball Portable Hoops &amp; Goals</t>
  </si>
  <si>
    <t>Franklin Kids Bean Bag Toss</t>
  </si>
  <si>
    <t>Relic by Fossil Women's Analog Mother of Pearl Watch and Bracelet Gift Set</t>
  </si>
  <si>
    <t>Anne Klein Women's Octagonal Hand Quartz Metal Link Bracelet Watch</t>
  </si>
  <si>
    <t>Anne Klein Women's Premium Crystal Accented Chain Bracelet Watch</t>
  </si>
  <si>
    <t>Anne Klein Women's Genuine Diamond Dial Bangle Watch</t>
  </si>
  <si>
    <t>Peugeot Women's Silver Swarovski Crystal Evening Watch</t>
  </si>
  <si>
    <t>Bulova Men's Automatic Skeleton Dial Stainless Steel Watch</t>
  </si>
  <si>
    <t>SUPERONE 2024 Upgrade for MagSafe Phone Grip with Finger Strap, Removable MagSafe Ring Holder with Kickstand Finger Loop, MagSafe Accessories for</t>
  </si>
  <si>
    <t>Apple MagSafe Case for iPhone 16 Pro Max</t>
  </si>
  <si>
    <t>Distil Union Stanley Phone Stand</t>
  </si>
  <si>
    <t>Scooch Wingback Pop Up Phone Grip, Stand, and Car Mount for Smartphones Compatible with Any Sma</t>
  </si>
  <si>
    <t>Custype Customized Phone Accessories, Crossbody strap-Customized version</t>
  </si>
  <si>
    <t>PopSockets Plant-Based Phone Grip</t>
  </si>
  <si>
    <t>PopSockets MagSafe Can You Not PopGrip</t>
  </si>
  <si>
    <t>Mobile Phone Accessories Cute Cartoon Grip Holder</t>
  </si>
  <si>
    <t>Kikkerland Phone Finger Loop</t>
  </si>
  <si>
    <t>PopSockets PopGrip Translucent Black Smoke</t>
  </si>
  <si>
    <t>HADEN Heritage Countertop Microwave</t>
  </si>
  <si>
    <t>Cuisinart 4 Slice Compact Toaster</t>
  </si>
  <si>
    <t>Drew Barrymore Slow Cooker Set</t>
  </si>
  <si>
    <t>Hamilton Beach Rice Cooker/Steamer</t>
  </si>
  <si>
    <t>epres Healthy Hair Shampoo</t>
  </si>
  <si>
    <t>Botanic Hearth Biotin Shampoo and Conditioner</t>
  </si>
  <si>
    <t>OGX Thick Full Biotin Collagen Shampoo</t>
  </si>
  <si>
    <t>Prismax Complete Kit Ultimate Hair Care Solution</t>
  </si>
  <si>
    <t>Hair Chemist Biotin Pro Growth Shampoo</t>
  </si>
  <si>
    <t>Biotin Nature's Bounty</t>
  </si>
  <si>
    <t>Hair Growth Mask</t>
  </si>
  <si>
    <t>Hello Lovely Hair Biotin and C Gummies</t>
  </si>
  <si>
    <t>E-Book: Healthy Hair Growth and Retention Tips (DIGITAL COPY)</t>
  </si>
  <si>
    <t>Pachinko (National Book Award Finalist)</t>
  </si>
  <si>
    <t>The Alchemist (eBook)</t>
  </si>
  <si>
    <t>Sony PlayStation Store - 10.0</t>
  </si>
  <si>
    <t>Assassin’s Creed Shadows - Sony PlayStation 5 [Digital Download]</t>
  </si>
  <si>
    <t>Sony Digital Codes For Playstation - New Electronics | Color: Gold</t>
  </si>
  <si>
    <t>$500 Apple Gift Card (Email Delivery)</t>
  </si>
  <si>
    <t>Apple Gift Card - App Store, iTunes, iPhone, iPad, AirPods, MacBook, accessories and more (eGift)</t>
  </si>
  <si>
    <t>$200 Apple Gift Card - available from $15 to $200</t>
  </si>
  <si>
    <t>Apple Gift Card- 10 USD-USA</t>
  </si>
  <si>
    <t>And I Love Her [eBook]</t>
  </si>
  <si>
    <t>Congo: The Epic History of a People</t>
  </si>
  <si>
    <t>Think Before You Like: Social Media's Effect on the Brain and the Tools You Need to Navigate Your Newsfeed</t>
  </si>
  <si>
    <t>Nintendo Little Kitty Big City</t>
  </si>
  <si>
    <t>Disney Illusion Island</t>
  </si>
  <si>
    <t>Super Mario 3D World + Bowser's Fury</t>
  </si>
  <si>
    <t>Castlevania Dominus Collection</t>
  </si>
  <si>
    <t>adidas Women's Tricot 3-Stripes Track Pants</t>
  </si>
  <si>
    <t>adidas Men's Parachute Pants</t>
  </si>
  <si>
    <t>adidas Women's Warm-Up Tricot Slim 3-Stripes Track Jacket</t>
  </si>
  <si>
    <t>Adidas Women's Originals Adibreak Pants</t>
  </si>
  <si>
    <t>adidas Men's Adicolor Classics Firebird Track Pants</t>
  </si>
  <si>
    <t>adidas Women's VL Court 3.0</t>
  </si>
  <si>
    <t>adidas Men's Tiro 24 Training Jacket</t>
  </si>
  <si>
    <t>ASICS Men's Double Weave Pants</t>
  </si>
  <si>
    <t>ASICS Women's Mobility Knit Crew Neck Top</t>
  </si>
  <si>
    <t>ASICS Women's Gel-Excite 10 Running</t>
  </si>
  <si>
    <t>Gymshark Speed Leggings</t>
  </si>
  <si>
    <t>Gymshark Sport Seamless Leggings</t>
  </si>
  <si>
    <t>Gymshark Lifting Pocket Leggings</t>
  </si>
  <si>
    <t>Gymshark Power T-Shirt</t>
  </si>
  <si>
    <t>Gymshark Vital Seamless Long Sleeve Cut Out Top</t>
  </si>
  <si>
    <t>Nike Men's Sportswear Club Fleece Jacket</t>
  </si>
  <si>
    <t>Nike Men's Sportswear Club Fleece Full-Zip Hoodie</t>
  </si>
  <si>
    <t>Nike Women's Sportswear Essential Loose UV Woven Long Sleeve V-Neck Top</t>
  </si>
  <si>
    <t>Nike Men's Club Woven Tapered Leg Pants</t>
  </si>
  <si>
    <t>Nike Men's Sportswear Club Fleece Graphic Pullover Hoodie</t>
  </si>
  <si>
    <t>Nike Women's Phoenix Fleece Over-Oversized Sweatshirt</t>
  </si>
  <si>
    <t>Reebok Men's Active Collective Long Sleeve T-Shirt</t>
  </si>
  <si>
    <t>Reebok Men's Identity Fleece</t>
  </si>
  <si>
    <t>Reebok Men's Workout Ready Shorts</t>
  </si>
  <si>
    <t>Reebok Men's Workout Ready Compression Tights</t>
  </si>
  <si>
    <t>Fluidmaster 242 Replacement Seal</t>
  </si>
  <si>
    <t>Fluidmaster PRO57 Pro Series 2" Flush Valve with Adjustable Flapper</t>
  </si>
  <si>
    <t>Meijer Fluidmaster Everything Complete Toilet Repair Kit</t>
  </si>
  <si>
    <t>Homfa Bathroom Floor Storage Cabinet, Wood Linen Cabinet with Doors and Drawers andhite</t>
  </si>
  <si>
    <t>Homcom Modern Freestanding Bathroom Cabinet</t>
  </si>
  <si>
    <t>Hivago Wall Mounted Bathroom Storage Medicine Cabinet with Towel Bar</t>
  </si>
  <si>
    <t>Latitude Run Haotian Bathroom Tall Cabinet BZR34-W</t>
  </si>
  <si>
    <t>Homfa 2pcs Bathroom Cabinet</t>
  </si>
  <si>
    <t>Bathroom Free-Standing Floor Cabinet</t>
  </si>
  <si>
    <t>Ktaxon Wooden Bathroom Floor Cabinet</t>
  </si>
  <si>
    <t>Ktaxon Wooden Bathroom Cabinet</t>
  </si>
  <si>
    <t>Ktaxon Wooden 3 Drawers Bathroom Floor Cabinet</t>
  </si>
  <si>
    <t>Ktaxon 5-Drawer Bathroom Floor Cabinet, Freestanding Barber Station Makeup Hair Salon Cabinet, Multifunction Console Storage Cabinet Table with 2</t>
  </si>
  <si>
    <t>Ktaxon 20 inchx28 inch, LED Bathroom Medicine Cabinet with Mirror Lighted, Wall Mounted Storage Cabinet w/ Dimmable, Memory function, Outlets &amp; Usb,</t>
  </si>
  <si>
    <t>30 in. Multifunctional Modular Freestanding Storage Bathroom Vanity Cabinet</t>
  </si>
  <si>
    <t>36'' Bathroom Vanity without Sink Takason Base Color: White</t>
  </si>
  <si>
    <t>2-Door Freestanding Bathroom Cabinet with Drawer and Adjustable Shelf</t>
  </si>
  <si>
    <t>Brita Hub Instant Powerful Countertop Water Filtration</t>
  </si>
  <si>
    <t>Brita Elite Tahoe Water Filter Pitcher</t>
  </si>
  <si>
    <t>Brita Pacifica Pitcher with Longlast+ Filter</t>
  </si>
  <si>
    <t>Brita Ultramax Large Water Dispenser</t>
  </si>
  <si>
    <t>Honeywell PUR Pitcher Filter PPF900ZV1</t>
  </si>
  <si>
    <t>Giant 11 Cup Classic Blue Pitcher Filtration System</t>
  </si>
  <si>
    <t>PUR 7 cups Blue Water Filtration Pitcher</t>
  </si>
  <si>
    <t>PUR Plus Water Pitcher Replacement Filter 3pk</t>
  </si>
  <si>
    <t>Equate Minoxidil Topical Solution 5 Percent Extra Strength 2 oz</t>
  </si>
  <si>
    <t>Equate Hair Regrowth Treatment For Men 3 Month Supply Usa, (3 Bottles</t>
  </si>
  <si>
    <t>Equate Hair Regrowth Topical Solution for Women, 3ct</t>
  </si>
  <si>
    <t>Equate Stool Softener Docusate Sodium Softgels</t>
  </si>
  <si>
    <t>Equate Arthritis Cream</t>
  </si>
  <si>
    <t>Equate Tioconazole 1-Day Treatment, Vaginal Antifungal, 4.6 Gram</t>
  </si>
  <si>
    <t>2 X Equate Women Hair Regrowth Treatment, Foam Two Month Supply</t>
  </si>
  <si>
    <t>Equate Stool Softener Plus Stimulant Laxative Tablets for Constipation, 120 Count</t>
  </si>
  <si>
    <t>Equate Maximum Strength Caplets For Severe Sinus &amp; Congestion Relief,</t>
  </si>
  <si>
    <t>Equate Beauty Oil-Free Deep Cleaning Salicylic Acid Astringent</t>
  </si>
  <si>
    <t>Equate Hydrocortisone Intense Healing Cream, 2 Oz</t>
  </si>
  <si>
    <t>Hi Pro Pac Deep Repair Hair Masque Moroccan Mend Argan Oil</t>
  </si>
  <si>
    <t>Hi-pro-pac Intense Protein Treatment to Repair Extremely Damaged Hair</t>
  </si>
  <si>
    <t>Hi Pro Pac Extremely Damaged Hair Repair Intense Protein Hair Treatment, 8 Fl Oz</t>
  </si>
  <si>
    <t>Hi-Pro-Pac Color Treated &amp; Highlighted Intense Protein Treatment (Pack of 6)</t>
  </si>
  <si>
    <t>Demert Hi-Pro-Pac Coconut Oil &amp; African Shea Butter Hair Masque</t>
  </si>
  <si>
    <t>Hi-Pro-Pac Moroccan Argan Oil Deep Repair Masque</t>
  </si>
  <si>
    <t>Hi-Pro-Pac Extremely Damaged Hair Repair - 8 fl oz - Intense Protein Treatment Hair Masque - Deeply Conditions Hair Fortifies Hair and Helps Preven</t>
  </si>
  <si>
    <t>Arm &amp; Hammer Fresh Breath Dental Kit for Kittens | Cat Toothbrush and Toothpaste with Baking Soda | Cat Oral Care, Cat Dental Kit for Kittens in Tuna Flavor &amp; Fresh Mint Scent, 3-Piece Kit | 72 Pack</t>
  </si>
  <si>
    <t>Arm &amp; Hammer Clump &amp; Seal Lightweight Litter, Fresh Scent, 14 Lbs</t>
  </si>
  <si>
    <t>Arm &amp; Hammer Super Scoop Clumping Litter Fresh Scent 14lb</t>
  </si>
  <si>
    <t>Arm &amp; Hammer for Pets Dental Kit for Cats | Eliminates Bad Breath | 3 Piece Set Includes Cat Toothpaste, Cat Toothbrush &amp; Cat Fingerbrush in Tasty Tuna Flavor,2.5 ounces</t>
  </si>
  <si>
    <t>MidWest Homes for Pets Cinnamon 18-Inch Pet Bed w/ Comfortable Bolster | Ideal for Small Breeds &amp; Fits an 18-Inch Crate | Easy Maintenance Machine Wash &amp; Dry</t>
  </si>
  <si>
    <t>MidWest Homes for Pets Double Door Dog Crate Kit Includes One Two-Door Matching Gray Bed &amp; Crate Cover, 30-Inch Kit Ideal for Medium Dog Breeds</t>
  </si>
  <si>
    <t>MidWest Homes for Pets Dog Exercise Pen &amp; Playpen, 24"W x 30"W, No Door, Black</t>
  </si>
  <si>
    <t>MidWest Homes for Pets Newly Enhanced Single Door iCrate Dog Crate, Includes Leak-Proof Pan, Floor Protecting Feet , Divider Panel &amp; New Patented Features, Black</t>
  </si>
  <si>
    <t>PetSafe Basic Bark Control Collar for Dogs 8 lb. and Up, Anti-Bark Training, Small, Medium, Large Breed, Static Correction, Canine - Automatic Dog Training Collar to Decrease Barking, PBC-102</t>
  </si>
  <si>
    <t>PetSafe Nylon Dog Leash  Strong, Durable, Traditional Style Leash with Easy to Use Bolt Snap for Small, Medium and Large Dogs  3/8" x 6', Royal Blue</t>
  </si>
  <si>
    <t>PetSafe Stubborn Dog Fence Collar - Dog Electric Collar Waterproof Receiver, Battery Operated, In Ground Containment for Pets, from The Parent Company of Invisible Fence Brand</t>
  </si>
  <si>
    <t>PetSafe Never Rust Plastic Doggie Door for Install in Interior and Exterior Doors or Walls, Paintable, Easy Install, Closing Panel Included, for Pets Up to 40 lb, (Medium)</t>
  </si>
  <si>
    <t>PetSafe Wireless Pet Containment System Receiver Collar for Dogs, Wireless Dog Collar Waterproof Material, Fits Small, Medium, Large Pets, Electric Fence Receiver Collars (Red and Black)</t>
  </si>
  <si>
    <t>PetSafe ScatMat Indoor Electric Training Mat for Cats &amp; Dogs, Sofa, 60" x 12"</t>
  </si>
  <si>
    <t>Aqueon Standard Glass Rectangle Aquarium 60 Gallon Breeder</t>
  </si>
  <si>
    <t>Aqueon Standard Aquarium</t>
  </si>
  <si>
    <t>Aqueon Rimless Aquarium 10 Gallon</t>
  </si>
  <si>
    <t>Aqueon Basic Aquarium Kit 10 Gallon</t>
  </si>
  <si>
    <t>Aqueon Aquarium</t>
  </si>
  <si>
    <t>Aqueon 33 Gallon Long Aquarium</t>
  </si>
  <si>
    <t>Tetra EasyStrips, Complete Aquarium Test Strips, Water Testing, 25 Count</t>
  </si>
  <si>
    <t>Tetra Whisper EX 70 Filter For 45 To 70 Gallon aquariums, Silent Multi-Stage Filtration, WHITE</t>
  </si>
  <si>
    <t>Tetra Algae Control Liquid, 3.38 ounces, Controls Algae in Aquariums</t>
  </si>
  <si>
    <t>Tetra 77140 EasyBalance PLUS Water Conditioner, 16.9-Ounce</t>
  </si>
  <si>
    <t>Tetra Whisper Internal Power Filter 5 To 10 Gallons, For aquariums, In-Tank Filtration With Air Pump, Black</t>
  </si>
  <si>
    <t>Melissa &amp; Doug Kids Storage Activity Table</t>
  </si>
  <si>
    <t>Humble Crew 2-in-1 Activity Table and 2 Chairs Set</t>
  </si>
  <si>
    <t>KidKraft Activity Play Table</t>
  </si>
  <si>
    <t>Flash Furniture Rectangular Activity Table</t>
  </si>
  <si>
    <t>Melissa &amp; Doug Multi-Activity Train Table</t>
  </si>
  <si>
    <t>Blackstone Adventure Ready 14” Propane Camping Griddle with Side Burner</t>
  </si>
  <si>
    <t>Tuff Stuff Overland Shower Tent TS-SHOWER-TENT</t>
  </si>
  <si>
    <t>NEMO Chogori Tent</t>
  </si>
  <si>
    <t>Kodiak Canvas Cabin Lodge Tent</t>
  </si>
  <si>
    <t>Kamp-Rite Original Quick Setup 1 Person Cot, Lounge Chair, and Tent</t>
  </si>
  <si>
    <t>10' x 9' Ozark Trail Six-Person Dark Rest Cabin Family Camping and Adventure Tent, Includes a Gear Loft, Hanging Organizer, and Electrical Port</t>
  </si>
  <si>
    <t>Oztrail Hazel Creek 12 Person Cabin Tent</t>
  </si>
  <si>
    <t>Ozark Trail Easy Quick Set Up 3 Person Outdoor Camping Dome Tent</t>
  </si>
  <si>
    <t>Ozark Trail 16-Person 3-Room Family Cabin Tent</t>
  </si>
  <si>
    <t>Ozark Trail 10' x 10' Straight Leg Canopy</t>
  </si>
  <si>
    <t>Ozark Trail 14' X 10' 10-person Instant Cabin Tent, 31.86 Lbs</t>
  </si>
  <si>
    <t>Ozark Trail Oversized Mesh Camp Chair with Cooler</t>
  </si>
  <si>
    <t>Ozark Other | Ozark Trail Red Sleeping Bag With Ozark Trail Travel &amp; Camp Pillow | Color: Red | Size: Os | Gibsongoldsales's Closet</t>
  </si>
  <si>
    <t>Auto Drive Black Side Shade</t>
  </si>
  <si>
    <t>Auto Drive Car Office Organizer, Black Color Ref 924</t>
  </si>
  <si>
    <t>Shein 27-Piece Bling Car Accessories Set</t>
  </si>
  <si>
    <t>AutoCraft Fluffy Steering Wheel Cover</t>
  </si>
  <si>
    <t>Armor All Ultimate Car Care Detailing Kit</t>
  </si>
  <si>
    <t>ARMOR ALL Original Protectant</t>
  </si>
  <si>
    <t>Armor All Outlast Trim &amp; Plastic Restorer</t>
  </si>
  <si>
    <t>Armor All Complete Car Care Kit 13703C</t>
  </si>
  <si>
    <t>Armor All Heavy Duty Cleaning Wipes</t>
  </si>
  <si>
    <t>Gatorade Thirst Quencher Bottled Drink 20 fl oz</t>
  </si>
  <si>
    <t>Gatorade Frost Glacier Freeze Thirst Quencher</t>
  </si>
  <si>
    <t>Gatorade G2 Variety Pack Thirst Quencher</t>
  </si>
  <si>
    <t>Gatorade G Fruit Punch Thirst Quencher</t>
  </si>
  <si>
    <t>Gatorade Thirst Quencher Lime Cucumber Sport Drink</t>
  </si>
  <si>
    <t>Gatorade Thirst Quencher LemonLime Flavored</t>
  </si>
  <si>
    <t>Gatorade Lemon-Lime Thirst Quencher</t>
  </si>
  <si>
    <t>Gatorade Lemonade Thirst Quencher</t>
  </si>
  <si>
    <t>Gatorade G Series Thirst Quencher Frost Glacier Cherry - 6 Bottles</t>
  </si>
  <si>
    <t>Banquet Frozen Cherry Berry Pie</t>
  </si>
  <si>
    <t>Banquet Frozen Pepper Steak Patty Meal</t>
  </si>
  <si>
    <t>Members - Ultimate Seafood Bundle</t>
  </si>
  <si>
    <t>Super Lump Crab Meat | North Coast Seafoods</t>
  </si>
  <si>
    <t>Orca Bay Golden King Crab Legs Cut</t>
  </si>
  <si>
    <t>Seafood Medley Mix</t>
  </si>
  <si>
    <t>Dowinx LS-6689L Gaming Chair</t>
  </si>
  <si>
    <t>Dowinx Gaming Chair with Pocket Spring Cushion, Ergonomic Computer Chair with Footrest, High Back Game Chair with Massage Lumbar Support for Office H</t>
  </si>
  <si>
    <t>Dowinx Gaming Chair Fabric With Pocket Spring Cushion, High Back</t>
  </si>
  <si>
    <t>Dowinx Gaming Stuhl LS-6689 Klassisches PU-Leder, Black / 4D Armrest</t>
  </si>
  <si>
    <t>Dowinx 6689L-Brown Gaming Chair</t>
  </si>
  <si>
    <t>Dowinx Gaming Chair Breathable PU Leather Gamer Chair with Pocket Spring Cushion, Ergonomic Computer Chair with Massage Lumbar Support,Adjustable</t>
  </si>
  <si>
    <t>Dowinx Gaming Chair Fabric with Pocket Spring Cushion, High Back Ergonomic Computer Chair with Footrest and Massage Lumbar Support, Ideal for Office G</t>
  </si>
  <si>
    <t>Dowinx Gaming Chair with Pocket Spring Cushion, Breathable Fabric Computer Chair with Gel Pad, Comfortable Office Chair with Storage Bag, Massage Game</t>
  </si>
  <si>
    <t>GR8FLEX High Performance Gym</t>
  </si>
  <si>
    <t>Fitrx Neck and Back Massager, Handheld Percussion Massage Gun with Multiple Speeds and Attachments</t>
  </si>
  <si>
    <t>Ritkeep 2025 New Year Sale Gym at Home 1500lb Capacity Multi-Function Adjustable Power Cage Destroyer M10</t>
  </si>
  <si>
    <t>Ritkeep 2025 New Year Sale Gym at Home 1500lb Capacity Multi-Function Adjustable Power Cage Combo Destroyer M10</t>
  </si>
  <si>
    <t>Major Fitness F22 All-in-One Power Rack</t>
  </si>
  <si>
    <t>Fitrx Heat Therapy Neck and Back Massager, Handheld Massage Gun with Multiple Speeds, Attachments, and Heat Settings</t>
  </si>
  <si>
    <t>Rep Fitness PR-1100 Power Rack</t>
  </si>
  <si>
    <t>Fitvids LX700 Home Gym System Workout Station</t>
  </si>
  <si>
    <t>Fitvids LX750 Multifunctional Full Home Gym System Workout Station With 122.5 Lbs Weight Stack, One Station, Comes With Installation Instruction Video</t>
  </si>
  <si>
    <t>Total Gym FIT Full Body Fitness Workout Machine</t>
  </si>
  <si>
    <t>Fitvids LX600 Adjustable Olympic Workout Bench</t>
  </si>
  <si>
    <t>Signature Fitness SF-SS1 1,000 Pound Capacity 3” x 3” Power Rack Squat Stand</t>
  </si>
  <si>
    <t>Total Gym XLS Universal Fold Home Gym Workout Machine</t>
  </si>
  <si>
    <t>Dunstan American Chestnut Tree Seeds</t>
  </si>
  <si>
    <t>Red Cedar Tree Seeds</t>
  </si>
  <si>
    <t>Black Locust Tree Seeds</t>
  </si>
</sst>
</file>

<file path=xl/styles.xml><?xml version="1.0" encoding="utf-8"?>
<styleSheet xmlns="http://schemas.openxmlformats.org/spreadsheetml/2006/main" xmlns:x14ac="http://schemas.microsoft.com/office/spreadsheetml/2009/9/ac" xmlns:mc="http://schemas.openxmlformats.org/markup-compatibility/2006">
  <fonts count="2">
    <font>
      <sz val="11.0"/>
      <color theme="1"/>
      <name val="Calibri"/>
      <scheme val="minor"/>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6" width="15.0"/>
  </cols>
  <sheetData>
    <row r="1">
      <c r="A1" s="1" t="s">
        <v>0</v>
      </c>
      <c r="B1" s="1" t="s">
        <v>1</v>
      </c>
      <c r="C1" s="1" t="s">
        <v>2</v>
      </c>
      <c r="D1" s="1" t="s">
        <v>3</v>
      </c>
      <c r="E1" s="1" t="s">
        <v>4</v>
      </c>
      <c r="F1" s="1" t="s">
        <v>5</v>
      </c>
    </row>
    <row r="2">
      <c r="A2" s="1">
        <v>1094.0</v>
      </c>
      <c r="B2" s="1" t="s">
        <v>6</v>
      </c>
      <c r="C2" s="1" t="s">
        <v>7</v>
      </c>
      <c r="D2" s="1" t="str">
        <f>IFERROR(__xludf.DUMMYFUNCTION("CONCATENATE(GOOGLETRANSLATE(C2, ""en"", ""zh-cn""))"),"制造商批发橙色女士连衣裙办公服广告连衣裙女式正式 ")</f>
        <v>制造商批发橙色女士连衣裙办公服广告连衣裙女式正式 </v>
      </c>
      <c r="E2" s="1" t="str">
        <f>IFERROR(__xludf.DUMMYFUNCTION("CONCATENATE(GOOGLETRANSLATE(C2, ""en"", ""ko""))"),"제조 업체 도매 오렌지 숙녀 드레스 정장 여성을위한 사무복 광고 드레스 ")</f>
        <v>제조 업체 도매 오렌지 숙녀 드레스 정장 여성을위한 사무복 광고 드레스 </v>
      </c>
      <c r="F2" s="1" t="str">
        <f>IFERROR(__xludf.DUMMYFUNCTION("CONCATENATE(GOOGLETRANSLATE(C2, ""en"", ""ja""))"),"メーカー卸売オレンジレディースドレスオフィスウェア広告ドレス女性フォーマル ")</f>
        <v>メーカー卸売オレンジレディースドレスオフィスウェア広告ドレス女性フォーマル </v>
      </c>
    </row>
    <row r="3">
      <c r="A3" s="1">
        <v>1191.0</v>
      </c>
      <c r="B3" s="1" t="s">
        <v>6</v>
      </c>
      <c r="C3" s="1" t="s">
        <v>8</v>
      </c>
      <c r="D3" s="1" t="str">
        <f>IFERROR(__xludf.DUMMYFUNCTION("CONCATENATE(GOOGLETRANSLATE(C3, ""en"", ""zh-cn""))"),"制造商批发橙色女士连衣裙办公服广告连衣裙女式正式")</f>
        <v>制造商批发橙色女士连衣裙办公服广告连衣裙女式正式</v>
      </c>
      <c r="E3" s="1" t="str">
        <f>IFERROR(__xludf.DUMMYFUNCTION("CONCATENATE(GOOGLETRANSLATE(C3, ""en"", ""ko""))"),"제조 업체 도매 오렌지 숙녀 드레스 정장 여성을위한 사무복 광고 드레스")</f>
        <v>제조 업체 도매 오렌지 숙녀 드레스 정장 여성을위한 사무복 광고 드레스</v>
      </c>
      <c r="F3" s="1" t="str">
        <f>IFERROR(__xludf.DUMMYFUNCTION("CONCATENATE(GOOGLETRANSLATE(C3, ""en"", ""ja""))"),"メーカー卸売オレンジレディースドレスオフィスウェア広告ドレス女性フォーマル")</f>
        <v>メーカー卸売オレンジレディースドレスオフィスウェア広告ドレス女性フォーマル</v>
      </c>
    </row>
    <row r="4">
      <c r="A4" s="1">
        <v>1193.0</v>
      </c>
      <c r="B4" s="1" t="s">
        <v>6</v>
      </c>
      <c r="C4" s="1" t="s">
        <v>9</v>
      </c>
      <c r="D4" s="1" t="str">
        <f>IFERROR(__xludf.DUMMYFUNCTION("CONCATENATE(GOOGLETRANSLATE(C4, ""en"", ""zh-cn""))"),"2022 热销 OEM 速干休闲慢跑运动定制运动裤男裤 ")</f>
        <v>2022 热销 OEM 速干休闲慢跑运动定制运动裤男裤 </v>
      </c>
      <c r="E4" s="1" t="str">
        <f>IFERROR(__xludf.DUMMYFUNCTION("CONCATENATE(GOOGLETRANSLATE(C4, ""en"", ""ko""))"),"2022 뜨거운 판매 Oem 빠른 건조 캐주얼 조깅 스포츠 사용자 정의 트레이닝 복 바지 남성 바지 ")</f>
        <v>2022 뜨거운 판매 Oem 빠른 건조 캐주얼 조깅 스포츠 사용자 정의 트레이닝 복 바지 남성 바지 </v>
      </c>
      <c r="F4" s="1" t="str">
        <f>IFERROR(__xludf.DUMMYFUNCTION("CONCATENATE(GOOGLETRANSLATE(C4, ""en"", ""ja""))"),"2022 ホット販売 Oem クイックドライカジュアルジョギングスポーツカスタムスウェットパンツのズボンパンツ ")</f>
        <v>2022 ホット販売 Oem クイックドライカジュアルジョギングスポーツカスタムスウェットパンツのズボンパンツ </v>
      </c>
    </row>
    <row r="5">
      <c r="A5" s="1">
        <v>1194.0</v>
      </c>
      <c r="B5" s="1" t="s">
        <v>6</v>
      </c>
      <c r="C5" s="1" t="s">
        <v>10</v>
      </c>
      <c r="D5" s="1" t="str">
        <f>IFERROR(__xludf.DUMMYFUNCTION("CONCATENATE(GOOGLETRANSLATE(C5, ""en"", ""zh-cn""))"),"街头服饰 泡泡印花连帽衫 定制徽标连帽衫 时尚 Superdry 服装 Moda 休闲 Para Mulheres 连衣裙 套装 Huddies ")</f>
        <v>街头服饰 泡泡印花连帽衫 定制徽标连帽衫 时尚 Superdry 服装 Moda 休闲 Para Mulheres 连衣裙 套装 Huddies </v>
      </c>
      <c r="E5" s="1" t="str">
        <f>IFERROR(__xludf.DUMMYFUNCTION("CONCATENATE(GOOGLETRANSLATE(C5, ""en"", ""ko""))"),"streetwear 의류 ​​퍼프 인쇄 까마귀 사용자 정의 로고 까마귀 패션 Superdry 의류 Moda 캐주얼 파라 Mulheres 복장 Huddies ")</f>
        <v>streetwear 의류 ​​퍼프 인쇄 까마귀 사용자 정의 로고 까마귀 패션 Superdry 의류 Moda 캐주얼 파라 Mulheres 복장 Huddies </v>
      </c>
      <c r="F5" s="1" t="str">
        <f>IFERROR(__xludf.DUMMYFUNCTION("CONCATENATE(GOOGLETRANSLATE(C5, ""en"", ""ja""))"),"ストリート服パフプリントパーカーカスタムロゴパーカーファッション Superdry 衣類モーダカジュアルパラ Mulheres ドレススーツ Huddies ")</f>
        <v>ストリート服パフプリントパーカーカスタムロゴパーカーファッション Superdry 衣類モーダカジュアルパラ Mulheres ドレススーツ Huddies </v>
      </c>
    </row>
    <row r="6">
      <c r="A6" s="1">
        <v>1195.0</v>
      </c>
      <c r="B6" s="1" t="s">
        <v>6</v>
      </c>
      <c r="C6" s="1" t="s">
        <v>11</v>
      </c>
      <c r="D6" s="1" t="str">
        <f>IFERROR(__xludf.DUMMYFUNCTION("CONCATENATE(GOOGLETRANSLATE(C6, ""en"", ""zh-cn""))"),"定制休闲格子图案红黑颜色 100% 棉柔软透气流行款式长袖衬衫 ")</f>
        <v>定制休闲格子图案红黑颜色 100% 棉柔软透气流行款式长袖衬衫 </v>
      </c>
      <c r="E6" s="1" t="str">
        <f>IFERROR(__xludf.DUMMYFUNCTION("CONCATENATE(GOOGLETRANSLATE(C6, ""en"", ""ko""))"),"사용자 정의 캐주얼 격자 무늬 패턴 빨간색과 검은색 색상 100% 면 부드러운 통기성 인기 스타일 긴 소매 셔츠 ")</f>
        <v>사용자 정의 캐주얼 격자 무늬 패턴 빨간색과 검은색 색상 100% 면 부드러운 통기성 인기 스타일 긴 소매 셔츠 </v>
      </c>
      <c r="F6" s="1" t="str">
        <f>IFERROR(__xludf.DUMMYFUNCTION("CONCATENATE(GOOGLETRANSLATE(C6, ""en"", ""ja""))"),"カスタムカジュアルチェック柄赤と黒の色綿 100% ソフト通気性人気スタイル長袖シャツ ")</f>
        <v>カスタムカジュアルチェック柄赤と黒の色綿 100% ソフト通気性人気スタイル長袖シャツ </v>
      </c>
    </row>
    <row r="7">
      <c r="A7" s="1">
        <v>1196.0</v>
      </c>
      <c r="B7" s="1" t="s">
        <v>6</v>
      </c>
      <c r="C7" s="1" t="s">
        <v>12</v>
      </c>
      <c r="D7" s="1" t="str">
        <f>IFERROR(__xludf.DUMMYFUNCTION("CONCATENATE(GOOGLETRANSLATE(C7, ""en"", ""zh-cn""))"),"批发户外轻便保暖鸭子定制徽标尼龙黑色连帽冬季泡泡填充羽绒服男式 ")</f>
        <v>批发户外轻便保暖鸭子定制徽标尼龙黑色连帽冬季泡泡填充羽绒服男式 </v>
      </c>
      <c r="E7" s="1" t="str">
        <f>IFERROR(__xludf.DUMMYFUNCTION("CONCATENATE(GOOGLETRANSLATE(C7, ""en"", ""ko""))"),"도매 야외 조명 따뜻한 오리 사용자 정의 로고 나일론 블랙 후드 겨울 버블 퍼프는 남성용 퍼퍼 재킷을 채웠습니다 ")</f>
        <v>도매 야외 조명 따뜻한 오리 사용자 정의 로고 나일론 블랙 후드 겨울 버블 퍼프는 남성용 퍼퍼 재킷을 채웠습니다 </v>
      </c>
      <c r="F7" s="1" t="str">
        <f>IFERROR(__xludf.DUMMYFUNCTION("CONCATENATE(GOOGLETRANSLATE(C7, ""en"", ""ja""))"),"卸売屋外光暖かいアヒルカスタムロゴナイロン黒フード付き冬バブルパフ充填ダウンパフジャケット男性用 ")</f>
        <v>卸売屋外光暖かいアヒルカスタムロゴナイロン黒フード付き冬バブルパフ充填ダウンパフジャケット男性用 </v>
      </c>
    </row>
    <row r="8">
      <c r="A8" s="1">
        <v>1197.0</v>
      </c>
      <c r="B8" s="1" t="s">
        <v>6</v>
      </c>
      <c r="C8" s="1" t="s">
        <v>13</v>
      </c>
      <c r="D8" s="1" t="str">
        <f>IFERROR(__xludf.DUMMYFUNCTION("CONCATENATE(GOOGLETRANSLATE(C8, ""en"", ""zh-cn""))"),"户外运动男式 2 件套休闲重型连帽衫套装涤棉运动服 ")</f>
        <v>户外运动男式 2 件套休闲重型连帽衫套装涤棉运动服 </v>
      </c>
      <c r="E8" s="1" t="str">
        <f>IFERROR(__xludf.DUMMYFUNCTION("CONCATENATE(GOOGLETRANSLATE(C8, ""en"", ""ko""))"),"야외 스포츠 남성 2피스 세트 캐주얼 헤비듀티 후드티 세트 폴리에스테르 및 면 운동복 ")</f>
        <v>야외 스포츠 남성 2피스 세트 캐주얼 헤비듀티 후드티 세트 폴리에스테르 및 면 운동복 </v>
      </c>
      <c r="F8" s="1" t="str">
        <f>IFERROR(__xludf.DUMMYFUNCTION("CONCATENATE(GOOGLETRANSLATE(C8, ""en"", ""ja""))"),"アウトドア スポーツ メンズ 2 点セット カジュアル ヘビーデューティ パーカー セット ポリエステルとコットン トラックスーツ ")</f>
        <v>アウトドア スポーツ メンズ 2 点セット カジュアル ヘビーデューティ パーカー セット ポリエステルとコットン トラックスーツ </v>
      </c>
    </row>
    <row r="9">
      <c r="A9" s="1">
        <v>1198.0</v>
      </c>
      <c r="C9" s="1" t="s">
        <v>14</v>
      </c>
      <c r="D9" s="1" t="str">
        <f>IFERROR(__xludf.DUMMYFUNCTION("CONCATENATE(GOOGLETRANSLATE(C9, ""en"", ""zh-cn""))"),"11")</f>
        <v>11</v>
      </c>
      <c r="E9" s="1" t="str">
        <f>IFERROR(__xludf.DUMMYFUNCTION("CONCATENATE(GOOGLETRANSLATE(C9, ""en"", ""ko""))"),"11")</f>
        <v>11</v>
      </c>
      <c r="F9" s="1" t="str">
        <f>IFERROR(__xludf.DUMMYFUNCTION("CONCATENATE(GOOGLETRANSLATE(C9, ""en"", ""ja""))"),"11")</f>
        <v>11</v>
      </c>
    </row>
    <row r="10">
      <c r="A10" s="1">
        <v>1199.0</v>
      </c>
      <c r="B10" s="1" t="s">
        <v>6</v>
      </c>
      <c r="C10" s="1" t="s">
        <v>13</v>
      </c>
      <c r="D10" s="1" t="str">
        <f>IFERROR(__xludf.DUMMYFUNCTION("CONCATENATE(GOOGLETRANSLATE(C10, ""en"", ""zh-cn""))"),"户外运动男式 2 件套休闲重型连帽衫套装涤棉运动服 ")</f>
        <v>户外运动男式 2 件套休闲重型连帽衫套装涤棉运动服 </v>
      </c>
      <c r="E10" s="1" t="str">
        <f>IFERROR(__xludf.DUMMYFUNCTION("CONCATENATE(GOOGLETRANSLATE(C10, ""en"", ""ko""))"),"야외 스포츠 남성 2피스 세트 캐주얼 헤비듀티 후드티 세트 폴리에스테르 및 면 운동복 ")</f>
        <v>야외 스포츠 남성 2피스 세트 캐주얼 헤비듀티 후드티 세트 폴리에스테르 및 면 운동복 </v>
      </c>
      <c r="F10" s="1" t="str">
        <f>IFERROR(__xludf.DUMMYFUNCTION("CONCATENATE(GOOGLETRANSLATE(C10, ""en"", ""ja""))"),"アウトドア スポーツ メンズ 2 点セット カジュアル ヘビーデューティ パーカー セット ポリエステルとコットン トラックスーツ ")</f>
        <v>アウトドア スポーツ メンズ 2 点セット カジュアル ヘビーデューティ パーカー セット ポリエステルとコットン トラックスーツ </v>
      </c>
    </row>
    <row r="11">
      <c r="A11" s="1">
        <v>1200.0</v>
      </c>
      <c r="B11" s="1" t="s">
        <v>6</v>
      </c>
      <c r="C11" s="1" t="s">
        <v>12</v>
      </c>
      <c r="D11" s="1" t="str">
        <f>IFERROR(__xludf.DUMMYFUNCTION("CONCATENATE(GOOGLETRANSLATE(C11, ""en"", ""zh-cn""))"),"批发户外轻便保暖鸭子定制徽标尼龙黑色连帽冬季泡泡填充羽绒服男式 ")</f>
        <v>批发户外轻便保暖鸭子定制徽标尼龙黑色连帽冬季泡泡填充羽绒服男式 </v>
      </c>
      <c r="E11" s="1" t="str">
        <f>IFERROR(__xludf.DUMMYFUNCTION("CONCATENATE(GOOGLETRANSLATE(C11, ""en"", ""ko""))"),"도매 야외 조명 따뜻한 오리 사용자 정의 로고 나일론 블랙 후드 겨울 버블 퍼프는 남성용 퍼퍼 재킷을 채웠습니다 ")</f>
        <v>도매 야외 조명 따뜻한 오리 사용자 정의 로고 나일론 블랙 후드 겨울 버블 퍼프는 남성용 퍼퍼 재킷을 채웠습니다 </v>
      </c>
      <c r="F11" s="1" t="str">
        <f>IFERROR(__xludf.DUMMYFUNCTION("CONCATENATE(GOOGLETRANSLATE(C11, ""en"", ""ja""))"),"卸売屋外光暖かいアヒルカスタムロゴナイロン黒フード付き冬バブルパフ充填ダウンパフジャケット男性用 ")</f>
        <v>卸売屋外光暖かいアヒルカスタムロゴナイロン黒フード付き冬バブルパフ充填ダウンパフジャケット男性用 </v>
      </c>
    </row>
    <row r="12">
      <c r="A12" s="1">
        <v>1201.0</v>
      </c>
      <c r="B12" s="1" t="s">
        <v>6</v>
      </c>
      <c r="C12" s="1" t="s">
        <v>11</v>
      </c>
      <c r="D12" s="1" t="str">
        <f>IFERROR(__xludf.DUMMYFUNCTION("CONCATENATE(GOOGLETRANSLATE(C12, ""en"", ""zh-cn""))"),"定制休闲格子图案红黑颜色 100% 棉柔软透气流行款式长袖衬衫 ")</f>
        <v>定制休闲格子图案红黑颜色 100% 棉柔软透气流行款式长袖衬衫 </v>
      </c>
      <c r="E12" s="1" t="str">
        <f>IFERROR(__xludf.DUMMYFUNCTION("CONCATENATE(GOOGLETRANSLATE(C12, ""en"", ""ko""))"),"사용자 정의 캐주얼 격자 무늬 패턴 빨간색과 검은색 색상 100% 면 부드러운 통기성 인기 스타일 긴 소매 셔츠 ")</f>
        <v>사용자 정의 캐주얼 격자 무늬 패턴 빨간색과 검은색 색상 100% 면 부드러운 통기성 인기 스타일 긴 소매 셔츠 </v>
      </c>
      <c r="F12" s="1" t="str">
        <f>IFERROR(__xludf.DUMMYFUNCTION("CONCATENATE(GOOGLETRANSLATE(C12, ""en"", ""ja""))"),"カスタムカジュアルチェック柄赤と黒の色綿 100% ソフト通気性人気スタイル長袖シャツ ")</f>
        <v>カスタムカジュアルチェック柄赤と黒の色綿 100% ソフト通気性人気スタイル長袖シャツ </v>
      </c>
    </row>
    <row r="13">
      <c r="A13" s="1">
        <v>1202.0</v>
      </c>
      <c r="B13" s="1" t="s">
        <v>6</v>
      </c>
      <c r="C13" s="1" t="s">
        <v>10</v>
      </c>
      <c r="D13" s="1" t="str">
        <f>IFERROR(__xludf.DUMMYFUNCTION("CONCATENATE(GOOGLETRANSLATE(C13, ""en"", ""zh-cn""))"),"街头服饰 泡泡印花连帽衫 定制徽标连帽衫 时尚 Superdry 服装 Moda 休闲 Para Mulheres 连衣裙 套装 Huddies ")</f>
        <v>街头服饰 泡泡印花连帽衫 定制徽标连帽衫 时尚 Superdry 服装 Moda 休闲 Para Mulheres 连衣裙 套装 Huddies </v>
      </c>
      <c r="E13" s="1" t="str">
        <f>IFERROR(__xludf.DUMMYFUNCTION("CONCATENATE(GOOGLETRANSLATE(C13, ""en"", ""ko""))"),"streetwear 의류 ​​퍼프 인쇄 까마귀 사용자 정의 로고 까마귀 패션 Superdry 의류 Moda 캐주얼 파라 Mulheres 복장 Huddies ")</f>
        <v>streetwear 의류 ​​퍼프 인쇄 까마귀 사용자 정의 로고 까마귀 패션 Superdry 의류 Moda 캐주얼 파라 Mulheres 복장 Huddies </v>
      </c>
      <c r="F13" s="1" t="str">
        <f>IFERROR(__xludf.DUMMYFUNCTION("CONCATENATE(GOOGLETRANSLATE(C13, ""en"", ""ja""))"),"ストリート服パフプリントパーカーカスタムロゴパーカーファッション Superdry 衣類モーダカジュアルパラ Mulheres ドレススーツ Huddies ")</f>
        <v>ストリート服パフプリントパーカーカスタムロゴパーカーファッション Superdry 衣類モーダカジュアルパラ Mulheres ドレススーツ Huddies </v>
      </c>
    </row>
    <row r="14">
      <c r="A14" s="1">
        <v>1203.0</v>
      </c>
      <c r="B14" s="1" t="s">
        <v>6</v>
      </c>
      <c r="C14" s="1" t="s">
        <v>9</v>
      </c>
      <c r="D14" s="1" t="str">
        <f>IFERROR(__xludf.DUMMYFUNCTION("CONCATENATE(GOOGLETRANSLATE(C14, ""en"", ""zh-cn""))"),"2022 热销 OEM 速干休闲慢跑运动定制运动裤男裤 ")</f>
        <v>2022 热销 OEM 速干休闲慢跑运动定制运动裤男裤 </v>
      </c>
      <c r="E14" s="1" t="str">
        <f>IFERROR(__xludf.DUMMYFUNCTION("CONCATENATE(GOOGLETRANSLATE(C14, ""en"", ""ko""))"),"2022 뜨거운 판매 Oem 빠른 건조 캐주얼 조깅 스포츠 사용자 정의 트레이닝 복 바지 남성 바지 ")</f>
        <v>2022 뜨거운 판매 Oem 빠른 건조 캐주얼 조깅 스포츠 사용자 정의 트레이닝 복 바지 남성 바지 </v>
      </c>
      <c r="F14" s="1" t="str">
        <f>IFERROR(__xludf.DUMMYFUNCTION("CONCATENATE(GOOGLETRANSLATE(C14, ""en"", ""ja""))"),"2022 ホット販売 Oem クイックドライカジュアルジョギングスポーツカスタムスウェットパンツのズボンパンツ ")</f>
        <v>2022 ホット販売 Oem クイックドライカジュアルジョギングスポーツカスタムスウェットパンツのズボンパンツ </v>
      </c>
    </row>
    <row r="15">
      <c r="A15" s="1">
        <v>1208.0</v>
      </c>
      <c r="B15" s="1" t="s">
        <v>6</v>
      </c>
      <c r="C15" s="1" t="s">
        <v>12</v>
      </c>
      <c r="D15" s="1" t="str">
        <f>IFERROR(__xludf.DUMMYFUNCTION("CONCATENATE(GOOGLETRANSLATE(C15, ""en"", ""zh-cn""))"),"批发户外轻便保暖鸭子定制徽标尼龙黑色连帽冬季泡泡填充羽绒服男式 ")</f>
        <v>批发户外轻便保暖鸭子定制徽标尼龙黑色连帽冬季泡泡填充羽绒服男式 </v>
      </c>
      <c r="E15" s="1" t="str">
        <f>IFERROR(__xludf.DUMMYFUNCTION("CONCATENATE(GOOGLETRANSLATE(C15, ""en"", ""ko""))"),"도매 야외 조명 따뜻한 오리 사용자 정의 로고 나일론 블랙 후드 겨울 버블 퍼프는 남성용 퍼퍼 재킷을 채웠습니다 ")</f>
        <v>도매 야외 조명 따뜻한 오리 사용자 정의 로고 나일론 블랙 후드 겨울 버블 퍼프는 남성용 퍼퍼 재킷을 채웠습니다 </v>
      </c>
      <c r="F15" s="1" t="str">
        <f>IFERROR(__xludf.DUMMYFUNCTION("CONCATENATE(GOOGLETRANSLATE(C15, ""en"", ""ja""))"),"卸売屋外光暖かいアヒルカスタムロゴナイロン黒フード付き冬バブルパフ充填ダウンパフジャケット男性用 ")</f>
        <v>卸売屋外光暖かいアヒルカスタムロゴナイロン黒フード付き冬バブルパフ充填ダウンパフジャケット男性用 </v>
      </c>
    </row>
    <row r="16">
      <c r="A16" s="1">
        <v>1209.0</v>
      </c>
      <c r="B16" s="1" t="s">
        <v>6</v>
      </c>
      <c r="C16" s="1" t="s">
        <v>11</v>
      </c>
      <c r="D16" s="1" t="str">
        <f>IFERROR(__xludf.DUMMYFUNCTION("CONCATENATE(GOOGLETRANSLATE(C16, ""en"", ""zh-cn""))"),"定制休闲格子图案红黑颜色 100% 棉柔软透气流行款式长袖衬衫 ")</f>
        <v>定制休闲格子图案红黑颜色 100% 棉柔软透气流行款式长袖衬衫 </v>
      </c>
      <c r="E16" s="1" t="str">
        <f>IFERROR(__xludf.DUMMYFUNCTION("CONCATENATE(GOOGLETRANSLATE(C16, ""en"", ""ko""))"),"사용자 정의 캐주얼 격자 무늬 패턴 빨간색과 검은색 색상 100% 면 부드러운 통기성 인기 스타일 긴 소매 셔츠 ")</f>
        <v>사용자 정의 캐주얼 격자 무늬 패턴 빨간색과 검은색 색상 100% 면 부드러운 통기성 인기 스타일 긴 소매 셔츠 </v>
      </c>
      <c r="F16" s="1" t="str">
        <f>IFERROR(__xludf.DUMMYFUNCTION("CONCATENATE(GOOGLETRANSLATE(C16, ""en"", ""ja""))"),"カスタムカジュアルチェック柄赤と黒の色綿 100% ソフト通気性人気スタイル長袖シャツ ")</f>
        <v>カスタムカジュアルチェック柄赤と黒の色綿 100% ソフト通気性人気スタイル長袖シャツ </v>
      </c>
    </row>
    <row r="17">
      <c r="A17" s="1">
        <v>1210.0</v>
      </c>
      <c r="B17" s="1" t="s">
        <v>6</v>
      </c>
      <c r="C17" s="1" t="s">
        <v>10</v>
      </c>
      <c r="D17" s="1" t="str">
        <f>IFERROR(__xludf.DUMMYFUNCTION("CONCATENATE(GOOGLETRANSLATE(C17, ""en"", ""zh-cn""))"),"街头服饰 泡泡印花连帽衫 定制徽标连帽衫 时尚 Superdry 服装 Moda 休闲 Para Mulheres 连衣裙 套装 Huddies ")</f>
        <v>街头服饰 泡泡印花连帽衫 定制徽标连帽衫 时尚 Superdry 服装 Moda 休闲 Para Mulheres 连衣裙 套装 Huddies </v>
      </c>
      <c r="E17" s="1" t="str">
        <f>IFERROR(__xludf.DUMMYFUNCTION("CONCATENATE(GOOGLETRANSLATE(C17, ""en"", ""ko""))"),"streetwear 의류 ​​퍼프 인쇄 까마귀 사용자 정의 로고 까마귀 패션 Superdry 의류 Moda 캐주얼 파라 Mulheres 복장 Huddies ")</f>
        <v>streetwear 의류 ​​퍼프 인쇄 까마귀 사용자 정의 로고 까마귀 패션 Superdry 의류 Moda 캐주얼 파라 Mulheres 복장 Huddies </v>
      </c>
      <c r="F17" s="1" t="str">
        <f>IFERROR(__xludf.DUMMYFUNCTION("CONCATENATE(GOOGLETRANSLATE(C17, ""en"", ""ja""))"),"ストリート服パフプリントパーカーカスタムロゴパーカーファッション Superdry 衣類モーダカジュアルパラ Mulheres ドレススーツ Huddies ")</f>
        <v>ストリート服パフプリントパーカーカスタムロゴパーカーファッション Superdry 衣類モーダカジュアルパラ Mulheres ドレススーツ Huddies </v>
      </c>
    </row>
    <row r="18">
      <c r="A18" s="1">
        <v>1212.0</v>
      </c>
      <c r="B18" s="1" t="s">
        <v>6</v>
      </c>
      <c r="C18" s="1" t="s">
        <v>7</v>
      </c>
      <c r="D18" s="1" t="str">
        <f>IFERROR(__xludf.DUMMYFUNCTION("CONCATENATE(GOOGLETRANSLATE(C18, ""en"", ""zh-cn""))"),"制造商批发橙色女士连衣裙办公服广告连衣裙女式正式 ")</f>
        <v>制造商批发橙色女士连衣裙办公服广告连衣裙女式正式 </v>
      </c>
      <c r="E18" s="1" t="str">
        <f>IFERROR(__xludf.DUMMYFUNCTION("CONCATENATE(GOOGLETRANSLATE(C18, ""en"", ""ko""))"),"제조 업체 도매 오렌지 숙녀 드레스 정장 여성을위한 사무복 광고 드레스 ")</f>
        <v>제조 업체 도매 오렌지 숙녀 드레스 정장 여성을위한 사무복 광고 드레스 </v>
      </c>
      <c r="F18" s="1" t="str">
        <f>IFERROR(__xludf.DUMMYFUNCTION("CONCATENATE(GOOGLETRANSLATE(C18, ""en"", ""ja""))"),"メーカー卸売オレンジレディースドレスオフィスウェア広告ドレス女性フォーマル ")</f>
        <v>メーカー卸売オレンジレディースドレスオフィスウェア広告ドレス女性フォーマル </v>
      </c>
    </row>
    <row r="19">
      <c r="A19" s="1">
        <v>1213.0</v>
      </c>
      <c r="B19" s="1" t="s">
        <v>6</v>
      </c>
      <c r="C19" s="1" t="s">
        <v>11</v>
      </c>
      <c r="D19" s="1" t="str">
        <f>IFERROR(__xludf.DUMMYFUNCTION("CONCATENATE(GOOGLETRANSLATE(C19, ""en"", ""zh-cn""))"),"定制休闲格子图案红黑颜色 100% 棉柔软透气流行款式长袖衬衫 ")</f>
        <v>定制休闲格子图案红黑颜色 100% 棉柔软透气流行款式长袖衬衫 </v>
      </c>
      <c r="E19" s="1" t="str">
        <f>IFERROR(__xludf.DUMMYFUNCTION("CONCATENATE(GOOGLETRANSLATE(C19, ""en"", ""ko""))"),"사용자 정의 캐주얼 격자 무늬 패턴 빨간색과 검은색 색상 100% 면 부드러운 통기성 인기 스타일 긴 소매 셔츠 ")</f>
        <v>사용자 정의 캐주얼 격자 무늬 패턴 빨간색과 검은색 색상 100% 면 부드러운 통기성 인기 스타일 긴 소매 셔츠 </v>
      </c>
      <c r="F19" s="1" t="str">
        <f>IFERROR(__xludf.DUMMYFUNCTION("CONCATENATE(GOOGLETRANSLATE(C19, ""en"", ""ja""))"),"カスタムカジュアルチェック柄赤と黒の色綿 100% ソフト通気性人気スタイル長袖シャツ ")</f>
        <v>カスタムカジュアルチェック柄赤と黒の色綿 100% ソフト通気性人気スタイル長袖シャツ </v>
      </c>
    </row>
    <row r="20">
      <c r="A20" s="1">
        <v>1214.0</v>
      </c>
      <c r="B20" s="1" t="s">
        <v>6</v>
      </c>
      <c r="C20" s="1" t="s">
        <v>12</v>
      </c>
      <c r="D20" s="1" t="str">
        <f>IFERROR(__xludf.DUMMYFUNCTION("CONCATENATE(GOOGLETRANSLATE(C20, ""en"", ""zh-cn""))"),"批发户外轻便保暖鸭子定制徽标尼龙黑色连帽冬季泡泡填充羽绒服男式 ")</f>
        <v>批发户外轻便保暖鸭子定制徽标尼龙黑色连帽冬季泡泡填充羽绒服男式 </v>
      </c>
      <c r="E20" s="1" t="str">
        <f>IFERROR(__xludf.DUMMYFUNCTION("CONCATENATE(GOOGLETRANSLATE(C20, ""en"", ""ko""))"),"도매 야외 조명 따뜻한 오리 사용자 정의 로고 나일론 블랙 후드 겨울 버블 퍼프는 남성용 퍼퍼 재킷을 채웠습니다 ")</f>
        <v>도매 야외 조명 따뜻한 오리 사용자 정의 로고 나일론 블랙 후드 겨울 버블 퍼프는 남성용 퍼퍼 재킷을 채웠습니다 </v>
      </c>
      <c r="F20" s="1" t="str">
        <f>IFERROR(__xludf.DUMMYFUNCTION("CONCATENATE(GOOGLETRANSLATE(C20, ""en"", ""ja""))"),"卸売屋外光暖かいアヒルカスタムロゴナイロン黒フード付き冬バブルパフ充填ダウンパフジャケット男性用 ")</f>
        <v>卸売屋外光暖かいアヒルカスタムロゴナイロン黒フード付き冬バブルパフ充填ダウンパフジャケット男性用 </v>
      </c>
    </row>
    <row r="21" ht="15.75" customHeight="1">
      <c r="A21" s="1">
        <v>1216.0</v>
      </c>
      <c r="B21" s="1" t="s">
        <v>6</v>
      </c>
      <c r="C21" s="1" t="s">
        <v>7</v>
      </c>
      <c r="D21" s="1" t="str">
        <f>IFERROR(__xludf.DUMMYFUNCTION("CONCATENATE(GOOGLETRANSLATE(C21, ""en"", ""zh-cn""))"),"制造商批发橙色女士连衣裙办公服广告连衣裙女式正式 ")</f>
        <v>制造商批发橙色女士连衣裙办公服广告连衣裙女式正式 </v>
      </c>
      <c r="E21" s="1" t="str">
        <f>IFERROR(__xludf.DUMMYFUNCTION("CONCATENATE(GOOGLETRANSLATE(C21, ""en"", ""ko""))"),"제조 업체 도매 오렌지 숙녀 드레스 정장 여성을위한 사무복 광고 드레스 ")</f>
        <v>제조 업체 도매 오렌지 숙녀 드레스 정장 여성을위한 사무복 광고 드레스 </v>
      </c>
      <c r="F21" s="1" t="str">
        <f>IFERROR(__xludf.DUMMYFUNCTION("CONCATENATE(GOOGLETRANSLATE(C21, ""en"", ""ja""))"),"メーカー卸売オレンジレディースドレスオフィスウェア広告ドレス女性フォーマル ")</f>
        <v>メーカー卸売オレンジレディースドレスオフィスウェア広告ドレス女性フォーマル </v>
      </c>
    </row>
    <row r="22" ht="15.75" customHeight="1">
      <c r="A22" s="1">
        <v>1217.0</v>
      </c>
      <c r="B22" s="1" t="s">
        <v>6</v>
      </c>
      <c r="C22" s="1" t="s">
        <v>10</v>
      </c>
      <c r="D22" s="1" t="str">
        <f>IFERROR(__xludf.DUMMYFUNCTION("CONCATENATE(GOOGLETRANSLATE(C22, ""en"", ""zh-cn""))"),"街头服饰 泡泡印花连帽衫 定制徽标连帽衫 时尚 Superdry 服装 Moda 休闲 Para Mulheres 连衣裙 套装 Huddies ")</f>
        <v>街头服饰 泡泡印花连帽衫 定制徽标连帽衫 时尚 Superdry 服装 Moda 休闲 Para Mulheres 连衣裙 套装 Huddies </v>
      </c>
      <c r="E22" s="1" t="str">
        <f>IFERROR(__xludf.DUMMYFUNCTION("CONCATENATE(GOOGLETRANSLATE(C22, ""en"", ""ko""))"),"streetwear 의류 ​​퍼프 인쇄 까마귀 사용자 정의 로고 까마귀 패션 Superdry 의류 Moda 캐주얼 파라 Mulheres 복장 Huddies ")</f>
        <v>streetwear 의류 ​​퍼프 인쇄 까마귀 사용자 정의 로고 까마귀 패션 Superdry 의류 Moda 캐주얼 파라 Mulheres 복장 Huddies </v>
      </c>
      <c r="F22" s="1" t="str">
        <f>IFERROR(__xludf.DUMMYFUNCTION("CONCATENATE(GOOGLETRANSLATE(C22, ""en"", ""ja""))"),"ストリート服パフプリントパーカーカスタムロゴパーカーファッション Superdry 衣類モーダカジュアルパラ Mulheres ドレススーツ Huddies ")</f>
        <v>ストリート服パフプリントパーカーカスタムロゴパーカーファッション Superdry 衣類モーダカジュアルパラ Mulheres ドレススーツ Huddies </v>
      </c>
    </row>
    <row r="23" ht="15.75" customHeight="1">
      <c r="A23" s="1">
        <v>1218.0</v>
      </c>
      <c r="B23" s="1" t="s">
        <v>6</v>
      </c>
      <c r="C23" s="1" t="s">
        <v>11</v>
      </c>
      <c r="D23" s="1" t="str">
        <f>IFERROR(__xludf.DUMMYFUNCTION("CONCATENATE(GOOGLETRANSLATE(C23, ""en"", ""zh-cn""))"),"定制休闲格子图案红黑颜色 100% 棉柔软透气流行款式长袖衬衫 ")</f>
        <v>定制休闲格子图案红黑颜色 100% 棉柔软透气流行款式长袖衬衫 </v>
      </c>
      <c r="E23" s="1" t="str">
        <f>IFERROR(__xludf.DUMMYFUNCTION("CONCATENATE(GOOGLETRANSLATE(C23, ""en"", ""ko""))"),"사용자 정의 캐주얼 격자 무늬 패턴 빨간색과 검은색 색상 100% 면 부드러운 통기성 인기 스타일 긴 소매 셔츠 ")</f>
        <v>사용자 정의 캐주얼 격자 무늬 패턴 빨간색과 검은색 색상 100% 면 부드러운 통기성 인기 스타일 긴 소매 셔츠 </v>
      </c>
      <c r="F23" s="1" t="str">
        <f>IFERROR(__xludf.DUMMYFUNCTION("CONCATENATE(GOOGLETRANSLATE(C23, ""en"", ""ja""))"),"カスタムカジュアルチェック柄赤と黒の色綿 100% ソフト通気性人気スタイル長袖シャツ ")</f>
        <v>カスタムカジュアルチェック柄赤と黒の色綿 100% ソフト通気性人気スタイル長袖シャツ </v>
      </c>
    </row>
    <row r="24" ht="15.75" customHeight="1">
      <c r="A24" s="1">
        <v>1219.0</v>
      </c>
      <c r="B24" s="1" t="s">
        <v>6</v>
      </c>
      <c r="C24" s="1" t="s">
        <v>7</v>
      </c>
      <c r="D24" s="1" t="str">
        <f>IFERROR(__xludf.DUMMYFUNCTION("CONCATENATE(GOOGLETRANSLATE(C24, ""en"", ""zh-cn""))"),"制造商批发橙色女士连衣裙办公服广告连衣裙女式正式 ")</f>
        <v>制造商批发橙色女士连衣裙办公服广告连衣裙女式正式 </v>
      </c>
      <c r="E24" s="1" t="str">
        <f>IFERROR(__xludf.DUMMYFUNCTION("CONCATENATE(GOOGLETRANSLATE(C24, ""en"", ""ko""))"),"제조 업체 도매 오렌지 숙녀 드레스 정장 여성을위한 사무복 광고 드레스 ")</f>
        <v>제조 업체 도매 오렌지 숙녀 드레스 정장 여성을위한 사무복 광고 드레스 </v>
      </c>
      <c r="F24" s="1" t="str">
        <f>IFERROR(__xludf.DUMMYFUNCTION("CONCATENATE(GOOGLETRANSLATE(C24, ""en"", ""ja""))"),"メーカー卸売オレンジレディースドレスオフィスウェア広告ドレス女性フォーマル ")</f>
        <v>メーカー卸売オレンジレディースドレスオフィスウェア広告ドレス女性フォーマル </v>
      </c>
    </row>
    <row r="25" ht="15.75" customHeight="1">
      <c r="A25" s="1">
        <v>1220.0</v>
      </c>
      <c r="B25" s="1" t="s">
        <v>6</v>
      </c>
      <c r="C25" s="1" t="s">
        <v>9</v>
      </c>
      <c r="D25" s="1" t="str">
        <f>IFERROR(__xludf.DUMMYFUNCTION("CONCATENATE(GOOGLETRANSLATE(C25, ""en"", ""zh-cn""))"),"2022 热销 OEM 速干休闲慢跑运动定制运动裤男裤 ")</f>
        <v>2022 热销 OEM 速干休闲慢跑运动定制运动裤男裤 </v>
      </c>
      <c r="E25" s="1" t="str">
        <f>IFERROR(__xludf.DUMMYFUNCTION("CONCATENATE(GOOGLETRANSLATE(C25, ""en"", ""ko""))"),"2022 뜨거운 판매 Oem 빠른 건조 캐주얼 조깅 스포츠 사용자 정의 트레이닝 복 바지 남성 바지 ")</f>
        <v>2022 뜨거운 판매 Oem 빠른 건조 캐주얼 조깅 스포츠 사용자 정의 트레이닝 복 바지 남성 바지 </v>
      </c>
      <c r="F25" s="1" t="str">
        <f>IFERROR(__xludf.DUMMYFUNCTION("CONCATENATE(GOOGLETRANSLATE(C25, ""en"", ""ja""))"),"2022 ホット販売 Oem クイックドライカジュアルジョギングスポーツカスタムスウェットパンツのズボンパンツ ")</f>
        <v>2022 ホット販売 Oem クイックドライカジュアルジョギングスポーツカスタムスウェットパンツのズボンパンツ </v>
      </c>
    </row>
    <row r="26" ht="15.75" customHeight="1">
      <c r="A26" s="1">
        <v>1491.0</v>
      </c>
      <c r="B26" s="1" t="s">
        <v>15</v>
      </c>
      <c r="C26" s="1" t="s">
        <v>16</v>
      </c>
      <c r="D26" s="1" t="str">
        <f>IFERROR(__xludf.DUMMYFUNCTION("CONCATENATE(GOOGLETRANSLATE(C26, ""en"", ""zh-cn""))"),"厨房瓷砖贴纸浴室现代风格贴纸自粘墙面装饰")</f>
        <v>厨房瓷砖贴纸浴室现代风格贴纸自粘墙面装饰</v>
      </c>
      <c r="E26" s="1" t="str">
        <f>IFERROR(__xludf.DUMMYFUNCTION("CONCATENATE(GOOGLETRANSLATE(C26, ""en"", ""ko""))"),"주방 타일 스티커 욕실 현대 스타일 스티커 자체 접착 벽 장식")</f>
        <v>주방 타일 스티커 욕실 현대 스타일 스티커 자체 접착 벽 장식</v>
      </c>
      <c r="F26" s="1" t="str">
        <f>IFERROR(__xludf.DUMMYFUNCTION("CONCATENATE(GOOGLETRANSLATE(C26, ""en"", ""ja""))"),"キッチンタイルステッカーバスルームモダンスタイルステッカー自己粘着壁装飾")</f>
        <v>キッチンタイルステッカーバスルームモダンスタイルステッカー自己粘着壁装飾</v>
      </c>
    </row>
    <row r="27" ht="15.75" customHeight="1">
      <c r="A27" s="1">
        <v>1492.0</v>
      </c>
      <c r="B27" s="1" t="s">
        <v>15</v>
      </c>
      <c r="C27" s="1" t="s">
        <v>17</v>
      </c>
      <c r="D27" s="1" t="str">
        <f>IFERROR(__xludf.DUMMYFUNCTION("CONCATENATE(GOOGLETRANSLATE(C27, ""en"", ""zh-cn""))"),"吊床椅座垫悬挂秋千座垫加厚吊椅靠背枕家用办公家具配件")</f>
        <v>吊床椅座垫悬挂秋千座垫加厚吊椅靠背枕家用办公家具配件</v>
      </c>
      <c r="E27" s="1" t="str">
        <f>IFERROR(__xludf.DUMMYFUNCTION("CONCATENATE(GOOGLETRANSLATE(C27, ""en"", ""ko""))"),"해먹 의자 좌석 쿠션 교수형 스윙 좌석 패드 두꺼운 교수형 의자 뒤로 베개 홈 오피스 가구 액세서리")</f>
        <v>해먹 의자 좌석 쿠션 교수형 스윙 좌석 패드 두꺼운 교수형 의자 뒤로 베개 홈 오피스 가구 액세서리</v>
      </c>
      <c r="F27" s="1" t="str">
        <f>IFERROR(__xludf.DUMMYFUNCTION("CONCATENATE(GOOGLETRANSLATE(C27, ""en"", ""ja""))"),"ハンモックチェアシートクッションぶら下げスイングシートパッド厚いぶら下げ椅子背もたれ枕ホームオフィス家具アクセサリー")</f>
        <v>ハンモックチェアシートクッションぶら下げスイングシートパッド厚いぶら下げ椅子背もたれ枕ホームオフィス家具アクセサリー</v>
      </c>
    </row>
    <row r="28" ht="15.75" customHeight="1">
      <c r="A28" s="1">
        <v>1493.0</v>
      </c>
      <c r="B28" s="1" t="s">
        <v>15</v>
      </c>
      <c r="C28" s="1" t="s">
        <v>18</v>
      </c>
      <c r="D28" s="1" t="str">
        <f>IFERROR(__xludf.DUMMYFUNCTION("CONCATENATE(GOOGLETRANSLATE(C28, ""en"", ""zh-cn""))"),"20 件装 M2.5 黑色尼龙螺丝十字塑料圆头螺丝螺栓 ")</f>
        <v>20 件装 M2.5 黑色尼龙螺丝十字塑料圆头螺丝螺栓 </v>
      </c>
      <c r="E28" s="1" t="str">
        <f>IFERROR(__xludf.DUMMYFUNCTION("CONCATENATE(GOOGLETRANSLATE(C28, ""en"", ""ko""))"),"20개 M2.5 검정색 나일론 나사 필립스 플라스틱 둥근 머리 나사 볼트 ")</f>
        <v>20개 M2.5 검정색 나일론 나사 필립스 플라스틱 둥근 머리 나사 볼트 </v>
      </c>
      <c r="F28" s="1" t="str">
        <f>IFERROR(__xludf.DUMMYFUNCTION("CONCATENATE(GOOGLETRANSLATE(C28, ""en"", ""ja""))"),"20 個 M2.5 黒ナイロンネジプラスプラスチック丸頭ネジボルト ")</f>
        <v>20 個 M2.5 黒ナイロンネジプラスプラスチック丸頭ネジボルト </v>
      </c>
    </row>
    <row r="29" ht="15.75" customHeight="1">
      <c r="A29" s="1">
        <v>1494.0</v>
      </c>
      <c r="B29" s="1" t="s">
        <v>15</v>
      </c>
      <c r="C29" s="1" t="s">
        <v>19</v>
      </c>
      <c r="D29" s="1" t="str">
        <f>IFERROR(__xludf.DUMMYFUNCTION("CONCATENATE(GOOGLETRANSLATE(C29, ""en"", ""zh-cn""))"),"1/2/3/4 座弹性沙发套椅子座椅保护器弹力沙发套家用办公家具配件装饰品")</f>
        <v>1/2/3/4 座弹性沙发套椅子座椅保护器弹力沙发套家用办公家具配件装饰品</v>
      </c>
      <c r="E29" s="1" t="str">
        <f>IFERROR(__xludf.DUMMYFUNCTION("CONCATENATE(GOOGLETRANSLATE(C29, ""en"", ""ko""))"),"1/2/3/4 Seaters 탄성 소파 커버 의자 좌석 보호대 스트레치 소파 슬리퍼 홈 오피스 가구 액세서리 장식")</f>
        <v>1/2/3/4 Seaters 탄성 소파 커버 의자 좌석 보호대 스트레치 소파 슬리퍼 홈 오피스 가구 액세서리 장식</v>
      </c>
      <c r="F29" s="1" t="str">
        <f>IFERROR(__xludf.DUMMYFUNCTION("CONCATENATE(GOOGLETRANSLATE(C29, ""en"", ""ja""))"),"1/2/3/4 人乗り弾性ソファカバー椅子シートプロテクターストレッチソファ本カバーホームオフィス家具アクセサリー装飾")</f>
        <v>1/2/3/4 人乗り弾性ソファカバー椅子シートプロテクターストレッチソファ本カバーホームオフィス家具アクセサリー装飾</v>
      </c>
    </row>
    <row r="30" ht="15.75" customHeight="1">
      <c r="A30" s="1">
        <v>1495.0</v>
      </c>
      <c r="B30" s="1" t="s">
        <v>15</v>
      </c>
      <c r="C30" s="1" t="s">
        <v>20</v>
      </c>
      <c r="D30" s="1" t="str">
        <f>IFERROR(__xludf.DUMMYFUNCTION("CONCATENATE(GOOGLETRANSLATE(C30, ""en"", ""zh-cn""))"),"1/2/3 座天鹅绒沙发套纯色弹性椅子座椅保护沙发套弹力沙发套家庭办公家具装饰品")</f>
        <v>1/2/3 座天鹅绒沙发套纯色弹性椅子座椅保护沙发套弹力沙发套家庭办公家具装饰品</v>
      </c>
      <c r="E30" s="1" t="str">
        <f>IFERROR(__xludf.DUMMYFUNCTION("CONCATENATE(GOOGLETRANSLATE(C30, ""en"", ""ko""))"),"1/2/3 Seaters 벨벳 소파 커버 순수 컬러 탄성 의자 좌석 보호대 소파 케이스 스트레치 슬립 커버 홈 오피스 가구 장식")</f>
        <v>1/2/3 Seaters 벨벳 소파 커버 순수 컬러 탄성 의자 좌석 보호대 소파 케이스 스트레치 슬립 커버 홈 오피스 가구 장식</v>
      </c>
      <c r="F30" s="1" t="str">
        <f>IFERROR(__xludf.DUMMYFUNCTION("CONCATENATE(GOOGLETRANSLATE(C30, ""en"", ""ja""))"),"1/2/3 人乗りベルベットソファカバーピュアカラー弾性椅子シートプロテクターソファケースストレッチスリップカバーホームオフィス家具装飾")</f>
        <v>1/2/3 人乗りベルベットソファカバーピュアカラー弾性椅子シートプロテクターソファケースストレッチスリップカバーホームオフィス家具装飾</v>
      </c>
    </row>
    <row r="31" ht="15.75" customHeight="1">
      <c r="A31" s="1">
        <v>1496.0</v>
      </c>
      <c r="B31" s="1" t="s">
        <v>15</v>
      </c>
      <c r="C31" s="1" t="s">
        <v>21</v>
      </c>
      <c r="D31" s="1" t="str">
        <f>IFERROR(__xludf.DUMMYFUNCTION("CONCATENATE(GOOGLETRANSLATE(C31, ""en"", ""zh-cn""))"),"灰色壁纸贴纸墙布壁纸自粘防水PVC复古砖纹石墙装饰")</f>
        <v>灰色壁纸贴纸墙布壁纸自粘防水PVC复古砖纹石墙装饰</v>
      </c>
      <c r="E31" s="1" t="str">
        <f>IFERROR(__xludf.DUMMYFUNCTION("CONCATENATE(GOOGLETRANSLATE(C31, ""en"", ""ko""))"),"회색 벽지 스티커 벽 천으로 벽지 자기 접착 방수 Pvc 레트로 벽돌 패턴 돌 벽 장식")</f>
        <v>회색 벽지 스티커 벽 천으로 벽지 자기 접착 방수 Pvc 레트로 벽돌 패턴 돌 벽 장식</v>
      </c>
      <c r="F31" s="1" t="str">
        <f>IFERROR(__xludf.DUMMYFUNCTION("CONCATENATE(GOOGLETRANSLATE(C31, ""en"", ""ja""))"),"グレー壁紙ステッカー壁布壁紙自己粘着防水 Pvc レトロレンガパターン石の壁の装飾")</f>
        <v>グレー壁紙ステッカー壁布壁紙自己粘着防水 Pvc レトロレンガパターン石の壁の装飾</v>
      </c>
    </row>
    <row r="32" ht="15.75" customHeight="1">
      <c r="A32" s="1">
        <v>1497.0</v>
      </c>
      <c r="B32" s="1" t="s">
        <v>15</v>
      </c>
      <c r="C32" s="1" t="s">
        <v>22</v>
      </c>
      <c r="D32" s="1" t="str">
        <f>IFERROR(__xludf.DUMMYFUNCTION("CONCATENATE(GOOGLETRANSLATE(C32, ""en"", ""zh-cn""))"),"9 件/27 件/54 件墙贴厨房瓷砖贴纸浴室自粘墙面装饰家居 DIY")</f>
        <v>9 件/27 件/54 件墙贴厨房瓷砖贴纸浴室自粘墙面装饰家居 DIY</v>
      </c>
      <c r="E32" s="1" t="str">
        <f>IFERROR(__xludf.DUMMYFUNCTION("CONCATENATE(GOOGLETRANSLATE(C32, ""en"", ""ko""))"),"9pcs/27pcs/54pcs 벽 스티커 주방 타일 스티커 욕실 자체 접착 벽 장식 홈 DIY")</f>
        <v>9pcs/27pcs/54pcs 벽 스티커 주방 타일 스티커 욕실 자체 접착 벽 장식 홈 DIY</v>
      </c>
      <c r="F32" s="1" t="str">
        <f>IFERROR(__xludf.DUMMYFUNCTION("CONCATENATE(GOOGLETRANSLATE(C32, ""en"", ""ja""))"),"9 ピース/27 ピース/54 ピースウォールステッカーキッチンタイルステッカー浴室自己粘着壁の装飾ホーム DIY")</f>
        <v>9 ピース/27 ピース/54 ピースウォールステッカーキッチンタイルステッカー浴室自己粘着壁の装飾ホーム DIY</v>
      </c>
    </row>
    <row r="33" ht="15.75" customHeight="1">
      <c r="A33" s="1">
        <v>1498.0</v>
      </c>
      <c r="B33" s="1" t="s">
        <v>15</v>
      </c>
      <c r="C33" s="1" t="s">
        <v>23</v>
      </c>
      <c r="D33" s="1" t="str">
        <f>IFERROR(__xludf.DUMMYFUNCTION("CONCATENATE(GOOGLETRANSLATE(C33, ""en"", ""zh-cn""))"),"Suleve™ M4AN6 10 件 M4 杯头六角螺丝垫片垫圈螺母铝合金多色可选")</f>
        <v>Suleve™ M4AN6 10 件 M4 杯头六角螺丝垫片垫圈螺母铝合金多色可选</v>
      </c>
      <c r="E33" s="1" t="str">
        <f>IFERROR(__xludf.DUMMYFUNCTION("CONCATENATE(GOOGLETRANSLATE(C33, ""en"", ""ko""))"),"Suleve™ M4AN6 10Pcs M4 컵 헤드 육각 나사 가스켓 와셔 너트 알루미늄 합금 다색 옵션")</f>
        <v>Suleve™ M4AN6 10Pcs M4 컵 헤드 육각 나사 가스켓 와셔 너트 알루미늄 합금 다색 옵션</v>
      </c>
      <c r="F33" s="1" t="str">
        <f>IFERROR(__xludf.DUMMYFUNCTION("CONCATENATE(GOOGLETRANSLATE(C33, ""en"", ""ja""))"),"Suleve™ M4AN6 10 個 M4 カップヘッド六角ネジガスケットワッシャーナットアルミニウム合金マルチカラーオプション")</f>
        <v>Suleve™ M4AN6 10 個 M4 カップヘッド六角ネジガスケットワッシャーナットアルミニウム合金マルチカラーオプション</v>
      </c>
    </row>
    <row r="34" ht="15.75" customHeight="1">
      <c r="A34" s="1">
        <v>1499.0</v>
      </c>
      <c r="B34" s="1" t="s">
        <v>15</v>
      </c>
      <c r="C34" s="1" t="s">
        <v>24</v>
      </c>
      <c r="D34" s="1" t="str">
        <f>IFERROR(__xludf.DUMMYFUNCTION("CONCATENATE(GOOGLETRANSLATE(C34, ""en"", ""zh-cn""))"),"旋转展示架架 70 个挂钩旋转珠宝袋挂架用于存放")</f>
        <v>旋转展示架架 70 个挂钩旋转珠宝袋挂架用于存放</v>
      </c>
      <c r="E34" s="1" t="str">
        <f>IFERROR(__xludf.DUMMYFUNCTION("CONCATENATE(GOOGLETRANSLATE(C34, ""en"", ""ko""))"),"회전 디스플레이 스탠드 랙 70 보관용 후크 스핀 주얼리 가방 걸이")</f>
        <v>회전 디스플레이 스탠드 랙 70 보관용 후크 스핀 주얼리 가방 걸이</v>
      </c>
      <c r="F34" s="1" t="str">
        <f>IFERROR(__xludf.DUMMYFUNCTION("CONCATENATE(GOOGLETRANSLATE(C34, ""en"", ""ja""))"),"回転ディスプレイスタンドラック 70 フックスピンジュエリーバッグハンガー収納用")</f>
        <v>回転ディスプレイスタンドラック 70 フックスピンジュエリーバッグハンガー収納用</v>
      </c>
    </row>
    <row r="35" ht="15.75" customHeight="1">
      <c r="A35" s="1">
        <v>1500.0</v>
      </c>
      <c r="B35" s="1" t="s">
        <v>15</v>
      </c>
      <c r="C35" s="1" t="s">
        <v>25</v>
      </c>
      <c r="D35" s="1" t="str">
        <f>IFERROR(__xludf.DUMMYFUNCTION("CONCATENATE(GOOGLETRANSLATE(C35, ""en"", ""zh-cn""))"),"摇椅垫座垫靠背垫防滑椅垫摇椅躺椅垫办公沙发家用")</f>
        <v>摇椅垫座垫靠背垫防滑椅垫摇椅躺椅垫办公沙发家用</v>
      </c>
      <c r="E35" s="1" t="str">
        <f>IFERROR(__xludf.DUMMYFUNCTION("CONCATENATE(GOOGLETRANSLATE(C35, ""en"", ""ko""))"),"흔들 의자 쿠션 좌석 뒤 쿠션 미끄럼 방지 의자 패드 흔들 의자 안락 의자 매트 사무실 소파 홈")</f>
        <v>흔들 의자 쿠션 좌석 뒤 쿠션 미끄럼 방지 의자 패드 흔들 의자 안락 의자 매트 사무실 소파 홈</v>
      </c>
      <c r="F35" s="1" t="str">
        <f>IFERROR(__xludf.DUMMYFUNCTION("CONCATENATE(GOOGLETRANSLATE(C35, ""en"", ""ja""))"),"ロッキングチェアクッションシートバッククッション滑り止めチェアパッドロッキングチェアリクライニングマットオフィスソファホーム用")</f>
        <v>ロッキングチェアクッションシートバッククッション滑り止めチェアパッドロッキングチェアリクライニングマットオフィスソファホーム用</v>
      </c>
    </row>
    <row r="36" ht="15.75" customHeight="1">
      <c r="A36" s="1">
        <v>1501.0</v>
      </c>
      <c r="B36" s="1" t="s">
        <v>15</v>
      </c>
      <c r="C36" s="1" t="s">
        <v>26</v>
      </c>
      <c r="D36" s="1" t="str">
        <f>IFERROR(__xludf.DUMMYFUNCTION("CONCATENATE(GOOGLETRANSLATE(C36, ""en"", ""zh-cn""))"),"1/2/3/4座弹性沙发套通用椅子座椅保护沙发套弹力沙发套家用办公家具多色简约沙发套装饰")</f>
        <v>1/2/3/4座弹性沙发套通用椅子座椅保护沙发套弹力沙发套家用办公家具多色简约沙发套装饰</v>
      </c>
      <c r="E36" s="1" t="str">
        <f>IFERROR(__xludf.DUMMYFUNCTION("CONCATENATE(GOOGLETRANSLATE(C36, ""en"", ""ko""))"),"1/2/3/4 인승 탄성 소파 커버 범용 의자 좌석 보호대 소파 케이스 스트레치 슬립 커버 홈 오피스 가구 여러 가지 빛깔의 간단한 소파 커버 장식")</f>
        <v>1/2/3/4 인승 탄성 소파 커버 범용 의자 좌석 보호대 소파 케이스 스트레치 슬립 커버 홈 오피스 가구 여러 가지 빛깔의 간단한 소파 커버 장식</v>
      </c>
      <c r="F36" s="1" t="str">
        <f>IFERROR(__xludf.DUMMYFUNCTION("CONCATENATE(GOOGLETRANSLATE(C36, ""en"", ""ja""))"),"1/2/3/4 人乗り弾性ソファカバーユニバーサル椅子シートプロテクターソファケースストレッチスリップカバーホームオフィス家具マルチカラーシンプルなソファカバー装飾")</f>
        <v>1/2/3/4 人乗り弾性ソファカバーユニバーサル椅子シートプロテクターソファケースストレッチスリップカバーホームオフィス家具マルチカラーシンプルなソファカバー装飾</v>
      </c>
    </row>
    <row r="37" ht="15.75" customHeight="1">
      <c r="A37" s="1">
        <v>1502.0</v>
      </c>
      <c r="B37" s="1" t="s">
        <v>15</v>
      </c>
      <c r="C37" s="1" t="s">
        <v>27</v>
      </c>
      <c r="D37" s="1" t="str">
        <f>IFERROR(__xludf.DUMMYFUNCTION("CONCATENATE(GOOGLETRANSLATE(C37, ""en"", ""zh-cn""))"),"躺椅椅套防滑按摩沙发套弹力椅子座椅保护套纯色全包弹性座椅套适合家庭办公室")</f>
        <v>躺椅椅套防滑按摩沙发套弹力椅子座椅保护套纯色全包弹性座椅套适合家庭办公室</v>
      </c>
      <c r="E37" s="1" t="str">
        <f>IFERROR(__xludf.DUMMYFUNCTION("CONCATENATE(GOOGLETRANSLATE(C37, ""en"", ""ko""))"),"안락 의자 의자 커버 미끄럼 방지 마사지 소파 커버 스트레치 의자 시트 보호대 홈 오피스 용 순수 컬러 모든 항목을 포함하는 탄성 시트 슬립 커버")</f>
        <v>안락 의자 의자 커버 미끄럼 방지 마사지 소파 커버 스트레치 의자 시트 보호대 홈 오피스 용 순수 컬러 모든 항목을 포함하는 탄성 시트 슬립 커버</v>
      </c>
      <c r="F37" s="1" t="str">
        <f>IFERROR(__xludf.DUMMYFUNCTION("CONCATENATE(GOOGLETRANSLATE(C37, ""en"", ""ja""))"),"リクライニングチェアカバー ノンスリップマッサージソファカバー ストレッチチェアシートプロテクター ピュアカラー オールインクルーシブ弾性シートスリップカバー ホームオフィス用")</f>
        <v>リクライニングチェアカバー ノンスリップマッサージソファカバー ストレッチチェアシートプロテクター ピュアカラー オールインクルーシブ弾性シートスリップカバー ホームオフィス用</v>
      </c>
    </row>
    <row r="38" ht="15.75" customHeight="1">
      <c r="A38" s="1">
        <v>1503.0</v>
      </c>
      <c r="B38" s="1" t="s">
        <v>15</v>
      </c>
      <c r="C38" s="1" t="s">
        <v>28</v>
      </c>
      <c r="D38" s="1" t="str">
        <f>IFERROR(__xludf.DUMMYFUNCTION("CONCATENATE(GOOGLETRANSLATE(C38, ""en"", ""zh-cn""))"),"办公椅套弹性电脑椅套弹力扶手椅座套")</f>
        <v>办公椅套弹性电脑椅套弹力扶手椅座套</v>
      </c>
      <c r="E38" s="1" t="str">
        <f>IFERROR(__xludf.DUMMYFUNCTION("CONCATENATE(GOOGLETRANSLATE(C38, ""en"", ""ko""))"),"사무실 의자 커버 탄성 컴퓨터 의자 커버 스트레치 팔 의자 시트 커버")</f>
        <v>사무실 의자 커버 탄성 컴퓨터 의자 커버 스트레치 팔 의자 시트 커버</v>
      </c>
      <c r="F38" s="1" t="str">
        <f>IFERROR(__xludf.DUMMYFUNCTION("CONCATENATE(GOOGLETRANSLATE(C38, ""en"", ""ja""))"),"オフィスチェアカバー 弾性コンピュータチェアカバー ストレッチアームチェアシートカバー")</f>
        <v>オフィスチェアカバー 弾性コンピュータチェアカバー ストレッチアームチェアシートカバー</v>
      </c>
    </row>
    <row r="39" ht="15.75" customHeight="1">
      <c r="A39" s="1">
        <v>1504.0</v>
      </c>
      <c r="B39" s="1" t="s">
        <v>15</v>
      </c>
      <c r="C39" s="1" t="s">
        <v>29</v>
      </c>
      <c r="D39" s="1" t="str">
        <f>IFERROR(__xludf.DUMMYFUNCTION("CONCATENATE(GOOGLETRANSLATE(C39, ""en"", ""zh-cn""))"),"自粘厨房壁纸防油铝箔墙贴橱柜")</f>
        <v>自粘厨房壁纸防油铝箔墙贴橱柜</v>
      </c>
      <c r="E39" s="1" t="str">
        <f>IFERROR(__xludf.DUMMYFUNCTION("CONCATENATE(GOOGLETRANSLATE(C39, ""en"", ""ko""))"),"자체 접착 주방 벽지 내유성 알루미늄 호일 벽 스티커 캐비닛")</f>
        <v>자체 접착 주방 벽지 내유성 알루미늄 호일 벽 스티커 캐비닛</v>
      </c>
      <c r="F39" s="1" t="str">
        <f>IFERROR(__xludf.DUMMYFUNCTION("CONCATENATE(GOOGLETRANSLATE(C39, ""en"", ""ja""))"),"自己粘着キッチン壁紙耐油アルミ箔ウォールステッカーキャビネット")</f>
        <v>自己粘着キッチン壁紙耐油アルミ箔ウォールステッカーキャビネット</v>
      </c>
    </row>
    <row r="40" ht="15.75" customHeight="1">
      <c r="A40" s="1">
        <v>1505.0</v>
      </c>
      <c r="B40" s="1" t="s">
        <v>15</v>
      </c>
      <c r="C40" s="1" t="s">
        <v>30</v>
      </c>
      <c r="D40" s="1" t="str">
        <f>IFERROR(__xludf.DUMMYFUNCTION("CONCATENATE(GOOGLETRANSLATE(C40, ""en"", ""zh-cn""))"),"浴室储物架地柜卫生间浴室收纳抽屉架-白色")</f>
        <v>浴室储物架地柜卫生间浴室收纳抽屉架-白色</v>
      </c>
      <c r="E40" s="1" t="str">
        <f>IFERROR(__xludf.DUMMYFUNCTION("CONCATENATE(GOOGLETRANSLATE(C40, ""en"", ""ko""))"),"욕실 보관함 바닥 캐비닛 화장실 욕조 정리함 서랍 선반-흰색")</f>
        <v>욕실 보관함 바닥 캐비닛 화장실 욕조 정리함 서랍 선반-흰색</v>
      </c>
      <c r="F40" s="1" t="str">
        <f>IFERROR(__xludf.DUMMYFUNCTION("CONCATENATE(GOOGLETRANSLATE(C40, ""en"", ""ja""))"),"バスルーム収納ラックフロアキャビネットトイレバスオーガナイザー引き出し棚-ホワイト")</f>
        <v>バスルーム収納ラックフロアキャビネットトイレバスオーガナイザー引き出し棚-ホワイト</v>
      </c>
    </row>
    <row r="41" ht="15.75" customHeight="1">
      <c r="A41" s="1">
        <v>1506.0</v>
      </c>
      <c r="B41" s="1" t="s">
        <v>15</v>
      </c>
      <c r="C41" s="1" t="s">
        <v>31</v>
      </c>
      <c r="D41" s="1" t="str">
        <f>IFERROR(__xludf.DUMMYFUNCTION("CONCATENATE(GOOGLETRANSLATE(C41, ""en"", ""zh-cn""))"),"12 件/套 PVC 3D 墙板浮雕家居房间贴花背景装饰 12x12 英寸")</f>
        <v>12 件/套 PVC 3D 墙板浮雕家居房间贴花背景装饰 12x12 英寸</v>
      </c>
      <c r="E41" s="1" t="str">
        <f>IFERROR(__xludf.DUMMYFUNCTION("CONCATENATE(GOOGLETRANSLATE(C41, ""en"", ""ko""))"),"12개/세트 PVC 3D 벽 패널 양각 홈 룸 데칼 배경 장식 12x12인치")</f>
        <v>12개/세트 PVC 3D 벽 패널 양각 홈 룸 데칼 배경 장식 12x12인치</v>
      </c>
      <c r="F41" s="1" t="str">
        <f>IFERROR(__xludf.DUMMYFUNCTION("CONCATENATE(GOOGLETRANSLATE(C41, ""en"", ""ja""))"),"12 ピース/セット PVC 3D 壁パネル エンボス加工 ホームルーム デカール 背景装飾 12x12インチ")</f>
        <v>12 ピース/セット PVC 3D 壁パネル エンボス加工 ホームルーム デカール 背景装飾 12x12インチ</v>
      </c>
    </row>
    <row r="42" ht="15.75" customHeight="1">
      <c r="A42" s="1">
        <v>1507.0</v>
      </c>
      <c r="B42" s="1" t="s">
        <v>15</v>
      </c>
      <c r="C42" s="1" t="s">
        <v>32</v>
      </c>
      <c r="D42" s="1" t="str">
        <f>IFERROR(__xludf.DUMMYFUNCTION("CONCATENATE(GOOGLETRANSLATE(C42, ""en"", ""zh-cn""))"),"45cm*2m 静态无胶可重复使用可拆卸花窗玻璃膜家居装饰")</f>
        <v>45cm*2m 静态无胶可重复使用可拆卸花窗玻璃膜家居装饰</v>
      </c>
      <c r="E42" s="1" t="str">
        <f>IFERROR(__xludf.DUMMYFUNCTION("CONCATENATE(GOOGLETRANSLATE(C42, ""en"", ""ko""))"),"45cm*2m 정적 글루리스 재사용 가능한 이동식 꽃창 유리 필름 홈 인테리어")</f>
        <v>45cm*2m 정적 글루리스 재사용 가능한 이동식 꽃창 유리 필름 홈 인테리어</v>
      </c>
      <c r="F42" s="1" t="str">
        <f>IFERROR(__xludf.DUMMYFUNCTION("CONCATENATE(GOOGLETRANSLATE(C42, ""en"", ""ja""))"),"45 センチメートル * 2 メートル静的接着剤不要再利用可能な取り外し可能な花窓ガラスフィルム家の装飾")</f>
        <v>45 センチメートル * 2 メートル静的接着剤不要再利用可能な取り外し可能な花窓ガラスフィルム家の装飾</v>
      </c>
    </row>
    <row r="43" ht="15.75" customHeight="1">
      <c r="A43" s="1">
        <v>1508.0</v>
      </c>
      <c r="B43" s="1" t="s">
        <v>15</v>
      </c>
      <c r="C43" s="1" t="s">
        <v>33</v>
      </c>
      <c r="D43" s="1" t="str">
        <f>IFERROR(__xludf.DUMMYFUNCTION("CONCATENATE(GOOGLETRANSLATE(C43, ""en"", ""zh-cn""))"),"软座垫坐垫系带防滑餐椅坐垫室内户外座垫适用于花园露台家庭办公室")</f>
        <v>软座垫坐垫系带防滑餐椅坐垫室内户外座垫适用于花园露台家庭办公室</v>
      </c>
      <c r="E43" s="1" t="str">
        <f>IFERROR(__xludf.DUMMYFUNCTION("CONCATENATE(GOOGLETRANSLATE(C43, ""en"", ""ko""))"),"부드러운 좌석 패드 쿠션 타이 미끄럼 방지 다이닝 의자 쿠션 정원 파티오 홈 오피스 용 실내 옥외 좌석 패드")</f>
        <v>부드러운 좌석 패드 쿠션 타이 미끄럼 방지 다이닝 의자 쿠션 정원 파티오 홈 오피스 용 실내 옥외 좌석 패드</v>
      </c>
      <c r="F43" s="1" t="str">
        <f>IFERROR(__xludf.DUMMYFUNCTION("CONCATENATE(GOOGLETRANSLATE(C43, ""en"", ""ja""))"),"ソフトシートパッドクッションタイオンノンスリップダイニングチェアクッション屋内屋外シートパッドガーデンパティオホームオフィス用")</f>
        <v>ソフトシートパッドクッションタイオンノンスリップダイニングチェアクッション屋内屋外シートパッドガーデンパティオホームオフィス用</v>
      </c>
    </row>
    <row r="44" ht="15.75" customHeight="1">
      <c r="A44" s="1">
        <v>1509.0</v>
      </c>
      <c r="B44" s="1" t="s">
        <v>15</v>
      </c>
      <c r="C44" s="1" t="s">
        <v>34</v>
      </c>
      <c r="D44" s="1" t="str">
        <f>IFERROR(__xludf.DUMMYFUNCTION("CONCATENATE(GOOGLETRANSLATE(C44, ""en"", ""zh-cn""))"),"大号沙发靠背垫床沙发座靠垫护腰靠背枕家用办公家具装饰品")</f>
        <v>大号沙发靠背垫床沙发座靠垫护腰靠背枕家用办公家具装饰品</v>
      </c>
      <c r="E44" s="1" t="str">
        <f>IFERROR(__xludf.DUMMYFUNCTION("CONCATENATE(GOOGLETRANSLATE(C44, ""en"", ""ko""))"),"대형 소파 뒤 쿠션 침대 소파 좌석 휴식 패드 허리 지원 등받이 베개 홈 오피스 가구 장식")</f>
        <v>대형 소파 뒤 쿠션 침대 소파 좌석 휴식 패드 허리 지원 등받이 베개 홈 오피스 가구 장식</v>
      </c>
      <c r="F44" s="1" t="str">
        <f>IFERROR(__xludf.DUMMYFUNCTION("CONCATENATE(GOOGLETRANSLATE(C44, ""en"", ""ja""))"),"大型ソファバッククッションベッドソファシートレストパッドウエストサポート背もたれ枕ホームオフィス家具装飾")</f>
        <v>大型ソファバッククッションベッドソファシートレストパッドウエストサポート背もたれ枕ホームオフィス家具装飾</v>
      </c>
    </row>
    <row r="45" ht="15.75" customHeight="1">
      <c r="A45" s="1">
        <v>1510.0</v>
      </c>
      <c r="B45" s="1" t="s">
        <v>15</v>
      </c>
      <c r="C45" s="1" t="s">
        <v>35</v>
      </c>
      <c r="D45" s="1" t="str">
        <f>IFERROR(__xludf.DUMMYFUNCTION("CONCATENATE(GOOGLETRANSLATE(C45, ""en"", ""zh-cn""))"),"神奇跑马可拆卸 PVC 墙贴背景儿童卧室贴花")</f>
        <v>神奇跑马可拆卸 PVC 墙贴背景儿童卧室贴花</v>
      </c>
      <c r="E45" s="1" t="str">
        <f>IFERROR(__xludf.DUMMYFUNCTION("CONCATENATE(GOOGLETRANSLATE(C45, ""en"", ""ko""))"),"마법의 달리기 말 이동식 PVC 벽 스티커 배경 어린이 침실 데칼")</f>
        <v>마법의 달리기 말 이동식 PVC 벽 스티커 배경 어린이 침실 데칼</v>
      </c>
      <c r="F45" s="1" t="str">
        <f>IFERROR(__xludf.DUMMYFUNCTION("CONCATENATE(GOOGLETRANSLATE(C45, ""en"", ""ja""))"),"魔法のランニング馬取り外し可能な PVC ウォールステッカー背景子供の寝室のデカール")</f>
        <v>魔法のランニング馬取り外し可能な PVC ウォールステッカー背景子供の寝室のデカール</v>
      </c>
    </row>
    <row r="46" ht="15.75" customHeight="1">
      <c r="A46" s="1">
        <v>1511.0</v>
      </c>
      <c r="B46" s="1" t="s">
        <v>15</v>
      </c>
      <c r="C46" s="1" t="s">
        <v>36</v>
      </c>
      <c r="D46" s="1" t="str">
        <f>IFERROR(__xludf.DUMMYFUNCTION("CONCATENATE(GOOGLETRANSLATE(C46, ""en"", ""zh-cn""))"),"2 座弹性天鹅绒沙发套通用椅子座椅保护沙发套弹力沙发套家庭办公家具装饰")</f>
        <v>2 座弹性天鹅绒沙发套通用椅子座椅保护沙发套弹力沙发套家庭办公家具装饰</v>
      </c>
      <c r="E46" s="1" t="str">
        <f>IFERROR(__xludf.DUMMYFUNCTION("CONCATENATE(GOOGLETRANSLATE(C46, ""en"", ""ko""))"),"2 인승 탄성 벨벳 소파 커버 유니버설 의자 좌석 보호대 소파 케이스 스트레치 슬립 커버 홈 오피스 가구 장식")</f>
        <v>2 인승 탄성 벨벳 소파 커버 유니버설 의자 좌석 보호대 소파 케이스 스트레치 슬립 커버 홈 오피스 가구 장식</v>
      </c>
      <c r="F46" s="1" t="str">
        <f>IFERROR(__xludf.DUMMYFUNCTION("CONCATENATE(GOOGLETRANSLATE(C46, ""en"", ""ja""))"),"2 人乗り弾性ベルベットソファカバーユニバーサル椅子シートプロテクターソファケースストレッチスリップカバーホームオフィス家具装飾")</f>
        <v>2 人乗り弾性ベルベットソファカバーユニバーサル椅子シートプロテクターソファケースストレッチスリップカバーホームオフィス家具装飾</v>
      </c>
    </row>
    <row r="47" ht="15.75" customHeight="1">
      <c r="A47" s="1">
        <v>1512.0</v>
      </c>
      <c r="B47" s="1" t="s">
        <v>15</v>
      </c>
      <c r="C47" s="1" t="s">
        <v>37</v>
      </c>
      <c r="D47" s="1" t="str">
        <f>IFERROR(__xludf.DUMMYFUNCTION("CONCATENATE(GOOGLETRANSLATE(C47, ""en"", ""zh-cn""))"),"Suleve™ MXSN1 50 件不锈钢公制粗牙螺纹六角螺母 M2 M3 M4 M5 M6")</f>
        <v>Suleve™ MXSN1 50 件不锈钢公制粗牙螺纹六角螺母 M2 M3 M4 M5 M6</v>
      </c>
      <c r="E47" s="1" t="str">
        <f>IFERROR(__xludf.DUMMYFUNCTION("CONCATENATE(GOOGLETRANSLATE(C47, ""en"", ""ko""))"),"Suleve™ MXSN1 50개 스테인레스 스틸 미터법 거친 피치 나사산 육각 너트 M2 M3 M4 M5 M6")</f>
        <v>Suleve™ MXSN1 50개 스테인레스 스틸 미터법 거친 피치 나사산 육각 너트 M2 M3 M4 M5 M6</v>
      </c>
      <c r="F47" s="1" t="str">
        <f>IFERROR(__xludf.DUMMYFUNCTION("CONCATENATE(GOOGLETRANSLATE(C47, ""en"", ""ja""))"),"Suleve™ MXSN1 50 個ステンレス鋼メートル並目ねじ山六角ナット M2 M3 M4 M5 M6")</f>
        <v>Suleve™ MXSN1 50 個ステンレス鋼メートル並目ねじ山六角ナット M2 M3 M4 M5 M6</v>
      </c>
    </row>
    <row r="48" ht="15.75" customHeight="1">
      <c r="A48" s="1">
        <v>1513.0</v>
      </c>
      <c r="B48" s="1" t="s">
        <v>15</v>
      </c>
      <c r="C48" s="1" t="s">
        <v>38</v>
      </c>
      <c r="D48" s="1" t="str">
        <f>IFERROR(__xludf.DUMMYFUNCTION("CONCATENATE(GOOGLETRANSLATE(C48, ""en"", ""zh-cn""))"),"3D 自粘瓷砖贴纸艺术贴花 DIY 墙贴家居厨房装饰")</f>
        <v>3D 自粘瓷砖贴纸艺术贴花 DIY 墙贴家居厨房装饰</v>
      </c>
      <c r="E48" s="1" t="str">
        <f>IFERROR(__xludf.DUMMYFUNCTION("CONCATENATE(GOOGLETRANSLATE(C48, ""en"", ""ko""))"),"3D 자체 접착 타일 스티커 아트 데칼 DIY 벽 스티커 홈 주방 장식")</f>
        <v>3D 자체 접착 타일 스티커 아트 데칼 DIY 벽 스티커 홈 주방 장식</v>
      </c>
      <c r="F48" s="1" t="str">
        <f>IFERROR(__xludf.DUMMYFUNCTION("CONCATENATE(GOOGLETRANSLATE(C48, ""en"", ""ja""))"),"3D 自己粘着タイルステッカーアートデカール DIY ウォールステッカーホームキッチン装飾")</f>
        <v>3D 自己粘着タイルステッカーアートデカール DIY ウォールステッカーホームキッチン装飾</v>
      </c>
    </row>
    <row r="49" ht="15.75" customHeight="1">
      <c r="A49" s="1">
        <v>1514.0</v>
      </c>
      <c r="B49" s="1" t="s">
        <v>15</v>
      </c>
      <c r="C49" s="1" t="s">
        <v>39</v>
      </c>
      <c r="D49" s="1" t="str">
        <f>IFERROR(__xludf.DUMMYFUNCTION("CONCATENATE(GOOGLETRANSLATE(C49, ""en"", ""zh-cn""))"),"静电吸附无胶可重复使用可拆卸隐私磨砂装饰窗户玻璃膜")</f>
        <v>静电吸附无胶可重复使用可拆卸隐私磨砂装饰窗户玻璃膜</v>
      </c>
      <c r="E49" s="1" t="str">
        <f>IFERROR(__xludf.DUMMYFUNCTION("CONCATENATE(GOOGLETRANSLATE(C49, ""en"", ""ko""))"),"정적 집착 글루리스 재사용 가능한 이동식 개인 정보 보호 젖빛 장식 창 유리 필름")</f>
        <v>정적 집착 글루리스 재사용 가능한 이동식 개인 정보 보호 젖빛 장식 창 유리 필름</v>
      </c>
      <c r="F49" s="1" t="str">
        <f>IFERROR(__xludf.DUMMYFUNCTION("CONCATENATE(GOOGLETRANSLATE(C49, ""en"", ""ja""))"),"静電気でくっつく接着剤不要の再利用可能、取り外し可能、プライバシーつや消し装飾窓ガラスフィルム")</f>
        <v>静電気でくっつく接着剤不要の再利用可能、取り外し可能、プライバシーつや消し装飾窓ガラスフィルム</v>
      </c>
    </row>
    <row r="50" ht="15.75" customHeight="1">
      <c r="A50" s="1">
        <v>1515.0</v>
      </c>
      <c r="B50" s="1" t="s">
        <v>15</v>
      </c>
      <c r="C50" s="1" t="s">
        <v>40</v>
      </c>
      <c r="D50" s="1" t="str">
        <f>IFERROR(__xludf.DUMMYFUNCTION("CONCATENATE(GOOGLETRANSLATE(C50, ""en"", ""zh-cn""))"),"3D DIY 砖纹壁纸防水家居客厅卧室厨房壁纸")</f>
        <v>3D DIY 砖纹壁纸防水家居客厅卧室厨房壁纸</v>
      </c>
      <c r="E50" s="1" t="str">
        <f>IFERROR(__xludf.DUMMYFUNCTION("CONCATENATE(GOOGLETRANSLATE(C50, ""en"", ""ko""))"),"3D DIY 벽돌 패턴 벽지 방수 홈 거실 침실 주방 벽지")</f>
        <v>3D DIY 벽돌 패턴 벽지 방수 홈 거실 침실 주방 벽지</v>
      </c>
      <c r="F50" s="1" t="str">
        <f>IFERROR(__xludf.DUMMYFUNCTION("CONCATENATE(GOOGLETRANSLATE(C50, ""en"", ""ja""))"),"3D DIY レンガパターン壁紙防水ホームリビングルームベッドルームキッチン壁紙")</f>
        <v>3D DIY レンガパターン壁紙防水ホームリビングルームベッドルームキッチン壁紙</v>
      </c>
    </row>
    <row r="51" ht="15.75" customHeight="1">
      <c r="A51" s="1">
        <v>1516.0</v>
      </c>
      <c r="B51" s="1" t="s">
        <v>15</v>
      </c>
      <c r="C51" s="1" t="s">
        <v>41</v>
      </c>
      <c r="D51" s="1" t="str">
        <f>IFERROR(__xludf.DUMMYFUNCTION("CONCATENATE(GOOGLETRANSLATE(C51, ""en"", ""zh-cn""))"),"高背垫软摇躺椅座垫长凳靠背垫护腰枕垫家用办公家具装饰品")</f>
        <v>高背垫软摇躺椅座垫长凳靠背垫护腰枕垫家用办公家具装饰品</v>
      </c>
      <c r="E51" s="1" t="str">
        <f>IFERROR(__xludf.DUMMYFUNCTION("CONCATENATE(GOOGLETRANSLATE(C51, ""en"", ""ko""))"),"하이 백 쿠션 소프트 락킹 안락 의자 의자 좌석 쿠션 벤치 등받이 패드 허리 지원 베개 매트 홈 오피스 가구 장식")</f>
        <v>하이 백 쿠션 소프트 락킹 안락 의자 의자 좌석 쿠션 벤치 등받이 패드 허리 지원 베개 매트 홈 오피스 가구 장식</v>
      </c>
      <c r="F51" s="1" t="str">
        <f>IFERROR(__xludf.DUMMYFUNCTION("CONCATENATE(GOOGLETRANSLATE(C51, ""en"", ""ja""))"),"ハイバッククッションソフトロッキングリクライニングチェアシートクッションベンチ背もたれパッドウエストサポート枕マットホームオフィス家具装飾")</f>
        <v>ハイバッククッションソフトロッキングリクライニングチェアシートクッションベンチ背もたれパッドウエストサポート枕マットホームオフィス家具装飾</v>
      </c>
    </row>
    <row r="52" ht="15.75" customHeight="1">
      <c r="A52" s="1">
        <v>1517.0</v>
      </c>
      <c r="B52" s="1" t="s">
        <v>15</v>
      </c>
      <c r="C52" s="1" t="s">
        <v>42</v>
      </c>
      <c r="D52" s="1" t="str">
        <f>IFERROR(__xludf.DUMMYFUNCTION("CONCATENATE(GOOGLETRANSLATE(C52, ""en"", ""zh-cn""))"),"2/3 层储物架三角角架架浴室厨房最大 19 公斤")</f>
        <v>2/3 层储物架三角角架架浴室厨房最大 19 公斤</v>
      </c>
      <c r="E52" s="1" t="str">
        <f>IFERROR(__xludf.DUMMYFUNCTION("CONCATENATE(GOOGLETRANSLATE(C52, ""en"", ""ko""))"),"2/3단 스토리지 랙 삼각형 코너 선반 홀더 욕실 주방 최대 19KG")</f>
        <v>2/3단 스토리지 랙 삼각형 코너 선반 홀더 욕실 주방 최대 19KG</v>
      </c>
      <c r="F52" s="1" t="str">
        <f>IFERROR(__xludf.DUMMYFUNCTION("CONCATENATE(GOOGLETRANSLATE(C52, ""en"", ""ja""))"),"2/3段収納ラック 三角コーナー棚ホルダー バスルーム キッチン MAX 19KG")</f>
        <v>2/3段収納ラック 三角コーナー棚ホルダー バスルーム キッチン MAX 19KG</v>
      </c>
    </row>
    <row r="53" ht="15.75" customHeight="1">
      <c r="A53" s="1">
        <v>1518.0</v>
      </c>
      <c r="B53" s="1" t="s">
        <v>15</v>
      </c>
      <c r="C53" s="1" t="s">
        <v>43</v>
      </c>
      <c r="D53" s="1" t="str">
        <f>IFERROR(__xludf.DUMMYFUNCTION("CONCATENATE(GOOGLETRANSLATE(C53, ""en"", ""zh-cn""))"),"三角床头板枕，三角床头靠垫阅读枕垫靠背定位支撑枕沙发床家用办公家具装饰品")</f>
        <v>三角床头板枕，三角床头靠垫阅读枕垫靠背定位支撑枕沙发床家用办公家具装饰品</v>
      </c>
      <c r="E53" s="1" t="str">
        <f>IFERROR(__xludf.DUMMYFUNCTION("CONCATENATE(GOOGLETRANSLATE(C53, ""en"", ""ko""))"),"삼각형 머리판 베개, 삼각형 침대 옆 쿠션 독서 베개 볼스터 등받이 위치 지원 베개 소파 침대 홈 오피스 가구 장식")</f>
        <v>삼각형 머리판 베개, 삼각형 침대 옆 쿠션 독서 베개 볼스터 등받이 위치 지원 베개 소파 침대 홈 오피스 가구 장식</v>
      </c>
      <c r="F53" s="1" t="str">
        <f>IFERROR(__xludf.DUMMYFUNCTION("CONCATENATE(GOOGLETRANSLATE(C53, ""en"", ""ja""))"),"三角ヘッドボード枕、三角ベッドサイドクッション読書枕ボルスター背もたれポジショニングサポート枕ソファベッドホームオフィス家具装飾用")</f>
        <v>三角ヘッドボード枕、三角ベッドサイドクッション読書枕ボルスター背もたれポジショニングサポート枕ソファベッドホームオフィス家具装飾用</v>
      </c>
    </row>
    <row r="54" ht="15.75" customHeight="1">
      <c r="A54" s="1">
        <v>1519.0</v>
      </c>
      <c r="B54" s="1" t="s">
        <v>15</v>
      </c>
      <c r="C54" s="1" t="s">
        <v>44</v>
      </c>
      <c r="D54" s="1" t="str">
        <f>IFERROR(__xludf.DUMMYFUNCTION("CONCATENATE(GOOGLETRANSLATE(C54, ""en"", ""zh-cn""))"),"吊篮户外秋千吊椅室内休闲摇篮编织流苏阳台")</f>
        <v>吊篮户外秋千吊椅室内休闲摇篮编织流苏阳台</v>
      </c>
      <c r="E54" s="1" t="str">
        <f>IFERROR(__xludf.DUMMYFUNCTION("CONCATENATE(GOOGLETRANSLATE(C54, ""en"", ""ko""))"),"교수형 바구니 야외 스윙 교수형 의자 실내 레저 요람 짠 술 발코니")</f>
        <v>교수형 바구니 야외 스윙 교수형 의자 실내 레저 요람 짠 술 발코니</v>
      </c>
      <c r="F54" s="1" t="str">
        <f>IFERROR(__xludf.DUMMYFUNCTION("CONCATENATE(GOOGLETRANSLATE(C54, ""en"", ""ja""))"),"ハンギングバスケット 屋外ブランコ ハンギングチェア 屋内レジャークレードル 織タッセル バルコニー")</f>
        <v>ハンギングバスケット 屋外ブランコ ハンギングチェア 屋内レジャークレードル 織タッセル バルコニー</v>
      </c>
    </row>
    <row r="55" ht="15.75" customHeight="1">
      <c r="A55" s="1">
        <v>1520.0</v>
      </c>
      <c r="B55" s="1" t="s">
        <v>15</v>
      </c>
      <c r="C55" s="1" t="s">
        <v>45</v>
      </c>
      <c r="D55" s="1" t="str">
        <f>IFERROR(__xludf.DUMMYFUNCTION("CONCATENATE(GOOGLETRANSLATE(C55, ""en"", ""zh-cn""))"),"Suleve 50 件 M4ZN1 M4 锌合金木质家具内六角驱动头旋入式螺纹插入螺母")</f>
        <v>Suleve 50 件 M4ZN1 M4 锌合金木质家具内六角驱动头旋入式螺纹插入螺母</v>
      </c>
      <c r="E55" s="1" t="str">
        <f>IFERROR(__xludf.DUMMYFUNCTION("CONCATENATE(GOOGLETRANSLATE(C55, ""en"", ""ko""))"),"Suleve 50Pcs M4ZN1 M4 아연 합금 목재 가구 육각 소켓 드라이브 헤드 나사 식 나사 삽입 너트")</f>
        <v>Suleve 50Pcs M4ZN1 M4 아연 합금 목재 가구 육각 소켓 드라이브 헤드 나사 식 나사 삽입 너트</v>
      </c>
      <c r="F55" s="1" t="str">
        <f>IFERROR(__xludf.DUMMYFUNCTION("CONCATENATE(GOOGLETRANSLATE(C55, ""en"", ""ja""))"),"Suleve 50 個 M4ZN1 M4 亜鉛合金木製家具六角ソケットドライブヘッドねじ込みねじインサートナット")</f>
        <v>Suleve 50 個 M4ZN1 M4 亜鉛合金木製家具六角ソケットドライブヘッドねじ込みねじインサートナット</v>
      </c>
    </row>
    <row r="56" ht="15.75" customHeight="1">
      <c r="A56" s="1">
        <v>1521.0</v>
      </c>
      <c r="B56" s="1" t="s">
        <v>15</v>
      </c>
      <c r="C56" s="1" t="s">
        <v>46</v>
      </c>
      <c r="D56" s="1" t="str">
        <f>IFERROR(__xludf.DUMMYFUNCTION("CONCATENATE(GOOGLETRANSLATE(C56, ""en"", ""zh-cn""))"),"仿古铸铁管门把手抽屉门拉手工业朋克墙壁支架")</f>
        <v>仿古铸铁管门把手抽屉门拉手工业朋克墙壁支架</v>
      </c>
      <c r="E56" s="1" t="str">
        <f>IFERROR(__xludf.DUMMYFUNCTION("CONCATENATE(GOOGLETRANSLATE(C56, ""en"", ""ko""))"),"골동품 주철 파이프 도어 핸들 서랍 게이트 풀 핸들 산업용 펑크 벽 홀더")</f>
        <v>골동품 주철 파이프 도어 핸들 서랍 게이트 풀 핸들 산업용 펑크 벽 홀더</v>
      </c>
      <c r="F56" s="1" t="str">
        <f>IFERROR(__xludf.DUMMYFUNCTION("CONCATENATE(GOOGLETRANSLATE(C56, ""en"", ""ja""))"),"アンティーク鋳鉄パイプドアハンドル引き出しゲートプルハンドル工業用パンク壁ホルダー")</f>
        <v>アンティーク鋳鉄パイプドアハンドル引き出しゲートプルハンドル工業用パンク壁ホルダー</v>
      </c>
    </row>
    <row r="57" ht="15.75" customHeight="1">
      <c r="A57" s="1">
        <v>1522.0</v>
      </c>
      <c r="B57" s="1" t="s">
        <v>15</v>
      </c>
      <c r="C57" s="1" t="s">
        <v>47</v>
      </c>
      <c r="D57" s="1" t="str">
        <f>IFERROR(__xludf.DUMMYFUNCTION("CONCATENATE(GOOGLETRANSLATE(C57, ""en"", ""zh-cn""))"),"PU 皮革展示盒手表收纳盒塑料收纳盒适用于珠宝手表配件")</f>
        <v>PU 皮革展示盒手表收纳盒塑料收纳盒适用于珠宝手表配件</v>
      </c>
      <c r="E57" s="1" t="str">
        <f>IFERROR(__xludf.DUMMYFUNCTION("CONCATENATE(GOOGLETRANSLATE(C57, ""en"", ""ko""))"),"PU 가죽 진열장은 보석 시계 부속품을 위한 저장 상자 플라스틱 조직자를 봅니다")</f>
        <v>PU 가죽 진열장은 보석 시계 부속품을 위한 저장 상자 플라스틱 조직자를 봅니다</v>
      </c>
      <c r="F57" s="1" t="str">
        <f>IFERROR(__xludf.DUMMYFUNCTION("CONCATENATE(GOOGLETRANSLATE(C57, ""en"", ""ja""))"),"PU レザーディスプレイケース時計収納ボックスジュエリー時計アクセサリー用プラスチックオーガナイザー")</f>
        <v>PU レザーディスプレイケース時計収納ボックスジュエリー時計アクセサリー用プラスチックオーガナイザー</v>
      </c>
    </row>
    <row r="58" ht="15.75" customHeight="1">
      <c r="A58" s="1">
        <v>1523.0</v>
      </c>
      <c r="B58" s="1" t="s">
        <v>15</v>
      </c>
      <c r="C58" s="1" t="s">
        <v>48</v>
      </c>
      <c r="D58" s="1" t="str">
        <f>IFERROR(__xludf.DUMMYFUNCTION("CONCATENATE(GOOGLETRANSLATE(C58, ""en"", ""zh-cn""))"),"1/2/3 层塑料桌面收纳盒抽屉化妆盒制作杂物收纳盒容器 ")</f>
        <v>1/2/3 层塑料桌面收纳盒抽屉化妆盒制作杂物收纳盒容器 </v>
      </c>
      <c r="E58" s="1" t="str">
        <f>IFERROR(__xludf.DUMMYFUNCTION("CONCATENATE(GOOGLETRANSLATE(C58, ""en"", ""ko""))"),"1/2/3 레이어 플라스틱 데스크탑 주최자 서랍 메이크업 홀더 상자 잡다한 보관 상자 컨테이너 만들기 ")</f>
        <v>1/2/3 레이어 플라스틱 데스크탑 주최자 서랍 메이크업 홀더 상자 잡다한 보관 상자 컨테이너 만들기 </v>
      </c>
      <c r="F58" s="1" t="str">
        <f>IFERROR(__xludf.DUMMYFUNCTION("CONCATENATE(GOOGLETRANSLATE(C58, ""en"", ""ja""))"),"1/2/3 層プラスチックデスクトップオーガナイザー引き出し化粧ホルダーボックスメイク雑貨収納ボックスコンテナ ")</f>
        <v>1/2/3 層プラスチックデスクトップオーガナイザー引き出し化粧ホルダーボックスメイク雑貨収納ボックスコンテナ </v>
      </c>
    </row>
    <row r="59" ht="15.75" customHeight="1">
      <c r="A59" s="1">
        <v>1524.0</v>
      </c>
      <c r="B59" s="1" t="s">
        <v>15</v>
      </c>
      <c r="C59" s="1" t="s">
        <v>49</v>
      </c>
      <c r="D59" s="1" t="str">
        <f>IFERROR(__xludf.DUMMYFUNCTION("CONCATENATE(GOOGLETRANSLATE(C59, ""en"", ""zh-cn""))"),"Suleve™ M3SH5 50 件 M3 不锈钢内六角螺钉螺栓 4-20mm 可选长度")</f>
        <v>Suleve™ M3SH5 50 件 M3 不锈钢内六角螺钉螺栓 4-20mm 可选长度</v>
      </c>
      <c r="E59" s="1" t="str">
        <f>IFERROR(__xludf.DUMMYFUNCTION("CONCATENATE(GOOGLETRANSLATE(C59, ""en"", ""ko""))"),"Suleve™ M3SH5 50개 M3 스테인레스 스틸 육각 소켓 캡 머리 나사 볼트 4-20mm 옵션 길이")</f>
        <v>Suleve™ M3SH5 50개 M3 스테인레스 스틸 육각 소켓 캡 머리 나사 볼트 4-20mm 옵션 길이</v>
      </c>
      <c r="F59" s="1" t="str">
        <f>IFERROR(__xludf.DUMMYFUNCTION("CONCATENATE(GOOGLETRANSLATE(C59, ""en"", ""ja""))"),"Suleve™ M3SH5 50 個 M3 ステンレス鋼六角穴付きキャップヘッドネジボルト 4-20 ミリメートルオプションの長さ")</f>
        <v>Suleve™ M3SH5 50 個 M3 ステンレス鋼六角穴付きキャップヘッドネジボルト 4-20 ミリメートルオプションの長さ</v>
      </c>
    </row>
    <row r="60" ht="15.75" customHeight="1">
      <c r="A60" s="1">
        <v>1525.0</v>
      </c>
      <c r="B60" s="1" t="s">
        <v>15</v>
      </c>
      <c r="C60" s="1" t="s">
        <v>50</v>
      </c>
      <c r="D60" s="1" t="str">
        <f>IFERROR(__xludf.DUMMYFUNCTION("CONCATENATE(GOOGLETRANSLATE(C60, ""en"", ""zh-cn""))"),"BVSOIVIA 冷热浴室自动非接触式红外感应水龙头非接触式节水感应电动水龙头混合器电源")</f>
        <v>BVSOIVIA 冷热浴室自动非接触式红外感应水龙头非接触式节水感应电动水龙头混合器电源</v>
      </c>
      <c r="E60" s="1" t="str">
        <f>IFERROR(__xludf.DUMMYFUNCTION("CONCATENATE(GOOGLETRANSLATE(C60, ""en"", ""ko""))"),"BVSOIVIA 냉온수 욕실 자동 터치 프리 적외선 센서 수도꼭지 터치리스 물 절약 유도 전기 수도꼭지 믹서 전원")</f>
        <v>BVSOIVIA 냉온수 욕실 자동 터치 프리 적외선 센서 수도꼭지 터치리스 물 절약 유도 전기 수도꼭지 믹서 전원</v>
      </c>
      <c r="F60" s="1" t="str">
        <f>IFERROR(__xludf.DUMMYFUNCTION("CONCATENATE(GOOGLETRANSLATE(C60, ""en"", ""ja""))"),"BVSOIVIA ホット &amp; コールド浴室自動タッチフリー赤外線センサー蛇口タッチレス節水誘導電動水栓ミキサー電源")</f>
        <v>BVSOIVIA ホット &amp; コールド浴室自動タッチフリー赤外線センサー蛇口タッチレス節水誘導電動水栓ミキサー電源</v>
      </c>
    </row>
    <row r="61" ht="15.75" customHeight="1">
      <c r="A61" s="1">
        <v>1526.0</v>
      </c>
      <c r="B61" s="1" t="s">
        <v>15</v>
      </c>
      <c r="C61" s="1" t="s">
        <v>51</v>
      </c>
      <c r="D61" s="1" t="str">
        <f>IFERROR(__xludf.DUMMYFUNCTION("CONCATENATE(GOOGLETRANSLATE(C61, ""en"", ""zh-cn""))"),"360°旋转水龙头起泡器过滤增氧器网节水装置喷嘴水龙头配件")</f>
        <v>360°旋转水龙头起泡器过滤增氧器网节水装置喷嘴水龙头配件</v>
      </c>
      <c r="E61" s="1" t="str">
        <f>IFERROR(__xludf.DUMMYFUNCTION("CONCATENATE(GOOGLETRANSLATE(C61, ""en"", ""ko""))"),"360° 회전 탭 버블러 필터 통풍기 순 절수 장치 노즐 수도꼭지 피팅")</f>
        <v>360° 회전 탭 버블러 필터 통풍기 순 절수 장치 노즐 수도꼭지 피팅</v>
      </c>
      <c r="F61" s="1" t="str">
        <f>IFERROR(__xludf.DUMMYFUNCTION("CONCATENATE(GOOGLETRANSLATE(C61, ""en"", ""ja""))"),"360°回転タップバブラーフィルターエアレーターネット節水装置ノズル蛇口継手")</f>
        <v>360°回転タップバブラーフィルターエアレーターネット節水装置ノズル蛇口継手</v>
      </c>
    </row>
    <row r="62" ht="15.75" customHeight="1">
      <c r="A62" s="1">
        <v>1527.0</v>
      </c>
      <c r="B62" s="1" t="s">
        <v>15</v>
      </c>
      <c r="C62" s="1" t="s">
        <v>52</v>
      </c>
      <c r="D62" s="1" t="str">
        <f>IFERROR(__xludf.DUMMYFUNCTION("CONCATENATE(GOOGLETRANSLATE(C62, ""en"", ""zh-cn""))"),"北欧大理石外壳橱柜把手旋钮抽屉和衣柜门拉手")</f>
        <v>北欧大理石外壳橱柜把手旋钮抽屉和衣柜门拉手</v>
      </c>
      <c r="E62" s="1" t="str">
        <f>IFERROR(__xludf.DUMMYFUNCTION("CONCATENATE(GOOGLETRANSLATE(C62, ""en"", ""ko""))"),"북유럽 대리석 쉘 캐비닛 손잡이 서랍 및 옷장 문 손잡이")</f>
        <v>북유럽 대리석 쉘 캐비닛 손잡이 서랍 및 옷장 문 손잡이</v>
      </c>
      <c r="F62" s="1" t="str">
        <f>IFERROR(__xludf.DUMMYFUNCTION("CONCATENATE(GOOGLETRANSLATE(C62, ""en"", ""ja""))"),"北欧の大理石シェルキャビネットハンドルノブ引き出しとワードローブドアプル")</f>
        <v>北欧の大理石シェルキャビネットハンドルノブ引き出しとワードローブドアプル</v>
      </c>
    </row>
    <row r="63" ht="15.75" customHeight="1">
      <c r="A63" s="1">
        <v>1528.0</v>
      </c>
      <c r="B63" s="1" t="s">
        <v>15</v>
      </c>
      <c r="C63" s="1" t="s">
        <v>53</v>
      </c>
      <c r="D63" s="1" t="str">
        <f>IFERROR(__xludf.DUMMYFUNCTION("CONCATENATE(GOOGLETRANSLATE(C63, ""en"", ""zh-cn""))"),"灰色北欧大理石外壳橱柜把手旋钮抽屉和衣柜门拉手")</f>
        <v>灰色北欧大理石外壳橱柜把手旋钮抽屉和衣柜门拉手</v>
      </c>
      <c r="E63" s="1" t="str">
        <f>IFERROR(__xludf.DUMMYFUNCTION("CONCATENATE(GOOGLETRANSLATE(C63, ""en"", ""ko""))"),"회색 북유럽 대리석 쉘 캐비닛 손잡이 서랍과 옷장 문 잡아당기기")</f>
        <v>회색 북유럽 대리석 쉘 캐비닛 손잡이 서랍과 옷장 문 잡아당기기</v>
      </c>
      <c r="F63" s="1" t="str">
        <f>IFERROR(__xludf.DUMMYFUNCTION("CONCATENATE(GOOGLETRANSLATE(C63, ""en"", ""ja""))"),"グレーの北欧大理石シェルキャビネットハンドルノブ引き出しとワードローブドアプル")</f>
        <v>グレーの北欧大理石シェルキャビネットハンドルノブ引き出しとワードローブドアプル</v>
      </c>
    </row>
    <row r="64" ht="15.75" customHeight="1">
      <c r="A64" s="1">
        <v>1529.0</v>
      </c>
      <c r="B64" s="1" t="s">
        <v>15</v>
      </c>
      <c r="C64" s="1" t="s">
        <v>54</v>
      </c>
      <c r="D64" s="1" t="str">
        <f>IFERROR(__xludf.DUMMYFUNCTION("CONCATENATE(GOOGLETRANSLATE(C64, ""en"", ""zh-cn""))"),"古董青铜把手复古抽屉柜门拉手家具五金")</f>
        <v>古董青铜把手复古抽屉柜门拉手家具五金</v>
      </c>
      <c r="E64" s="1" t="str">
        <f>IFERROR(__xludf.DUMMYFUNCTION("CONCATENATE(GOOGLETRANSLATE(C64, ""en"", ""ko""))"),"골동품 청동 손잡이 복고풍 서랍 캐비닛 도어는 가구 하드웨어를 당깁니다")</f>
        <v>골동품 청동 손잡이 복고풍 서랍 캐비닛 도어는 가구 하드웨어를 당깁니다</v>
      </c>
      <c r="F64" s="1" t="str">
        <f>IFERROR(__xludf.DUMMYFUNCTION("CONCATENATE(GOOGLETRANSLATE(C64, ""en"", ""ja""))"),"アンティークブロンズハンドルレトロ引き出しキャビネットドア取手家具ハードウェア")</f>
        <v>アンティークブロンズハンドルレトロ引き出しキャビネットドア取手家具ハードウェア</v>
      </c>
    </row>
    <row r="65" ht="15.75" customHeight="1">
      <c r="A65" s="1">
        <v>1530.0</v>
      </c>
      <c r="B65" s="1" t="s">
        <v>15</v>
      </c>
      <c r="C65" s="1" t="s">
        <v>55</v>
      </c>
      <c r="D65" s="1" t="str">
        <f>IFERROR(__xludf.DUMMYFUNCTION("CONCATENATE(GOOGLETRANSLATE(C65, ""en"", ""zh-cn""))"),"13M 自粘胶带 白板网格网格标记胶带")</f>
        <v>13M 自粘胶带 白板网格网格标记胶带</v>
      </c>
      <c r="E65" s="1" t="str">
        <f>IFERROR(__xludf.DUMMYFUNCTION("CONCATENATE(GOOGLETRANSLATE(C65, ""en"", ""ko""))"),"13M 자체 접착 테이프 화이트 보드 그리드 그리드 마킹 테이프")</f>
        <v>13M 자체 접착 테이프 화이트 보드 그리드 그리드 마킹 테이프</v>
      </c>
      <c r="F65" s="1" t="str">
        <f>IFERROR(__xludf.DUMMYFUNCTION("CONCATENATE(GOOGLETRANSLATE(C65, ""en"", ""ja""))"),"13 メートル自己粘着テープホワイトボードグリッドグリッドマーキングテープ")</f>
        <v>13 メートル自己粘着テープホワイトボードグリッドグリッドマーキングテープ</v>
      </c>
    </row>
    <row r="66" ht="15.75" customHeight="1">
      <c r="A66" s="1">
        <v>1531.0</v>
      </c>
      <c r="B66" s="1" t="s">
        <v>15</v>
      </c>
      <c r="C66" s="1" t="s">
        <v>56</v>
      </c>
      <c r="D66" s="1" t="str">
        <f>IFERROR(__xludf.DUMMYFUNCTION("CONCATENATE(GOOGLETRANSLATE(C66, ""en"", ""zh-cn""))"),"头部渔网 Brail 纳米钛合金登陆网 可拆卸手网")</f>
        <v>头部渔网 Brail 纳米钛合金登陆网 可拆卸手网</v>
      </c>
      <c r="E66" s="1" t="str">
        <f>IFERROR(__xludf.DUMMYFUNCTION("CONCATENATE(GOOGLETRANSLATE(C66, ""en"", ""ko""))"),"머리 낚시 그물 Brail 나노 티타늄 합금 착륙 그물 이동식 손 그물")</f>
        <v>머리 낚시 그물 Brail 나노 티타늄 합금 착륙 그물 이동식 손 그물</v>
      </c>
      <c r="F66" s="1" t="str">
        <f>IFERROR(__xludf.DUMMYFUNCTION("CONCATENATE(GOOGLETRANSLATE(C66, ""en"", ""ja""))"),"ヘッド漁網ブレイルナノチタン合金ランディングネット取り外し可能なハンドネット")</f>
        <v>ヘッド漁網ブレイルナノチタン合金ランディングネット取り外し可能なハンドネット</v>
      </c>
    </row>
    <row r="67" ht="15.75" customHeight="1">
      <c r="A67" s="1">
        <v>1532.0</v>
      </c>
      <c r="B67" s="1" t="s">
        <v>15</v>
      </c>
      <c r="C67" s="1" t="s">
        <v>57</v>
      </c>
      <c r="D67" s="1" t="str">
        <f>IFERROR(__xludf.DUMMYFUNCTION("CONCATENATE(GOOGLETRANSLATE(C67, ""en"", ""zh-cn""))"),"亚克力 DIY 框架边框吊坠黑色塑料 UV 树脂盒圣诞装饰礼物 8 图案带孔")</f>
        <v>亚克力 DIY 框架边框吊坠黑色塑料 UV 树脂盒圣诞装饰礼物 8 图案带孔</v>
      </c>
      <c r="E67" s="1" t="str">
        <f>IFERROR(__xludf.DUMMYFUNCTION("CONCATENATE(GOOGLETRANSLATE(C67, ""en"", ""ko""))"),"아크릴 DIY 프레임 베젤 펜던트 블랙 플라스틱 UV 수지 상자 크리스마스 장식 선물 8 패턴 구멍")</f>
        <v>아크릴 DIY 프레임 베젤 펜던트 블랙 플라스틱 UV 수지 상자 크리스마스 장식 선물 8 패턴 구멍</v>
      </c>
      <c r="F67" s="1" t="str">
        <f>IFERROR(__xludf.DUMMYFUNCTION("CONCATENATE(GOOGLETRANSLATE(C67, ""en"", ""ja""))"),"アクリル DIY フレームベゼルペンダントブラックプラスチック UV 樹脂ボックスクリスマス装飾ギフト 8 パターン穴付き")</f>
        <v>アクリル DIY フレームベゼルペンダントブラックプラスチック UV 樹脂ボックスクリスマス装飾ギフト 8 パターン穴付き</v>
      </c>
    </row>
    <row r="68" ht="15.75" customHeight="1">
      <c r="A68" s="1">
        <v>1533.0</v>
      </c>
      <c r="B68" s="1" t="s">
        <v>15</v>
      </c>
      <c r="C68" s="1" t="s">
        <v>58</v>
      </c>
      <c r="D68" s="1" t="str">
        <f>IFERROR(__xludf.DUMMYFUNCTION("CONCATENATE(GOOGLETRANSLATE(C68, ""en"", ""zh-cn""))"),"精铜角阀冷热水通用浴室厨房阀门八字时尚设计")</f>
        <v>精铜角阀冷热水通用浴室厨房阀门八字时尚设计</v>
      </c>
      <c r="E68" s="1" t="str">
        <f>IFERROR(__xludf.DUMMYFUNCTION("CONCATENATE(GOOGLETRANSLATE(C68, ""en"", ""ko""))"),"고급 구리 앵글 밸브 냉온수 범용 욕실 주방 밸브 8자 패션 디자인")</f>
        <v>고급 구리 앵글 밸브 냉온수 범용 욕실 주방 밸브 8자 패션 디자인</v>
      </c>
      <c r="F68" s="1" t="str">
        <f>IFERROR(__xludf.DUMMYFUNCTION("CONCATENATE(GOOGLETRANSLATE(C68, ""en"", ""ja""))"),"ファイン銅アングルバルブ冷温水ユニバーサルバスルームキッチンバルブ 8 文字ファッションデザイン")</f>
        <v>ファイン銅アングルバルブ冷温水ユニバーサルバスルームキッチンバルブ 8 文字ファッションデザイン</v>
      </c>
    </row>
    <row r="69" ht="15.75" customHeight="1">
      <c r="A69" s="1">
        <v>1534.0</v>
      </c>
      <c r="B69" s="1" t="s">
        <v>15</v>
      </c>
      <c r="C69" s="1" t="s">
        <v>59</v>
      </c>
      <c r="D69" s="1" t="str">
        <f>IFERROR(__xludf.DUMMYFUNCTION("CONCATENATE(GOOGLETRANSLATE(C69, ""en"", ""zh-cn""))"),"40*40 厘米涤纶椅垫方形软垫家用办公室装饰餐饮")</f>
        <v>40*40 厘米涤纶椅垫方形软垫家用办公室装饰餐饮</v>
      </c>
      <c r="E69" s="1" t="str">
        <f>IFERROR(__xludf.DUMMYFUNCTION("CONCATENATE(GOOGLETRANSLATE(C69, ""en"", ""ko""))"),"40*40cm 폴리에스테르 의자 쿠션 사각 소프트 패딩 패드 홈 오피스 장식 식사")</f>
        <v>40*40cm 폴리에스테르 의자 쿠션 사각 소프트 패딩 패드 홈 오피스 장식 식사</v>
      </c>
      <c r="F69" s="1" t="str">
        <f>IFERROR(__xludf.DUMMYFUNCTION("CONCATENATE(GOOGLETRANSLATE(C69, ""en"", ""ja""))"),"40*40 センチメートルポリエステル椅子クッション正方形ソフトパッド入りパッドホームオフィス装飾ダイニング")</f>
        <v>40*40 センチメートルポリエステル椅子クッション正方形ソフトパッド入りパッドホームオフィス装飾ダイニング</v>
      </c>
    </row>
    <row r="70" ht="15.75" customHeight="1">
      <c r="A70" s="1">
        <v>1535.0</v>
      </c>
      <c r="B70" s="1" t="s">
        <v>15</v>
      </c>
      <c r="C70" s="1" t="s">
        <v>60</v>
      </c>
      <c r="D70" s="1" t="str">
        <f>IFERROR(__xludf.DUMMYFUNCTION("CONCATENATE(GOOGLETRANSLATE(C70, ""en"", ""zh-cn""))"),"XL 尺寸旋转电脑椅套弹力带 2 个扶手套扶手椅套座椅")</f>
        <v>XL 尺寸旋转电脑椅套弹力带 2 个扶手套扶手椅套座椅</v>
      </c>
      <c r="E70" s="1" t="str">
        <f>IFERROR(__xludf.DUMMYFUNCTION("CONCATENATE(GOOGLETRANSLATE(C70, ""en"", ""ko""))"),"XL 사이즈 회전 컴퓨터 의자 커버 스트레치 팔걸이 커버 2개 포함 안락 의자 커버 시트")</f>
        <v>XL 사이즈 회전 컴퓨터 의자 커버 스트레치 팔걸이 커버 2개 포함 안락 의자 커버 시트</v>
      </c>
      <c r="F70" s="1" t="str">
        <f>IFERROR(__xludf.DUMMYFUNCTION("CONCATENATE(GOOGLETRANSLATE(C70, ""en"", ""ja""))"),"XL サイズ スイベル コンピューターチェア カバー ストレッチ アームレスト カバー 2 枚付き アームチェア スリップカバー シート")</f>
        <v>XL サイズ スイベル コンピューターチェア カバー ストレッチ アームレスト カバー 2 枚付き アームチェア スリップカバー シート</v>
      </c>
    </row>
    <row r="71" ht="15.75" customHeight="1">
      <c r="A71" s="1">
        <v>1536.0</v>
      </c>
      <c r="B71" s="1" t="s">
        <v>15</v>
      </c>
      <c r="C71" s="1" t="s">
        <v>61</v>
      </c>
      <c r="D71" s="1" t="str">
        <f>IFERROR(__xludf.DUMMYFUNCTION("CONCATENATE(GOOGLETRANSLATE(C71, ""en"", ""zh-cn""))"),"北欧印花圆形棉质椅垫软垫餐厅家庭办公室露台花园")</f>
        <v>北欧印花圆形棉质椅垫软垫餐厅家庭办公室露台花园</v>
      </c>
      <c r="E71" s="1" t="str">
        <f>IFERROR(__xludf.DUMMYFUNCTION("CONCATENATE(GOOGLETRANSLATE(C71, ""en"", ""ko""))"),"노르딕 프린트 라운드 코튼 의자 쿠션 소프트 패드 다이닝 홈 오피스 파티오 가든")</f>
        <v>노르딕 프린트 라운드 코튼 의자 쿠션 소프트 패드 다이닝 홈 오피스 파티오 가든</v>
      </c>
      <c r="F71" s="1" t="str">
        <f>IFERROR(__xludf.DUMMYFUNCTION("CONCATENATE(GOOGLETRANSLATE(C71, ""en"", ""ja""))"),"北欧プリント ラウンド コットン チェア クッション ソフト パッド ダイニング ホーム オフィス パティオ ガーデン")</f>
        <v>北欧プリント ラウンド コットン チェア クッション ソフト パッド ダイニング ホーム オフィス パティオ ガーデン</v>
      </c>
    </row>
    <row r="72" ht="15.75" customHeight="1">
      <c r="A72" s="1">
        <v>1537.0</v>
      </c>
      <c r="B72" s="1" t="s">
        <v>15</v>
      </c>
      <c r="C72" s="1" t="s">
        <v>62</v>
      </c>
      <c r="D72" s="1" t="str">
        <f>IFERROR(__xludf.DUMMYFUNCTION("CONCATENATE(GOOGLETRANSLATE(C72, ""en"", ""zh-cn""))"),"EDC 便携式开门器电梯手柄钥匙铝合金")</f>
        <v>EDC 便携式开门器电梯手柄钥匙铝合金</v>
      </c>
      <c r="E72" s="1" t="str">
        <f>IFERROR(__xludf.DUMMYFUNCTION("CONCATENATE(GOOGLETRANSLATE(C72, ""en"", ""ko""))"),"EDC 휴대용 도어 오프너 엘리베이터 핸들 키 알루미늄 합금")</f>
        <v>EDC 휴대용 도어 오프너 엘리베이터 핸들 키 알루미늄 합금</v>
      </c>
      <c r="F72" s="1" t="str">
        <f>IFERROR(__xludf.DUMMYFUNCTION("CONCATENATE(GOOGLETRANSLATE(C72, ""en"", ""ja""))"),"EDC ポータブル ドア オープナー エレベーター ハンドル キー アルミニウム合金")</f>
        <v>EDC ポータブル ドア オープナー エレベーター ハンドル キー アルミニウム合金</v>
      </c>
    </row>
    <row r="73" ht="15.75" customHeight="1">
      <c r="A73" s="1">
        <v>1538.0</v>
      </c>
      <c r="B73" s="1" t="s">
        <v>15</v>
      </c>
      <c r="C73" s="1" t="s">
        <v>63</v>
      </c>
      <c r="D73" s="1" t="str">
        <f>IFERROR(__xludf.DUMMYFUNCTION("CONCATENATE(GOOGLETRANSLATE(C73, ""en"", ""zh-cn""))"),"黑色非接触式 EDC 开门器手持钥匙扣按电梯工具抗菌卫生")</f>
        <v>黑色非接触式 EDC 开门器手持钥匙扣按电梯工具抗菌卫生</v>
      </c>
      <c r="E73" s="1" t="str">
        <f>IFERROR(__xludf.DUMMYFUNCTION("CONCATENATE(GOOGLETRANSLATE(C73, ""en"", ""ko""))"),"검정색 비접촉식 EDC 도어 오프너 휴대용 키체인 프레스 엘리베이터 도구 항균 위생")</f>
        <v>검정색 비접촉식 EDC 도어 오프너 휴대용 키체인 프레스 엘리베이터 도구 항균 위생</v>
      </c>
      <c r="F73" s="1" t="str">
        <f>IFERROR(__xludf.DUMMYFUNCTION("CONCATENATE(GOOGLETRANSLATE(C73, ""en"", ""ja""))"),"ブラック非接触 EDC ドアオープナーハンドヘルドキーホルダープレスエレベーターツール抗菌衛生")</f>
        <v>ブラック非接触 EDC ドアオープナーハンドヘルドキーホルダープレスエレベーターツール抗菌衛生</v>
      </c>
    </row>
    <row r="74" ht="15.75" customHeight="1">
      <c r="A74" s="1">
        <v>1539.0</v>
      </c>
      <c r="B74" s="1" t="s">
        <v>15</v>
      </c>
      <c r="C74" s="1" t="s">
        <v>64</v>
      </c>
      <c r="D74" s="1" t="str">
        <f>IFERROR(__xludf.DUMMYFUNCTION("CONCATENATE(GOOGLETRANSLATE(C74, ""en"", ""zh-cn""))"),"60 x 40 x 28 厘米床托盘书桌折叠电脑桌带卡槽和杯架")</f>
        <v>60 x 40 x 28 厘米床托盘书桌折叠电脑桌带卡槽和杯架</v>
      </c>
      <c r="E74" s="1" t="str">
        <f>IFERROR(__xludf.DUMMYFUNCTION("CONCATENATE(GOOGLETRANSLATE(C74, ""en"", ""ko""))"),"60 x 40 x 28cm 침대 트레이 책상 카드 슬롯과 컵 홀더가 있는 접이식 컴퓨터 책상")</f>
        <v>60 x 40 x 28cm 침대 트레이 책상 카드 슬롯과 컵 홀더가 있는 접이식 컴퓨터 책상</v>
      </c>
      <c r="F74" s="1" t="str">
        <f>IFERROR(__xludf.DUMMYFUNCTION("CONCATENATE(GOOGLETRANSLATE(C74, ""en"", ""ja""))"),"60 × 40 × 28 センチメートルベッドトレイデスク折りたたみコンピュータデスクカードスロットとカップホルダー")</f>
        <v>60 × 40 × 28 センチメートルベッドトレイデスク折りたたみコンピュータデスクカードスロットとカップホルダー</v>
      </c>
    </row>
    <row r="75" ht="15.75" customHeight="1">
      <c r="A75" s="1">
        <v>1540.0</v>
      </c>
      <c r="B75" s="1" t="s">
        <v>15</v>
      </c>
      <c r="C75" s="1" t="s">
        <v>65</v>
      </c>
      <c r="D75" s="1" t="str">
        <f>IFERROR(__xludf.DUMMYFUNCTION("CONCATENATE(GOOGLETRANSLATE(C75, ""en"", ""zh-cn""))"),"现代橱柜拉抽屉旋钮锌合金家具衣柜圆形拉手拉手")</f>
        <v>现代橱柜拉抽屉旋钮锌合金家具衣柜圆形拉手拉手</v>
      </c>
      <c r="E75" s="1" t="str">
        <f>IFERROR(__xludf.DUMMYFUNCTION("CONCATENATE(GOOGLETRANSLATE(C75, ""en"", ""ko""))"),"현대 찬장 잡아당기기 서랍 손잡이 아연 합금 가구 옷장 둥근 손잡이 잡아당기기")</f>
        <v>현대 찬장 잡아당기기 서랍 손잡이 아연 합금 가구 옷장 둥근 손잡이 잡아당기기</v>
      </c>
      <c r="F75" s="1" t="str">
        <f>IFERROR(__xludf.DUMMYFUNCTION("CONCATENATE(GOOGLETRANSLATE(C75, ""en"", ""ja""))"),"現代食器棚取手引き出しノブ亜鉛合金家具ワードローブラウンドハンドル取手")</f>
        <v>現代食器棚取手引き出しノブ亜鉛合金家具ワードローブラウンドハンドル取手</v>
      </c>
    </row>
    <row r="76" ht="15.75" customHeight="1">
      <c r="A76" s="1">
        <v>1541.0</v>
      </c>
      <c r="B76" s="1" t="s">
        <v>15</v>
      </c>
      <c r="C76" s="1" t="s">
        <v>66</v>
      </c>
      <c r="D76" s="1" t="str">
        <f>IFERROR(__xludf.DUMMYFUNCTION("CONCATENATE(GOOGLETRANSLATE(C76, ""en"", ""zh-cn""))"),"桌面桌面收纳架办公室储物文件夹架文件木质展示架")</f>
        <v>桌面桌面收纳架办公室储物文件夹架文件木质展示架</v>
      </c>
      <c r="E76" s="1" t="str">
        <f>IFERROR(__xludf.DUMMYFUNCTION("CONCATENATE(GOOGLETRANSLATE(C76, ""en"", ""ko""))"),"데스크탑 테이블 정리함 사무실 보관 폴더 랙 파일 목재 디스플레이 선반 스탠드")</f>
        <v>데스크탑 테이블 정리함 사무실 보관 폴더 랙 파일 목재 디스플레이 선반 스탠드</v>
      </c>
      <c r="F76" s="1" t="str">
        <f>IFERROR(__xludf.DUMMYFUNCTION("CONCATENATE(GOOGLETRANSLATE(C76, ""en"", ""ja""))"),"デスクトップテーブルオーガナイザーオフィス収納フォルダーラックファイル木製陳列棚スタンド")</f>
        <v>デスクトップテーブルオーガナイザーオフィス収納フォルダーラックファイル木製陳列棚スタンド</v>
      </c>
    </row>
    <row r="77" ht="15.75" customHeight="1">
      <c r="A77" s="1">
        <v>1542.0</v>
      </c>
      <c r="B77" s="1" t="s">
        <v>15</v>
      </c>
      <c r="C77" s="1" t="s">
        <v>67</v>
      </c>
      <c r="D77" s="1" t="str">
        <f>IFERROR(__xludf.DUMMYFUNCTION("CONCATENATE(GOOGLETRANSLATE(C77, ""en"", ""zh-cn""))"),"自由弯曲防水阻水塞硅胶50/60/90/120/150/200cm")</f>
        <v>自由弯曲防水阻水塞硅胶50/60/90/120/150/200cm</v>
      </c>
      <c r="E77" s="1" t="str">
        <f>IFERROR(__xludf.DUMMYFUNCTION("CONCATENATE(GOOGLETRANSLATE(C77, ""en"", ""ko""))"),"프리 벤딩 워터 배리어 워터 스토퍼 실리콘 50/60/90/120/150/200cm")</f>
        <v>프리 벤딩 워터 배리어 워터 스토퍼 실리콘 50/60/90/120/150/200cm</v>
      </c>
      <c r="F77" s="1" t="str">
        <f>IFERROR(__xludf.DUMMYFUNCTION("CONCATENATE(GOOGLETRANSLATE(C77, ""en"", ""ja""))"),"自由に曲がるウォーターバリアウォーターストッパーシリコン50/60/90/120/150/200センチメートル")</f>
        <v>自由に曲がるウォーターバリアウォーターストッパーシリコン50/60/90/120/150/200センチメートル</v>
      </c>
    </row>
    <row r="78" ht="15.75" customHeight="1">
      <c r="A78" s="1">
        <v>1543.0</v>
      </c>
      <c r="B78" s="1" t="s">
        <v>15</v>
      </c>
      <c r="C78" s="1" t="s">
        <v>68</v>
      </c>
      <c r="D78" s="1" t="str">
        <f>IFERROR(__xludf.DUMMYFUNCTION("CONCATENATE(GOOGLETRANSLATE(C78, ""en"", ""zh-cn""))"),"2 件套弹性办公椅套电脑旋转椅保护套弹力扶手椅座椅套家用办公家具装饰")</f>
        <v>2 件套弹性办公椅套电脑旋转椅保护套弹力扶手椅座椅套家用办公家具装饰</v>
      </c>
      <c r="E78" s="1" t="str">
        <f>IFERROR(__xludf.DUMMYFUNCTION("CONCATENATE(GOOGLETRANSLATE(C78, ""en"", ""ko""))"),"2Pcs 탄성 사무실 의자 커버 컴퓨터 회전 의자 보호대 스트레치 안락 의자 좌석 슬리퍼 홈 오피스 가구 장식")</f>
        <v>2Pcs 탄성 사무실 의자 커버 컴퓨터 회전 의자 보호대 스트레치 안락 의자 좌석 슬리퍼 홈 오피스 가구 장식</v>
      </c>
      <c r="F78" s="1" t="str">
        <f>IFERROR(__xludf.DUMMYFUNCTION("CONCATENATE(GOOGLETRANSLATE(C78, ""en"", ""ja""))"),"2 個弾性オフィスチェアカバーコンピュータ回転椅子プロテクターストレッチアームチェアシート本カバーホームオフィス家具装飾")</f>
        <v>2 個弾性オフィスチェアカバーコンピュータ回転椅子プロテクターストレッチアームチェアシート本カバーホームオフィス家具装飾</v>
      </c>
    </row>
    <row r="79" ht="15.75" customHeight="1">
      <c r="A79" s="1">
        <v>1544.0</v>
      </c>
      <c r="B79" s="1" t="s">
        <v>15</v>
      </c>
      <c r="C79" s="1" t="s">
        <v>69</v>
      </c>
      <c r="D79" s="1" t="str">
        <f>IFERROR(__xludf.DUMMYFUNCTION("CONCATENATE(GOOGLETRANSLATE(C79, ""en"", ""zh-cn""))"),"弹性办公椅套可水洗电脑椅保护套弹力扶手椅餐椅座椅套家用办公家具装饰")</f>
        <v>弹性办公椅套可水洗电脑椅保护套弹力扶手椅餐椅座椅套家用办公家具装饰</v>
      </c>
      <c r="E79" s="1" t="str">
        <f>IFERROR(__xludf.DUMMYFUNCTION("CONCATENATE(GOOGLETRANSLATE(C79, ""en"", ""ko""))"),"탄성 사무실 의자 커버 빨 수있는 컴퓨터 의자 보호대 스트레치 안락 의자 다이닝 의자 좌석 커버 홈 오피스 가구 장식")</f>
        <v>탄성 사무실 의자 커버 빨 수있는 컴퓨터 의자 보호대 스트레치 안락 의자 다이닝 의자 좌석 커버 홈 오피스 가구 장식</v>
      </c>
      <c r="F79" s="1" t="str">
        <f>IFERROR(__xludf.DUMMYFUNCTION("CONCATENATE(GOOGLETRANSLATE(C79, ""en"", ""ja""))"),"弾性オフィスチェアカバー洗えるコンピュータチェアプロテクターストレッチアームチェアダイニングチェアシートスリップカバーホームオフィス家具装飾")</f>
        <v>弾性オフィスチェアカバー洗えるコンピュータチェアプロテクターストレッチアームチェアダイニングチェアシートスリップカバーホームオフィス家具装飾</v>
      </c>
    </row>
    <row r="80" ht="15.75" customHeight="1">
      <c r="A80" s="1">
        <v>1545.0</v>
      </c>
      <c r="B80" s="1" t="s">
        <v>15</v>
      </c>
      <c r="C80" s="1" t="s">
        <v>70</v>
      </c>
      <c r="D80" s="1" t="str">
        <f>IFERROR(__xludf.DUMMYFUNCTION("CONCATENATE(GOOGLETRANSLATE(C80, ""en"", ""zh-cn""))"),"Suleve™ M3ASH3 10 颗 M3 内六角圆柱头螺钉 合金钢 镀钛 12.9 级")</f>
        <v>Suleve™ M3ASH3 10 颗 M3 内六角圆柱头螺钉 合金钢 镀钛 12.9 级</v>
      </c>
      <c r="E80" s="1" t="str">
        <f>IFERROR(__xludf.DUMMYFUNCTION("CONCATENATE(GOOGLETRANSLATE(C80, ""en"", ""ko""))"),"Suleve™ M3ASH3 10개 M3 육각 소켓 캡 머리 나사 합금강 티타늄 도금 12.9 등급")</f>
        <v>Suleve™ M3ASH3 10개 M3 육각 소켓 캡 머리 나사 합금강 티타늄 도금 12.9 등급</v>
      </c>
      <c r="F80" s="1" t="str">
        <f>IFERROR(__xludf.DUMMYFUNCTION("CONCATENATE(GOOGLETRANSLATE(C80, ""en"", ""ja""))"),"Suleve™ M3ASH3 10 個 M3 六角穴付きボルト 合金鋼 チタン メッキ 12.9 グレード")</f>
        <v>Suleve™ M3ASH3 10 個 M3 六角穴付きボルト 合金鋼 チタン メッキ 12.9 グレード</v>
      </c>
    </row>
    <row r="81" ht="15.75" customHeight="1">
      <c r="A81" s="1">
        <v>1546.0</v>
      </c>
      <c r="B81" s="1" t="s">
        <v>15</v>
      </c>
      <c r="C81" s="1" t="s">
        <v>71</v>
      </c>
      <c r="D81" s="1" t="str">
        <f>IFERROR(__xludf.DUMMYFUNCTION("CONCATENATE(GOOGLETRANSLATE(C81, ""en"", ""zh-cn""))"),"10 件 EAS 系统零售店展示安全挂钩止动锁 4-5 毫米")</f>
        <v>10 件 EAS 系统零售店展示安全挂钩止动锁 4-5 毫米</v>
      </c>
      <c r="E81" s="1" t="str">
        <f>IFERROR(__xludf.DUMMYFUNCTION("CONCATENATE(GOOGLETRANSLATE(C81, ""en"", ""ko""))"),"10개 EAS 시스템 소매점 디스플레이 보안 후크 정지 잠금 장치 4-5mm")</f>
        <v>10개 EAS 시스템 소매점 디스플레이 보안 후크 정지 잠금 장치 4-5mm</v>
      </c>
      <c r="F81" s="1" t="str">
        <f>IFERROR(__xludf.DUMMYFUNCTION("CONCATENATE(GOOGLETRANSLATE(C81, ""en"", ""ja""))"),"EAS システム小売店ディスプレイ セキュリティ フック ストップ ロック 4-5mm 10 個")</f>
        <v>EAS システム小売店ディスプレイ セキュリティ フック ストップ ロック 4-5mm 10 個</v>
      </c>
    </row>
    <row r="82" ht="15.75" customHeight="1">
      <c r="A82" s="1">
        <v>1547.0</v>
      </c>
      <c r="B82" s="1" t="s">
        <v>15</v>
      </c>
      <c r="C82" s="1" t="s">
        <v>72</v>
      </c>
      <c r="D82" s="1" t="str">
        <f>IFERROR(__xludf.DUMMYFUNCTION("CONCATENATE(GOOGLETRANSLATE(C82, ""en"", ""zh-cn""))"),"对角瓷砖地板贴纸自粘墙壁地面橱柜贴花家居装饰")</f>
        <v>对角瓷砖地板贴纸自粘墙壁地面橱柜贴花家居装饰</v>
      </c>
      <c r="E82" s="1" t="str">
        <f>IFERROR(__xludf.DUMMYFUNCTION("CONCATENATE(GOOGLETRANSLATE(C82, ""en"", ""ko""))"),"대각선 타일 바닥 스티커 자체 접착 벽 지상 캐비닛 데칼 홈 장식")</f>
        <v>대각선 타일 바닥 스티커 자체 접착 벽 지상 캐비닛 데칼 홈 장식</v>
      </c>
      <c r="F82" s="1" t="str">
        <f>IFERROR(__xludf.DUMMYFUNCTION("CONCATENATE(GOOGLETRANSLATE(C82, ""en"", ""ja""))"),"斜めタイル床ステッカー自己粘着壁地面キャビネットデカール家の装飾")</f>
        <v>斜めタイル床ステッカー自己粘着壁地面キャビネットデカール家の装飾</v>
      </c>
    </row>
    <row r="83" ht="15.75" customHeight="1">
      <c r="A83" s="1">
        <v>1548.0</v>
      </c>
      <c r="B83" s="1" t="s">
        <v>15</v>
      </c>
      <c r="C83" s="1" t="s">
        <v>73</v>
      </c>
      <c r="D83" s="1" t="str">
        <f>IFERROR(__xludf.DUMMYFUNCTION("CONCATENATE(GOOGLETRANSLATE(C83, ""en"", ""zh-cn""))"),"适用于玻璃或木质货架的金属可调节货架支架")</f>
        <v>适用于玻璃或木质货架的金属可调节货架支架</v>
      </c>
      <c r="E83" s="1" t="str">
        <f>IFERROR(__xludf.DUMMYFUNCTION("CONCATENATE(GOOGLETRANSLATE(C83, ""en"", ""ko""))"),"유리 또는 목재 선반용 금속 조절식 선반 홀더 브래킷")</f>
        <v>유리 또는 목재 선반용 금속 조절식 선반 홀더 브래킷</v>
      </c>
      <c r="F83" s="1" t="str">
        <f>IFERROR(__xludf.DUMMYFUNCTION("CONCATENATE(GOOGLETRANSLATE(C83, ""en"", ""ja""))"),"ガラスまたは木製の棚用の金属製の調節可能な棚ホルダーブラケット")</f>
        <v>ガラスまたは木製の棚用の金属製の調節可能な棚ホルダーブラケット</v>
      </c>
    </row>
    <row r="84" ht="15.75" customHeight="1">
      <c r="A84" s="1">
        <v>1549.0</v>
      </c>
      <c r="B84" s="1" t="s">
        <v>15</v>
      </c>
      <c r="C84" s="1" t="s">
        <v>74</v>
      </c>
      <c r="D84" s="1" t="str">
        <f>IFERROR(__xludf.DUMMYFUNCTION("CONCATENATE(GOOGLETRANSLATE(C84, ""en"", ""zh-cn""))"),"5 件装 5x30 毫米 304 不锈钢圆形 O 形圈焊接船用索具捆扎硬件")</f>
        <v>5 件装 5x30 毫米 304 不锈钢圆形 O 形圈焊接船用索具捆扎硬件</v>
      </c>
      <c r="E84" s="1" t="str">
        <f>IFERROR(__xludf.DUMMYFUNCTION("CONCATENATE(GOOGLETRANSLATE(C84, ""en"", ""ko""))"),"5Pcs 5x30mm 304 스테인레스 스틸 라운드 O 링 용접 해양 장비 달아서 하드웨어")</f>
        <v>5Pcs 5x30mm 304 스테인레스 스틸 라운드 O 링 용접 해양 장비 달아서 하드웨어</v>
      </c>
      <c r="F84" s="1" t="str">
        <f>IFERROR(__xludf.DUMMYFUNCTION("CONCATENATE(GOOGLETRANSLATE(C84, ""en"", ""ja""))"),"5 個 5x30mm 304 ステンレス鋼ラウンド O リング溶接マリンリギングストラップハードウェア")</f>
        <v>5 個 5x30mm 304 ステンレス鋼ラウンド O リング溶接マリンリギングストラップハードウェア</v>
      </c>
    </row>
    <row r="85" ht="15.75" customHeight="1">
      <c r="A85" s="1">
        <v>1550.0</v>
      </c>
      <c r="B85" s="1" t="s">
        <v>15</v>
      </c>
      <c r="C85" s="1" t="s">
        <v>75</v>
      </c>
      <c r="D85" s="1" t="str">
        <f>IFERROR(__xludf.DUMMYFUNCTION("CONCATENATE(GOOGLETRANSLATE(C85, ""en"", ""zh-cn""))"),"130 件图片照片衣架套件相框挂钩")</f>
        <v>130 件图片照片衣架套件相框挂钩</v>
      </c>
      <c r="E85" s="1" t="str">
        <f>IFERROR(__xludf.DUMMYFUNCTION("CONCATENATE(GOOGLETRANSLATE(C85, ""en"", ""ko""))"),"130Pcs 그림 사진 걸이 키트 프레임 걸이 후크")</f>
        <v>130Pcs 그림 사진 걸이 키트 프레임 걸이 후크</v>
      </c>
      <c r="F85" s="1" t="str">
        <f>IFERROR(__xludf.DUMMYFUNCTION("CONCATENATE(GOOGLETRANSLATE(C85, ""en"", ""ja""))"),"130 個の写真フォトハンガーキットフレーム吊り下げフック")</f>
        <v>130 個の写真フォトハンガーキットフレーム吊り下げフック</v>
      </c>
    </row>
    <row r="86" ht="15.75" customHeight="1">
      <c r="A86" s="1">
        <v>1551.0</v>
      </c>
      <c r="B86" s="1" t="s">
        <v>15</v>
      </c>
      <c r="C86" s="1" t="s">
        <v>76</v>
      </c>
      <c r="D86" s="1" t="str">
        <f>IFERROR(__xludf.DUMMYFUNCTION("CONCATENATE(GOOGLETRANSLATE(C86, ""en"", ""zh-cn""))"),"27m 花店花卉花茎花胶带彩色胸花工艺 12 毫米 ")</f>
        <v>27m 花店花卉花茎花胶带彩色胸花工艺 12 毫米 </v>
      </c>
      <c r="E86" s="1" t="str">
        <f>IFERROR(__xludf.DUMMYFUNCTION("CONCATENATE(GOOGLETRANSLATE(C86, ""en"", ""ko""))"),"27m 꽃집 플로리스트리 꽃 줄기 꽃 테이프 컬러 코사지 공예 12mm ")</f>
        <v>27m 꽃집 플로리스트리 꽃 줄기 꽃 테이프 컬러 코사지 공예 12mm </v>
      </c>
      <c r="F86" s="1" t="str">
        <f>IFERROR(__xludf.DUMMYFUNCTION("CONCATENATE(GOOGLETRANSLATE(C86, ""en"", ""ja""))"),"27m 花屋 フローリストリー 花柄 フラワーテープ カラーコサージュ クラフト 12mm ")</f>
        <v>27m 花屋 フローリストリー 花柄 フラワーテープ カラーコサージュ クラフト 12mm </v>
      </c>
    </row>
    <row r="87" ht="15.75" customHeight="1">
      <c r="A87" s="1">
        <v>1552.0</v>
      </c>
      <c r="B87" s="1" t="s">
        <v>15</v>
      </c>
      <c r="C87" s="1" t="s">
        <v>77</v>
      </c>
      <c r="D87" s="1" t="str">
        <f>IFERROR(__xludf.DUMMYFUNCTION("CONCATENATE(GOOGLETRANSLATE(C87, ""en"", ""zh-cn""))"),"1/2 3/4 1 英寸 12V 电动电磁阀 气动阀 水 空气 燃气黄铜阀 空气阀")</f>
        <v>1/2 3/4 1 英寸 12V 电动电磁阀 气动阀 水 空气 燃气黄铜阀 空气阀</v>
      </c>
      <c r="E87" s="1" t="str">
        <f>IFERROR(__xludf.DUMMYFUNCTION("CONCATENATE(GOOGLETRANSLATE(C87, ""en"", ""ko""))"),"1/2 3/4 1 인치 12V 전기 솔레노이드 밸브 물 공기 가스 황동 밸브 공기 밸브 용 공압 밸브")</f>
        <v>1/2 3/4 1 인치 12V 전기 솔레노이드 밸브 물 공기 가스 황동 밸브 공기 밸브 용 공압 밸브</v>
      </c>
      <c r="F87" s="1" t="str">
        <f>IFERROR(__xludf.DUMMYFUNCTION("CONCATENATE(GOOGLETRANSLATE(C87, ""en"", ""ja""))"),"1/2 3/4 1 インチ 12V 電気ソレノイドバルブ空気圧バルブ水空気ガス真鍮バルブエアバルブ")</f>
        <v>1/2 3/4 1 インチ 12V 電気ソレノイドバルブ空気圧バルブ水空気ガス真鍮バルブエアバルブ</v>
      </c>
    </row>
    <row r="88" ht="15.75" customHeight="1">
      <c r="A88" s="1">
        <v>1553.0</v>
      </c>
      <c r="B88" s="1" t="s">
        <v>15</v>
      </c>
      <c r="C88" s="1" t="s">
        <v>78</v>
      </c>
      <c r="D88" s="1" t="str">
        <f>IFERROR(__xludf.DUMMYFUNCTION("CONCATENATE(GOOGLETRANSLATE(C88, ""en"", ""zh-cn""))"),"Suleve™ M4AH1 50 件镀钛 M4 内六角圆柱头螺钉 合金钢 12.9 级螺钉螺栓 M4*10")</f>
        <v>Suleve™ M4AH1 50 件镀钛 M4 内六角圆柱头螺钉 合金钢 12.9 级螺钉螺栓 M4*10</v>
      </c>
      <c r="E88" s="1" t="str">
        <f>IFERROR(__xludf.DUMMYFUNCTION("CONCATENATE(GOOGLETRANSLATE(C88, ""en"", ""ko""))"),"Suleve™ M4AH1 50Pcs 티타늄 도금 M4 육각 소켓 캡 머리 나사 합금강 12.9 등급 나사 볼트 M4*10")</f>
        <v>Suleve™ M4AH1 50Pcs 티타늄 도금 M4 육각 소켓 캡 머리 나사 합금강 12.9 등급 나사 볼트 M4*10</v>
      </c>
      <c r="F88" s="1" t="str">
        <f>IFERROR(__xludf.DUMMYFUNCTION("CONCATENATE(GOOGLETRANSLATE(C88, ""en"", ""ja""))"),"Suleve™ M4AH1 50 個チタンメッキ M4 六角穴付きキャップヘッドネジ合金鋼 12.9 グレードネジボルト M4 * 10")</f>
        <v>Suleve™ M4AH1 50 個チタンメッキ M4 六角穴付きキャップヘッドネジ合金鋼 12.9 グレードネジボルト M4 * 10</v>
      </c>
    </row>
    <row r="89" ht="15.75" customHeight="1">
      <c r="A89" s="1">
        <v>1554.0</v>
      </c>
      <c r="B89" s="1" t="s">
        <v>15</v>
      </c>
      <c r="C89" s="1" t="s">
        <v>79</v>
      </c>
      <c r="D89" s="1" t="str">
        <f>IFERROR(__xludf.DUMMYFUNCTION("CONCATENATE(GOOGLETRANSLATE(C89, ""en"", ""zh-cn""))"),"Suleve™ M4AH2 50颗镀钛M4内六角沉头螺丝合金钢12.9级螺丝螺栓M4*10")</f>
        <v>Suleve™ M4AH2 50颗镀钛M4内六角沉头螺丝合金钢12.9级螺丝螺栓M4*10</v>
      </c>
      <c r="E89" s="1" t="str">
        <f>IFERROR(__xludf.DUMMYFUNCTION("CONCATENATE(GOOGLETRANSLATE(C89, ""en"", ""ko""))"),"Suleve™ M4AH2 50Pcs 티타늄 도금 M4 육각 소켓 플랫 카운터 싱크 헤드 나사 합금강 12.9 등급 나사 볼트 M4*10")</f>
        <v>Suleve™ M4AH2 50Pcs 티타늄 도금 M4 육각 소켓 플랫 카운터 싱크 헤드 나사 합금강 12.9 등급 나사 볼트 M4*10</v>
      </c>
      <c r="F89" s="1" t="str">
        <f>IFERROR(__xludf.DUMMYFUNCTION("CONCATENATE(GOOGLETRANSLATE(C89, ""en"", ""ja""))"),"Suleve™ M4AH2 50 個チタンメッキ M4 六角穴付き平皿ネジ合金鋼 12.9 グレードネジボルト M4 * 10")</f>
        <v>Suleve™ M4AH2 50 個チタンメッキ M4 六角穴付き平皿ネジ合金鋼 12.9 グレードネジボルト M4 * 10</v>
      </c>
    </row>
    <row r="90" ht="15.75" customHeight="1">
      <c r="A90" s="1">
        <v>1555.0</v>
      </c>
      <c r="B90" s="1" t="s">
        <v>15</v>
      </c>
      <c r="C90" s="1" t="s">
        <v>80</v>
      </c>
      <c r="D90" s="1" t="str">
        <f>IFERROR(__xludf.DUMMYFUNCTION("CONCATENATE(GOOGLETRANSLATE(C90, ""en"", ""zh-cn""))"),"榻榻米座垫圆椅垫抱枕家用汽车装饰品软沙发坐垫家庭办公室简约时尚圆垫")</f>
        <v>榻榻米座垫圆椅垫抱枕家用汽车装饰品软沙发坐垫家庭办公室简约时尚圆垫</v>
      </c>
      <c r="E90" s="1" t="str">
        <f>IFERROR(__xludf.DUMMYFUNCTION("CONCATENATE(GOOGLETRANSLATE(C90, ""en"", ""ko""))"),"다다미 좌석 쿠션 라운드 의자 쿠션 매트 베개 홈 자동차 장식 홈 오피스를위한 부드러운 소파 쿠션 간단한 패션 라운드 쿠션")</f>
        <v>다다미 좌석 쿠션 라운드 의자 쿠션 매트 베개 홈 자동차 장식 홈 오피스를위한 부드러운 소파 쿠션 간단한 패션 라운드 쿠션</v>
      </c>
      <c r="F90" s="1" t="str">
        <f>IFERROR(__xludf.DUMMYFUNCTION("CONCATENATE(GOOGLETRANSLATE(C90, ""en"", ""ja""))"),"畳シートクッションラウンドチェアクッションマット枕ホームカーデコレーションソフトソファクッションホームオフィス用シンプルファッションラウンドクッション")</f>
        <v>畳シートクッションラウンドチェアクッションマット枕ホームカーデコレーションソフトソファクッションホームオフィス用シンプルファッションラウンドクッション</v>
      </c>
    </row>
    <row r="91" ht="15.75" customHeight="1">
      <c r="A91" s="1">
        <v>1556.0</v>
      </c>
      <c r="B91" s="1" t="s">
        <v>15</v>
      </c>
      <c r="C91" s="1" t="s">
        <v>81</v>
      </c>
      <c r="D91" s="1" t="str">
        <f>IFERROR(__xludf.DUMMYFUNCTION("CONCATENATE(GOOGLETRANSLATE(C91, ""en"", ""zh-cn""))"),"7 件套动物陶瓷家具旋钮抽屉柜橱柜门拉手套装")</f>
        <v>7 件套动物陶瓷家具旋钮抽屉柜橱柜门拉手套装</v>
      </c>
      <c r="E91" s="1" t="str">
        <f>IFERROR(__xludf.DUMMYFUNCTION("CONCATENATE(GOOGLETRANSLATE(C91, ""en"", ""ko""))"),"7개 동물 세라믹 가구 손잡이 서랍 캐비닛 찬장 도어 풀 핸들 세트")</f>
        <v>7개 동물 세라믹 가구 손잡이 서랍 캐비닛 찬장 도어 풀 핸들 세트</v>
      </c>
      <c r="F91" s="1" t="str">
        <f>IFERROR(__xludf.DUMMYFUNCTION("CONCATENATE(GOOGLETRANSLATE(C91, ""en"", ""ja""))"),"7 個動物セラミック家具ノブ引き出しキャビネット食器棚ドアプルハンドルセット")</f>
        <v>7 個動物セラミック家具ノブ引き出しキャビネット食器棚ドアプルハンドルセット</v>
      </c>
    </row>
    <row r="92" ht="15.75" customHeight="1">
      <c r="A92" s="1">
        <v>1557.0</v>
      </c>
      <c r="B92" s="1" t="s">
        <v>15</v>
      </c>
      <c r="C92" s="1" t="s">
        <v>82</v>
      </c>
      <c r="D92" s="1" t="str">
        <f>IFERROR(__xludf.DUMMYFUNCTION("CONCATENATE(GOOGLETRANSLATE(C92, ""en"", ""zh-cn""))"),"多功能厨房收纳架碗碟沥干架铁水槽支架托盘盘杯碗餐具架篮")</f>
        <v>多功能厨房收纳架碗碟沥干架铁水槽支架托盘盘杯碗餐具架篮</v>
      </c>
      <c r="E92" s="1" t="str">
        <f>IFERROR(__xludf.DUMMYFUNCTION("CONCATENATE(GOOGLETRANSLATE(C92, ""en"", ""ko""))"),"다기능 주방 스토리지 주최자 접시 드레이너 건조 랙 철 싱크 홀더 트레이 접시 컵 그릇 식기 선반 바구니")</f>
        <v>다기능 주방 스토리지 주최자 접시 드레이너 건조 랙 철 싱크 홀더 트레이 접시 컵 그릇 식기 선반 바구니</v>
      </c>
      <c r="F92" s="1" t="str">
        <f>IFERROR(__xludf.DUMMYFUNCTION("CONCATENATE(GOOGLETRANSLATE(C92, ""en"", ""ja""))"),"多機能キッチン収納オーガナイザー水切り乾燥ラック鉄シンクホルダートレイプレートカップボウル食器棚バスケット")</f>
        <v>多機能キッチン収納オーガナイザー水切り乾燥ラック鉄シンクホルダートレイプレートカップボウル食器棚バスケット</v>
      </c>
    </row>
    <row r="93" ht="15.75" customHeight="1">
      <c r="A93" s="1">
        <v>1558.0</v>
      </c>
      <c r="B93" s="1" t="s">
        <v>15</v>
      </c>
      <c r="C93" s="1" t="s">
        <v>83</v>
      </c>
      <c r="D93" s="1" t="str">
        <f>IFERROR(__xludf.DUMMYFUNCTION("CONCATENATE(GOOGLETRANSLATE(C93, ""en"", ""zh-cn""))"),"金属框架纸胶带 DIY 水晶滴胶工具无痕粘合剂 ")</f>
        <v>金属框架纸胶带 DIY 水晶滴胶工具无痕粘合剂 </v>
      </c>
      <c r="E93" s="1" t="str">
        <f>IFERROR(__xludf.DUMMYFUNCTION("CONCATENATE(GOOGLETRANSLATE(C93, ""en"", ""ko""))"),"금속 프레임용 종이 테이프 DIY 크리스탈 드롭 접착제 도구 비 추적 접착제 ")</f>
        <v>금속 프레임용 종이 테이프 DIY 크리스탈 드롭 접착제 도구 비 추적 접착제 </v>
      </c>
      <c r="F93" s="1" t="str">
        <f>IFERROR(__xludf.DUMMYFUNCTION("CONCATENATE(GOOGLETRANSLATE(C93, ""en"", ""ja""))"),"金属フレーム用紙テープ DIY クリスタルドロップ接着剤ツール 非痕跡接着剤 ")</f>
        <v>金属フレーム用紙テープ DIY クリスタルドロップ接着剤ツール 非痕跡接着剤 </v>
      </c>
    </row>
    <row r="94" ht="15.75" customHeight="1">
      <c r="A94" s="1">
        <v>1559.0</v>
      </c>
      <c r="B94" s="1" t="s">
        <v>15</v>
      </c>
      <c r="C94" s="1" t="s">
        <v>84</v>
      </c>
      <c r="D94" s="1" t="str">
        <f>IFERROR(__xludf.DUMMYFUNCTION("CONCATENATE(GOOGLETRANSLATE(C94, ""en"", ""zh-cn""))"),"Suleve™ M4AN1 10件 M4自锁尼龙螺母 铝合金 多色 ")</f>
        <v>Suleve™ M4AN1 10件 M4自锁尼龙螺母 铝合金 多色 </v>
      </c>
      <c r="E94" s="1" t="str">
        <f>IFERROR(__xludf.DUMMYFUNCTION("CONCATENATE(GOOGLETRANSLATE(C94, ""en"", ""ko""))"),"Suleve™ M4AN1 10Pcs M4 자동 잠금 나일론 너트 알루미늄 합금 멀티 컬러 ")</f>
        <v>Suleve™ M4AN1 10Pcs M4 자동 잠금 나일론 너트 알루미늄 합금 멀티 컬러 </v>
      </c>
      <c r="F94" s="1" t="str">
        <f>IFERROR(__xludf.DUMMYFUNCTION("CONCATENATE(GOOGLETRANSLATE(C94, ""en"", ""ja""))"),"Suleve™ M4AN1 10 個 M4 セルフロック ナイロン ナット アルミニウム合金 マルチカラー ")</f>
        <v>Suleve™ M4AN1 10 個 M4 セルフロック ナイロン ナット アルミニウム合金 マルチカラー </v>
      </c>
    </row>
    <row r="95" ht="15.75" customHeight="1">
      <c r="A95" s="1">
        <v>1560.0</v>
      </c>
      <c r="B95" s="1" t="s">
        <v>15</v>
      </c>
      <c r="C95" s="1" t="s">
        <v>85</v>
      </c>
      <c r="D95" s="1" t="str">
        <f>IFERROR(__xludf.DUMMYFUNCTION("CONCATENATE(GOOGLETRANSLATE(C95, ""en"", ""zh-cn""))"),"100 件 1.0/1.5/2.0/3.0 毫米瓷砖找平系统间隔夹地板墙壁瓷砖工具")</f>
        <v>100 件 1.0/1.5/2.0/3.0 毫米瓷砖找平系统间隔夹地板墙壁瓷砖工具</v>
      </c>
      <c r="E95" s="1" t="str">
        <f>IFERROR(__xludf.DUMMYFUNCTION("CONCATENATE(GOOGLETRANSLATE(C95, ""en"", ""ko""))"),"100Pcs 1.0/1.5/2.0/3.0mm 타일 레벨링 시스템 스페이서 클립 바닥 벽 타일링 도구")</f>
        <v>100Pcs 1.0/1.5/2.0/3.0mm 타일 레벨링 시스템 스페이서 클립 바닥 벽 타일링 도구</v>
      </c>
      <c r="F95" s="1" t="str">
        <f>IFERROR(__xludf.DUMMYFUNCTION("CONCATENATE(GOOGLETRANSLATE(C95, ""en"", ""ja""))"),"100 個 1.0/1.5/2.0/3.0 ミリメートルタイルレベリングシステムスペーサークリップ床壁タイルツール")</f>
        <v>100 個 1.0/1.5/2.0/3.0 ミリメートルタイルレベリングシステムスペーサークリップ床壁タイルツール</v>
      </c>
    </row>
    <row r="96" ht="15.75" customHeight="1">
      <c r="A96" s="1">
        <v>1561.0</v>
      </c>
      <c r="B96" s="1" t="s">
        <v>15</v>
      </c>
      <c r="C96" s="1" t="s">
        <v>86</v>
      </c>
      <c r="D96" s="1" t="str">
        <f>IFERROR(__xludf.DUMMYFUNCTION("CONCATENATE(GOOGLETRANSLATE(C96, ""en"", ""zh-cn""))"),"实心黄铜弧形纽扣螺柱螺丝钉 4-15 毫米螺丝背皮带纽扣螺丝")</f>
        <v>实心黄铜弧形纽扣螺柱螺丝钉 4-15 毫米螺丝背皮带纽扣螺丝</v>
      </c>
      <c r="E96" s="1" t="str">
        <f>IFERROR(__xludf.DUMMYFUNCTION("CONCATENATE(GOOGLETRANSLATE(C96, ""en"", ""ko""))"),"솔리드 브래스 아크 버튼 스터드 나사 네일 4-15mm 스크류 백 가죽 벨트 버튼 나사")</f>
        <v>솔리드 브래스 아크 버튼 스터드 나사 네일 4-15mm 스크류 백 가죽 벨트 버튼 나사</v>
      </c>
      <c r="F96" s="1" t="str">
        <f>IFERROR(__xludf.DUMMYFUNCTION("CONCATENATE(GOOGLETRANSLATE(C96, ""en"", ""ja""))"),"ソリッドブラスアークボタンスタッドスクリューネイル4-15mmスクリューバックレザーベルトボタンネジ")</f>
        <v>ソリッドブラスアークボタンスタッドスクリューネイル4-15mmスクリューバックレザーベルトボタンネジ</v>
      </c>
    </row>
    <row r="97" ht="15.75" customHeight="1">
      <c r="A97" s="1">
        <v>1562.0</v>
      </c>
      <c r="B97" s="1" t="s">
        <v>15</v>
      </c>
      <c r="C97" s="1" t="s">
        <v>87</v>
      </c>
      <c r="D97" s="1" t="str">
        <f>IFERROR(__xludf.DUMMYFUNCTION("CONCATENATE(GOOGLETRANSLATE(C97, ""en"", ""zh-cn""))"),"2 件/1 套椅子座套 Farley 短毛绒通用弹性弹力可水洗")</f>
        <v>2 件/1 套椅子座套 Farley 短毛绒通用弹性弹力可水洗</v>
      </c>
      <c r="E97" s="1" t="str">
        <f>IFERROR(__xludf.DUMMYFUNCTION("CONCATENATE(GOOGLETRANSLATE(C97, ""en"", ""ko""))"),"2개/1세트 의자 시트 커버 Farley 짧은 봉제 범용 탄성 스트레치 세척 가능")</f>
        <v>2개/1세트 의자 시트 커버 Farley 짧은 봉제 범용 탄성 스트레치 세척 가능</v>
      </c>
      <c r="F97" s="1" t="str">
        <f>IFERROR(__xludf.DUMMYFUNCTION("CONCATENATE(GOOGLETRANSLATE(C97, ""en"", ""ja""))"),"2 ピース/1 セット椅子シートカバーファーリーショートぬいぐるみユニバーサル弾性ストレッチ洗える")</f>
        <v>2 ピース/1 セット椅子シートカバーファーリーショートぬいぐるみユニバーサル弾性ストレッチ洗える</v>
      </c>
    </row>
    <row r="98" ht="15.75" customHeight="1">
      <c r="A98" s="1">
        <v>1563.0</v>
      </c>
      <c r="B98" s="1" t="s">
        <v>15</v>
      </c>
      <c r="C98" s="1" t="s">
        <v>88</v>
      </c>
      <c r="D98" s="1" t="str">
        <f>IFERROR(__xludf.DUMMYFUNCTION("CONCATENATE(GOOGLETRANSLATE(C98, ""en"", ""zh-cn""))"),"露台防护家具罩黑色长方形超大防水防尘折叠罩")</f>
        <v>露台防护家具罩黑色长方形超大防水防尘折叠罩</v>
      </c>
      <c r="E98" s="1" t="str">
        <f>IFERROR(__xludf.DUMMYFUNCTION("CONCATENATE(GOOGLETRANSLATE(C98, ""en"", ""ko""))"),"파티오 보호 가구 커버 검정색 직사각형 초대형 방수 방진 접이식 커버")</f>
        <v>파티오 보호 가구 커버 검정색 직사각형 초대형 방수 방진 접이식 커버</v>
      </c>
      <c r="F98" s="1" t="str">
        <f>IFERROR(__xludf.DUMMYFUNCTION("CONCATENATE(GOOGLETRANSLATE(C98, ""en"", ""ja""))"),"パティオ保護家具カバー黒長方形特大防水防塵折りたたみカバー")</f>
        <v>パティオ保護家具カバー黒長方形特大防水防塵折りたたみカバー</v>
      </c>
    </row>
    <row r="99" ht="15.75" customHeight="1">
      <c r="A99" s="1">
        <v>1564.0</v>
      </c>
      <c r="B99" s="1" t="s">
        <v>15</v>
      </c>
      <c r="C99" s="1" t="s">
        <v>89</v>
      </c>
      <c r="D99" s="1" t="str">
        <f>IFERROR(__xludf.DUMMYFUNCTION("CONCATENATE(GOOGLETRANSLATE(C99, ""en"", ""zh-cn""))"),"花园露台长方形桌椅保护罩防水防尘折叠家具罩")</f>
        <v>花园露台长方形桌椅保护罩防水防尘折叠家具罩</v>
      </c>
      <c r="E99" s="1" t="str">
        <f>IFERROR(__xludf.DUMMYFUNCTION("CONCATENATE(GOOGLETRANSLATE(C99, ""en"", ""ko""))"),"정원 안뜰 직사각형 테이블 의자 보호 커버 방수 방진 접이식 가구 커버")</f>
        <v>정원 안뜰 직사각형 테이블 의자 보호 커버 방수 방진 접이식 가구 커버</v>
      </c>
      <c r="F99" s="1" t="str">
        <f>IFERROR(__xludf.DUMMYFUNCTION("CONCATENATE(GOOGLETRANSLATE(C99, ""en"", ""ja""))"),"ガーデンパティオ長方形テーブル椅子保護カバー防水防塵折りたたみ家具カバー")</f>
        <v>ガーデンパティオ長方形テーブル椅子保護カバー防水防塵折りたたみ家具カバー</v>
      </c>
    </row>
    <row r="100" ht="15.75" customHeight="1">
      <c r="A100" s="1">
        <v>1565.0</v>
      </c>
      <c r="B100" s="1" t="s">
        <v>15</v>
      </c>
      <c r="C100" s="1" t="s">
        <v>90</v>
      </c>
      <c r="D100" s="1" t="str">
        <f>IFERROR(__xludf.DUMMYFUNCTION("CONCATENATE(GOOGLETRANSLATE(C100, ""en"", ""zh-cn""))"),"牛津涤纶防水布太阳伞防护罩防水防尘防水罩")</f>
        <v>牛津涤纶防水布太阳伞防护罩防水防尘防水罩</v>
      </c>
      <c r="E100" s="1" t="str">
        <f>IFERROR(__xludf.DUMMYFUNCTION("CONCATENATE(GOOGLETRANSLATE(C100, ""en"", ""ko""))"),"태양 우산 방수 방진 플로팅 커버를 위한 옥스포드 폴리에스터 방수포 보호 커버")</f>
        <v>태양 우산 방수 방진 플로팅 커버를 위한 옥스포드 폴리에스터 방수포 보호 커버</v>
      </c>
      <c r="F100" s="1" t="str">
        <f>IFERROR(__xludf.DUMMYFUNCTION("CONCATENATE(GOOGLETRANSLATE(C100, ""en"", ""ja""))"),"日傘用オックスフォード ポリエステル ターポリン保護カバー防水防塵洪水カバー")</f>
        <v>日傘用オックスフォード ポリエステル ターポリン保護カバー防水防塵洪水カバー</v>
      </c>
    </row>
    <row r="101" ht="15.75" customHeight="1">
      <c r="A101" s="1">
        <v>1566.0</v>
      </c>
      <c r="B101" s="1" t="s">
        <v>15</v>
      </c>
      <c r="C101" s="1" t="s">
        <v>91</v>
      </c>
      <c r="D101" s="1" t="str">
        <f>IFERROR(__xludf.DUMMYFUNCTION("CONCATENATE(GOOGLETRANSLATE(C101, ""en"", ""zh-cn""))"),"20 件/套 3D 砖墙贴纸自粘面板贴花防水 PE 泡沫壁纸适合电视墙沙发背景墙装饰")</f>
        <v>20 件/套 3D 砖墙贴纸自粘面板贴花防水 PE 泡沫壁纸适合电视墙沙发背景墙装饰</v>
      </c>
      <c r="E101" s="1" t="str">
        <f>IFERROR(__xludf.DUMMYFUNCTION("CONCATENATE(GOOGLETRANSLATE(C101, ""en"", ""ko""))"),"20 개/대 3D 벽돌 벽 스티커 자체 접착 패널 데칼 방수 PE 폼 벽지 TV 벽 소파 배경 벽 장식")</f>
        <v>20 개/대 3D 벽돌 벽 스티커 자체 접착 패널 데칼 방수 PE 폼 벽지 TV 벽 소파 배경 벽 장식</v>
      </c>
      <c r="F101" s="1" t="str">
        <f>IFERROR(__xludf.DUMMYFUNCTION("CONCATENATE(GOOGLETRANSLATE(C101, ""en"", ""ja""))"),"20 ピース/セット 3D レンガの壁のステッカー自己粘着パネルデカール防水 PE フォーム壁紙テレビの壁ソファ背景の壁の装飾")</f>
        <v>20 ピース/セット 3D レンガの壁のステッカー自己粘着パネルデカール防水 PE フォーム壁紙テレビの壁ソファ背景の壁の装飾</v>
      </c>
    </row>
    <row r="102" ht="15.75" customHeight="1">
      <c r="A102" s="1">
        <v>1567.0</v>
      </c>
      <c r="B102" s="1" t="s">
        <v>15</v>
      </c>
      <c r="C102" s="1" t="s">
        <v>92</v>
      </c>
      <c r="D102" s="1" t="str">
        <f>IFERROR(__xludf.DUMMYFUNCTION("CONCATENATE(GOOGLETRANSLATE(C102, ""en"", ""zh-cn""))"),"1 件套弹性办公椅座套电脑旋转椅座椅保护器弹力扶手椅套家用办公家具装饰")</f>
        <v>1 件套弹性办公椅座套电脑旋转椅座椅保护器弹力扶手椅套家用办公家具装饰</v>
      </c>
      <c r="E102" s="1" t="str">
        <f>IFERROR(__xludf.DUMMYFUNCTION("CONCATENATE(GOOGLETRANSLATE(C102, ""en"", ""ko""))"),"1 Pc 탄성 사무실 의자 좌석 커버 컴퓨터 회전 의자 좌석 보호대 스트레치 안락 의자 커버 홈 오피스 가구 장식")</f>
        <v>1 Pc 탄성 사무실 의자 좌석 커버 컴퓨터 회전 의자 좌석 보호대 스트레치 안락 의자 커버 홈 오피스 가구 장식</v>
      </c>
      <c r="F102" s="1" t="str">
        <f>IFERROR(__xludf.DUMMYFUNCTION("CONCATENATE(GOOGLETRANSLATE(C102, ""en"", ""ja""))"),"1 Pc 弾性オフィスチェアシートカバーコンピュータ回転椅子シートプロテクターストレッチアームチェアスリップカバーホームオフィス家具装飾")</f>
        <v>1 Pc 弾性オフィスチェアシートカバーコンピュータ回転椅子シートプロテクターストレッチアームチェアスリップカバーホームオフィス家具装飾</v>
      </c>
    </row>
    <row r="103" ht="15.75" customHeight="1">
      <c r="A103" s="1">
        <v>1568.0</v>
      </c>
      <c r="B103" s="1" t="s">
        <v>15</v>
      </c>
      <c r="C103" s="1" t="s">
        <v>93</v>
      </c>
      <c r="D103" s="1" t="str">
        <f>IFERROR(__xludf.DUMMYFUNCTION("CONCATENATE(GOOGLETRANSLATE(C103, ""en"", ""zh-cn""))"),"Suleve™ MXNW2 100 件 M2 M3 M4 M5 白色尼龙平垫圈垫片厚度 1mm")</f>
        <v>Suleve™ MXNW2 100 件 M2 M3 M4 M5 白色尼龙平垫圈垫片厚度 1mm</v>
      </c>
      <c r="E103" s="1" t="str">
        <f>IFERROR(__xludf.DUMMYFUNCTION("CONCATENATE(GOOGLETRANSLATE(C103, ""en"", ""ko""))"),"Suleve™ MXNW2 100pcs M2 M3 M4 M5 흰색 나일론 플랫 와셔 가스켓 두께 1mm")</f>
        <v>Suleve™ MXNW2 100pcs M2 M3 M4 M5 흰색 나일론 플랫 와셔 가스켓 두께 1mm</v>
      </c>
      <c r="F103" s="1" t="str">
        <f>IFERROR(__xludf.DUMMYFUNCTION("CONCATENATE(GOOGLETRANSLATE(C103, ""en"", ""ja""))"),"Suleve™ MXNW2 100 個 M2 M3 M4 M5 ホワイト ナイロン 平ワッシャー ガスケット 厚さ 1mm")</f>
        <v>Suleve™ MXNW2 100 個 M2 M3 M4 M5 ホワイト ナイロン 平ワッシャー ガスケット 厚さ 1mm</v>
      </c>
    </row>
    <row r="104" ht="15.75" customHeight="1">
      <c r="A104" s="1">
        <v>1569.0</v>
      </c>
      <c r="B104" s="1" t="s">
        <v>15</v>
      </c>
      <c r="C104" s="1" t="s">
        <v>94</v>
      </c>
      <c r="D104" s="1" t="str">
        <f>IFERROR(__xludf.DUMMYFUNCTION("CONCATENATE(GOOGLETRANSLATE(C104, ""en"", ""zh-cn""))"),"Suleve™ M3NR2 50 件 M3 黑色尼龙圆形十字螺丝螺栓 6/15/20/25mm")</f>
        <v>Suleve™ M3NR2 50 件 M3 黑色尼龙圆形十字螺丝螺栓 6/15/20/25mm</v>
      </c>
      <c r="E104" s="1" t="str">
        <f>IFERROR(__xludf.DUMMYFUNCTION("CONCATENATE(GOOGLETRANSLATE(C104, ""en"", ""ko""))"),"Suleve™ M3NR2 50개 M3 검정색 나일론 원형 십자 나사 볼트 6/15/20/25mm")</f>
        <v>Suleve™ M3NR2 50개 M3 검정색 나일론 원형 십자 나사 볼트 6/15/20/25mm</v>
      </c>
      <c r="F104" s="1" t="str">
        <f>IFERROR(__xludf.DUMMYFUNCTION("CONCATENATE(GOOGLETRANSLATE(C104, ""en"", ""ja""))"),"Suleve™ M3NR2 50 個 M3 ブラック ナイロン丸プラス ネジ ボルト 6/15/20/25mm")</f>
        <v>Suleve™ M3NR2 50 個 M3 ブラック ナイロン丸プラス ネジ ボルト 6/15/20/25mm</v>
      </c>
    </row>
    <row r="105" ht="15.75" customHeight="1">
      <c r="A105" s="1">
        <v>1570.0</v>
      </c>
      <c r="B105" s="1" t="s">
        <v>15</v>
      </c>
      <c r="C105" s="1" t="s">
        <v>95</v>
      </c>
      <c r="D105" s="1" t="str">
        <f>IFERROR(__xludf.DUMMYFUNCTION("CONCATENATE(GOOGLETRANSLATE(C105, ""en"", ""zh-cn""))"),"Suleve™ MXSW2 50 件公制不锈钢平垫圈垫片 M3/M4/M5/M6/M8")</f>
        <v>Suleve™ MXSW2 50 件公制不锈钢平垫圈垫片 M3/M4/M5/M6/M8</v>
      </c>
      <c r="E105" s="1" t="str">
        <f>IFERROR(__xludf.DUMMYFUNCTION("CONCATENATE(GOOGLETRANSLATE(C105, ""en"", ""ko""))"),"Suleve™ MXSW2 50개 미터법 스테인레스 스틸 플랫 와셔 개스킷 M3/M4/M5/M6/M8")</f>
        <v>Suleve™ MXSW2 50개 미터법 스테인레스 스틸 플랫 와셔 개스킷 M3/M4/M5/M6/M8</v>
      </c>
      <c r="F105" s="1" t="str">
        <f>IFERROR(__xludf.DUMMYFUNCTION("CONCATENATE(GOOGLETRANSLATE(C105, ""en"", ""ja""))"),"Suleve™ MXSW2 50 個メートル ステンレス鋼平ワッシャー ガスケット M3/M4/M5/M6/M8")</f>
        <v>Suleve™ MXSW2 50 個メートル ステンレス鋼平ワッシャー ガスケット M3/M4/M5/M6/M8</v>
      </c>
    </row>
    <row r="106" ht="15.75" customHeight="1">
      <c r="A106" s="1">
        <v>1571.0</v>
      </c>
      <c r="B106" s="1" t="s">
        <v>15</v>
      </c>
      <c r="C106" s="1" t="s">
        <v>96</v>
      </c>
      <c r="D106" s="1" t="str">
        <f>IFERROR(__xludf.DUMMYFUNCTION("CONCATENATE(GOOGLETRANSLATE(C106, ""en"", ""zh-cn""))"),"塑料桌面收纳盒化妆品收纳盒化妆品收纳盒文具架家居装饰品 ")</f>
        <v>塑料桌面收纳盒化妆品收纳盒化妆品收纳盒文具架家居装饰品 </v>
      </c>
      <c r="E106" s="1" t="str">
        <f>IFERROR(__xludf.DUMMYFUNCTION("CONCATENATE(GOOGLETRANSLATE(C106, ""en"", ""ko""))"),"플라스틱 데스크탑 주최자 메이크업 주최자 화장품 보관 상자 편지지 홀더 홈 장식 ")</f>
        <v>플라스틱 데스크탑 주최자 메이크업 주최자 화장품 보관 상자 편지지 홀더 홈 장식 </v>
      </c>
      <c r="F106" s="1" t="str">
        <f>IFERROR(__xludf.DUMMYFUNCTION("CONCATENATE(GOOGLETRANSLATE(C106, ""en"", ""ja""))"),"プラスチックデスクトップオーガナイザーメイクアップオーガナイザー化粧品収納ボックス文具ホルダー家の装飾 ")</f>
        <v>プラスチックデスクトップオーガナイザーメイクアップオーガナイザー化粧品収納ボックス文具ホルダー家の装飾 </v>
      </c>
    </row>
    <row r="107" ht="15.75" customHeight="1">
      <c r="A107" s="1">
        <v>1572.0</v>
      </c>
      <c r="B107" s="1" t="s">
        <v>15</v>
      </c>
      <c r="C107" s="1" t="s">
        <v>97</v>
      </c>
      <c r="D107" s="1" t="str">
        <f>IFERROR(__xludf.DUMMYFUNCTION("CONCATENATE(GOOGLETRANSLATE(C107, ""en"", ""zh-cn""))"),"可折叠高度角度可调节 USB 散热风扇床笔记本电脑桌，可调节高度，易于折叠")</f>
        <v>可折叠高度角度可调节 USB 散热风扇床笔记本电脑桌，可调节高度，易于折叠</v>
      </c>
      <c r="E107" s="1" t="str">
        <f>IFERROR(__xludf.DUMMYFUNCTION("CONCATENATE(GOOGLETRANSLATE(C107, ""en"", ""ko""))"),"접이식 높이 각도 조절 가능한 USB 냉각 팬 침대 노트북 책상, 높이 조절 가능, 접기 쉬움")</f>
        <v>접이식 높이 각도 조절 가능한 USB 냉각 팬 침대 노트북 책상, 높이 조절 가능, 접기 쉬움</v>
      </c>
      <c r="F107" s="1" t="str">
        <f>IFERROR(__xludf.DUMMYFUNCTION("CONCATENATE(GOOGLETRANSLATE(C107, ""en"", ""ja""))"),"折りたたみ式高さ角度調整可能なUSB冷却ファンベッドノートパソコンデスク、高さ調整可能、折りたたみ簡単")</f>
        <v>折りたたみ式高さ角度調整可能なUSB冷却ファンベッドノートパソコンデスク、高さ調整可能、折りたたみ簡単</v>
      </c>
    </row>
    <row r="108" ht="15.75" customHeight="1">
      <c r="A108" s="1">
        <v>1573.0</v>
      </c>
      <c r="B108" s="1" t="s">
        <v>15</v>
      </c>
      <c r="C108" s="1" t="s">
        <v>98</v>
      </c>
      <c r="D108" s="1" t="str">
        <f>IFERROR(__xludf.DUMMYFUNCTION("CONCATENATE(GOOGLETRANSLATE(C108, ""en"", ""zh-cn""))"),"50/60cm方形简易茶几收纳小桌子安装方便，承载能力大")</f>
        <v>50/60cm方形简易茶几收纳小桌子安装方便，承载能力大</v>
      </c>
      <c r="E108" s="1" t="str">
        <f>IFERROR(__xludf.DUMMYFUNCTION("CONCATENATE(GOOGLETRANSLATE(C108, ""en"", ""ko""))"),"50/60cm 정사각형 간단한 커피 테이블 보관소 작은 테이블 쉬운 설치, 큰 적재 용량")</f>
        <v>50/60cm 정사각형 간단한 커피 테이블 보관소 작은 테이블 쉬운 설치, 큰 적재 용량</v>
      </c>
      <c r="F108" s="1" t="str">
        <f>IFERROR(__xludf.DUMMYFUNCTION("CONCATENATE(GOOGLETRANSLATE(C108, ""en"", ""ja""))"),"50/60 センチメートル正方形シンプルなコーヒーテーブル収納小さなテーブル簡単なインストール、大積載量")</f>
        <v>50/60 センチメートル正方形シンプルなコーヒーテーブル収納小さなテーブル簡単なインストール、大積載量</v>
      </c>
    </row>
    <row r="109" ht="15.75" customHeight="1">
      <c r="A109" s="1">
        <v>1574.0</v>
      </c>
      <c r="B109" s="1" t="s">
        <v>15</v>
      </c>
      <c r="C109" s="1" t="s">
        <v>99</v>
      </c>
      <c r="D109" s="1" t="str">
        <f>IFERROR(__xludf.DUMMYFUNCTION("CONCATENATE(GOOGLETRANSLATE(C109, ""en"", ""zh-cn""))"),"50/60cm三角简约茶几收纳小桌子安装方便，承载能力大")</f>
        <v>50/60cm三角简约茶几收纳小桌子安装方便，承载能力大</v>
      </c>
      <c r="E109" s="1" t="str">
        <f>IFERROR(__xludf.DUMMYFUNCTION("CONCATENATE(GOOGLETRANSLATE(C109, ""en"", ""ko""))"),"50/60cm 삼각형 간단한 커피 테이블 보관소 작은 테이블 쉬운 설치, 큰 적재 용량")</f>
        <v>50/60cm 삼각형 간단한 커피 테이블 보관소 작은 테이블 쉬운 설치, 큰 적재 용량</v>
      </c>
      <c r="F109" s="1" t="str">
        <f>IFERROR(__xludf.DUMMYFUNCTION("CONCATENATE(GOOGLETRANSLATE(C109, ""en"", ""ja""))"),"50/60 センチメートル三角形シンプルなコーヒーテーブル収納小さなテーブル簡単なインストール、大積載量")</f>
        <v>50/60 センチメートル三角形シンプルなコーヒーテーブル収納小さなテーブル簡単なインストール、大積載量</v>
      </c>
    </row>
    <row r="110" ht="15.75" customHeight="1">
      <c r="A110" s="1">
        <v>1575.0</v>
      </c>
      <c r="B110" s="1" t="s">
        <v>15</v>
      </c>
      <c r="C110" s="1" t="s">
        <v>100</v>
      </c>
      <c r="D110" s="1" t="str">
        <f>IFERROR(__xludf.DUMMYFUNCTION("CONCATENATE(GOOGLETRANSLATE(C110, ""en"", ""zh-cn""))"),"9 件装 30-100A ABS+铜汽车公母保险丝 7 色 PAL 替换配件")</f>
        <v>9 件装 30-100A ABS+铜汽车公母保险丝 7 色 PAL 替换配件</v>
      </c>
      <c r="E110" s="1" t="str">
        <f>IFERROR(__xludf.DUMMYFUNCTION("CONCATENATE(GOOGLETRANSLATE(C110, ""en"", ""ko""))"),"9Pcs 30-100A ABS + 구리 자동 남성 여성 퓨즈 7 색 PAL 교체 액세서리")</f>
        <v>9Pcs 30-100A ABS + 구리 자동 남성 여성 퓨즈 7 색 PAL 교체 액세서리</v>
      </c>
      <c r="F110" s="1" t="str">
        <f>IFERROR(__xludf.DUMMYFUNCTION("CONCATENATE(GOOGLETRANSLATE(C110, ""en"", ""ja""))"),"9 個 30-100A ABS + 銅自動男性女性ヒューズ 7 色 PAL 交換アクセサリー")</f>
        <v>9 個 30-100A ABS + 銅自動男性女性ヒューズ 7 色 PAL 交換アクセサリー</v>
      </c>
    </row>
    <row r="111" ht="15.75" customHeight="1">
      <c r="A111" s="1">
        <v>1576.0</v>
      </c>
      <c r="B111" s="1" t="s">
        <v>15</v>
      </c>
      <c r="C111" s="1" t="s">
        <v>101</v>
      </c>
      <c r="D111" s="1" t="str">
        <f>IFERROR(__xludf.DUMMYFUNCTION("CONCATENATE(GOOGLETRANSLATE(C111, ""en"", ""zh-cn""))"),"10 件不锈钢茎球模压手工压接金属柱 1/8 英寸电缆栏杆螺丝")</f>
        <v>10 件不锈钢茎球模压手工压接金属柱 1/8 英寸电缆栏杆螺丝</v>
      </c>
      <c r="E111" s="1" t="str">
        <f>IFERROR(__xludf.DUMMYFUNCTION("CONCATENATE(GOOGLETRANSLATE(C111, ""en"", ""ko""))"),"10개 스테인레스 스틸 스템볼 스웨이지 핸드 크림프 금속 포스트 1/8"" 케이블 난간 나사")</f>
        <v>10개 스테인레스 스틸 스템볼 스웨이지 핸드 크림프 금속 포스트 1/8" 케이블 난간 나사</v>
      </c>
      <c r="F111" s="1" t="str">
        <f>IFERROR(__xludf.DUMMYFUNCTION("CONCATENATE(GOOGLETRANSLATE(C111, ""en"", ""ja""))"),"10 個のステンレス鋼ステムボール スエージ手圧着金属ポスト 1/8 インチ ケーブル手すりネジ")</f>
        <v>10 個のステンレス鋼ステムボール スエージ手圧着金属ポスト 1/8 インチ ケーブル手すりネジ</v>
      </c>
    </row>
    <row r="112" ht="15.75" customHeight="1">
      <c r="A112" s="1">
        <v>1577.0</v>
      </c>
      <c r="B112" s="1" t="s">
        <v>15</v>
      </c>
      <c r="C112" s="1" t="s">
        <v>102</v>
      </c>
      <c r="D112" s="1" t="str">
        <f>IFERROR(__xludf.DUMMYFUNCTION("CONCATENATE(GOOGLETRANSLATE(C112, ""en"", ""zh-cn""))"),"单/双层顶部/底部/分层桌面塑料收纳盒化妆品收纳盒")</f>
        <v>单/双层顶部/底部/分层桌面塑料收纳盒化妆品收纳盒</v>
      </c>
      <c r="E112" s="1" t="str">
        <f>IFERROR(__xludf.DUMMYFUNCTION("CONCATENATE(GOOGLETRANSLATE(C112, ""en"", ""ko""))"),"단일/이중 상단/하단/계층 데스크탑 플라스틱 주최자 메이크업 화장품 보관 상자")</f>
        <v>단일/이중 상단/하단/계층 데스크탑 플라스틱 주최자 메이크업 화장품 보관 상자</v>
      </c>
      <c r="F112" s="1" t="str">
        <f>IFERROR(__xludf.DUMMYFUNCTION("CONCATENATE(GOOGLETRANSLATE(C112, ""en"", ""ja""))"),"シングル/ダブルトップ/ボトム/ティアデスクトッププラスチックオーガナイザーメイクアップ化粧品収納ボックス")</f>
        <v>シングル/ダブルトップ/ボトム/ティアデスクトッププラスチックオーガナイザーメイクアップ化粧品収納ボックス</v>
      </c>
    </row>
    <row r="113" ht="15.75" customHeight="1">
      <c r="A113" s="1">
        <v>1578.0</v>
      </c>
      <c r="B113" s="1" t="s">
        <v>15</v>
      </c>
      <c r="C113" s="1" t="s">
        <v>103</v>
      </c>
      <c r="D113" s="1" t="str">
        <f>IFERROR(__xludf.DUMMYFUNCTION("CONCATENATE(GOOGLETRANSLATE(C113, ""en"", ""zh-cn""))"),"20 颗 M3 至 M6 PC 透明螺丝 尼龙螺丝 塑料螺丝 螺母")</f>
        <v>20 颗 M3 至 M6 PC 透明螺丝 尼龙螺丝 塑料螺丝 螺母</v>
      </c>
      <c r="E113" s="1" t="str">
        <f>IFERROR(__xludf.DUMMYFUNCTION("CONCATENATE(GOOGLETRANSLATE(C113, ""en"", ""ko""))"),"20개 M3 ~ M6 PC 투명 나사 나일론 나사 플라스틱 나사 너트")</f>
        <v>20개 M3 ~ M6 PC 투명 나사 나일론 나사 플라스틱 나사 너트</v>
      </c>
      <c r="F113" s="1" t="str">
        <f>IFERROR(__xludf.DUMMYFUNCTION("CONCATENATE(GOOGLETRANSLATE(C113, ""en"", ""ja""))"),"20 個 M3 から M6 PC 透明ネジナイロンネジプラスチックネジナット")</f>
        <v>20 個 M3 から M6 PC 透明ネジナイロンネジプラスチックネジナット</v>
      </c>
    </row>
    <row r="114" ht="15.75" customHeight="1">
      <c r="A114" s="1">
        <v>1579.0</v>
      </c>
      <c r="B114" s="1" t="s">
        <v>15</v>
      </c>
      <c r="C114" s="1" t="s">
        <v>104</v>
      </c>
      <c r="D114" s="1" t="str">
        <f>IFERROR(__xludf.DUMMYFUNCTION("CONCATENATE(GOOGLETRANSLATE(C114, ""en"", ""zh-cn""))"),"便携式智能无钥匙行李箱门锁防盗指纹安全挂锁")</f>
        <v>便携式智能无钥匙行李箱门锁防盗指纹安全挂锁</v>
      </c>
      <c r="E114" s="1" t="str">
        <f>IFERROR(__xludf.DUMMYFUNCTION("CONCATENATE(GOOGLETRANSLATE(C114, ""en"", ""ko""))"),"휴대용 스마트 열쇠가 없는 수하물 도어 잠금 장치 도난 방지 지문 보안 자물쇠")</f>
        <v>휴대용 스마트 열쇠가 없는 수하물 도어 잠금 장치 도난 방지 지문 보안 자물쇠</v>
      </c>
      <c r="F114" s="1" t="str">
        <f>IFERROR(__xludf.DUMMYFUNCTION("CONCATENATE(GOOGLETRANSLATE(C114, ""en"", ""ja""))"),"ポータブルスマートキーレス荷物ドアロック盗難防止指紋セキュリティ南京錠")</f>
        <v>ポータブルスマートキーレス荷物ドアロック盗難防止指紋セキュリティ南京錠</v>
      </c>
    </row>
    <row r="115" ht="15.75" customHeight="1">
      <c r="A115" s="1">
        <v>1580.0</v>
      </c>
      <c r="B115" s="1" t="s">
        <v>15</v>
      </c>
      <c r="C115" s="1" t="s">
        <v>105</v>
      </c>
      <c r="D115" s="1" t="str">
        <f>IFERROR(__xludf.DUMMYFUNCTION("CONCATENATE(GOOGLETRANSLATE(C115, ""en"", ""zh-cn""))"),"4 张 5 硬币现金抽屉托盘储物盒适用于收银安全锁保险箱")</f>
        <v>4 张 5 硬币现金抽屉托盘储物盒适用于收银安全锁保险箱</v>
      </c>
      <c r="E115" s="1" t="str">
        <f>IFERROR(__xludf.DUMMYFUNCTION("CONCATENATE(GOOGLETRANSLATE(C115, ""en"", ""ko""))"),"4 빌 5 동전 현금 서랍 트레이 보관함 출납원 돈 보안 잠금 장치 금고")</f>
        <v>4 빌 5 동전 현금 서랍 트레이 보관함 출납원 돈 보안 잠금 장치 금고</v>
      </c>
      <c r="F115" s="1" t="str">
        <f>IFERROR(__xludf.DUMMYFUNCTION("CONCATENATE(GOOGLETRANSLATE(C115, ""en"", ""ja""))"),"4紙幣5コインキャッシュドロワートレイ収納ボックスレジマネーセキュリティロックセーフティボックス")</f>
        <v>4紙幣5コインキャッシュドロワートレイ収納ボックスレジマネーセキュリティロックセーフティボックス</v>
      </c>
    </row>
    <row r="116" ht="15.75" customHeight="1">
      <c r="A116" s="1">
        <v>1581.0</v>
      </c>
      <c r="B116" s="1" t="s">
        <v>15</v>
      </c>
      <c r="C116" s="1" t="s">
        <v>106</v>
      </c>
      <c r="D116" s="1" t="str">
        <f>IFERROR(__xludf.DUMMYFUNCTION("CONCATENATE(GOOGLETRANSLATE(C116, ""en"", ""zh-cn""))"),"Suleve™ M3AH6 10件 M3×8mm 内六角螺钉 圆头螺钉 7075 铝合金")</f>
        <v>Suleve™ M3AH6 10件 M3×8mm 内六角螺钉 圆头螺钉 7075 铝合金</v>
      </c>
      <c r="E116" s="1" t="str">
        <f>IFERROR(__xludf.DUMMYFUNCTION("CONCATENATE(GOOGLETRANSLATE(C116, ""en"", ""ko""))"),"Suleve™ M3AH6 10개 M3×8mm 육각 소켓 나사 둥근 머리 캡 나사 7075 알루미늄 합금")</f>
        <v>Suleve™ M3AH6 10개 M3×8mm 육각 소켓 나사 둥근 머리 캡 나사 7075 알루미늄 합금</v>
      </c>
      <c r="F116" s="1" t="str">
        <f>IFERROR(__xludf.DUMMYFUNCTION("CONCATENATE(GOOGLETRANSLATE(C116, ""en"", ""ja""))"),"Suleve™ M3AH6 10 個 M3×8mm 六角穴付きネジ 丸頭キャップネジ 7075 アルミニウム合金")</f>
        <v>Suleve™ M3AH6 10 個 M3×8mm 六角穴付きネジ 丸頭キャップネジ 7075 アルミニウム合金</v>
      </c>
    </row>
    <row r="117" ht="15.75" customHeight="1">
      <c r="A117" s="1">
        <v>1582.0</v>
      </c>
      <c r="B117" s="1" t="s">
        <v>15</v>
      </c>
      <c r="C117" s="1" t="s">
        <v>107</v>
      </c>
      <c r="D117" s="1" t="str">
        <f>IFERROR(__xludf.DUMMYFUNCTION("CONCATENATE(GOOGLETRANSLATE(C117, ""en"", ""zh-cn""))"),"Suleve™ M3AH7 10件 M3×10mm 内六角螺钉 圆头螺钉 7075 铝合金")</f>
        <v>Suleve™ M3AH7 10件 M3×10mm 内六角螺钉 圆头螺钉 7075 铝合金</v>
      </c>
      <c r="E117" s="1" t="str">
        <f>IFERROR(__xludf.DUMMYFUNCTION("CONCATENATE(GOOGLETRANSLATE(C117, ""en"", ""ko""))"),"Suleve™ M3AH7 10개 M3×10mm 육각 소켓 나사 둥근 머리 캡 나사 7075 알루미늄 합금")</f>
        <v>Suleve™ M3AH7 10개 M3×10mm 육각 소켓 나사 둥근 머리 캡 나사 7075 알루미늄 합금</v>
      </c>
      <c r="F117" s="1" t="str">
        <f>IFERROR(__xludf.DUMMYFUNCTION("CONCATENATE(GOOGLETRANSLATE(C117, ""en"", ""ja""))"),"Suleve™ M3AH7 10 個 M3×10mm 六角穴付きネジ 丸頭キャップネジ 7075 アルミニウム合金")</f>
        <v>Suleve™ M3AH7 10 個 M3×10mm 六角穴付きネジ 丸頭キャップネジ 7075 アルミニウム合金</v>
      </c>
    </row>
    <row r="118" ht="15.75" customHeight="1">
      <c r="A118" s="1">
        <v>1583.0</v>
      </c>
      <c r="B118" s="1" t="s">
        <v>15</v>
      </c>
      <c r="C118" s="1" t="s">
        <v>108</v>
      </c>
      <c r="D118" s="1" t="str">
        <f>IFERROR(__xludf.DUMMYFUNCTION("CONCATENATE(GOOGLETRANSLATE(C118, ""en"", ""zh-cn""))"),"厨房拉出式冷漆面灵活冷热混合水龙头甲板安装旋转")</f>
        <v>厨房拉出式冷漆面灵活冷热混合水龙头甲板安装旋转</v>
      </c>
      <c r="E118" s="1" t="str">
        <f>IFERROR(__xludf.DUMMYFUNCTION("CONCATENATE(GOOGLETRANSLATE(C118, ""en"", ""ko""))"),"주방 풀 아웃 쿨 페인트 마감 유연한 냉온 믹서 탭 데크 마운트 회전")</f>
        <v>주방 풀 아웃 쿨 페인트 마감 유연한 냉온 믹서 탭 데크 마운트 회전</v>
      </c>
      <c r="F118" s="1" t="str">
        <f>IFERROR(__xludf.DUMMYFUNCTION("CONCATENATE(GOOGLETRANSLATE(C118, ""en"", ""ja""))"),"キッチン引き出しクール塗装仕上げフレキシブルホットおよびコールドミキサータップデッキマウントスイベル")</f>
        <v>キッチン引き出しクール塗装仕上げフレキシブルホットおよびコールドミキサータップデッキマウントスイベル</v>
      </c>
    </row>
    <row r="119" ht="15.75" customHeight="1">
      <c r="A119" s="1">
        <v>1584.0</v>
      </c>
      <c r="B119" s="1" t="s">
        <v>15</v>
      </c>
      <c r="C119" s="1" t="s">
        <v>109</v>
      </c>
      <c r="D119" s="1" t="str">
        <f>IFERROR(__xludf.DUMMYFUNCTION("CONCATENATE(GOOGLETRANSLATE(C119, ""en"", ""zh-cn""))"),"厨房喷头旋转水槽下拉式预冲洗水龙头水龙头喷雾器替换零件")</f>
        <v>厨房喷头旋转水槽下拉式预冲洗水龙头水龙头喷雾器替换零件</v>
      </c>
      <c r="E119" s="1" t="str">
        <f>IFERROR(__xludf.DUMMYFUNCTION("CONCATENATE(GOOGLETRANSLATE(C119, ""en"", ""ko""))"),"주방 스프레이 헤드 회전 싱크 풀다운 프리 린스 수도꼭지 탭 분무기 교체 부품")</f>
        <v>주방 스프레이 헤드 회전 싱크 풀다운 프리 린스 수도꼭지 탭 분무기 교체 부품</v>
      </c>
      <c r="F119" s="1" t="str">
        <f>IFERROR(__xludf.DUMMYFUNCTION("CONCATENATE(GOOGLETRANSLATE(C119, ""en"", ""ja""))"),"キッチンスプレーヘッドスイベルシンクプルダウンプレリンス蛇口タップスプレーヤの交換部品")</f>
        <v>キッチンスプレーヘッドスイベルシンクプルダウンプレリンス蛇口タップスプレーヤの交換部品</v>
      </c>
    </row>
    <row r="120" ht="15.75" customHeight="1">
      <c r="A120" s="1">
        <v>1585.0</v>
      </c>
      <c r="B120" s="1" t="s">
        <v>15</v>
      </c>
      <c r="C120" s="1" t="s">
        <v>110</v>
      </c>
      <c r="D120" s="1" t="str">
        <f>IFERROR(__xludf.DUMMYFUNCTION("CONCATENATE(GOOGLETRANSLATE(C120, ""en"", ""zh-cn""))"),"Suleve™ M2NH2 M2 尼龙螺丝白色六角螺丝螺母尼龙 PCB 支架分类套件 140 件")</f>
        <v>Suleve™ M2NH2 M2 尼龙螺丝白色六角螺丝螺母尼龙 PCB 支架分类套件 140 件</v>
      </c>
      <c r="E120" s="1" t="str">
        <f>IFERROR(__xludf.DUMMYFUNCTION("CONCATENATE(GOOGLETRANSLATE(C120, ""en"", ""ko""))"),"Suleve™ M2NH2 M2 나일론 나사 흰색 육각 나사 너트 나일론 PCB 스탠드오프 분류 키트 140개")</f>
        <v>Suleve™ M2NH2 M2 나일론 나사 흰색 육각 나사 너트 나일론 PCB 스탠드오프 분류 키트 140개</v>
      </c>
      <c r="F120" s="1" t="str">
        <f>IFERROR(__xludf.DUMMYFUNCTION("CONCATENATE(GOOGLETRANSLATE(C120, ""en"", ""ja""))"),"Suleve™ M2NH2 M2 ナイロンネジ白六角ネジナットナイロン PCB スタンドオフ詰め合わせキット 140 個")</f>
        <v>Suleve™ M2NH2 M2 ナイロンネジ白六角ネジナットナイロン PCB スタンドオフ詰め合わせキット 140 個</v>
      </c>
    </row>
    <row r="121" ht="15.75" customHeight="1">
      <c r="A121" s="1">
        <v>1586.0</v>
      </c>
      <c r="B121" s="1" t="s">
        <v>15</v>
      </c>
      <c r="C121" s="1" t="s">
        <v>111</v>
      </c>
      <c r="D121" s="1" t="str">
        <f>IFERROR(__xludf.DUMMYFUNCTION("CONCATENATE(GOOGLETRANSLATE(C121, ""en"", ""zh-cn""))"),"餐厅椅子座套防滑弹力婚宴派对可拆卸弹力摇粒绒斜纹酒吧凳椅套套酒店柜台装饰")</f>
        <v>餐厅椅子座套防滑弹力婚宴派对可拆卸弹力摇粒绒斜纹酒吧凳椅套套酒店柜台装饰</v>
      </c>
      <c r="E121" s="1" t="str">
        <f>IFERROR(__xludf.DUMMYFUNCTION("CONCATENATE(GOOGLETRANSLATE(C121, ""en"", ""ko""))"),"다이닝 룸 의자 시트 커버 슬립 스트레치 웨딩 연회 파티 이동식 스트레치 폴라 플리스 능직 바 의자 의자 커버 슬리퍼 호텔 카운터 장식")</f>
        <v>다이닝 룸 의자 시트 커버 슬립 스트레치 웨딩 연회 파티 이동식 스트레치 폴라 플리스 능직 바 의자 의자 커버 슬리퍼 호텔 카운터 장식</v>
      </c>
      <c r="F121" s="1" t="str">
        <f>IFERROR(__xludf.DUMMYFUNCTION("CONCATENATE(GOOGLETRANSLATE(C121, ""en"", ""ja""))"),"ダイニングルーム椅子シートカバースリップストレッチ結婚式宴会パーティー取り外し可能ストレッチポーラーフリースツイルバースツール椅子カバースリップカバーホテルカウンター装飾")</f>
        <v>ダイニングルーム椅子シートカバースリップストレッチ結婚式宴会パーティー取り外し可能ストレッチポーラーフリースツイルバースツール椅子カバースリップカバーホテルカウンター装飾</v>
      </c>
    </row>
    <row r="122" ht="15.75" customHeight="1">
      <c r="A122" s="1">
        <v>1587.0</v>
      </c>
      <c r="B122" s="1" t="s">
        <v>15</v>
      </c>
      <c r="C122" s="1" t="s">
        <v>112</v>
      </c>
      <c r="D122" s="1" t="str">
        <f>IFERROR(__xludf.DUMMYFUNCTION("CONCATENATE(GOOGLETRANSLATE(C122, ""en"", ""zh-cn""))"),"Suleve™ CJ40 T 槽 3 路 90 度内角连接器连接支架，适用于 4040 系列铝型材")</f>
        <v>Suleve™ CJ40 T 槽 3 路 90 度内角连接器连接支架，适用于 4040 系列铝型材</v>
      </c>
      <c r="E122" s="1" t="str">
        <f>IFERROR(__xludf.DUMMYFUNCTION("CONCATENATE(GOOGLETRANSLATE(C122, ""en"", ""ko""))"),"Suleve™ CJ40 T 슬롯 3방향 90도 내부 코너 커넥터 조인트 브래킷(4040 시리즈 알루미늄 프로파일용)")</f>
        <v>Suleve™ CJ40 T 슬롯 3방향 90도 내부 코너 커넥터 조인트 브래킷(4040 시리즈 알루미늄 프로파일용)</v>
      </c>
      <c r="F122" s="1" t="str">
        <f>IFERROR(__xludf.DUMMYFUNCTION("CONCATENATE(GOOGLETRANSLATE(C122, ""en"", ""ja""))"),"Suleve™ CJ40 T スロット 3 ウェイ 90 度 4040 シリーズ アルミニウム プロファイル用インサイド コーナー コネクタ ジョイント ブラケット")</f>
        <v>Suleve™ CJ40 T スロット 3 ウェイ 90 度 4040 シリーズ アルミニウム プロファイル用インサイド コーナー コネクタ ジョイント ブラケット</v>
      </c>
    </row>
    <row r="123" ht="15.75" customHeight="1">
      <c r="A123" s="1">
        <v>1588.0</v>
      </c>
      <c r="B123" s="1" t="s">
        <v>15</v>
      </c>
      <c r="C123" s="1" t="s">
        <v>113</v>
      </c>
      <c r="D123" s="1" t="str">
        <f>IFERROR(__xludf.DUMMYFUNCTION("CONCATENATE(GOOGLETRANSLATE(C123, ""en"", ""zh-cn""))"),"7 件/套 3D 墙贴花自粘防水面板壁纸")</f>
        <v>7 件/套 3D 墙贴花自粘防水面板壁纸</v>
      </c>
      <c r="E123" s="1" t="str">
        <f>IFERROR(__xludf.DUMMYFUNCTION("CONCATENATE(GOOGLETRANSLATE(C123, ""en"", ""ko""))"),"7개 세트/3D 벽 데칼 스티커 자체 접착식 방수 패널 벽지")</f>
        <v>7개 세트/3D 벽 데칼 스티커 자체 접착식 방수 패널 벽지</v>
      </c>
      <c r="F123" s="1" t="str">
        <f>IFERROR(__xludf.DUMMYFUNCTION("CONCATENATE(GOOGLETRANSLATE(C123, ""en"", ""ja""))"),"7 ピース/セット 3D ウォールデカールステッカー自己粘着防水パネル壁紙")</f>
        <v>7 ピース/セット 3D ウォールデカールステッカー自己粘着防水パネル壁紙</v>
      </c>
    </row>
    <row r="124" ht="15.75" customHeight="1">
      <c r="A124" s="1">
        <v>1589.0</v>
      </c>
      <c r="B124" s="1" t="s">
        <v>15</v>
      </c>
      <c r="C124" s="1" t="s">
        <v>114</v>
      </c>
      <c r="D124" s="1" t="str">
        <f>IFERROR(__xludf.DUMMYFUNCTION("CONCATENATE(GOOGLETRANSLATE(C124, ""en"", ""zh-cn""))"),"吊床椅悬挂套件秋千椅固定配件不锈钢")</f>
        <v>吊床椅悬挂套件秋千椅固定配件不锈钢</v>
      </c>
      <c r="E124" s="1" t="str">
        <f>IFERROR(__xludf.DUMMYFUNCTION("CONCATENATE(GOOGLETRANSLATE(C124, ""en"", ""ko""))"),"해먹 의자 걸이 키트 스윙 의자 고정 액세서리 스테인레스 스틸")</f>
        <v>해먹 의자 걸이 키트 스윙 의자 고정 액세서리 스테인레스 스틸</v>
      </c>
      <c r="F124" s="1" t="str">
        <f>IFERROR(__xludf.DUMMYFUNCTION("CONCATENATE(GOOGLETRANSLATE(C124, ""en"", ""ja""))"),"ハンモックチェアハンギングキットスイングチェア固定アクセサリーステンレス鋼")</f>
        <v>ハンモックチェアハンギングキットスイングチェア固定アクセサリーステンレス鋼</v>
      </c>
    </row>
    <row r="125" ht="15.75" customHeight="1">
      <c r="A125" s="1">
        <v>1590.0</v>
      </c>
      <c r="B125" s="1" t="s">
        <v>15</v>
      </c>
      <c r="C125" s="1" t="s">
        <v>115</v>
      </c>
      <c r="D125" s="1" t="str">
        <f>IFERROR(__xludf.DUMMYFUNCTION("CONCATENATE(GOOGLETRANSLATE(C125, ""en"", ""zh-cn""))"),"厨房面盆水槽水龙头 360° 旋转拉出式喷雾器冷热混合水龙头单手柄黄铜饰面甲板安装 ")</f>
        <v>厨房面盆水槽水龙头 360° 旋转拉出式喷雾器冷热混合水龙头单手柄黄铜饰面甲板安装 </v>
      </c>
      <c r="E125" s="1" t="str">
        <f>IFERROR(__xludf.DUMMYFUNCTION("CONCATENATE(GOOGLETRANSLATE(C125, ""en"", ""ko""))"),"주방 분지 싱크 수도꼭지 360° 회전 풀아웃 분무기 핫 콜드 믹서 탭 싱글 핸들 황동 마감 데크 마운트 ")</f>
        <v>주방 분지 싱크 수도꼭지 360° 회전 풀아웃 분무기 핫 콜드 믹서 탭 싱글 핸들 황동 마감 데크 마운트 </v>
      </c>
      <c r="F125" s="1" t="str">
        <f>IFERROR(__xludf.DUMMYFUNCTION("CONCATENATE(GOOGLETRANSLATE(C125, ""en"", ""ja""))"),"キッチン洗面台のシンクの蛇口 360 度回転引き出し式噴霧器ホットコールドミキサータップシングルハンドル真鍮仕上げデッキマウント ")</f>
        <v>キッチン洗面台のシンクの蛇口 360 度回転引き出し式噴霧器ホットコールドミキサータップシングルハンドル真鍮仕上げデッキマウント </v>
      </c>
    </row>
    <row r="126" ht="15.75" customHeight="1">
      <c r="A126" s="1">
        <v>1591.0</v>
      </c>
      <c r="B126" s="1" t="s">
        <v>15</v>
      </c>
      <c r="C126" s="1" t="s">
        <v>116</v>
      </c>
      <c r="D126" s="1" t="str">
        <f>IFERROR(__xludf.DUMMYFUNCTION("CONCATENATE(GOOGLETRANSLATE(C126, ""en"", ""zh-cn""))"),"DC 12V 60kg 可视安装门柜磁力锁门禁系统")</f>
        <v>DC 12V 60kg 可视安装门柜磁力锁门禁系统</v>
      </c>
      <c r="E126" s="1" t="str">
        <f>IFERROR(__xludf.DUMMYFUNCTION("CONCATENATE(GOOGLETRANSLATE(C126, ""en"", ""ko""))"),"DC 12V 60kg 눈에 보이는 설치 도어 캐비닛 자석 잠금 장치 출입 통제 시스템")</f>
        <v>DC 12V 60kg 눈에 보이는 설치 도어 캐비닛 자석 잠금 장치 출입 통제 시스템</v>
      </c>
      <c r="F126" s="1" t="str">
        <f>IFERROR(__xludf.DUMMYFUNCTION("CONCATENATE(GOOGLETRANSLATE(C126, ""en"", ""ja""))"),"DC 12V 60kg 目に見える設置ドアキャビネット磁気ロックアクセス制御システム")</f>
        <v>DC 12V 60kg 目に見える設置ドアキャビネット磁気ロックアクセス制御システム</v>
      </c>
    </row>
    <row r="127" ht="15.75" customHeight="1">
      <c r="A127" s="1">
        <v>1592.0</v>
      </c>
      <c r="B127" s="1" t="s">
        <v>15</v>
      </c>
      <c r="C127" s="1" t="s">
        <v>117</v>
      </c>
      <c r="D127" s="1" t="str">
        <f>IFERROR(__xludf.DUMMYFUNCTION("CONCATENATE(GOOGLETRANSLATE(C127, ""en"", ""zh-cn""))"),"可折叠透明塑料鞋盒储物收纳盒可堆叠整齐展示盒篮")</f>
        <v>可折叠透明塑料鞋盒储物收纳盒可堆叠整齐展示盒篮</v>
      </c>
      <c r="E127" s="1" t="str">
        <f>IFERROR(__xludf.DUMMYFUNCTION("CONCATENATE(GOOGLETRANSLATE(C127, ""en"", ""ko""))"),"접이식 투명 플라스틱 신발 상자 보관 주최자 쌓을 수 있는 깔끔한 디스플레이 상자 바구니")</f>
        <v>접이식 투명 플라스틱 신발 상자 보관 주최자 쌓을 수 있는 깔끔한 디스플레이 상자 바구니</v>
      </c>
      <c r="F127" s="1" t="str">
        <f>IFERROR(__xludf.DUMMYFUNCTION("CONCATENATE(GOOGLETRANSLATE(C127, ""en"", ""ja""))"),"折りたたみ可能な透明なプラスチック靴箱収納オーガナイザー積み重ね可能なきちんとしたディスプレイボックスバスケット")</f>
        <v>折りたたみ可能な透明なプラスチック靴箱収納オーガナイザー積み重ね可能なきちんとしたディスプレイボックスバスケット</v>
      </c>
    </row>
    <row r="128" ht="15.75" customHeight="1">
      <c r="A128" s="1">
        <v>1593.0</v>
      </c>
      <c r="B128" s="1" t="s">
        <v>15</v>
      </c>
      <c r="C128" s="1" t="s">
        <v>118</v>
      </c>
      <c r="D128" s="1" t="str">
        <f>IFERROR(__xludf.DUMMYFUNCTION("CONCATENATE(GOOGLETRANSLATE(C128, ""en"", ""zh-cn""))"),"升级升降脚凳 6 档可调高度脚踩平台适合家庭办公室")</f>
        <v>升级升降脚凳 6 档可调高度脚踩平台适合家庭办公室</v>
      </c>
      <c r="E128" s="1" t="str">
        <f>IFERROR(__xludf.DUMMYFUNCTION("CONCATENATE(GOOGLETRANSLATE(C128, ""en"", ""ko""))"),"리프팅 발판 업그레이드 6 기어 홈 오피스용 높이 조절 가능 발 스테핑 플랫폼")</f>
        <v>리프팅 발판 업그레이드 6 기어 홈 오피스용 높이 조절 가능 발 스테핑 플랫폼</v>
      </c>
      <c r="F128" s="1" t="str">
        <f>IFERROR(__xludf.DUMMYFUNCTION("CONCATENATE(GOOGLETRANSLATE(C128, ""en"", ""ja""))"),"アップグレードリフティングフットスツール6ギア高さ調節可能なフットステッピングプラットフォームホームオフィス用")</f>
        <v>アップグレードリフティングフットスツール6ギア高さ調節可能なフットステッピングプラットフォームホームオフィス用</v>
      </c>
    </row>
    <row r="129" ht="15.75" customHeight="1">
      <c r="A129" s="1">
        <v>1594.0</v>
      </c>
      <c r="B129" s="1" t="s">
        <v>15</v>
      </c>
      <c r="C129" s="1" t="s">
        <v>119</v>
      </c>
      <c r="D129" s="1" t="str">
        <f>IFERROR(__xludf.DUMMYFUNCTION("CONCATENATE(GOOGLETRANSLATE(C129, ""en"", ""zh-cn""))"),"2 件套靠背椅套沙发椅套氨纶弹力弹性靠背椅套躺椅扶手椅保护套")</f>
        <v>2 件套靠背椅套沙发椅套氨纶弹力弹性靠背椅套躺椅扶手椅保护套</v>
      </c>
      <c r="E129" s="1" t="str">
        <f>IFERROR(__xludf.DUMMYFUNCTION("CONCATENATE(GOOGLETRANSLATE(C129, ""en"", ""ko""))"),"2 조각 윙백 의자 슬립 커버 소파 의자 커버 스판덱스 스트레치 탄성 윙 백 슬립 의자 커버 안락 의자 팔 의자 보호대")</f>
        <v>2 조각 윙백 의자 슬립 커버 소파 의자 커버 스판덱스 스트레치 탄성 윙 백 슬립 의자 커버 안락 의자 팔 의자 보호대</v>
      </c>
      <c r="F129" s="1" t="str">
        <f>IFERROR(__xludf.DUMMYFUNCTION("CONCATENATE(GOOGLETRANSLATE(C129, ""en"", ""ja""))"),"2 ピースウィングバックチェアスリップカバーソファチェアカバースパンデックスストレッチ弾性ウィングバックスリップチェアカバーリクライニングアームチェアプロテクター")</f>
        <v>2 ピースウィングバックチェアスリップカバーソファチェアカバースパンデックスストレッチ弾性ウィングバックスリップチェアカバーリクライニングアームチェアプロテクター</v>
      </c>
    </row>
    <row r="130" ht="15.75" customHeight="1">
      <c r="A130" s="1">
        <v>1595.0</v>
      </c>
      <c r="B130" s="1" t="s">
        <v>15</v>
      </c>
      <c r="C130" s="1" t="s">
        <v>120</v>
      </c>
      <c r="D130" s="1" t="str">
        <f>IFERROR(__xludf.DUMMYFUNCTION("CONCATENATE(GOOGLETRANSLATE(C130, ""en"", ""zh-cn""))"),"可调节可移动底座洗衣底座支架适用于洗衣机烘干机冰箱")</f>
        <v>可调节可移动底座洗衣底座支架适用于洗衣机烘干机冰箱</v>
      </c>
      <c r="E130" s="1" t="str">
        <f>IFERROR(__xludf.DUMMYFUNCTION("CONCATENATE(GOOGLETRANSLATE(C130, ""en"", ""ko""))"),"세탁기 건조기 냉장고용 조절 가능한 이동식 베이스 세탁 받침대 스탠드 브라켓")</f>
        <v>세탁기 건조기 냉장고용 조절 가능한 이동식 베이스 세탁 받침대 스탠드 브라켓</v>
      </c>
      <c r="F130" s="1" t="str">
        <f>IFERROR(__xludf.DUMMYFUNCTION("CONCATENATE(GOOGLETRANSLATE(C130, ""en"", ""ja""))"),"調節可能な可動ベースランドリーペデスタルスタンドブラケット洗濯機乾燥機冷蔵庫用")</f>
        <v>調節可能な可動ベースランドリーペデスタルスタンドブラケット洗濯機乾燥機冷蔵庫用</v>
      </c>
    </row>
    <row r="131" ht="15.75" customHeight="1">
      <c r="A131" s="1">
        <v>1596.0</v>
      </c>
      <c r="B131" s="1" t="s">
        <v>15</v>
      </c>
      <c r="C131" s="1" t="s">
        <v>121</v>
      </c>
      <c r="D131" s="1" t="str">
        <f>IFERROR(__xludf.DUMMYFUNCTION("CONCATENATE(GOOGLETRANSLATE(C131, ""en"", ""zh-cn""))"),"便携式尼龙旅行收纳袋袋袋箱行李化妆品收纳袋")</f>
        <v>便携式尼龙旅行收纳袋袋袋箱行李化妆品收纳袋</v>
      </c>
      <c r="E131" s="1" t="str">
        <f>IFERROR(__xludf.DUMMYFUNCTION("CONCATENATE(GOOGLETRANSLATE(C131, ""en"", ""ko""))"),"휴대용 나일론 여행용 수납 가방 파우치 가방 케이스 수하물 화장품 정리함")</f>
        <v>휴대용 나일론 여행용 수납 가방 파우치 가방 케이스 수하물 화장품 정리함</v>
      </c>
      <c r="F131" s="1" t="str">
        <f>IFERROR(__xludf.DUMMYFUNCTION("CONCATENATE(GOOGLETRANSLATE(C131, ""en"", ""ja""))"),"ポータブルナイロントラベルストレージバッグポーチバッグケース荷物化粧品オーガナイザー")</f>
        <v>ポータブルナイロントラベルストレージバッグポーチバッグケース荷物化粧品オーガナイザー</v>
      </c>
    </row>
    <row r="132" ht="15.75" customHeight="1">
      <c r="A132" s="1">
        <v>1597.0</v>
      </c>
      <c r="B132" s="1" t="s">
        <v>15</v>
      </c>
      <c r="C132" s="1" t="s">
        <v>122</v>
      </c>
      <c r="D132" s="1" t="str">
        <f>IFERROR(__xludf.DUMMYFUNCTION("CONCATENATE(GOOGLETRANSLATE(C132, ""en"", ""zh-cn""))"),"化妆抽屉收纳盒化妆品珠宝桌面塑料家居收纳盒")</f>
        <v>化妆抽屉收纳盒化妆品珠宝桌面塑料家居收纳盒</v>
      </c>
      <c r="E132" s="1" t="str">
        <f>IFERROR(__xludf.DUMMYFUNCTION("CONCATENATE(GOOGLETRANSLATE(C132, ""en"", ""ko""))"),"메이크업 서랍 보관 상자 화장품 보석 데스크탑 플라스틱 홈 정리 케이스")</f>
        <v>메이크업 서랍 보관 상자 화장품 보석 데스크탑 플라스틱 홈 정리 케이스</v>
      </c>
      <c r="F132" s="1" t="str">
        <f>IFERROR(__xludf.DUMMYFUNCTION("CONCATENATE(GOOGLETRANSLATE(C132, ""en"", ""ja""))"),"化粧引き出し収納ボックス化粧品ジュエリーデスクトッププラスチックホームオーガナイザーケース")</f>
        <v>化粧引き出し収納ボックス化粧品ジュエリーデスクトッププラスチックホームオーガナイザーケース</v>
      </c>
    </row>
    <row r="133" ht="15.75" customHeight="1">
      <c r="A133" s="1">
        <v>1598.0</v>
      </c>
      <c r="B133" s="1" t="s">
        <v>15</v>
      </c>
      <c r="C133" s="1" t="s">
        <v>123</v>
      </c>
      <c r="D133" s="1" t="str">
        <f>IFERROR(__xludf.DUMMYFUNCTION("CONCATENATE(GOOGLETRANSLATE(C133, ""en"", ""zh-cn""))"),"25 件装 M3 内螺纹六角隔离柱黄铜支座垫片 ")</f>
        <v>25 件装 M3 内螺纹六角隔离柱黄铜支座垫片 </v>
      </c>
      <c r="E133" s="1" t="str">
        <f>IFERROR(__xludf.DUMMYFUNCTION("CONCATENATE(GOOGLETRANSLATE(C133, ""en"", ""ko""))"),"25개 M3 암나사 육각형 절연 컬럼 황동 스탠드오프 스페이서 ")</f>
        <v>25개 M3 암나사 육각형 절연 컬럼 황동 스탠드오프 스페이서 </v>
      </c>
      <c r="F133" s="1" t="str">
        <f>IFERROR(__xludf.DUMMYFUNCTION("CONCATENATE(GOOGLETRANSLATE(C133, ""en"", ""ja""))"),"25 個 M3 雌ネジ六角絶縁コラム真鍮スタンドオフ スペーサー ")</f>
        <v>25 個 M3 雌ネジ六角絶縁コラム真鍮スタンドオフ スペーサー </v>
      </c>
    </row>
    <row r="134" ht="15.75" customHeight="1">
      <c r="A134" s="1">
        <v>1599.0</v>
      </c>
      <c r="B134" s="1" t="s">
        <v>15</v>
      </c>
      <c r="C134" s="1" t="s">
        <v>124</v>
      </c>
      <c r="D134" s="1" t="str">
        <f>IFERROR(__xludf.DUMMYFUNCTION("CONCATENATE(GOOGLETRANSLATE(C134, ""en"", ""zh-cn""))"),"Suleve™ M2NC1 20 颗 M2 黑色圆形尼龙螺丝 十字圆头螺丝 螺栓 ")</f>
        <v>Suleve™ M2NC1 20 颗 M2 黑色圆形尼龙螺丝 十字圆头螺丝 螺栓 </v>
      </c>
      <c r="E134" s="1" t="str">
        <f>IFERROR(__xludf.DUMMYFUNCTION("CONCATENATE(GOOGLETRANSLATE(C134, ""en"", ""ko""))"),"Suleve™ M2NC1 20개 M2 검정색 원형 나일론 나사 십자형 둥근 머리 나사 볼트 ")</f>
        <v>Suleve™ M2NC1 20개 M2 검정색 원형 나일론 나사 십자형 둥근 머리 나사 볼트 </v>
      </c>
      <c r="F134" s="1" t="str">
        <f>IFERROR(__xludf.DUMMYFUNCTION("CONCATENATE(GOOGLETRANSLATE(C134, ""en"", ""ja""))"),"Suleve™ M2NC1 20 個 M2 黒丸ナイロンネジクロス丸頭ネジボルト ")</f>
        <v>Suleve™ M2NC1 20 個 M2 黒丸ナイロンネジクロス丸頭ネジボルト </v>
      </c>
    </row>
    <row r="135" ht="15.75" customHeight="1">
      <c r="A135" s="1">
        <v>1600.0</v>
      </c>
      <c r="B135" s="1" t="s">
        <v>15</v>
      </c>
      <c r="C135" s="1" t="s">
        <v>125</v>
      </c>
      <c r="D135" s="1" t="str">
        <f>IFERROR(__xludf.DUMMYFUNCTION("CONCATENATE(GOOGLETRANSLATE(C135, ""en"", ""zh-cn""))"),"金属书架字母杂志收纳架托盘架办公桌收纳架")</f>
        <v>金属书架字母杂志收纳架托盘架办公桌收纳架</v>
      </c>
      <c r="E135" s="1" t="str">
        <f>IFERROR(__xludf.DUMMYFUNCTION("CONCATENATE(GOOGLETRANSLATE(C135, ""en"", ""ko""))"),"금속 책장 편지 잡지 보관함 트레이 홀더 책상 정리")</f>
        <v>금속 책장 편지 잡지 보관함 트레이 홀더 책상 정리</v>
      </c>
      <c r="F135" s="1" t="str">
        <f>IFERROR(__xludf.DUMMYFUNCTION("CONCATENATE(GOOGLETRANSLATE(C135, ""en"", ""ja""))"),"金属本棚レターマガジン収納ラックトレイホルダーデスク整理")</f>
        <v>金属本棚レターマガジン収納ラックトレイホルダーデスク整理</v>
      </c>
    </row>
    <row r="136" ht="15.75" customHeight="1">
      <c r="A136" s="1">
        <v>1601.0</v>
      </c>
      <c r="B136" s="1" t="s">
        <v>15</v>
      </c>
      <c r="C136" s="1" t="s">
        <v>126</v>
      </c>
      <c r="D136" s="1" t="str">
        <f>IFERROR(__xludf.DUMMYFUNCTION("CONCATENATE(GOOGLETRANSLATE(C136, ""en"", ""zh-cn""))"),"4 件装古董水桶脚钉脚钉钉子行李箱包行李箱装饰钉脚钉 ")</f>
        <v>4 件装古董水桶脚钉脚钉钉子行李箱包行李箱装饰钉脚钉 </v>
      </c>
      <c r="E136" s="1" t="str">
        <f>IFERROR(__xludf.DUMMYFUNCTION("CONCATENATE(GOOGLETRANSLATE(C136, ""en"", ""ko""))"),"4pcs 골동품 양동이 발 손톱 스파이크 Brads 수하물 가방 가방 Ail 장식 손톱 발 ")</f>
        <v>4pcs 골동품 양동이 발 손톱 스파이크 Brads 수하물 가방 가방 Ail 장식 손톱 발 </v>
      </c>
      <c r="F136" s="1" t="str">
        <f>IFERROR(__xludf.DUMMYFUNCTION("CONCATENATE(GOOGLETRANSLATE(C136, ""en"", ""ja""))"),"4 個アンティークバケツフットネイルスパイクブラッド荷物バッグスーツケース Ail 装飾ネイルフット ")</f>
        <v>4 個アンティークバケツフットネイルスパイクブラッド荷物バッグスーツケース Ail 装飾ネイルフット </v>
      </c>
    </row>
    <row r="137" ht="15.75" customHeight="1">
      <c r="A137" s="1">
        <v>1602.0</v>
      </c>
      <c r="B137" s="1" t="s">
        <v>15</v>
      </c>
      <c r="C137" s="1" t="s">
        <v>127</v>
      </c>
      <c r="D137" s="1" t="str">
        <f>IFERROR(__xludf.DUMMYFUNCTION("CONCATENATE(GOOGLETRANSLATE(C137, ""en"", ""zh-cn""))"),"100 件聚乙烯邮寄信封运输包装塑料自封环袋")</f>
        <v>100 件聚乙烯邮寄信封运输包装塑料自封环袋</v>
      </c>
      <c r="E137" s="1" t="str">
        <f>IFERROR(__xludf.DUMMYFUNCTION("CONCATENATE(GOOGLETRANSLATE(C137, ""en"", ""ko""))"),"100개 폴리 메일러 봉투 배송 포장 플라스틱 셀프 인감 링 가방")</f>
        <v>100개 폴리 메일러 봉투 배송 포장 플라스틱 셀프 인감 링 가방</v>
      </c>
      <c r="F137" s="1" t="str">
        <f>IFERROR(__xludf.DUMMYFUNCTION("CONCATENATE(GOOGLETRANSLATE(C137, ""en"", ""ja""))"),"100 個ポリメーラー封筒出荷梱包プラスチックセルフシールリングバッグ")</f>
        <v>100 個ポリメーラー封筒出荷梱包プラスチックセルフシールリングバッグ</v>
      </c>
    </row>
    <row r="138" ht="15.75" customHeight="1">
      <c r="A138" s="1">
        <v>1603.0</v>
      </c>
      <c r="B138" s="1" t="s">
        <v>15</v>
      </c>
      <c r="C138" s="1" t="s">
        <v>128</v>
      </c>
      <c r="D138" s="1" t="str">
        <f>IFERROR(__xludf.DUMMYFUNCTION("CONCATENATE(GOOGLETRANSLATE(C138, ""en"", ""zh-cn""))"),"厕所便携式坐浴盆座椅喷水女自清洁浴室带水管套装 ")</f>
        <v>厕所便携式坐浴盆座椅喷水女自清洁浴室带水管套装 </v>
      </c>
      <c r="E138" s="1" t="str">
        <f>IFERROR(__xludf.DUMMYFUNCTION("CONCATENATE(GOOGLETRANSLATE(C138, ""en"", ""ko""))"),"화장실 휴대용 비데 시트 스프레이 물 물 튜브 세트가 있는 여성 자체 청소 욕실 ")</f>
        <v>화장실 휴대용 비데 시트 스프레이 물 물 튜브 세트가 있는 여성 자체 청소 욕실 </v>
      </c>
      <c r="F138" s="1" t="str">
        <f>IFERROR(__xludf.DUMMYFUNCTION("CONCATENATE(GOOGLETRANSLATE(C138, ""en"", ""ja""))"),"トイレポータブルビデシートスプレー水女性セルフクリーニングバスルームと水チューブセット ")</f>
        <v>トイレポータブルビデシートスプレー水女性セルフクリーニングバスルームと水チューブセット </v>
      </c>
    </row>
    <row r="139" ht="15.75" customHeight="1">
      <c r="A139" s="1">
        <v>1604.0</v>
      </c>
      <c r="B139" s="1" t="s">
        <v>15</v>
      </c>
      <c r="C139" s="1" t="s">
        <v>129</v>
      </c>
      <c r="D139" s="1" t="str">
        <f>IFERROR(__xludf.DUMMYFUNCTION("CONCATENATE(GOOGLETRANSLATE(C139, ""en"", ""zh-cn""))"),"高/短型不锈钢浴室面盆龙头单把单孔无铅冷热混合水龙头带软管")</f>
        <v>高/短型不锈钢浴室面盆龙头单把单孔无铅冷热混合水龙头带软管</v>
      </c>
      <c r="E139" s="1" t="str">
        <f>IFERROR(__xludf.DUMMYFUNCTION("CONCATENATE(GOOGLETRANSLATE(C139, ""en"", ""ko""))"),"키가 큰/짧은 유형 스테인레스 스틸 욕실 분지의 수도꼭지 싱글 핸들 싱글 홀 무연 냉온수 믹서 탭 (호스 포함)")</f>
        <v>키가 큰/짧은 유형 스테인레스 스틸 욕실 분지의 수도꼭지 싱글 핸들 싱글 홀 무연 냉온수 믹서 탭 (호스 포함)</v>
      </c>
      <c r="F139" s="1" t="str">
        <f>IFERROR(__xludf.DUMMYFUNCTION("CONCATENATE(GOOGLETRANSLATE(C139, ""en"", ""ja""))"),"トール/ショートタイプのステンレス鋼の浴室の洗面器の蛇口シングルハンドル単穴鉛フリー温冷ミキサータップホース付き")</f>
        <v>トール/ショートタイプのステンレス鋼の浴室の洗面器の蛇口シングルハンドル単穴鉛フリー温冷ミキサータップホース付き</v>
      </c>
    </row>
    <row r="140" ht="15.75" customHeight="1">
      <c r="A140" s="1">
        <v>1605.0</v>
      </c>
      <c r="B140" s="1" t="s">
        <v>15</v>
      </c>
      <c r="C140" s="1" t="s">
        <v>130</v>
      </c>
      <c r="D140" s="1" t="str">
        <f>IFERROR(__xludf.DUMMYFUNCTION("CONCATENATE(GOOGLETRANSLATE(C140, ""en"", ""zh-cn""))"),"Clean-n-Fresh 30 件/套洗碗机专用自动冲洗清洁皂含有活性氧因子洗碗机清洁剂")</f>
        <v>Clean-n-Fresh 30 件/套洗碗机专用自动冲洗清洁皂含有活性氧因子洗碗机清洁剂</v>
      </c>
      <c r="E140" s="1" t="str">
        <f>IFERROR(__xludf.DUMMYFUNCTION("CONCATENATE(GOOGLETRANSLATE(C140, ""en"", ""ko""))"),"Clean-n-Fresh 30개/대 식기세척기 전용 자동 플러시 클리너 비누에는 활성 산소 인자가 포함되어 있습니다. 식기 세척기 클리너")</f>
        <v>Clean-n-Fresh 30개/대 식기세척기 전용 자동 플러시 클리너 비누에는 활성 산소 인자가 포함되어 있습니다. 식기 세척기 클리너</v>
      </c>
      <c r="F140" s="1" t="str">
        <f>IFERROR(__xludf.DUMMYFUNCTION("CONCATENATE(GOOGLETRANSLATE(C140, ""en"", ""ja""))"),"Clean-n-Fresh 30 個/セット 食器洗い機専用自動フラッシュ クリーナー ソープには活性酸素因子が含まれています 食器洗い機クリーナー")</f>
        <v>Clean-n-Fresh 30 個/セット 食器洗い機専用自動フラッシュ クリーナー ソープには活性酸素因子が含まれています 食器洗い機クリーナー</v>
      </c>
    </row>
    <row r="141" ht="15.75" customHeight="1">
      <c r="A141" s="1">
        <v>1606.0</v>
      </c>
      <c r="B141" s="1" t="s">
        <v>15</v>
      </c>
      <c r="C141" s="1" t="s">
        <v>131</v>
      </c>
      <c r="D141" s="1" t="str">
        <f>IFERROR(__xludf.DUMMYFUNCTION("CONCATENATE(GOOGLETRANSLATE(C141, ""en"", ""zh-cn""))"),"50 毫米 PVC 出水软管接头转换器管适配器")</f>
        <v>50 毫米 PVC 出水软管接头转换器管适配器</v>
      </c>
      <c r="E141" s="1" t="str">
        <f>IFERROR(__xludf.DUMMYFUNCTION("CONCATENATE(GOOGLETRANSLATE(C141, ""en"", ""ko""))"),"50mm PVC 물 출구 호스 커넥터 변환기 파이프 어댑터")</f>
        <v>50mm PVC 물 출구 호스 커넥터 변환기 파이프 어댑터</v>
      </c>
      <c r="F141" s="1" t="str">
        <f>IFERROR(__xludf.DUMMYFUNCTION("CONCATENATE(GOOGLETRANSLATE(C141, ""en"", ""ja""))"),"50mm PVC水出口ホースコネクタコンバータパイプアダプタ")</f>
        <v>50mm PVC水出口ホースコネクタコンバータパイプアダプタ</v>
      </c>
    </row>
    <row r="142" ht="15.75" customHeight="1">
      <c r="A142" s="1">
        <v>1607.0</v>
      </c>
      <c r="B142" s="1" t="s">
        <v>15</v>
      </c>
      <c r="C142" s="1" t="s">
        <v>132</v>
      </c>
      <c r="D142" s="1" t="str">
        <f>IFERROR(__xludf.DUMMYFUNCTION("CONCATENATE(GOOGLETRANSLATE(C142, ""en"", ""zh-cn""))"),"1/2'' 3/4'' S60x6 IBC 水箱适配器喷嘴快速连接粗螺纹软管管道龙头替换阀门配件")</f>
        <v>1/2'' 3/4'' S60x6 IBC 水箱适配器喷嘴快速连接粗螺纹软管管道龙头替换阀门配件</v>
      </c>
      <c r="E142" s="1" t="str">
        <f>IFERROR(__xludf.DUMMYFUNCTION("CONCATENATE(GOOGLETRANSLATE(C142, ""en"", ""ko""))"),"1/2 ""3/4"" S60x6 IBC 물 탱크 어댑터 노즐 빠른 연결 거친 나사 호스 파이프 탭 교체 밸브 피팅 부품")</f>
        <v>1/2 "3/4" S60x6 IBC 물 탱크 어댑터 노즐 빠른 연결 거친 나사 호스 파이프 탭 교체 밸브 피팅 부품</v>
      </c>
      <c r="F142" s="1" t="str">
        <f>IFERROR(__xludf.DUMMYFUNCTION("CONCATENATE(GOOGLETRANSLATE(C142, ""en"", ""ja""))"),"1/2 ''3/4 '' S60x6 IBC 水タンクアダプターノズルクイックコネクト並目ホースパイプタップ交換バルブ継手部品")</f>
        <v>1/2 ''3/4 '' S60x6 IBC 水タンクアダプターノズルクイックコネクト並目ホースパイプタップ交換バルブ継手部品</v>
      </c>
    </row>
    <row r="143" ht="15.75" customHeight="1">
      <c r="A143" s="1">
        <v>1608.0</v>
      </c>
      <c r="B143" s="1" t="s">
        <v>15</v>
      </c>
      <c r="C143" s="1" t="s">
        <v>133</v>
      </c>
      <c r="D143" s="1" t="str">
        <f>IFERROR(__xludf.DUMMYFUNCTION("CONCATENATE(GOOGLETRANSLATE(C143, ""en"", ""zh-cn""))"),"4层可折叠晾衣架4轮室内外使用")</f>
        <v>4层可折叠晾衣架4轮室内外使用</v>
      </c>
      <c r="E143" s="1" t="str">
        <f>IFERROR(__xludf.DUMMYFUNCTION("CONCATENATE(GOOGLETRANSLATE(C143, ""en"", ""ko""))"),"4개의 지면 Foldable 옷 실내/실외 사용을 위한 4개의 바퀴를 가진 선반을 말리는 옷")</f>
        <v>4개의 지면 Foldable 옷 실내/실외 사용을 위한 4개의 바퀴를 가진 선반을 말리는 옷</v>
      </c>
      <c r="F143" s="1" t="str">
        <f>IFERROR(__xludf.DUMMYFUNCTION("CONCATENATE(GOOGLETRANSLATE(C143, ""en"", ""ja""))"),"屋内/屋外用の4つの車輪が付いている4階建て折りたたみ式物干しラック")</f>
        <v>屋内/屋外用の4つの車輪が付いている4階建て折りたたみ式物干しラック</v>
      </c>
    </row>
    <row r="144" ht="15.75" customHeight="1">
      <c r="A144" s="1">
        <v>1609.0</v>
      </c>
      <c r="B144" s="1" t="s">
        <v>15</v>
      </c>
      <c r="C144" s="1" t="s">
        <v>134</v>
      </c>
      <c r="D144" s="1" t="str">
        <f>IFERROR(__xludf.DUMMYFUNCTION("CONCATENATE(GOOGLETRANSLATE(C144, ""en"", ""zh-cn""))"),"240/258/385/360 厘米户外花园耐用 PE 游泳池盖防水防雨防尘盖蓝色圆形游泳池及配件")</f>
        <v>240/258/385/360 厘米户外花园耐用 PE 游泳池盖防水防雨防尘盖蓝色圆形游泳池及配件</v>
      </c>
      <c r="E144" s="1" t="str">
        <f>IFERROR(__xludf.DUMMYFUNCTION("CONCATENATE(GOOGLETRANSLATE(C144, ""en"", ""ko""))"),"240/258/385/360cm 야외 정원 내구성 PE 수영장 커버 방수 방수 방진 커버 블루 라운드 수영장 및 액세서리")</f>
        <v>240/258/385/360cm 야외 정원 내구성 PE 수영장 커버 방수 방수 방진 커버 블루 라운드 수영장 및 액세서리</v>
      </c>
      <c r="F144" s="1" t="str">
        <f>IFERROR(__xludf.DUMMYFUNCTION("CONCATENATE(GOOGLETRANSLATE(C144, ""en"", ""ja""))"),"240/258/385/360 センチメートル屋外ガーデン耐久性のある PE プールカバー防水防雨防塵カバーブルーラウンドプール &amp; アクセサリー")</f>
        <v>240/258/385/360 センチメートル屋外ガーデン耐久性のある PE プールカバー防水防雨防塵カバーブルーラウンドプール &amp; アクセサリー</v>
      </c>
    </row>
    <row r="145" ht="15.75" customHeight="1">
      <c r="A145" s="1">
        <v>1610.0</v>
      </c>
      <c r="B145" s="1" t="s">
        <v>15</v>
      </c>
      <c r="C145" s="1" t="s">
        <v>135</v>
      </c>
      <c r="D145" s="1" t="str">
        <f>IFERROR(__xludf.DUMMYFUNCTION("CONCATENATE(GOOGLETRANSLATE(C145, ""en"", ""zh-cn""))"),"1/2 英寸转陶瓷盘插装龙头阀热冷维修更换套件")</f>
        <v>1/2 英寸转陶瓷盘插装龙头阀热冷维修更换套件</v>
      </c>
      <c r="E145" s="1" t="str">
        <f>IFERROR(__xludf.DUMMYFUNCTION("CONCATENATE(GOOGLETRANSLATE(C145, ""en"", ""ko""))"),"1/2인치 회전 세라믹 디스크 카트리지 탭 밸브 핫 콜드 수리 교체 키트")</f>
        <v>1/2인치 회전 세라믹 디스크 카트리지 탭 밸브 핫 콜드 수리 교체 키트</v>
      </c>
      <c r="F145" s="1" t="str">
        <f>IFERROR(__xludf.DUMMYFUNCTION("CONCATENATE(GOOGLETRANSLATE(C145, ""en"", ""ja""))"),"1/2 インチターンセラミックディスクカートリッジタップバルブホットコールド修理交換キット")</f>
        <v>1/2 インチターンセラミックディスクカートリッジタップバルブホットコールド修理交換キット</v>
      </c>
    </row>
    <row r="146" ht="15.75" customHeight="1">
      <c r="A146" s="1">
        <v>1611.0</v>
      </c>
      <c r="B146" s="1" t="s">
        <v>15</v>
      </c>
      <c r="C146" s="1" t="s">
        <v>136</v>
      </c>
      <c r="D146" s="1" t="str">
        <f>IFERROR(__xludf.DUMMYFUNCTION("CONCATENATE(GOOGLETRANSLATE(C146, ""en"", ""zh-cn""))"),"便携式 3 层鞋架 储物鞋架 凉鞋拖鞋 节省空间")</f>
        <v>便携式 3 层鞋架 储物鞋架 凉鞋拖鞋 节省空间</v>
      </c>
      <c r="E146" s="1" t="str">
        <f>IFERROR(__xludf.DUMMYFUNCTION("CONCATENATE(GOOGLETRANSLATE(C146, ""en"", ""ko""))"),"휴대용 3겹 신발장 보관용 신발장 샌들 슬리퍼 공간 절약")</f>
        <v>휴대용 3겹 신발장 보관용 신발장 샌들 슬리퍼 공간 절약</v>
      </c>
      <c r="F146" s="1" t="str">
        <f>IFERROR(__xludf.DUMMYFUNCTION("CONCATENATE(GOOGLETRANSLATE(C146, ""en"", ""ja""))"),"ポータブル 3 層シューズラック収納シューズラックサンダルスリッパ省スペース")</f>
        <v>ポータブル 3 層シューズラック収納シューズラックサンダルスリッパ省スペース</v>
      </c>
    </row>
    <row r="147" ht="15.75" customHeight="1">
      <c r="A147" s="1">
        <v>1612.0</v>
      </c>
      <c r="B147" s="1" t="s">
        <v>15</v>
      </c>
      <c r="C147" s="1" t="s">
        <v>137</v>
      </c>
      <c r="D147" s="1" t="str">
        <f>IFERROR(__xludf.DUMMYFUNCTION("CONCATENATE(GOOGLETRANSLATE(C147, ""en"", ""zh-cn""))"),"4 层金属厨房调料架罐瓶收纳架浴室储物架")</f>
        <v>4 层金属厨房调料架罐瓶收纳架浴室储物架</v>
      </c>
      <c r="E147" s="1" t="str">
        <f>IFERROR(__xludf.DUMMYFUNCTION("CONCATENATE(GOOGLETRANSLATE(C147, ""en"", ""ko""))"),"4단 금속 주방 양념 선반 항아리 병 정리함 욕실 보관 선반")</f>
        <v>4단 금속 주방 양념 선반 항아리 병 정리함 욕실 보관 선반</v>
      </c>
      <c r="F147" s="1" t="str">
        <f>IFERROR(__xludf.DUMMYFUNCTION("CONCATENATE(GOOGLETRANSLATE(C147, ""en"", ""ja""))"),"4段メタルキッチンスパイスラックジャーボトルオーガナイザーバスルーム収納棚")</f>
        <v>4段メタルキッチンスパイスラックジャーボトルオーガナイザーバスルーム収納棚</v>
      </c>
    </row>
    <row r="148" ht="15.75" customHeight="1">
      <c r="A148" s="1">
        <v>1613.0</v>
      </c>
      <c r="B148" s="1" t="s">
        <v>15</v>
      </c>
      <c r="C148" s="1" t="s">
        <v>138</v>
      </c>
      <c r="D148" s="1" t="str">
        <f>IFERROR(__xludf.DUMMYFUNCTION("CONCATENATE(GOOGLETRANSLATE(C148, ""en"", ""zh-cn""))"),"10 件装青铜气泡钉装饰沙发囊泡盒气泡钉钉")</f>
        <v>10 件装青铜气泡钉装饰沙发囊泡盒气泡钉钉</v>
      </c>
      <c r="E148" s="1" t="str">
        <f>IFERROR(__xludf.DUMMYFUNCTION("CONCATENATE(GOOGLETRANSLATE(C148, ""en"", ""ko""))"),"10개 청동 버블 손톱 장식 소파 소포 상자 버블 네일 압정")</f>
        <v>10개 청동 버블 손톱 장식 소파 소포 상자 버블 네일 압정</v>
      </c>
      <c r="F148" s="1" t="str">
        <f>IFERROR(__xludf.DUMMYFUNCTION("CONCATENATE(GOOGLETRANSLATE(C148, ""en"", ""ja""))"),"10 個のブロンズバブルネイル装飾ソファ小胞ボックスバブルネイルタック")</f>
        <v>10 個のブロンズバブルネイル装飾ソファ小胞ボックスバブルネイルタック</v>
      </c>
    </row>
    <row r="149" ht="15.75" customHeight="1">
      <c r="A149" s="1">
        <v>1614.0</v>
      </c>
      <c r="B149" s="1" t="s">
        <v>15</v>
      </c>
      <c r="C149" s="1" t="s">
        <v>139</v>
      </c>
      <c r="D149" s="1" t="str">
        <f>IFERROR(__xludf.DUMMYFUNCTION("CONCATENATE(GOOGLETRANSLATE(C149, ""en"", ""zh-cn""))"),"Suleve™ M2NH4 50 件 M2 尼龙六角六角内螺纹 PCB 支座垫片 10/15/20/25mm")</f>
        <v>Suleve™ M2NH4 50 件 M2 尼龙六角六角内螺纹 PCB 支座垫片 10/15/20/25mm</v>
      </c>
      <c r="E149" s="1" t="str">
        <f>IFERROR(__xludf.DUMMYFUNCTION("CONCATENATE(GOOGLETRANSLATE(C149, ""en"", ""ko""))"),"Suleve™ M2NH4 50개 M2 나일론 육각 육각형 암나사 PCB 스탠드오프 스페이서 10/15/20/25mm")</f>
        <v>Suleve™ M2NH4 50개 M2 나일론 육각 육각형 암나사 PCB 스탠드오프 스페이서 10/15/20/25mm</v>
      </c>
      <c r="F149" s="1" t="str">
        <f>IFERROR(__xludf.DUMMYFUNCTION("CONCATENATE(GOOGLETRANSLATE(C149, ""en"", ""ja""))"),"Suleve™ M2NH4 50 個 M2 ナイロン六角六角めねじ PCB スタンドオフ スペーサー 10/15/20/25 ミリメートル")</f>
        <v>Suleve™ M2NH4 50 個 M2 ナイロン六角六角めねじ PCB スタンドオフ スペーサー 10/15/20/25 ミリメートル</v>
      </c>
    </row>
    <row r="150" ht="15.75" customHeight="1">
      <c r="A150" s="1">
        <v>1615.0</v>
      </c>
      <c r="B150" s="1" t="s">
        <v>15</v>
      </c>
      <c r="C150" s="1" t="s">
        <v>140</v>
      </c>
      <c r="D150" s="1" t="str">
        <f>IFERROR(__xludf.DUMMYFUNCTION("CONCATENATE(GOOGLETRANSLATE(C150, ""en"", ""zh-cn""))"),"1.0-4.0mm 塑料易存放螺丝固定器防静电适用于 DIY 模型 RC 14x9x2cm")</f>
        <v>1.0-4.0mm 塑料易存放螺丝固定器防静电适用于 DIY 模型 RC 14x9x2cm</v>
      </c>
      <c r="E150" s="1" t="str">
        <f>IFERROR(__xludf.DUMMYFUNCTION("CONCATENATE(GOOGLETRANSLATE(C150, ""en"", ""ko""))"),"1.0-4.0mm 플라스틱 쉬운 저장 나사 세터 DIY 모델 RC 14x9x2cm에 대한 정전기 방지")</f>
        <v>1.0-4.0mm 플라스틱 쉬운 저장 나사 세터 DIY 모델 RC 14x9x2cm에 대한 정전기 방지</v>
      </c>
      <c r="F150" s="1" t="str">
        <f>IFERROR(__xludf.DUMMYFUNCTION("CONCATENATE(GOOGLETRANSLATE(C150, ""en"", ""ja""))"),"1.0-4.0 ミリメートルプラスチック簡単に保管ネジセッター帯電防止 DIY モデル RC 14x9x2cm")</f>
        <v>1.0-4.0 ミリメートルプラスチック簡単に保管ネジセッター帯電防止 DIY モデル RC 14x9x2cm</v>
      </c>
    </row>
    <row r="151" ht="15.75" customHeight="1">
      <c r="A151" s="1">
        <v>1616.0</v>
      </c>
      <c r="B151" s="1" t="s">
        <v>15</v>
      </c>
      <c r="C151" s="1" t="s">
        <v>141</v>
      </c>
      <c r="D151" s="1" t="str">
        <f>IFERROR(__xludf.DUMMYFUNCTION("CONCATENATE(GOOGLETRANSLATE(C151, ""en"", ""zh-cn""))"),"木质多肉花盆架室内阳台落地架花园装饰")</f>
        <v>木质多肉花盆架室内阳台落地架花园装饰</v>
      </c>
      <c r="E151" s="1" t="str">
        <f>IFERROR(__xludf.DUMMYFUNCTION("CONCATENATE(GOOGLETRANSLATE(C151, ""en"", ""ko""))"),"나무 즙이 많은 화분 스탠드 실내 발코니 플로어 스탠드 정원 장식")</f>
        <v>나무 즙이 많은 화분 스탠드 실내 발코니 플로어 스탠드 정원 장식</v>
      </c>
      <c r="F151" s="1" t="str">
        <f>IFERROR(__xludf.DUMMYFUNCTION("CONCATENATE(GOOGLETRANSLATE(C151, ""en"", ""ja""))"),"木製多肉植物ポットスタンド屋内バルコニーフロアスタンド庭の装飾")</f>
        <v>木製多肉植物ポットスタンド屋内バルコニーフロアスタンド庭の装飾</v>
      </c>
    </row>
    <row r="152" ht="15.75" customHeight="1">
      <c r="A152" s="1">
        <v>1617.0</v>
      </c>
      <c r="B152" s="1" t="s">
        <v>15</v>
      </c>
      <c r="C152" s="1" t="s">
        <v>142</v>
      </c>
      <c r="D152" s="1" t="str">
        <f>IFERROR(__xludf.DUMMYFUNCTION("CONCATENATE(GOOGLETRANSLATE(C152, ""en"", ""zh-cn""))"),"折叠笔记本电脑桌支架便携式塑料学习桌多功能收纳书桌笔记本电脑笔记本卧室书桌")</f>
        <v>折叠笔记本电脑桌支架便携式塑料学习桌多功能收纳书桌笔记本电脑笔记本卧室书桌</v>
      </c>
      <c r="E152" s="1" t="str">
        <f>IFERROR(__xludf.DUMMYFUNCTION("CONCATENATE(GOOGLETRANSLATE(C152, ""en"", ""ko""))"),"접이식 노트북 컴퓨터 책상 스탠드 휴대용 플라스틱 학습 책상 노트북 노트북 침실 책상을위한 다기능 스토리지 데스크")</f>
        <v>접이식 노트북 컴퓨터 책상 스탠드 휴대용 플라스틱 학습 책상 노트북 노트북 침실 책상을위한 다기능 스토리지 데스크</v>
      </c>
      <c r="F152" s="1" t="str">
        <f>IFERROR(__xludf.DUMMYFUNCTION("CONCATENATE(GOOGLETRANSLATE(C152, ""en"", ""ja""))"),"折りたたみノートブックコンピュータデスクスタンドポータブルプラスチック学習デスク多機能収納デスクラップトップノートブック寝室デスク")</f>
        <v>折りたたみノートブックコンピュータデスクスタンドポータブルプラスチック学習デスク多機能収納デスクラップトップノートブック寝室デスク</v>
      </c>
    </row>
    <row r="153" ht="15.75" customHeight="1">
      <c r="A153" s="1">
        <v>1618.0</v>
      </c>
      <c r="B153" s="1" t="s">
        <v>15</v>
      </c>
      <c r="C153" s="1" t="s">
        <v>143</v>
      </c>
      <c r="D153" s="1" t="str">
        <f>IFERROR(__xludf.DUMMYFUNCTION("CONCATENATE(GOOGLETRANSLATE(C153, ""en"", ""zh-cn""))"),"1/4 英寸外螺纹管倒钩软管尾部连接器适配器 6 毫米至 12 毫米")</f>
        <v>1/4 英寸外螺纹管倒钩软管尾部连接器适配器 6 毫米至 12 毫米</v>
      </c>
      <c r="E153" s="1" t="str">
        <f>IFERROR(__xludf.DUMMYFUNCTION("CONCATENATE(GOOGLETRANSLATE(C153, ""en"", ""ko""))"),"1/4 인치 수나사 파이프 바브 호스 테일 커넥터 어댑터 6mm ~ 12mm")</f>
        <v>1/4 인치 수나사 파이프 바브 호스 테일 커넥터 어댑터 6mm ~ 12mm</v>
      </c>
      <c r="F153" s="1" t="str">
        <f>IFERROR(__xludf.DUMMYFUNCTION("CONCATENATE(GOOGLETRANSLATE(C153, ""en"", ""ja""))"),"1/4 インチおねじパイプバーブホーステールコネクタアダプタ 6 ミリメートルに 12 ミリメートル")</f>
        <v>1/4 インチおねじパイプバーブホーステールコネクタアダプタ 6 ミリメートルに 12 ミリメートル</v>
      </c>
    </row>
    <row r="154" ht="15.75" customHeight="1">
      <c r="A154" s="1">
        <v>1619.0</v>
      </c>
      <c r="B154" s="1" t="s">
        <v>15</v>
      </c>
      <c r="C154" s="1" t="s">
        <v>144</v>
      </c>
      <c r="D154" s="1" t="str">
        <f>IFERROR(__xludf.DUMMYFUNCTION("CONCATENATE(GOOGLETRANSLATE(C154, ""en"", ""zh-cn""))"),"复古黑色金属折叠植物架单元花架架鞋架适用于花园露台阳台")</f>
        <v>复古黑色金属折叠植物架单元花架架鞋架适用于花园露台阳台</v>
      </c>
      <c r="E154" s="1" t="str">
        <f>IFERROR(__xludf.DUMMYFUNCTION("CONCATENATE(GOOGLETRANSLATE(C154, ""en"", ""ko""))"),"레트로 블랙 금속 접는 식물 선반 단위 꽃 랙 스탠드 신발 스탠드 정원 파티오 발코니")</f>
        <v>레트로 블랙 금속 접는 식물 선반 단위 꽃 랙 스탠드 신발 스탠드 정원 파티오 발코니</v>
      </c>
      <c r="F154" s="1" t="str">
        <f>IFERROR(__xludf.DUMMYFUNCTION("CONCATENATE(GOOGLETRANSLATE(C154, ""en"", ""ja""))"),"レトロブラックメタル折りたたみ植物棚ユニットフラワーラックスタンド靴スタンドガーデンパティオバルコニー用")</f>
        <v>レトロブラックメタル折りたたみ植物棚ユニットフラワーラックスタンド靴スタンドガーデンパティオバルコニー用</v>
      </c>
    </row>
    <row r="155" ht="15.75" customHeight="1">
      <c r="A155" s="1">
        <v>1620.0</v>
      </c>
      <c r="B155" s="1" t="s">
        <v>15</v>
      </c>
      <c r="C155" s="1" t="s">
        <v>145</v>
      </c>
      <c r="D155" s="1" t="str">
        <f>IFERROR(__xludf.DUMMYFUNCTION("CONCATENATE(GOOGLETRANSLATE(C155, ""en"", ""zh-cn""))"),"防水重型遮阳篷遮阳帆布长方形户外")</f>
        <v>防水重型遮阳篷遮阳帆布长方形户外</v>
      </c>
      <c r="E155" s="1" t="str">
        <f>IFERROR(__xludf.DUMMYFUNCTION("CONCATENATE(GOOGLETRANSLATE(C155, ""en"", ""ko""))"),"방수 헤비 듀티 프루프 썬 캐노피 그늘 세일 천 직사각형 야외")</f>
        <v>방수 헤비 듀티 프루프 썬 캐노피 그늘 세일 천 직사각형 야외</v>
      </c>
      <c r="F155" s="1" t="str">
        <f>IFERROR(__xludf.DUMMYFUNCTION("CONCATENATE(GOOGLETRANSLATE(C155, ""en"", ""ja""))"),"防水ヘビーデューティプルーフサンキャノピーシェードセイルクロス長方形屋外")</f>
        <v>防水ヘビーデューティプルーフサンキャノピーシェードセイルクロス長方形屋外</v>
      </c>
    </row>
    <row r="156" ht="15.75" customHeight="1">
      <c r="A156" s="1">
        <v>1621.0</v>
      </c>
      <c r="B156" s="1" t="s">
        <v>15</v>
      </c>
      <c r="C156" s="1" t="s">
        <v>146</v>
      </c>
      <c r="D156" s="1" t="str">
        <f>IFERROR(__xludf.DUMMYFUNCTION("CONCATENATE(GOOGLETRANSLATE(C156, ""en"", ""zh-cn""))"),"木制植物架花园花盆花盆架架子室内室外")</f>
        <v>木制植物架花园花盆花盆架架子室内室外</v>
      </c>
      <c r="E156" s="1" t="str">
        <f>IFERROR(__xludf.DUMMYFUNCTION("CONCATENATE(GOOGLETRANSLATE(C156, ""en"", ""ko""))"),"나무 화분 스탠드 정원 화분 화분 스탠드 선반 실내 실외")</f>
        <v>나무 화분 스탠드 정원 화분 화분 스탠드 선반 실내 실외</v>
      </c>
      <c r="F156" s="1" t="str">
        <f>IFERROR(__xludf.DUMMYFUNCTION("CONCATENATE(GOOGLETRANSLATE(C156, ""en"", ""ja""))"),"木製プラントスタンドガーデンプランター植木鉢スタンド棚屋内屋外")</f>
        <v>木製プラントスタンドガーデンプランター植木鉢スタンド棚屋内屋外</v>
      </c>
    </row>
    <row r="157" ht="15.75" customHeight="1">
      <c r="A157" s="1">
        <v>1622.0</v>
      </c>
      <c r="B157" s="1" t="s">
        <v>15</v>
      </c>
      <c r="C157" s="1" t="s">
        <v>147</v>
      </c>
      <c r="D157" s="1" t="str">
        <f>IFERROR(__xludf.DUMMYFUNCTION("CONCATENATE(GOOGLETRANSLATE(C157, ""en"", ""zh-cn""))"),"金属植物架架子花盆室内花园厨房架节省空间鞋柜收纳家居装饰室内室外")</f>
        <v>金属植物架架子花盆室内花园厨房架节省空间鞋柜收纳家居装饰室内室外</v>
      </c>
      <c r="E157" s="1" t="str">
        <f>IFERROR(__xludf.DUMMYFUNCTION("CONCATENATE(GOOGLETRANSLATE(C157, ""en"", ""ko""))"),"금속 식물 스탠드 선반 꽃 냄비 실내 정원 주방 랙 공간 절약 신발 주최자 실내 옥외를위한 스토리지 홈 인테리어")</f>
        <v>금속 식물 스탠드 선반 꽃 냄비 실내 정원 주방 랙 공간 절약 신발 주최자 실내 옥외를위한 스토리지 홈 인테리어</v>
      </c>
      <c r="F157" s="1" t="str">
        <f>IFERROR(__xludf.DUMMYFUNCTION("CONCATENATE(GOOGLETRANSLATE(C157, ""en"", ""ja""))"),"金属植物スタンド棚フラワーポット屋内庭キッチンラック省スペース靴オーガナイザーストレージ家の装飾屋内屋外用")</f>
        <v>金属植物スタンド棚フラワーポット屋内庭キッチンラック省スペース靴オーガナイザーストレージ家の装飾屋内屋外用</v>
      </c>
    </row>
    <row r="158" ht="15.75" customHeight="1">
      <c r="A158" s="1">
        <v>1623.0</v>
      </c>
      <c r="B158" s="1" t="s">
        <v>15</v>
      </c>
      <c r="C158" s="1" t="s">
        <v>148</v>
      </c>
      <c r="D158" s="1" t="str">
        <f>IFERROR(__xludf.DUMMYFUNCTION("CONCATENATE(GOOGLETRANSLATE(C158, ""en"", ""zh-cn""))"),"多层木质花架植物架木架盆景展示架室内")</f>
        <v>多层木质花架植物架木架盆景展示架室内</v>
      </c>
      <c r="E158" s="1" t="str">
        <f>IFERROR(__xludf.DUMMYFUNCTION("CONCATENATE(GOOGLETRANSLATE(C158, ""en"", ""ko""))"),"다층 목재 꽃꽂이 식물 스탠드 목재 선반 실내 분재 디스플레이 선반")</f>
        <v>다층 목재 꽃꽂이 식물 스탠드 목재 선반 실내 분재 디스플레이 선반</v>
      </c>
      <c r="F158" s="1" t="str">
        <f>IFERROR(__xludf.DUMMYFUNCTION("CONCATENATE(GOOGLETRANSLATE(C158, ""en"", ""ja""))"),"多層木製フラワーラック植物スタンド木製棚盆栽陳列棚屋内")</f>
        <v>多層木製フラワーラック植物スタンド木製棚盆栽陳列棚屋内</v>
      </c>
    </row>
    <row r="159" ht="15.75" customHeight="1">
      <c r="A159" s="1">
        <v>1624.0</v>
      </c>
      <c r="B159" s="1" t="s">
        <v>15</v>
      </c>
      <c r="C159" s="1" t="s">
        <v>149</v>
      </c>
      <c r="D159" s="1" t="str">
        <f>IFERROR(__xludf.DUMMYFUNCTION("CONCATENATE(GOOGLETRANSLATE(C159, ""en"", ""zh-cn""))"),"客厅卧室防水墙贴 DIY 墙壁装饰自粘")</f>
        <v>客厅卧室防水墙贴 DIY 墙壁装饰自粘</v>
      </c>
      <c r="E159" s="1" t="str">
        <f>IFERROR(__xludf.DUMMYFUNCTION("CONCATENATE(GOOGLETRANSLATE(C159, ""en"", ""ko""))"),"거실 침실 DIY 벽 장식 자체 접착 방수 벽 스티커")</f>
        <v>거실 침실 DIY 벽 장식 자체 접착 방수 벽 스티커</v>
      </c>
      <c r="F159" s="1" t="str">
        <f>IFERROR(__xludf.DUMMYFUNCTION("CONCATENATE(GOOGLETRANSLATE(C159, ""en"", ""ja""))"),"防水ウォールステッカー リビングルーム ベッドルーム DIY 壁装飾 自己粘着")</f>
        <v>防水ウォールステッカー リビングルーム ベッドルーム DIY 壁装飾 自己粘着</v>
      </c>
    </row>
    <row r="160" ht="15.75" customHeight="1">
      <c r="A160" s="1">
        <v>1625.0</v>
      </c>
      <c r="B160" s="1" t="s">
        <v>15</v>
      </c>
      <c r="C160" s="1" t="s">
        <v>150</v>
      </c>
      <c r="D160" s="1" t="str">
        <f>IFERROR(__xludf.DUMMYFUNCTION("CONCATENATE(GOOGLETRANSLATE(C160, ""en"", ""zh-cn""))"),"植物架多层花架落地架花盆架")</f>
        <v>植物架多层花架落地架花盆架</v>
      </c>
      <c r="E160" s="1" t="str">
        <f>IFERROR(__xludf.DUMMYFUNCTION("CONCATENATE(GOOGLETRANSLATE(C160, ""en"", ""ko""))"),"식물 스탠드 다층 꽃 스탠드 플로어 스탠드 꽃 냄비 랙")</f>
        <v>식물 스탠드 다층 꽃 스탠드 플로어 스탠드 꽃 냄비 랙</v>
      </c>
      <c r="F160" s="1" t="str">
        <f>IFERROR(__xludf.DUMMYFUNCTION("CONCATENATE(GOOGLETRANSLATE(C160, ""en"", ""ja""))"),"プラントスタンド 多層フラワースタンド フロアスタンド 植木鉢ラック")</f>
        <v>プラントスタンド 多層フラワースタンド フロアスタンド 植木鉢ラック</v>
      </c>
    </row>
    <row r="161" ht="15.75" customHeight="1">
      <c r="A161" s="1">
        <v>1626.0</v>
      </c>
      <c r="B161" s="1" t="s">
        <v>15</v>
      </c>
      <c r="C161" s="1" t="s">
        <v>151</v>
      </c>
      <c r="D161" s="1" t="str">
        <f>IFERROR(__xludf.DUMMYFUNCTION("CONCATENATE(GOOGLETRANSLATE(C161, ""en"", ""zh-cn""))"),"4 层花架铁艺花盆架阳台落地支架花园家居装饰花盆架")</f>
        <v>4 层花架铁艺花盆架阳台落地支架花园家居装饰花盆架</v>
      </c>
      <c r="E161" s="1" t="str">
        <f>IFERROR(__xludf.DUMMYFUNCTION("CONCATENATE(GOOGLETRANSLATE(C161, ""en"", ""ko""))"),"4 계층 꽃 스탠드 철 식물 냄비 선반 발코니 바닥 스탠드 정원 홈 장식 화분 홀더")</f>
        <v>4 계층 꽃 스탠드 철 식물 냄비 선반 발코니 바닥 스탠드 정원 홈 장식 화분 홀더</v>
      </c>
      <c r="F161" s="1" t="str">
        <f>IFERROR(__xludf.DUMMYFUNCTION("CONCATENATE(GOOGLETRANSLATE(C161, ""en"", ""ja""))"),"4 段フラワースタンド鉄植木鉢棚バルコニーフロアスタンド庭の家の装飾プランターホルダー")</f>
        <v>4 段フラワースタンド鉄植木鉢棚バルコニーフロアスタンド庭の家の装飾プランターホルダー</v>
      </c>
    </row>
    <row r="162" ht="15.75" customHeight="1">
      <c r="A162" s="1">
        <v>1627.0</v>
      </c>
      <c r="B162" s="1" t="s">
        <v>15</v>
      </c>
      <c r="C162" s="1" t="s">
        <v>152</v>
      </c>
      <c r="D162" s="1" t="str">
        <f>IFERROR(__xludf.DUMMYFUNCTION("CONCATENATE(GOOGLETRANSLATE(C162, ""en"", ""zh-cn""))"),"塑料化妆品化妆品收纳盒收纳盒首饰盒带抽屉")</f>
        <v>塑料化妆品化妆品收纳盒收纳盒首饰盒带抽屉</v>
      </c>
      <c r="E162" s="1" t="str">
        <f>IFERROR(__xludf.DUMMYFUNCTION("CONCATENATE(GOOGLETRANSLATE(C162, ""en"", ""ko""))"),"서랍이 있는 플라스틱 화장품 메이크업 보관함 정리함 케이스 홀더 쥬얼리")</f>
        <v>서랍이 있는 플라스틱 화장품 메이크업 보관함 정리함 케이스 홀더 쥬얼리</v>
      </c>
      <c r="F162" s="1" t="str">
        <f>IFERROR(__xludf.DUMMYFUNCTION("CONCATENATE(GOOGLETRANSLATE(C162, ""en"", ""ja""))"),"プラスチック化粧品メイクアップ収納ボックスオーガナイザーケースホルダージュエリー引き出し付き")</f>
        <v>プラスチック化粧品メイクアップ収納ボックスオーガナイザーケースホルダージュエリー引き出し付き</v>
      </c>
    </row>
    <row r="163" ht="15.75" customHeight="1">
      <c r="A163" s="1">
        <v>1628.0</v>
      </c>
      <c r="B163" s="1" t="s">
        <v>15</v>
      </c>
      <c r="C163" s="1" t="s">
        <v>153</v>
      </c>
      <c r="D163" s="1" t="str">
        <f>IFERROR(__xludf.DUMMYFUNCTION("CONCATENATE(GOOGLETRANSLATE(C163, ""en"", ""zh-cn""))"),"黑银色旋转喷嘴面盆水龙头浴室容器水槽混合水龙头单把手 360 度旋转冷热水龙头")</f>
        <v>黑银色旋转喷嘴面盆水龙头浴室容器水槽混合水龙头单把手 360 度旋转冷热水龙头</v>
      </c>
      <c r="E163" s="1" t="str">
        <f>IFERROR(__xludf.DUMMYFUNCTION("CONCATENATE(GOOGLETRANSLATE(C163, ""en"", ""ko""))"),"블랙 실버 회전 오르네 분지의 수도꼭지 욕실 선박 싱크 믹서 탭 싱글 레버 360 회전 뜨거운 냉수 탭")</f>
        <v>블랙 실버 회전 오르네 분지의 수도꼭지 욕실 선박 싱크 믹서 탭 싱글 레버 360 회전 뜨거운 냉수 탭</v>
      </c>
      <c r="F163" s="1" t="str">
        <f>IFERROR(__xludf.DUMMYFUNCTION("CONCATENATE(GOOGLETRANSLATE(C163, ""en"", ""ja""))"),"ブラックシルバー Swive スパウト洗面器蛇口浴室容器シンクミキサータップシングルレバー 360 回転温冷水タップ")</f>
        <v>ブラックシルバー Swive スパウト洗面器蛇口浴室容器シンクミキサータップシングルレバー 360 回転温冷水タップ</v>
      </c>
    </row>
    <row r="164" ht="15.75" customHeight="1">
      <c r="A164" s="1">
        <v>1629.0</v>
      </c>
      <c r="B164" s="1" t="s">
        <v>15</v>
      </c>
      <c r="C164" s="1" t="s">
        <v>154</v>
      </c>
      <c r="D164" s="1" t="str">
        <f>IFERROR(__xludf.DUMMYFUNCTION("CONCATENATE(GOOGLETRANSLATE(C164, ""en"", ""zh-cn""))"),"2 件便携式可折叠三脚架电视支架可调节高度显示器支架，适用于 26 英寸至 50 英寸平面屏幕")</f>
        <v>2 件便携式可折叠三脚架电视支架可调节高度显示器支架，适用于 26 英寸至 50 英寸平面屏幕</v>
      </c>
      <c r="E164" s="1" t="str">
        <f>IFERROR(__xludf.DUMMYFUNCTION("CONCATENATE(GOOGLETRANSLATE(C164, ""en"", ""ko""))"),"2Pcs 휴대용 접이식 삼각대 TV 스탠드 26 ""~ 50"" 평면 스크린 용 조절 가능한 높이 모니터 브래킷 마운트")</f>
        <v>2Pcs 휴대용 접이식 삼각대 TV 스탠드 26 "~ 50" 평면 스크린 용 조절 가능한 높이 모니터 브래킷 마운트</v>
      </c>
      <c r="F164" s="1" t="str">
        <f>IFERROR(__xludf.DUMMYFUNCTION("CONCATENATE(GOOGLETRANSLATE(C164, ""en"", ""ja""))"),"2 個ポータブル折りたたみ三脚テレビスタンド高さ調節可能なモニターブラケットマウント 26 インチから 50 インチのフラットスクリーン用")</f>
        <v>2 個ポータブル折りたたみ三脚テレビスタンド高さ調節可能なモニターブラケットマウント 26 インチから 50 インチのフラットスクリーン用</v>
      </c>
    </row>
    <row r="165" ht="15.75" customHeight="1">
      <c r="A165" s="1">
        <v>1630.0</v>
      </c>
      <c r="B165" s="1" t="s">
        <v>15</v>
      </c>
      <c r="C165" s="1" t="s">
        <v>155</v>
      </c>
      <c r="D165" s="1" t="str">
        <f>IFERROR(__xludf.DUMMYFUNCTION("CONCATENATE(GOOGLETRANSLATE(C165, ""en"", ""zh-cn""))"),"160x50x25CM卫生间浴室置物架钢管材质免打孔置物架带纸巾架毛巾架")</f>
        <v>160x50x25CM卫生间浴室置物架钢管材质免打孔置物架带纸巾架毛巾架</v>
      </c>
      <c r="E165" s="1" t="str">
        <f>IFERROR(__xludf.DUMMYFUNCTION("CONCATENATE(GOOGLETRANSLATE(C165, ""en"", ""ko""))"),"160x50x25CM 화장실 욕실 선반 강관 소재 종이 수건 걸이 및 수건 걸이가있는 천공없는 보관 선반")</f>
        <v>160x50x25CM 화장실 욕실 선반 강관 소재 종이 수건 걸이 및 수건 걸이가있는 천공없는 보관 선반</v>
      </c>
      <c r="F165" s="1" t="str">
        <f>IFERROR(__xludf.DUMMYFUNCTION("CONCATENATE(GOOGLETRANSLATE(C165, ""en"", ""ja""))"),"160 × 50 × 25 センチメートルトイレ浴室棚鋼管材料穿孔フリー収納棚ペーパータオルラック &amp; タオルラック")</f>
        <v>160 × 50 × 25 センチメートルトイレ浴室棚鋼管材料穿孔フリー収納棚ペーパータオルラック &amp; タオルラック</v>
      </c>
    </row>
    <row r="166" ht="15.75" customHeight="1">
      <c r="A166" s="1">
        <v>1631.0</v>
      </c>
      <c r="B166" s="1" t="s">
        <v>15</v>
      </c>
      <c r="C166" s="1" t="s">
        <v>156</v>
      </c>
      <c r="D166" s="1" t="str">
        <f>IFERROR(__xludf.DUMMYFUNCTION("CONCATENATE(GOOGLETRANSLATE(C166, ""en"", ""zh-cn""))"),"32 件镀锌螺纹钉膨胀螺丝钉门框和安全减速块固定拉力爆裂钉")</f>
        <v>32 件镀锌螺纹钉膨胀螺丝钉门框和安全减速块固定拉力爆裂钉</v>
      </c>
      <c r="E166" s="1" t="str">
        <f>IFERROR(__xludf.DUMMYFUNCTION("CONCATENATE(GOOGLETRANSLATE(C166, ""en"", ""ko""))"),"32Pcs 아연 도금 스레드 손톱 확장 나사 손톱 도어 프레임 및 안전 속도 범프 고정 당겨 버스트 손톱")</f>
        <v>32Pcs 아연 도금 스레드 손톱 확장 나사 손톱 도어 프레임 및 안전 속도 범프 고정 당겨 버스트 손톱</v>
      </c>
      <c r="F166" s="1" t="str">
        <f>IFERROR(__xludf.DUMMYFUNCTION("CONCATENATE(GOOGLETRANSLATE(C166, ""en"", ""ja""))"),"32 個の亜鉛メッキねじ釘拡張ねじ釘ドアフレームと安全スピードバンプ固定プルバースト釘")</f>
        <v>32 個の亜鉛メッキねじ釘拡張ねじ釘ドアフレームと安全スピードバンプ固定プルバースト釘</v>
      </c>
    </row>
    <row r="167" ht="15.75" customHeight="1">
      <c r="A167" s="1">
        <v>1632.0</v>
      </c>
      <c r="B167" s="1" t="s">
        <v>15</v>
      </c>
      <c r="C167" s="1" t="s">
        <v>157</v>
      </c>
      <c r="D167" s="1" t="str">
        <f>IFERROR(__xludf.DUMMYFUNCTION("CONCATENATE(GOOGLETRANSLATE(C167, ""en"", ""zh-cn""))"),"哑光黑色橱柜拉门把手钢制厨房五金抽屉旋钮 T 形杆")</f>
        <v>哑光黑色橱柜拉门把手钢制厨房五金抽屉旋钮 T 形杆</v>
      </c>
      <c r="E167" s="1" t="str">
        <f>IFERROR(__xludf.DUMMYFUNCTION("CONCATENATE(GOOGLETRANSLATE(C167, ""en"", ""ko""))"),"광택이 없는 검정 내각 잡아당기기 문 손잡이 강철 부엌 기계설비 서랍 손잡이 T 막대기")</f>
        <v>광택이 없는 검정 내각 잡아당기기 문 손잡이 강철 부엌 기계설비 서랍 손잡이 T 막대기</v>
      </c>
      <c r="F167" s="1" t="str">
        <f>IFERROR(__xludf.DUMMYFUNCTION("CONCATENATE(GOOGLETRANSLATE(C167, ""en"", ""ja""))"),"マットブラックキャビネットプルドアハンドルスチールキッチンハードウェア引き出しノブTバー")</f>
        <v>マットブラックキャビネットプルドアハンドルスチールキッチンハードウェア引き出しノブTバー</v>
      </c>
    </row>
    <row r="168" ht="15.75" customHeight="1">
      <c r="A168" s="1">
        <v>1633.0</v>
      </c>
      <c r="B168" s="1" t="s">
        <v>15</v>
      </c>
      <c r="C168" s="1" t="s">
        <v>158</v>
      </c>
      <c r="D168" s="1" t="str">
        <f>IFERROR(__xludf.DUMMYFUNCTION("CONCATENATE(GOOGLETRANSLATE(C168, ""en"", ""zh-cn""))"),"2/3/4/5 层可折叠花盆植物架花盆展示架架子收纳架花园阳台")</f>
        <v>2/3/4/5 层可折叠花盆植物架花盆展示架架子收纳架花园阳台</v>
      </c>
      <c r="E168" s="1" t="str">
        <f>IFERROR(__xludf.DUMMYFUNCTION("CONCATENATE(GOOGLETRANSLATE(C168, ""en"", ""ko""))"),"2/3/4/5 계층 접이식 꽃 냄비 식물 스탠드 화분 디스플레이 랙 선반 주최자 정원 발코니")</f>
        <v>2/3/4/5 계층 접이식 꽃 냄비 식물 스탠드 화분 디스플레이 랙 선반 주최자 정원 발코니</v>
      </c>
      <c r="F168" s="1" t="str">
        <f>IFERROR(__xludf.DUMMYFUNCTION("CONCATENATE(GOOGLETRANSLATE(C168, ""en"", ""ja""))"),"2/3/4/5 段折りたたみ植木鉢植物スタンドプランターディスプレイラック棚オーガナイザーガーデンバルコニー")</f>
        <v>2/3/4/5 段折りたたみ植木鉢植物スタンドプランターディスプレイラック棚オーガナイザーガーデンバルコニー</v>
      </c>
    </row>
    <row r="169" ht="15.75" customHeight="1">
      <c r="A169" s="1">
        <v>1634.0</v>
      </c>
      <c r="B169" s="1" t="s">
        <v>15</v>
      </c>
      <c r="C169" s="1" t="s">
        <v>159</v>
      </c>
      <c r="D169" s="1" t="str">
        <f>IFERROR(__xludf.DUMMYFUNCTION("CONCATENATE(GOOGLETRANSLATE(C169, ""en"", ""zh-cn""))"),"适用于 3/16 英寸电缆栏杆的 3/16 英寸不锈钢手动模压螺柱转扣甲板肘节张紧器")</f>
        <v>适用于 3/16 英寸电缆栏杆的 3/16 英寸不锈钢手动模压螺柱转扣甲板肘节张紧器</v>
      </c>
      <c r="E169" s="1" t="str">
        <f>IFERROR(__xludf.DUMMYFUNCTION("CONCATENATE(GOOGLETRANSLATE(C169, ""en"", ""ko""))"),"3/16인치 케이블 난간용 스테인레스 스틸 핸드 스웨이지 스터드 턴 버클 데크 토글 텐셔너")</f>
        <v>3/16인치 케이블 난간용 스테인레스 스틸 핸드 스웨이지 스터드 턴 버클 데크 토글 텐셔너</v>
      </c>
      <c r="F169" s="1" t="str">
        <f>IFERROR(__xludf.DUMMYFUNCTION("CONCATENATE(GOOGLETRANSLATE(C169, ""en"", ""ja""))"),"3/16 インチステンレス鋼ハンドスエージスタッドターンバックルデッキトグルテンショナー 3/16 インチケーブル手すり用")</f>
        <v>3/16 インチステンレス鋼ハンドスエージスタッドターンバックルデッキトグルテンショナー 3/16 インチケーブル手すり用</v>
      </c>
    </row>
    <row r="170" ht="15.75" customHeight="1">
      <c r="A170" s="1">
        <v>1635.0</v>
      </c>
      <c r="B170" s="1" t="s">
        <v>15</v>
      </c>
      <c r="C170" s="1" t="s">
        <v>160</v>
      </c>
      <c r="D170" s="1" t="str">
        <f>IFERROR(__xludf.DUMMYFUNCTION("CONCATENATE(GOOGLETRANSLATE(C170, ""en"", ""zh-cn""))"),"12.5 厘米复古铁艺衣帽毛巾挂钩墙壁浴室架门家居装饰")</f>
        <v>12.5 厘米复古铁艺衣帽毛巾挂钩墙壁浴室架门家居装饰</v>
      </c>
      <c r="E170" s="1" t="str">
        <f>IFERROR(__xludf.DUMMYFUNCTION("CONCATENATE(GOOGLETRANSLATE(C170, ""en"", ""ko""))"),"12.5CM 빈티지 철 코트 타월 걸이 후크 벽 욕실 랙 도어 홈 장식")</f>
        <v>12.5CM 빈티지 철 코트 타월 걸이 후크 벽 욕실 랙 도어 홈 장식</v>
      </c>
      <c r="F170" s="1" t="str">
        <f>IFERROR(__xludf.DUMMYFUNCTION("CONCATENATE(GOOGLETRANSLATE(C170, ""en"", ""ja""))"),"12.5 センチメートルヴィンテージアイアンコートタオル吊りフック壁浴室ラックドア家の装飾")</f>
        <v>12.5 センチメートルヴィンテージアイアンコートタオル吊りフック壁浴室ラックドア家の装飾</v>
      </c>
    </row>
    <row r="171" ht="15.75" customHeight="1">
      <c r="A171" s="1">
        <v>1636.0</v>
      </c>
      <c r="B171" s="1" t="s">
        <v>15</v>
      </c>
      <c r="C171" s="1" t="s">
        <v>161</v>
      </c>
      <c r="D171" s="1" t="str">
        <f>IFERROR(__xludf.DUMMYFUNCTION("CONCATENATE(GOOGLETRANSLATE(C171, ""en"", ""zh-cn""))"),"仿古木管架浮动架子支架壁挂式储物")</f>
        <v>仿古木管架浮动架子支架壁挂式储物</v>
      </c>
      <c r="E171" s="1" t="str">
        <f>IFERROR(__xludf.DUMMYFUNCTION("CONCATENATE(GOOGLETRANSLATE(C171, ""en"", ""ko""))"),"소박한 목재 파이프 프레임 플로팅 선반 브래킷 랙 홀더 벽걸이형 보관함")</f>
        <v>소박한 목재 파이프 프레임 플로팅 선반 브래킷 랙 홀더 벽걸이형 보관함</v>
      </c>
      <c r="F171" s="1" t="str">
        <f>IFERROR(__xludf.DUMMYFUNCTION("CONCATENATE(GOOGLETRANSLATE(C171, ""en"", ""ja""))"),"素朴な木製パイプフレームフローティングシェルフブラケットラックホルダー壁掛け収納")</f>
        <v>素朴な木製パイプフレームフローティングシェルフブラケットラックホルダー壁掛け収納</v>
      </c>
    </row>
    <row r="172" ht="15.75" customHeight="1">
      <c r="A172" s="1">
        <v>1637.0</v>
      </c>
      <c r="B172" s="1" t="s">
        <v>15</v>
      </c>
      <c r="C172" s="1" t="s">
        <v>162</v>
      </c>
      <c r="D172" s="1" t="str">
        <f>IFERROR(__xludf.DUMMYFUNCTION("CONCATENATE(GOOGLETRANSLATE(C172, ""en"", ""zh-cn""))"),"卷铜钢 25 英尺 3/16 英寸制动管路管件带 20 件套件配件制动器内螺纹螺母")</f>
        <v>卷铜钢 25 英尺 3/16 英寸制动管路管件带 20 件套件配件制动器内螺纹螺母</v>
      </c>
      <c r="E172" s="1" t="str">
        <f>IFERROR(__xludf.DUMMYFUNCTION("CONCATENATE(GOOGLETRANSLATE(C172, ""en"", ""ko""))"),"롤 구리 강철 25피트 3/16"" 브레이크 라인 파이프 튜브 20개 키트 피팅 브레이크 암수 너트 포함")</f>
        <v>롤 구리 강철 25피트 3/16" 브레이크 라인 파이프 튜브 20개 키트 피팅 브레이크 암수 너트 포함</v>
      </c>
      <c r="F172" s="1" t="str">
        <f>IFERROR(__xludf.DUMMYFUNCTION("CONCATENATE(GOOGLETRANSLATE(C172, ""en"", ""ja""))"),"ロール銅鋼 25 フィート 3/16 インチ ブレーキラインパイプチューブ 20 個キット継手ブレーキメスオスナット付き")</f>
        <v>ロール銅鋼 25 フィート 3/16 インチ ブレーキラインパイプチューブ 20 個キット継手ブレーキメスオスナット付き</v>
      </c>
    </row>
    <row r="173" ht="15.75" customHeight="1">
      <c r="A173" s="1">
        <v>1638.0</v>
      </c>
      <c r="B173" s="1" t="s">
        <v>15</v>
      </c>
      <c r="C173" s="1" t="s">
        <v>163</v>
      </c>
      <c r="D173" s="1" t="str">
        <f>IFERROR(__xludf.DUMMYFUNCTION("CONCATENATE(GOOGLETRANSLATE(C173, ""en"", ""zh-cn""))"),"iBeauty桑拿便捷折叠椅野营便携椅")</f>
        <v>iBeauty桑拿便捷折叠椅野营便携椅</v>
      </c>
      <c r="E173" s="1" t="str">
        <f>IFERROR(__xludf.DUMMYFUNCTION("CONCATENATE(GOOGLETRANSLATE(C173, ""en"", ""ko""))"),"iBeauty 사우나 편리한 접이식 의자 캠핑 휴대용 의자")</f>
        <v>iBeauty 사우나 편리한 접이식 의자 캠핑 휴대용 의자</v>
      </c>
      <c r="F173" s="1" t="str">
        <f>IFERROR(__xludf.DUMMYFUNCTION("CONCATENATE(GOOGLETRANSLATE(C173, ""en"", ""ja""))"),"iBeauty サウナ便利な折りたたみ椅子キャンプポータブルチェア")</f>
        <v>iBeauty サウナ便利な折りたたみ椅子キャンプポータブルチェア</v>
      </c>
    </row>
    <row r="174" ht="15.75" customHeight="1">
      <c r="A174" s="1">
        <v>1639.0</v>
      </c>
      <c r="B174" s="1" t="s">
        <v>15</v>
      </c>
      <c r="C174" s="1" t="s">
        <v>164</v>
      </c>
      <c r="D174" s="1" t="str">
        <f>IFERROR(__xludf.DUMMYFUNCTION("CONCATENATE(GOOGLETRANSLATE(C174, ""en"", ""zh-cn""))"),"铁制肘节闩锁搭扣夹子鸭嘴扣适用于木箱")</f>
        <v>铁制肘节闩锁搭扣夹子鸭嘴扣适用于木箱</v>
      </c>
      <c r="E174" s="1" t="str">
        <f>IFERROR(__xludf.DUMMYFUNCTION("CONCATENATE(GOOGLETRANSLATE(C174, ""en"", ""ko""))"),"철 토글 래치 캐치 걸쇠 클램프 클립 나무 상자 케이스용 오리 청구 버클")</f>
        <v>철 토글 래치 캐치 걸쇠 클램프 클립 나무 상자 케이스용 오리 청구 버클</v>
      </c>
      <c r="F174" s="1" t="str">
        <f>IFERROR(__xludf.DUMMYFUNCTION("CONCATENATE(GOOGLETRANSLATE(C174, ""en"", ""ja""))"),"アイアントグルラッチキャッチハスプクランプクリップダックビルバックルウッドボックスケース用")</f>
        <v>アイアントグルラッチキャッチハスプクランプクリップダックビルバックルウッドボックスケース用</v>
      </c>
    </row>
    <row r="175" ht="15.75" customHeight="1">
      <c r="A175" s="1">
        <v>1640.0</v>
      </c>
      <c r="B175" s="1" t="s">
        <v>15</v>
      </c>
      <c r="C175" s="1" t="s">
        <v>165</v>
      </c>
      <c r="D175" s="1" t="str">
        <f>IFERROR(__xludf.DUMMYFUNCTION("CONCATENATE(GOOGLETRANSLATE(C175, ""en"", ""zh-cn""))"),"可折叠生态杂货袋魔术折叠购物袋可重复使用回收布购物袋大号")</f>
        <v>可折叠生态杂货袋魔术折叠购物袋可重复使用回收布购物袋大号</v>
      </c>
      <c r="E175" s="1" t="str">
        <f>IFERROR(__xludf.DUMMYFUNCTION("CONCATENATE(GOOGLETRANSLATE(C175, ""en"", ""ko""))"),"접이식 에코 식료품 가방 매직 접이식 쇼핑백 재사용 가능한 재활용 천 구매자 가방 대형")</f>
        <v>접이식 에코 식료품 가방 매직 접이식 쇼핑백 재사용 가능한 재활용 천 구매자 가방 대형</v>
      </c>
      <c r="F175" s="1" t="str">
        <f>IFERROR(__xludf.DUMMYFUNCTION("CONCATENATE(GOOGLETRANSLATE(C175, ""en"", ""ja""))"),"折りたたみ ECO 食料品バッグ マジック折りたたみショッピングバッグ 再利用可能なリサイクル布ショッパーバッグ L")</f>
        <v>折りたたみ ECO 食料品バッグ マジック折りたたみショッピングバッグ 再利用可能なリサイクル布ショッパーバッグ L</v>
      </c>
    </row>
    <row r="176" ht="15.75" customHeight="1">
      <c r="A176" s="1">
        <v>1641.0</v>
      </c>
      <c r="B176" s="1" t="s">
        <v>15</v>
      </c>
      <c r="C176" s="1" t="s">
        <v>166</v>
      </c>
      <c r="D176" s="1" t="str">
        <f>IFERROR(__xludf.DUMMYFUNCTION("CONCATENATE(GOOGLETRANSLATE(C176, ""en"", ""zh-cn""))"),"Suleve™ M5AN2 10 件 M5 杯头六角螺丝垫片垫圈螺母铝合金多色")</f>
        <v>Suleve™ M5AN2 10 件 M5 杯头六角螺丝垫片垫圈螺母铝合金多色</v>
      </c>
      <c r="E176" s="1" t="str">
        <f>IFERROR(__xludf.DUMMYFUNCTION("CONCATENATE(GOOGLETRANSLATE(C176, ""en"", ""ko""))"),"Suleve™ M5AN2 10개 M5 컵 헤드 육각 나사 가스켓 와셔 너트 알루미늄 합금 다색")</f>
        <v>Suleve™ M5AN2 10개 M5 컵 헤드 육각 나사 가스켓 와셔 너트 알루미늄 합금 다색</v>
      </c>
      <c r="F176" s="1" t="str">
        <f>IFERROR(__xludf.DUMMYFUNCTION("CONCATENATE(GOOGLETRANSLATE(C176, ""en"", ""ja""))"),"Suleve™ M5AN2 10 個 M5 カップヘッド六角ネジガスケットワッシャーナットアルミニウム合金マルチカラー")</f>
        <v>Suleve™ M5AN2 10 個 M5 カップヘッド六角ネジガスケットワッシャーナットアルミニウム合金マルチカラー</v>
      </c>
    </row>
    <row r="177" ht="15.75" customHeight="1">
      <c r="A177" s="1">
        <v>1642.0</v>
      </c>
      <c r="B177" s="1" t="s">
        <v>15</v>
      </c>
      <c r="C177" s="1" t="s">
        <v>167</v>
      </c>
      <c r="D177" s="1" t="str">
        <f>IFERROR(__xludf.DUMMYFUNCTION("CONCATENATE(GOOGLETRANSLATE(C177, ""en"", ""zh-cn""))"),"Suleve™ AJ40 4 件角支架铸铝角角接头 40x40mm")</f>
        <v>Suleve™ AJ40 4 件角支架铸铝角角接头 40x40mm</v>
      </c>
      <c r="E177" s="1" t="str">
        <f>IFERROR(__xludf.DUMMYFUNCTION("CONCATENATE(GOOGLETRANSLATE(C177, ""en"", ""ko""))"),"Suleve™ AJ40 4개 코너 브래킷 주조 알루미늄 앵글 코너 조인트 40x40mm")</f>
        <v>Suleve™ AJ40 4개 코너 브래킷 주조 알루미늄 앵글 코너 조인트 40x40mm</v>
      </c>
      <c r="F177" s="1" t="str">
        <f>IFERROR(__xludf.DUMMYFUNCTION("CONCATENATE(GOOGLETRANSLATE(C177, ""en"", ""ja""))"),"Suleve™ AJ40 4 個コーナーブラケット鋳造アルミニウムアングルコーナージョイント 40x40mm")</f>
        <v>Suleve™ AJ40 4 個コーナーブラケット鋳造アルミニウムアングルコーナージョイント 40x40mm</v>
      </c>
    </row>
    <row r="178" ht="15.75" customHeight="1">
      <c r="A178" s="1">
        <v>1643.0</v>
      </c>
      <c r="B178" s="1" t="s">
        <v>15</v>
      </c>
      <c r="C178" s="1" t="s">
        <v>168</v>
      </c>
      <c r="D178" s="1" t="str">
        <f>IFERROR(__xludf.DUMMYFUNCTION("CONCATENATE(GOOGLETRANSLATE(C178, ""en"", ""zh-cn""))"),"男婴如厕厕所儿童幼儿小便池浴室悬挂小便训练器 ")</f>
        <v>男婴如厕厕所儿童幼儿小便池浴室悬挂小便训练器 </v>
      </c>
      <c r="E178" s="1" t="str">
        <f>IFERROR(__xludf.DUMMYFUNCTION("CONCATENATE(GOOGLETRANSLATE(C178, ""en"", ""ko""))"),"남아용 유아용 변기 어린이 유아용 소변기 욕실 걸이형 오줌 트레이너 ")</f>
        <v>남아용 유아용 변기 어린이 유아용 소변기 욕실 걸이형 오줌 트레이너 </v>
      </c>
      <c r="F178" s="1" t="str">
        <f>IFERROR(__xludf.DUMMYFUNCTION("CONCATENATE(GOOGLETRANSLATE(C178, ""en"", ""ja""))"),"赤ちゃん男の子トイレトイレ子供幼児小便器バスルームぶら下げおしっこトレーナー ")</f>
        <v>赤ちゃん男の子トイレトイレ子供幼児小便器バスルームぶら下げおしっこトレーナー </v>
      </c>
    </row>
    <row r="179" ht="15.75" customHeight="1">
      <c r="A179" s="1">
        <v>1644.0</v>
      </c>
      <c r="B179" s="1" t="s">
        <v>15</v>
      </c>
      <c r="C179" s="1" t="s">
        <v>169</v>
      </c>
      <c r="D179" s="1" t="str">
        <f>IFERROR(__xludf.DUMMYFUNCTION("CONCATENATE(GOOGLETRANSLATE(C179, ""en"", ""zh-cn""))"),"抽屉柜橱柜门家具把手家具部件旋钮拉环")</f>
        <v>抽屉柜橱柜门家具把手家具部件旋钮拉环</v>
      </c>
      <c r="E179" s="1" t="str">
        <f>IFERROR(__xludf.DUMMYFUNCTION("CONCATENATE(GOOGLETRANSLATE(C179, ""en"", ""ko""))"),"서랍 캐비닛 찬장 도어 가구 손잡이 가구 구성 요소용 손잡이 당김 링")</f>
        <v>서랍 캐비닛 찬장 도어 가구 손잡이 가구 구성 요소용 손잡이 당김 링</v>
      </c>
      <c r="F179" s="1" t="str">
        <f>IFERROR(__xludf.DUMMYFUNCTION("CONCATENATE(GOOGLETRANSLATE(C179, ""en"", ""ja""))"),"ノブプルリング引き出しキャビネット食器棚ドア家具ハンドル家具コンポーネント")</f>
        <v>ノブプルリング引き出しキャビネット食器棚ドア家具ハンドル家具コンポーネント</v>
      </c>
    </row>
    <row r="180" ht="15.75" customHeight="1">
      <c r="A180" s="1">
        <v>1645.0</v>
      </c>
      <c r="B180" s="1" t="s">
        <v>15</v>
      </c>
      <c r="C180" s="1" t="s">
        <v>170</v>
      </c>
      <c r="D180" s="1" t="str">
        <f>IFERROR(__xludf.DUMMYFUNCTION("CONCATENATE(GOOGLETRANSLATE(C180, ""en"", ""zh-cn""))"),"20件装 PPR牙塞 PPR外丝塞 DN20 热水管件")</f>
        <v>20件装 PPR牙塞 PPR外丝塞 DN20 热水管件</v>
      </c>
      <c r="E180" s="1" t="str">
        <f>IFERROR(__xludf.DUMMYFUNCTION("CONCATENATE(GOOGLETRANSLATE(C180, ""en"", ""ko""))"),"20개 PPR 치아 플러그 PPR 외부 와이어 플러그 DN20 온수 파이프 피팅")</f>
        <v>20개 PPR 치아 플러그 PPR 외부 와이어 플러그 DN20 온수 파이프 피팅</v>
      </c>
      <c r="F180" s="1" t="str">
        <f>IFERROR(__xludf.DUMMYFUNCTION("CONCATENATE(GOOGLETRANSLATE(C180, ""en"", ""ja""))"),"20 個 PPR 歯プラグ PPR 外部ワイヤープラグ DN20 温水パイプ継手")</f>
        <v>20 個 PPR 歯プラグ PPR 外部ワイヤープラグ DN20 温水パイプ継手</v>
      </c>
    </row>
    <row r="181" ht="15.75" customHeight="1">
      <c r="A181" s="1">
        <v>1646.0</v>
      </c>
      <c r="B181" s="1" t="s">
        <v>15</v>
      </c>
      <c r="C181" s="1" t="s">
        <v>171</v>
      </c>
      <c r="D181" s="1" t="str">
        <f>IFERROR(__xludf.DUMMYFUNCTION("CONCATENATE(GOOGLETRANSLATE(C181, ""en"", ""zh-cn""))"),"厨房水槽水龙头 360° 旋转抽拉式水龙头台面安装冷热混合器带软管")</f>
        <v>厨房水槽水龙头 360° 旋转抽拉式水龙头台面安装冷热混合器带软管</v>
      </c>
      <c r="E181" s="1" t="str">
        <f>IFERROR(__xludf.DUMMYFUNCTION("CONCATENATE(GOOGLETRANSLATE(C181, ""en"", ""ko""))"),"주방 싱크 수전 360°회전식 수도꼭지 데크 장착 호스 포함 냉온수 믹서")</f>
        <v>주방 싱크 수전 360°회전식 수도꼭지 데크 장착 호스 포함 냉온수 믹서</v>
      </c>
      <c r="F181" s="1" t="str">
        <f>IFERROR(__xludf.DUMMYFUNCTION("CONCATENATE(GOOGLETRANSLATE(C181, ""en"", ""ja""))"),"キッチンのシンクの蛇口 360 ° 回転引き出し水道タップデッキマウントコールドホットミキサーとホース")</f>
        <v>キッチンのシンクの蛇口 360 ° 回転引き出し水道タップデッキマウントコールドホットミキサーとホース</v>
      </c>
    </row>
    <row r="182" ht="15.75" customHeight="1">
      <c r="A182" s="1">
        <v>1647.0</v>
      </c>
      <c r="B182" s="1" t="s">
        <v>15</v>
      </c>
      <c r="C182" s="1" t="s">
        <v>172</v>
      </c>
      <c r="D182" s="1" t="str">
        <f>IFERROR(__xludf.DUMMYFUNCTION("CONCATENATE(GOOGLETRANSLATE(C182, ""en"", ""zh-cn""))"),"拉丝金色厨房水槽水龙头拉出式水龙头单柄混合水龙头 360 度旋转")</f>
        <v>拉丝金色厨房水槽水龙头拉出式水龙头单柄混合水龙头 360 度旋转</v>
      </c>
      <c r="E182" s="1" t="str">
        <f>IFERROR(__xludf.DUMMYFUNCTION("CONCATENATE(GOOGLETRANSLATE(C182, ""en"", ""ko""))"),"브러시드 골드 주방 싱크 수전 인출식 수도꼭지 싱글 핸들 믹서 탭 360 회전")</f>
        <v>브러시드 골드 주방 싱크 수전 인출식 수도꼭지 싱글 핸들 믹서 탭 360 회전</v>
      </c>
      <c r="F182" s="1" t="str">
        <f>IFERROR(__xludf.DUMMYFUNCTION("CONCATENATE(GOOGLETRANSLATE(C182, ""en"", ""ja""))"),"ブラッシュゴールドキッチンシンクの蛇口引き出し水栓シングルハンドルミキサータップ 360 回転")</f>
        <v>ブラッシュゴールドキッチンシンクの蛇口引き出し水栓シングルハンドルミキサータップ 360 回転</v>
      </c>
    </row>
    <row r="183" ht="15.75" customHeight="1">
      <c r="A183" s="1">
        <v>1648.0</v>
      </c>
      <c r="B183" s="1" t="s">
        <v>15</v>
      </c>
      <c r="C183" s="1" t="s">
        <v>173</v>
      </c>
      <c r="D183" s="1" t="str">
        <f>IFERROR(__xludf.DUMMYFUNCTION("CONCATENATE(GOOGLETRANSLATE(C183, ""en"", ""zh-cn""))"),"吸尘器支架适合戴森 V6 V7 V8 V10")</f>
        <v>吸尘器支架适合戴森 V6 V7 V8 V10</v>
      </c>
      <c r="E183" s="1" t="str">
        <f>IFERROR(__xludf.DUMMYFUNCTION("CONCATENATE(GOOGLETRANSLATE(C183, ""en"", ""ko""))"),"다이슨 V6 V7 V8 V10에 맞는 진공 청소기 스탠드")</f>
        <v>다이슨 V6 V7 V8 V10에 맞는 진공 청소기 스탠드</v>
      </c>
      <c r="F183" s="1" t="str">
        <f>IFERROR(__xludf.DUMMYFUNCTION("CONCATENATE(GOOGLETRANSLATE(C183, ""en"", ""ja""))"),"掃除機スタンドはダイソン V6 V7 V8 V10 に適合します。")</f>
        <v>掃除機スタンドはダイソン V6 V7 V8 V10 に適合します。</v>
      </c>
    </row>
    <row r="184" ht="15.75" customHeight="1">
      <c r="A184" s="1">
        <v>1649.0</v>
      </c>
      <c r="B184" s="1" t="s">
        <v>15</v>
      </c>
      <c r="C184" s="1" t="s">
        <v>67</v>
      </c>
      <c r="D184" s="1" t="str">
        <f>IFERROR(__xludf.DUMMYFUNCTION("CONCATENATE(GOOGLETRANSLATE(C184, ""en"", ""zh-cn""))"),"自由弯曲防水阻水塞硅胶50/60/90/120/150/200cm")</f>
        <v>自由弯曲防水阻水塞硅胶50/60/90/120/150/200cm</v>
      </c>
      <c r="E184" s="1" t="str">
        <f>IFERROR(__xludf.DUMMYFUNCTION("CONCATENATE(GOOGLETRANSLATE(C184, ""en"", ""ko""))"),"프리 벤딩 워터 배리어 워터 스토퍼 실리콘 50/60/90/120/150/200cm")</f>
        <v>프리 벤딩 워터 배리어 워터 스토퍼 실리콘 50/60/90/120/150/200cm</v>
      </c>
      <c r="F184" s="1" t="str">
        <f>IFERROR(__xludf.DUMMYFUNCTION("CONCATENATE(GOOGLETRANSLATE(C184, ""en"", ""ja""))"),"自由に曲がるウォーターバリアウォーターストッパーシリコン50/60/90/120/150/200センチメートル")</f>
        <v>自由に曲がるウォーターバリアウォーターストッパーシリコン50/60/90/120/150/200センチメートル</v>
      </c>
    </row>
    <row r="185" ht="15.75" customHeight="1">
      <c r="A185" s="1">
        <v>1650.0</v>
      </c>
      <c r="B185" s="1" t="s">
        <v>15</v>
      </c>
      <c r="C185" s="1" t="s">
        <v>174</v>
      </c>
      <c r="D185" s="1" t="str">
        <f>IFERROR(__xludf.DUMMYFUNCTION("CONCATENATE(GOOGLETRANSLATE(C185, ""en"", ""zh-cn""))"),"可调节笔记本电脑支架可折叠便携式电脑适用于床沙发桌架桌子")</f>
        <v>可调节笔记本电脑支架可折叠便携式电脑适用于床沙发桌架桌子</v>
      </c>
      <c r="E185" s="1" t="str">
        <f>IFERROR(__xludf.DUMMYFUNCTION("CONCATENATE(GOOGLETRANSLATE(C185, ""en"", ""ko""))"),"조정 가능한 노트북 스탠드 침대 소파 책상 홀더 테이블용 접이식 휴대용 컴퓨터")</f>
        <v>조정 가능한 노트북 스탠드 침대 소파 책상 홀더 테이블용 접이식 휴대용 컴퓨터</v>
      </c>
      <c r="F185" s="1" t="str">
        <f>IFERROR(__xludf.DUMMYFUNCTION("CONCATENATE(GOOGLETRANSLATE(C185, ""en"", ""ja""))"),"調節可能なラップトップスタンド折りたたみポータブルコンピュータベッドソファデスクホルダーテーブル")</f>
        <v>調節可能なラップトップスタンド折りたたみポータブルコンピュータベッドソファデスクホルダーテーブル</v>
      </c>
    </row>
    <row r="186" ht="15.75" customHeight="1">
      <c r="A186" s="1">
        <v>1651.0</v>
      </c>
      <c r="B186" s="1" t="s">
        <v>15</v>
      </c>
      <c r="C186" s="1" t="s">
        <v>175</v>
      </c>
      <c r="D186" s="1" t="str">
        <f>IFERROR(__xludf.DUMMYFUNCTION("CONCATENATE(GOOGLETRANSLATE(C186, ""en"", ""zh-cn""))"),"铝合金柜脚可调节家具脚床柜腿茶几固定脚")</f>
        <v>铝合金柜脚可调节家具脚床柜腿茶几固定脚</v>
      </c>
      <c r="E186" s="1" t="str">
        <f>IFERROR(__xludf.DUMMYFUNCTION("CONCATENATE(GOOGLETRANSLATE(C186, ""en"", ""ko""))"),"알루미늄 합금 캐비닛 피트 조정 가능한 가구 발 침대 캐비닛 다리 커피 테이블 고정 피트")</f>
        <v>알루미늄 합금 캐비닛 피트 조정 가능한 가구 발 침대 캐비닛 다리 커피 테이블 고정 피트</v>
      </c>
      <c r="F186" s="1" t="str">
        <f>IFERROR(__xludf.DUMMYFUNCTION("CONCATENATE(GOOGLETRANSLATE(C186, ""en"", ""ja""))"),"アルミ合金キャビネット足調節可能な家具フットベッドキャビネット脚コーヒーテーブル固定足")</f>
        <v>アルミ合金キャビネット足調節可能な家具フットベッドキャビネット脚コーヒーテーブル固定足</v>
      </c>
    </row>
    <row r="187" ht="15.75" customHeight="1">
      <c r="A187" s="1">
        <v>1652.0</v>
      </c>
      <c r="B187" s="1" t="s">
        <v>15</v>
      </c>
      <c r="C187" s="1" t="s">
        <v>176</v>
      </c>
      <c r="D187" s="1" t="str">
        <f>IFERROR(__xludf.DUMMYFUNCTION("CONCATENATE(GOOGLETRANSLATE(C187, ""en"", ""zh-cn""))"),"花园防鸟网防虫网家禽植物蔬菜户外农作物水果防护网网")</f>
        <v>花园防鸟网防虫网家禽植物蔬菜户外农作物水果防护网网</v>
      </c>
      <c r="E187" s="1" t="str">
        <f>IFERROR(__xludf.DUMMYFUNCTION("CONCATENATE(GOOGLETRANSLATE(C187, ""en"", ""ko""))"),"정원 안티 버드 그물 곤충 그물 가금류 식물 야채 야외 자르기 과일 보호 메쉬 그물")</f>
        <v>정원 안티 버드 그물 곤충 그물 가금류 식물 야채 야외 자르기 과일 보호 메쉬 그물</v>
      </c>
      <c r="F187" s="1" t="str">
        <f>IFERROR(__xludf.DUMMYFUNCTION("CONCATENATE(GOOGLETRANSLATE(C187, ""en"", ""ja""))"),"庭の抗鳥ネット昆虫ネッティング家禽植物野菜屋外作物果物保護メッシュネット")</f>
        <v>庭の抗鳥ネット昆虫ネッティング家禽植物野菜屋外作物果物保護メッシュネット</v>
      </c>
    </row>
    <row r="188" ht="15.75" customHeight="1">
      <c r="A188" s="1">
        <v>1653.0</v>
      </c>
      <c r="B188" s="1" t="s">
        <v>15</v>
      </c>
      <c r="C188" s="1" t="s">
        <v>177</v>
      </c>
      <c r="D188" s="1" t="str">
        <f>IFERROR(__xludf.DUMMYFUNCTION("CONCATENATE(GOOGLETRANSLATE(C188, ""en"", ""zh-cn""))"),"现代白花卧室床头柜置物架橱柜收纳柜床头柜储物篮")</f>
        <v>现代白花卧室床头柜置物架橱柜收纳柜床头柜储物篮</v>
      </c>
      <c r="E188" s="1" t="str">
        <f>IFERROR(__xludf.DUMMYFUNCTION("CONCATENATE(GOOGLETRANSLATE(C188, ""en"", ""ko""))"),"현대 흰색 꽃 침실 침대 옆 테이블 랙 캐비닛 주최자 밤 스탠드 보관 바구니")</f>
        <v>현대 흰색 꽃 침실 침대 옆 테이블 랙 캐비닛 주최자 밤 스탠드 보관 바구니</v>
      </c>
      <c r="F188" s="1" t="str">
        <f>IFERROR(__xludf.DUMMYFUNCTION("CONCATENATE(GOOGLETRANSLATE(C188, ""en"", ""ja""))"),"モダンな白い花の寝室のベッドサイドテーブルラックキャビネットオーガナイザーナイトスタンド収納バスケット")</f>
        <v>モダンな白い花の寝室のベッドサイドテーブルラックキャビネットオーガナイザーナイトスタンド収納バスケット</v>
      </c>
    </row>
    <row r="189" ht="15.75" customHeight="1">
      <c r="A189" s="1">
        <v>1654.0</v>
      </c>
      <c r="B189" s="1" t="s">
        <v>15</v>
      </c>
      <c r="C189" s="1" t="s">
        <v>178</v>
      </c>
      <c r="D189" s="1" t="str">
        <f>IFERROR(__xludf.DUMMYFUNCTION("CONCATENATE(GOOGLETRANSLATE(C189, ""en"", ""zh-cn""))"),"黑色木质纹理自粘装饰接触纸乙烯基架子衬垫壁纸")</f>
        <v>黑色木质纹理自粘装饰接触纸乙烯基架子衬垫壁纸</v>
      </c>
      <c r="E189" s="1" t="str">
        <f>IFERROR(__xludf.DUMMYFUNCTION("CONCATENATE(GOOGLETRANSLATE(C189, ""en"", ""ko""))"),"검은색 목재 질감의 자체 접착 장식 접착지 비닐 선반 라이너 벽 종이")</f>
        <v>검은색 목재 질감의 자체 접착 장식 접착지 비닐 선반 라이너 벽 종이</v>
      </c>
      <c r="F189" s="1" t="str">
        <f>IFERROR(__xludf.DUMMYFUNCTION("CONCATENATE(GOOGLETRANSLATE(C189, ""en"", ""ja""))"),"黒い木の質感のある自己粘着装飾コンタクト紙ビニール棚ライナー壁紙")</f>
        <v>黒い木の質感のある自己粘着装飾コンタクト紙ビニール棚ライナー壁紙</v>
      </c>
    </row>
    <row r="190" ht="15.75" customHeight="1">
      <c r="A190" s="1">
        <v>1655.0</v>
      </c>
      <c r="B190" s="1" t="s">
        <v>15</v>
      </c>
      <c r="C190" s="1" t="s">
        <v>179</v>
      </c>
      <c r="D190" s="1" t="str">
        <f>IFERROR(__xludf.DUMMYFUNCTION("CONCATENATE(GOOGLETRANSLATE(C190, ""en"", ""zh-cn""))"),"防水堆叠椅套户外花园公园庭院办公家具")</f>
        <v>防水堆叠椅套户外花园公园庭院办公家具</v>
      </c>
      <c r="E190" s="1" t="str">
        <f>IFERROR(__xludf.DUMMYFUNCTION("CONCATENATE(GOOGLETRANSLATE(C190, ""en"", ""ko""))"),"방수 겹쳐 쌓이는 의자는 옥외 정원 공원 안뜰 사무용 가구를 덮습니다")</f>
        <v>방수 겹쳐 쌓이는 의자는 옥외 정원 공원 안뜰 사무용 가구를 덮습니다</v>
      </c>
      <c r="F190" s="1" t="str">
        <f>IFERROR(__xludf.DUMMYFUNCTION("CONCATENATE(GOOGLETRANSLATE(C190, ""en"", ""ja""))"),"防水スタッキングチェアカバー屋外庭園公園パティオオフィス家具")</f>
        <v>防水スタッキングチェアカバー屋外庭園公園パティオオフィス家具</v>
      </c>
    </row>
    <row r="191" ht="15.75" customHeight="1">
      <c r="A191" s="1">
        <v>1656.0</v>
      </c>
      <c r="B191" s="1" t="s">
        <v>15</v>
      </c>
      <c r="C191" s="1" t="s">
        <v>180</v>
      </c>
      <c r="D191" s="1" t="str">
        <f>IFERROR(__xludf.DUMMYFUNCTION("CONCATENATE(GOOGLETRANSLATE(C191, ""en"", ""zh-cn""))"),"2 件套雨淋式手持花洒头硅胶出水口加压花洒套装")</f>
        <v>2 件套雨淋式手持花洒头硅胶出水口加压花洒套装</v>
      </c>
      <c r="E191" s="1" t="str">
        <f>IFERROR(__xludf.DUMMYFUNCTION("CONCATENATE(GOOGLETRANSLATE(C191, ""en"", ""ko""))"),"2개/대 강우 휴대용 샤워 헤드 실리카 젤 배출구 가압 샤워 세트")</f>
        <v>2개/대 강우 휴대용 샤워 헤드 실리카 젤 배출구 가압 샤워 세트</v>
      </c>
      <c r="F191" s="1" t="str">
        <f>IFERROR(__xludf.DUMMYFUNCTION("CONCATENATE(GOOGLETRANSLATE(C191, ""en"", ""ja""))"),"2 ピース/セット降雨ハンドヘルドシャワーヘッドシリカゲル出口加圧シャワーセット")</f>
        <v>2 ピース/セット降雨ハンドヘルドシャワーヘッドシリカゲル出口加圧シャワーセット</v>
      </c>
    </row>
    <row r="192" ht="15.75" customHeight="1">
      <c r="A192" s="1">
        <v>1657.0</v>
      </c>
      <c r="B192" s="1" t="s">
        <v>15</v>
      </c>
      <c r="C192" s="1" t="s">
        <v>181</v>
      </c>
      <c r="D192" s="1" t="str">
        <f>IFERROR(__xludf.DUMMYFUNCTION("CONCATENATE(GOOGLETRANSLATE(C192, ""en"", ""zh-cn""))"),"FRAP 银色双把水龙头厨房水槽水龙头和厨房 ")</f>
        <v>FRAP 银色双把水龙头厨房水槽水龙头和厨房 </v>
      </c>
      <c r="E192" s="1" t="str">
        <f>IFERROR(__xludf.DUMMYFUNCTION("CONCATENATE(GOOGLETRANSLATE(C192, ""en"", ""ko""))"),"FRAP 실버 더블 핸들 수전 주방 싱크 수전 및 주방 ")</f>
        <v>FRAP 실버 더블 핸들 수전 주방 싱크 수전 및 주방 </v>
      </c>
      <c r="F192" s="1" t="str">
        <f>IFERROR(__xludf.DUMMYFUNCTION("CONCATENATE(GOOGLETRANSLATE(C192, ""en"", ""ja""))"),"FRAP シルバー ダブルハンドル蛇口 キッチン シンクの蛇口とキッチン ")</f>
        <v>FRAP シルバー ダブルハンドル蛇口 キッチン シンクの蛇口とキッチン </v>
      </c>
    </row>
    <row r="193" ht="15.75" customHeight="1">
      <c r="A193" s="1">
        <v>1658.0</v>
      </c>
      <c r="B193" s="1" t="s">
        <v>15</v>
      </c>
      <c r="C193" s="1" t="s">
        <v>182</v>
      </c>
      <c r="D193" s="1" t="str">
        <f>IFERROR(__xludf.DUMMYFUNCTION("CONCATENATE(GOOGLETRANSLATE(C193, ""en"", ""zh-cn""))"),"TMOK 1"" 1-1/4"" 温度计手动内螺纹黄铜温度计球阀")</f>
        <v>TMOK 1" 1-1/4" 温度计手动内螺纹黄铜温度计球阀</v>
      </c>
      <c r="E193" s="1" t="str">
        <f>IFERROR(__xludf.DUMMYFUNCTION("CONCATENATE(GOOGLETRANSLATE(C193, ""en"", ""ko""))"),"TMOK 1"" 1-1/4"" 수동 내부 나사식 황동 온도 게이지 볼 밸브(온도계용)")</f>
        <v>TMOK 1" 1-1/4" 수동 내부 나사식 황동 온도 게이지 볼 밸브(온도계용)</v>
      </c>
      <c r="F193" s="1" t="str">
        <f>IFERROR(__xludf.DUMMYFUNCTION("CONCATENATE(GOOGLETRANSLATE(C193, ""en"", ""ja""))"),"TMOK 1 ""1-1/4"" 手動雌ネジ真鍮温度計温度計用ボールバルブ")</f>
        <v>TMOK 1 "1-1/4" 手動雌ネジ真鍮温度計温度計用ボールバルブ</v>
      </c>
    </row>
    <row r="194" ht="15.75" customHeight="1">
      <c r="A194" s="1">
        <v>1659.0</v>
      </c>
      <c r="B194" s="1" t="s">
        <v>15</v>
      </c>
      <c r="C194" s="1" t="s">
        <v>183</v>
      </c>
      <c r="D194" s="1" t="str">
        <f>IFERROR(__xludf.DUMMYFUNCTION("CONCATENATE(GOOGLETRANSLATE(C194, ""en"", ""zh-cn""))"),"TMOK TK201 1/2"" 3/4"" 1"" 内螺纹黄铜两片式全端口螺纹球阀，带乙烯基手柄 ")</f>
        <v>TMOK TK201 1/2" 3/4" 1" 内螺纹黄铜两片式全端口螺纹球阀，带乙烯基手柄 </v>
      </c>
      <c r="E194" s="1" t="str">
        <f>IFERROR(__xludf.DUMMYFUNCTION("CONCATENATE(GOOGLETRANSLATE(C194, ""en"", ""ko""))"),"TMOK TK201 1/2"" 3/4"" 1"" 암형 황동 2피스 풀 포트 나사산 볼 밸브(비닐 핸들 포함) ")</f>
        <v>TMOK TK201 1/2" 3/4" 1" 암형 황동 2피스 풀 포트 나사산 볼 밸브(비닐 핸들 포함) </v>
      </c>
      <c r="F194" s="1" t="str">
        <f>IFERROR(__xludf.DUMMYFUNCTION("CONCATENATE(GOOGLETRANSLATE(C194, ""en"", ""ja""))"),"TMOK TK201 1/2 ""3/4"" 1"" メス真鍮ツーピースフルポートねじボールバルブ、ビニールハンドル付き ")</f>
        <v>TMOK TK201 1/2 "3/4" 1" メス真鍮ツーピースフルポートねじボールバルブ、ビニールハンドル付き </v>
      </c>
    </row>
    <row r="195" ht="15.75" customHeight="1">
      <c r="A195" s="1">
        <v>1660.0</v>
      </c>
      <c r="B195" s="1" t="s">
        <v>15</v>
      </c>
      <c r="C195" s="1" t="s">
        <v>184</v>
      </c>
      <c r="D195" s="1" t="str">
        <f>IFERROR(__xludf.DUMMYFUNCTION("CONCATENATE(GOOGLETRANSLATE(C195, ""en"", ""zh-cn""))"),"TMOK 1/2"" 3/4"" 外丝手动 PPR 黄铜球阀 镍手柄 PPR 外螺纹阀门")</f>
        <v>TMOK 1/2" 3/4" 外丝手动 PPR 黄铜球阀 镍手柄 PPR 外螺纹阀门</v>
      </c>
      <c r="E195" s="1" t="str">
        <f>IFERROR(__xludf.DUMMYFUNCTION("CONCATENATE(GOOGLETRANSLATE(C195, ""en"", ""ko""))"),"TMOK 1/2"" 3/4"" 외부 와이어 수동 PPR 황동 볼 밸브 니켈 핸들 PPR 수나사 밸브")</f>
        <v>TMOK 1/2" 3/4" 외부 와이어 수동 PPR 황동 볼 밸브 니켈 핸들 PPR 수나사 밸브</v>
      </c>
      <c r="F195" s="1" t="str">
        <f>IFERROR(__xludf.DUMMYFUNCTION("CONCATENATE(GOOGLETRANSLATE(C195, ""en"", ""ja""))"),"TMOK 1/2 ""3/4"" 外部ワイヤー手動 PPR 真鍮ボールバルブニッケルハンドル PPR おねじバルブ")</f>
        <v>TMOK 1/2 "3/4" 外部ワイヤー手動 PPR 真鍮ボールバルブニッケルハンドル PPR おねじバルブ</v>
      </c>
    </row>
    <row r="196" ht="15.75" customHeight="1">
      <c r="A196" s="1">
        <v>1661.0</v>
      </c>
      <c r="B196" s="1" t="s">
        <v>15</v>
      </c>
      <c r="C196" s="1" t="s">
        <v>185</v>
      </c>
      <c r="D196" s="1" t="str">
        <f>IFERROR(__xludf.DUMMYFUNCTION("CONCATENATE(GOOGLETRANSLATE(C196, ""en"", ""zh-cn""))"),"Suleve™ MXHN1 50 件透明亚克力螺母六角塑料螺母垫圈六角锁紧螺母 M6")</f>
        <v>Suleve™ MXHN1 50 件透明亚克力螺母六角塑料螺母垫圈六角锁紧螺母 M6</v>
      </c>
      <c r="E196" s="1" t="str">
        <f>IFERROR(__xludf.DUMMYFUNCTION("CONCATENATE(GOOGLETRANSLATE(C196, ""en"", ""ko""))"),"Suleve™ MXHN1 50개 투명 아크릴 너트 육각 플라스틱 너트 와셔 육각 잠금 너트 M6")</f>
        <v>Suleve™ MXHN1 50개 투명 아크릴 너트 육각 플라스틱 너트 와셔 육각 잠금 너트 M6</v>
      </c>
      <c r="F196" s="1" t="str">
        <f>IFERROR(__xludf.DUMMYFUNCTION("CONCATENATE(GOOGLETRANSLATE(C196, ""en"", ""ja""))"),"Suleve™ MXHN1 50 個透明アクリルナット六角プラスチックナットワッシャー六角ロックナット M6")</f>
        <v>Suleve™ MXHN1 50 個透明アクリルナット六角プラスチックナットワッシャー六角ロックナット M6</v>
      </c>
    </row>
    <row r="197" ht="15.75" customHeight="1">
      <c r="A197" s="1">
        <v>1662.0</v>
      </c>
      <c r="B197" s="1" t="s">
        <v>15</v>
      </c>
      <c r="C197" s="1" t="s">
        <v>186</v>
      </c>
      <c r="D197" s="1" t="str">
        <f>IFERROR(__xludf.DUMMYFUNCTION("CONCATENATE(GOOGLETRANSLATE(C197, ""en"", ""zh-cn""))"),"76.2 毫米至 57.6 毫米不锈钢排气管至组件适配器变径接头管")</f>
        <v>76.2 毫米至 57.6 毫米不锈钢排气管至组件适配器变径接头管</v>
      </c>
      <c r="E197" s="1" t="str">
        <f>IFERROR(__xludf.DUMMYFUNCTION("CONCATENATE(GOOGLETRANSLATE(C197, ""en"", ""ko""))"),"76.2mm ~ 57.6mm 스테인레스 배기관 - 구성 요소 어댑터 감속기 커넥터 파이프 튜브")</f>
        <v>76.2mm ~ 57.6mm 스테인레스 배기관 - 구성 요소 어댑터 감속기 커넥터 파이프 튜브</v>
      </c>
      <c r="F197" s="1" t="str">
        <f>IFERROR(__xludf.DUMMYFUNCTION("CONCATENATE(GOOGLETRANSLATE(C197, ""en"", ""ja""))"),"76.2mm ～ 57.6mm ステンレス排気管 - コンポーネントアダプター減速機コネクターパイプチューブ")</f>
        <v>76.2mm ～ 57.6mm ステンレス排気管 - コンポーネントアダプター減速機コネクターパイプチューブ</v>
      </c>
    </row>
    <row r="198" ht="15.75" customHeight="1">
      <c r="A198" s="1">
        <v>1663.0</v>
      </c>
      <c r="B198" s="1" t="s">
        <v>15</v>
      </c>
      <c r="C198" s="1" t="s">
        <v>187</v>
      </c>
      <c r="D198" s="1" t="str">
        <f>IFERROR(__xludf.DUMMYFUNCTION("CONCATENATE(GOOGLETRANSLATE(C198, ""en"", ""zh-cn""))"),"M22 外螺纹至 1/4"" 外螺纹适配器黄铜高压清洗机软管快速连接接头适用于 Karcher")</f>
        <v>M22 外螺纹至 1/4" 外螺纹适配器黄铜高压清洗机软管快速连接接头适用于 Karcher</v>
      </c>
      <c r="E198" s="1" t="str">
        <f>IFERROR(__xludf.DUMMYFUNCTION("CONCATENATE(GOOGLETRANSLATE(C198, ""en"", ""ko""))"),"M22 남성 1/4 ""남성 어댑터 황동 압력 와셔 호스 Karcher 용 빠른 연결 커플 링 피팅")</f>
        <v>M22 남성 1/4 "남성 어댑터 황동 압력 와셔 호스 Karcher 용 빠른 연결 커플 링 피팅</v>
      </c>
      <c r="F198" s="1" t="str">
        <f>IFERROR(__xludf.DUMMYFUNCTION("CONCATENATE(GOOGLETRANSLATE(C198, ""en"", ""ja""))"),"M22 オス - 1/4 インチオスアダプター真鍮高圧洗浄機ホースクイックコネクトカップリング継手ケルヒャー用")</f>
        <v>M22 オス - 1/4 インチオスアダプター真鍮高圧洗浄機ホースクイックコネクトカップリング継手ケルヒャー用</v>
      </c>
    </row>
    <row r="199" ht="15.75" customHeight="1">
      <c r="A199" s="1">
        <v>1664.0</v>
      </c>
      <c r="B199" s="1" t="s">
        <v>15</v>
      </c>
      <c r="C199" s="1" t="s">
        <v>188</v>
      </c>
      <c r="D199" s="1" t="str">
        <f>IFERROR(__xludf.DUMMYFUNCTION("CONCATENATE(GOOGLETRANSLATE(C199, ""en"", ""zh-cn""))"),"10 件 8x12 英寸粘性闪光纸卡各种颜色剪贴簿工艺品 ")</f>
        <v>10 件 8x12 英寸粘性闪光纸卡各种颜色剪贴簿工艺品 </v>
      </c>
      <c r="E199" s="1" t="str">
        <f>IFERROR(__xludf.DUMMYFUNCTION("CONCATENATE(GOOGLETRANSLATE(C199, ""en"", ""ko""))"),"10개 8x12인치 접착 반짝이 종이 카드 다양한 색상 스크랩북 공예 ")</f>
        <v>10개 8x12인치 접착 반짝이 종이 카드 다양한 색상 스크랩북 공예 </v>
      </c>
      <c r="F199" s="1" t="str">
        <f>IFERROR(__xludf.DUMMYFUNCTION("CONCATENATE(GOOGLETRANSLATE(C199, ""en"", ""ja""))"),"8x12インチ粘着グリッター紙カードアソートカラースクラップブッキングクラフト10枚 ")</f>
        <v>8x12インチ粘着グリッター紙カードアソートカラースクラップブッキングクラフト10枚 </v>
      </c>
    </row>
    <row r="200" ht="15.75" customHeight="1">
      <c r="A200" s="1">
        <v>1665.0</v>
      </c>
      <c r="B200" s="1" t="s">
        <v>15</v>
      </c>
      <c r="C200" s="1" t="s">
        <v>189</v>
      </c>
      <c r="D200" s="1" t="str">
        <f>IFERROR(__xludf.DUMMYFUNCTION("CONCATENATE(GOOGLETRANSLATE(C200, ""en"", ""zh-cn""))"),"LED 灯条 50/100/150/200cm RGB 5050SMD LED 灯条 电池供电 防水 3 种模式变色")</f>
        <v>LED 灯条 50/100/150/200cm RGB 5050SMD LED 灯条 电池供电 防水 3 种模式变色</v>
      </c>
      <c r="E200" s="1" t="str">
        <f>IFERROR(__xludf.DUMMYFUNCTION("CONCATENATE(GOOGLETRANSLATE(C200, ""en"", ""ko""))"),"LED 조명 스트립 50/100/150/200cm RGB 5050SMD LED 스트립 조명 배터리 작동 방수 3가지 모드 색상 변경")</f>
        <v>LED 조명 스트립 50/100/150/200cm RGB 5050SMD LED 스트립 조명 배터리 작동 방수 3가지 모드 색상 변경</v>
      </c>
      <c r="F200" s="1" t="str">
        <f>IFERROR(__xludf.DUMMYFUNCTION("CONCATENATE(GOOGLETRANSLATE(C200, ""en"", ""ja""))"),"LED ライトストリップ 50/100/150/200 センチメートル RGB 5050SMD LED ストリップライト電池式防水 3 モード色変更")</f>
        <v>LED ライトストリップ 50/100/150/200 センチメートル RGB 5050SMD LED ストリップライト電池式防水 3 モード色変更</v>
      </c>
    </row>
    <row r="201" ht="15.75" customHeight="1">
      <c r="A201" s="1">
        <v>1666.0</v>
      </c>
      <c r="B201" s="1" t="s">
        <v>15</v>
      </c>
      <c r="C201" s="1" t="s">
        <v>190</v>
      </c>
      <c r="D201" s="1" t="str">
        <f>IFERROR(__xludf.DUMMYFUNCTION("CONCATENATE(GOOGLETRANSLATE(C201, ""en"", ""zh-cn""))"),"15/25/37mm 宽度 PVA 宽丝网粗鱼饵袋库存柱塞棒管 7m 长")</f>
        <v>15/25/37mm 宽度 PVA 宽丝网粗鱼饵袋库存柱塞棒管 7m 长</v>
      </c>
      <c r="E201" s="1" t="str">
        <f>IFERROR(__xludf.DUMMYFUNCTION("CONCATENATE(GOOGLETRANSLATE(C201, ""en"", ""ko""))"),"15/25/37mm 너비 PVA 와이드 와이어 메쉬 거친 낚시 미끼 가방 스타킹 플런저 스틱 튜브 7m 길이")</f>
        <v>15/25/37mm 너비 PVA 와이드 와이어 메쉬 거친 낚시 미끼 가방 스타킹 플런저 스틱 튜브 7m 길이</v>
      </c>
      <c r="F201" s="1" t="str">
        <f>IFERROR(__xludf.DUMMYFUNCTION("CONCATENATE(GOOGLETRANSLATE(C201, ""en"", ""ja""))"),"15/25/37 ミリメートル幅 PVA ワイドワイヤーメッシュ粗釣り餌バッグストッキングプランジャースティックチューブ 7 メートルの長さ")</f>
        <v>15/25/37 ミリメートル幅 PVA ワイドワイヤーメッシュ粗釣り餌バッグストッキングプランジャースティックチューブ 7 メートルの長さ</v>
      </c>
    </row>
    <row r="202" ht="15.75" customHeight="1">
      <c r="A202" s="1">
        <v>1667.0</v>
      </c>
      <c r="B202" s="1" t="s">
        <v>15</v>
      </c>
      <c r="C202" s="1" t="s">
        <v>191</v>
      </c>
      <c r="D202" s="1" t="str">
        <f>IFERROR(__xludf.DUMMYFUNCTION("CONCATENATE(GOOGLETRANSLATE(C202, ""en"", ""zh-cn""))"),"TMOK 3/4"" 1"" 1-1/4"" PPR 黄铜球阀热熔双联承插管件")</f>
        <v>TMOK 3/4" 1" 1-1/4" PPR 黄铜球阀热熔双联承插管件</v>
      </c>
      <c r="E202" s="1" t="str">
        <f>IFERROR(__xludf.DUMMYFUNCTION("CONCATENATE(GOOGLETRANSLATE(C202, ""en"", ""ko""))"),"TMOK 3/4"" 1"" 1-1/4"" PPR 황동 볼 밸브 열 융합 이중 유니온 소켓 배관 피팅")</f>
        <v>TMOK 3/4" 1" 1-1/4" PPR 황동 볼 밸브 열 융합 이중 유니온 소켓 배관 피팅</v>
      </c>
      <c r="F202" s="1" t="str">
        <f>IFERROR(__xludf.DUMMYFUNCTION("CONCATENATE(GOOGLETRANSLATE(C202, ""en"", ""ja""))"),"TMOK 3/4 ""1"" 1-1/4"" PPR 真鍮ボールバルブ熱融合ダブルユニオンソケット配管継手")</f>
        <v>TMOK 3/4 "1" 1-1/4" PPR 真鍮ボールバルブ熱融合ダブルユニオンソケット配管継手</v>
      </c>
    </row>
    <row r="203" ht="15.75" customHeight="1">
      <c r="A203" s="1">
        <v>1668.0</v>
      </c>
      <c r="B203" s="1" t="s">
        <v>15</v>
      </c>
      <c r="C203" s="1" t="s">
        <v>192</v>
      </c>
      <c r="D203" s="1" t="str">
        <f>IFERROR(__xludf.DUMMYFUNCTION("CONCATENATE(GOOGLETRANSLATE(C203, ""en"", ""zh-cn""))"),"重型铝制旋转轴承转盘转盘圆盘餐具")</f>
        <v>重型铝制旋转轴承转盘转盘圆盘餐具</v>
      </c>
      <c r="E203" s="1" t="str">
        <f>IFERROR(__xludf.DUMMYFUNCTION("CONCATENATE(GOOGLETRANSLATE(C203, ""en"", ""ko""))"),"헤비 듀티 알루미늄 회전 베어링 턴테이블 회전 테이블 라운드 플레이트 식기")</f>
        <v>헤비 듀티 알루미늄 회전 베어링 턴테이블 회전 테이블 라운드 플레이트 식기</v>
      </c>
      <c r="F203" s="1" t="str">
        <f>IFERROR(__xludf.DUMMYFUNCTION("CONCATENATE(GOOGLETRANSLATE(C203, ""en"", ""ja""))"),"ヘビーデューティアルミ回転ベアリングターンテーブルターンテーブル丸板食器")</f>
        <v>ヘビーデューティアルミ回転ベアリングターンテーブルターンテーブル丸板食器</v>
      </c>
    </row>
    <row r="204" ht="15.75" customHeight="1">
      <c r="A204" s="1">
        <v>1669.0</v>
      </c>
      <c r="B204" s="1" t="s">
        <v>15</v>
      </c>
      <c r="C204" s="1" t="s">
        <v>193</v>
      </c>
      <c r="D204" s="1" t="str">
        <f>IFERROR(__xludf.DUMMYFUNCTION("CONCATENATE(GOOGLETRANSLATE(C204, ""en"", ""zh-cn""))"),"迷你装饰珠宝盒胸箱橱柜抽屉门拉旋钮手柄")</f>
        <v>迷你装饰珠宝盒胸箱橱柜抽屉门拉旋钮手柄</v>
      </c>
      <c r="E204" s="1" t="str">
        <f>IFERROR(__xludf.DUMMYFUNCTION("CONCATENATE(GOOGLETRANSLATE(C204, ""en"", ""ko""))"),"미니 장식 보석함 가슴 케이스 캐비닛 서랍 문 손잡이 손잡이")</f>
        <v>미니 장식 보석함 가슴 케이스 캐비닛 서랍 문 손잡이 손잡이</v>
      </c>
      <c r="F204" s="1" t="str">
        <f>IFERROR(__xludf.DUMMYFUNCTION("CONCATENATE(GOOGLETRANSLATE(C204, ""en"", ""ja""))"),"ミニ装飾ジュエリーボックスチェストケースキャビネット引き出しドアプルノブハンドル")</f>
        <v>ミニ装飾ジュエリーボックスチェストケースキャビネット引き出しドアプルノブハンドル</v>
      </c>
    </row>
    <row r="205" ht="15.75" customHeight="1">
      <c r="A205" s="1">
        <v>1670.0</v>
      </c>
      <c r="B205" s="1" t="s">
        <v>15</v>
      </c>
      <c r="C205" s="1" t="s">
        <v>194</v>
      </c>
      <c r="D205" s="1" t="str">
        <f>IFERROR(__xludf.DUMMYFUNCTION("CONCATENATE(GOOGLETRANSLATE(C205, ""en"", ""zh-cn""))"),"CHENGSHE 竹制茶盘垫功夫泡茶工具 ")</f>
        <v>CHENGSHE 竹制茶盘垫功夫泡茶工具 </v>
      </c>
      <c r="E205" s="1" t="str">
        <f>IFERROR(__xludf.DUMMYFUNCTION("CONCATENATE(GOOGLETRANSLATE(C205, ""en"", ""ko""))"),"CHENGSHE 대나무 차 트레이 매트 쿵푸 차 만들기 도구 ")</f>
        <v>CHENGSHE 대나무 차 트레이 매트 쿵푸 차 만들기 도구 </v>
      </c>
      <c r="F205" s="1" t="str">
        <f>IFERROR(__xludf.DUMMYFUNCTION("CONCATENATE(GOOGLETRANSLATE(C205, ""en"", ""ja""))"),"CHENGSHE 竹製ティートレイ マット カンフー ティー メイキング ツール から ")</f>
        <v>CHENGSHE 竹製ティートレイ マット カンフー ティー メイキング ツール から </v>
      </c>
    </row>
    <row r="206" ht="15.75" customHeight="1">
      <c r="A206" s="1">
        <v>1671.0</v>
      </c>
      <c r="B206" s="1" t="s">
        <v>15</v>
      </c>
      <c r="C206" s="1" t="s">
        <v>195</v>
      </c>
      <c r="D206" s="1" t="str">
        <f>IFERROR(__xludf.DUMMYFUNCTION("CONCATENATE(GOOGLETRANSLATE(C206, ""en"", ""zh-cn""))"),"20 件装不锈钢夹子帐篷防风固定钩扣 ")</f>
        <v>20 件装不锈钢夹子帐篷防风固定钩扣 </v>
      </c>
      <c r="E206" s="1" t="str">
        <f>IFERROR(__xludf.DUMMYFUNCTION("CONCATENATE(GOOGLETRANSLATE(C206, ""en"", ""ko""))"),"20개 스테인레스 스틸 클립 텐트 방풍 고정 후크 버클 ")</f>
        <v>20개 스테인레스 스틸 클립 텐트 방풍 고정 후크 버클 </v>
      </c>
      <c r="F206" s="1" t="str">
        <f>IFERROR(__xludf.DUMMYFUNCTION("CONCATENATE(GOOGLETRANSLATE(C206, ""en"", ""ja""))"),"20個のステンレス鋼クリップテント防風固定フックバックル ")</f>
        <v>20個のステンレス鋼クリップテント防風固定フックバックル </v>
      </c>
    </row>
    <row r="207" ht="15.75" customHeight="1">
      <c r="A207" s="1">
        <v>1672.0</v>
      </c>
      <c r="B207" s="1" t="s">
        <v>15</v>
      </c>
      <c r="C207" s="1" t="s">
        <v>196</v>
      </c>
      <c r="D207" s="1" t="str">
        <f>IFERROR(__xludf.DUMMYFUNCTION("CONCATENATE(GOOGLETRANSLATE(C207, ""en"", ""zh-cn""))"),"两用坐浴盆喷枪套装塑料 ABS 电镀马桶伴侣冲洗器坐浴盆喷嘴")</f>
        <v>两用坐浴盆喷枪套装塑料 ABS 电镀马桶伴侣冲洗器坐浴盆喷嘴</v>
      </c>
      <c r="E207" s="1" t="str">
        <f>IFERROR(__xludf.DUMMYFUNCTION("CONCATENATE(GOOGLETRANSLATE(C207, ""en"", ""ko""))"),"이중 목적 비데 에어 브러시 세트 플라스틱 ABS 전기 도금 화장실 동반자 Flusher 비데 노즐")</f>
        <v>이중 목적 비데 에어 브러시 세트 플라스틱 ABS 전기 도금 화장실 동반자 Flusher 비데 노즐</v>
      </c>
      <c r="F207" s="1" t="str">
        <f>IFERROR(__xludf.DUMMYFUNCTION("CONCATENATE(GOOGLETRANSLATE(C207, ""en"", ""ja""))"),"両用ビデエアブラシセットプラスチック ABS 電気メッキトイレコンパニオンフラッシャービデノズル")</f>
        <v>両用ビデエアブラシセットプラスチック ABS 電気メッキトイレコンパニオンフラッシャービデノズル</v>
      </c>
    </row>
    <row r="208" ht="15.75" customHeight="1">
      <c r="A208" s="1">
        <v>1673.0</v>
      </c>
      <c r="B208" s="1" t="s">
        <v>15</v>
      </c>
      <c r="C208" s="1" t="s">
        <v>197</v>
      </c>
      <c r="D208" s="1" t="str">
        <f>IFERROR(__xludf.DUMMYFUNCTION("CONCATENATE(GOOGLETRANSLATE(C208, ""en"", ""zh-cn""))"),"手持式马桶坐浴盆喷雾器浴室喷嘴淋浴喷水头坐浴盆增压器套件带开关")</f>
        <v>手持式马桶坐浴盆喷雾器浴室喷嘴淋浴喷水头坐浴盆增压器套件带开关</v>
      </c>
      <c r="E208" s="1" t="str">
        <f>IFERROR(__xludf.DUMMYFUNCTION("CONCATENATE(GOOGLETRANSLATE(C208, ""en"", ""ko""))"),"휴대용 화장실 비데 분무기 욕실 노즐 샤워 물 스프레이 헤드 비데 부스터 키트 스위치 포함")</f>
        <v>휴대용 화장실 비데 분무기 욕실 노즐 샤워 물 스프레이 헤드 비데 부스터 키트 스위치 포함</v>
      </c>
      <c r="F208" s="1" t="str">
        <f>IFERROR(__xludf.DUMMYFUNCTION("CONCATENATE(GOOGLETRANSLATE(C208, ""en"", ""ja""))"),"ハンドヘルドトイレビデスプレー浴室ノズルシャワー水スプレーヘッドビデブースターキットスイッチ付き")</f>
        <v>ハンドヘルドトイレビデスプレー浴室ノズルシャワー水スプレーヘッドビデブースターキットスイッチ付き</v>
      </c>
    </row>
    <row r="209" ht="15.75" customHeight="1">
      <c r="A209" s="1">
        <v>1674.0</v>
      </c>
      <c r="B209" s="1" t="s">
        <v>15</v>
      </c>
      <c r="C209" s="1" t="s">
        <v>198</v>
      </c>
      <c r="D209" s="1" t="str">
        <f>IFERROR(__xludf.DUMMYFUNCTION("CONCATENATE(GOOGLETRANSLATE(C209, ""en"", ""zh-cn""))"),"旋转座套弹性电脑办公椅套可水洗可拆卸扶手椅套家居商务办公用品")</f>
        <v>旋转座套弹性电脑办公椅套可水洗可拆卸扶手椅套家居商务办公用品</v>
      </c>
      <c r="E209" s="1" t="str">
        <f>IFERROR(__xludf.DUMMYFUNCTION("CONCATENATE(GOOGLETRANSLATE(C209, ""en"", ""ko""))"),"회전 시트 커버 탄성 컴퓨터 사무실 의자 커버 빨 수있는 이동식 팔 의자 커버 홈 비즈니스 사무용품")</f>
        <v>회전 시트 커버 탄성 컴퓨터 사무실 의자 커버 빨 수있는 이동식 팔 의자 커버 홈 비즈니스 사무용품</v>
      </c>
      <c r="F209" s="1" t="str">
        <f>IFERROR(__xludf.DUMMYFUNCTION("CONCATENATE(GOOGLETRANSLATE(C209, ""en"", ""ja""))"),"回転シートカバー弾性コンピュータオフィスチェアカバー洗える取り外し可能なアームチェアカバーホームビジネスオフィス用品")</f>
        <v>回転シートカバー弾性コンピュータオフィスチェアカバー洗える取り外し可能なアームチェアカバーホームビジネスオフィス用品</v>
      </c>
    </row>
    <row r="210" ht="15.75" customHeight="1">
      <c r="A210" s="1">
        <v>1675.0</v>
      </c>
      <c r="B210" s="1" t="s">
        <v>15</v>
      </c>
      <c r="C210" s="1" t="s">
        <v>199</v>
      </c>
      <c r="D210" s="1" t="str">
        <f>IFERROR(__xludf.DUMMYFUNCTION("CONCATENATE(GOOGLETRANSLATE(C210, ""en"", ""zh-cn""))"),"钢丝绳栏杆套件钳口型锻叉眼螺栓端子花篮螺丝鞍座")</f>
        <v>钢丝绳栏杆套件钳口型锻叉眼螺栓端子花篮螺丝鞍座</v>
      </c>
      <c r="E210" s="1" t="str">
        <f>IFERROR(__xludf.DUMMYFUNCTION("CONCATENATE(GOOGLETRANSLATE(C210, ""en"", ""ko""))"),"강철 와이어 로프 난간 키트 조 스웨이지 포크 아이 볼트 터미널 턴버클 안장")</f>
        <v>강철 와이어 로프 난간 키트 조 스웨이지 포크 아이 볼트 터미널 턴버클 안장</v>
      </c>
      <c r="F210" s="1" t="str">
        <f>IFERROR(__xludf.DUMMYFUNCTION("CONCATENATE(GOOGLETRANSLATE(C210, ""en"", ""ja""))"),"スチールワイヤーロープ欄干キットジョースエージフォークアイボルトターミナルターンバックルサドル")</f>
        <v>スチールワイヤーロープ欄干キットジョースエージフォークアイボルトターミナルターンバックルサドル</v>
      </c>
    </row>
    <row r="211" ht="15.75" customHeight="1">
      <c r="A211" s="1">
        <v>1676.0</v>
      </c>
      <c r="B211" s="1" t="s">
        <v>15</v>
      </c>
      <c r="C211" s="1" t="s">
        <v>200</v>
      </c>
      <c r="D211" s="1" t="str">
        <f>IFERROR(__xludf.DUMMYFUNCTION("CONCATENATE(GOOGLETRANSLATE(C211, ""en"", ""zh-cn""))"),"1/2/3/4 座弹性沙发套通用波西米亚椅子座椅保护沙发套弹力沙发套家庭办公家具装饰品")</f>
        <v>1/2/3/4 座弹性沙发套通用波西米亚椅子座椅保护沙发套弹力沙发套家庭办公家具装饰品</v>
      </c>
      <c r="E211" s="1" t="str">
        <f>IFERROR(__xludf.DUMMYFUNCTION("CONCATENATE(GOOGLETRANSLATE(C211, ""en"", ""ko""))"),"1/2/3/4 Seaters 탄성 소파 커버 유니버설 보헤미안 의자 좌석 보호대 소파 케이스 스트레치 슬립 커버 홈 오피스 가구 장식")</f>
        <v>1/2/3/4 Seaters 탄성 소파 커버 유니버설 보헤미안 의자 좌석 보호대 소파 케이스 스트레치 슬립 커버 홈 오피스 가구 장식</v>
      </c>
      <c r="F211" s="1" t="str">
        <f>IFERROR(__xludf.DUMMYFUNCTION("CONCATENATE(GOOGLETRANSLATE(C211, ""en"", ""ja""))"),"1/2/3/4 人乗り弾性ソファカバーユニバーサルボヘミアン椅子シートプロテクターソファケースストレッチスリップカバーホームオフィス家具装飾")</f>
        <v>1/2/3/4 人乗り弾性ソファカバーユニバーサルボヘミアン椅子シートプロテクターソファケースストレッチスリップカバーホームオフィス家具装飾</v>
      </c>
    </row>
    <row r="212" ht="15.75" customHeight="1">
      <c r="A212" s="1">
        <v>1677.0</v>
      </c>
      <c r="B212" s="1" t="s">
        <v>15</v>
      </c>
      <c r="C212" s="1" t="s">
        <v>201</v>
      </c>
      <c r="D212" s="1" t="str">
        <f>IFERROR(__xludf.DUMMYFUNCTION("CONCATENATE(GOOGLETRANSLATE(C212, ""en"", ""zh-cn""))"),"4 件装 10/15 厘米欧式实木雕刻家具脚腿未上漆沙发柜沙发座脚")</f>
        <v>4 件装 10/15 厘米欧式实木雕刻家具脚腿未上漆沙发柜沙发座脚</v>
      </c>
      <c r="E212" s="1" t="str">
        <f>IFERROR(__xludf.DUMMYFUNCTION("CONCATENATE(GOOGLETRANSLATE(C212, ""en"", ""ko""))"),"4Pcs 10/15cm 유럽 단단한 나무 조각 가구 발 다리 도색되지 않은 소파 캐비닛 소파 좌석 피트")</f>
        <v>4Pcs 10/15cm 유럽 단단한 나무 조각 가구 발 다리 도색되지 않은 소파 캐비닛 소파 좌석 피트</v>
      </c>
      <c r="F212" s="1" t="str">
        <f>IFERROR(__xludf.DUMMYFUNCTION("CONCATENATE(GOOGLETRANSLATE(C212, ""en"", ""ja""))"),"4 個 10/15 センチメートルヨーロッパ無垢材彫刻家具足脚未塗装ソファキャビネットソファシート足")</f>
        <v>4 個 10/15 センチメートルヨーロッパ無垢材彫刻家具足脚未塗装ソファキャビネットソファシート足</v>
      </c>
    </row>
    <row r="213" ht="15.75" customHeight="1">
      <c r="A213" s="1">
        <v>1678.0</v>
      </c>
      <c r="B213" s="1" t="s">
        <v>15</v>
      </c>
      <c r="C213" s="1" t="s">
        <v>202</v>
      </c>
      <c r="D213" s="1" t="str">
        <f>IFERROR(__xludf.DUMMYFUNCTION("CONCATENATE(GOOGLETRANSLATE(C213, ""en"", ""zh-cn""))"),"弹力椅套餐厅椅套弹力家具保护套可拆卸厨房椅套酒店仪式宴会婚礼派对座椅")</f>
        <v>弹力椅套餐厅椅套弹力家具保护套可拆卸厨房椅套酒店仪式宴会婚礼派对座椅</v>
      </c>
      <c r="E213" s="1" t="str">
        <f>IFERROR(__xludf.DUMMYFUNCTION("CONCATENATE(GOOGLETRANSLATE(C213, ""en"", ""ko""))"),"스트레치 의자 커버 다이닝 룸 의자 슬리퍼 스트레치 가구 보호 커버 호텔 행사 연회 웨딩 파티를위한 이동식 주방 의자 커버 좌석")</f>
        <v>스트레치 의자 커버 다이닝 룸 의자 슬리퍼 스트레치 가구 보호 커버 호텔 행사 연회 웨딩 파티를위한 이동식 주방 의자 커버 좌석</v>
      </c>
      <c r="F213" s="1" t="str">
        <f>IFERROR(__xludf.DUMMYFUNCTION("CONCATENATE(GOOGLETRANSLATE(C213, ""en"", ""ja""))"),"ストレッチチェアカバー ダイニングルームチェアスリップカバー ストレッチ家具プロテクターカバー 取り外し可能なキッチンチェアカバーシート ホテルセレモニー宴会ウェディングパーティー用")</f>
        <v>ストレッチチェアカバー ダイニングルームチェアスリップカバー ストレッチ家具プロテクターカバー 取り外し可能なキッチンチェアカバーシート ホテルセレモニー宴会ウェディングパーティー用</v>
      </c>
    </row>
    <row r="214" ht="15.75" customHeight="1">
      <c r="A214" s="1">
        <v>1679.0</v>
      </c>
      <c r="B214" s="1" t="s">
        <v>15</v>
      </c>
      <c r="C214" s="1" t="s">
        <v>203</v>
      </c>
      <c r="D214" s="1" t="str">
        <f>IFERROR(__xludf.DUMMYFUNCTION("CONCATENATE(GOOGLETRANSLATE(C214, ""en"", ""zh-cn""))"),"4 件装 10/15 厘米欧式实木雕刻家具脚腿未上漆橱柜脚木贴花")</f>
        <v>4 件装 10/15 厘米欧式实木雕刻家具脚腿未上漆橱柜脚木贴花</v>
      </c>
      <c r="E214" s="1" t="str">
        <f>IFERROR(__xludf.DUMMYFUNCTION("CONCATENATE(GOOGLETRANSLATE(C214, ""en"", ""ko""))"),"4Pcs 10/15cm 유럽 단단한 나무 조각 가구 발 다리 도색되지 않은 캐비닛 피트 나무 데칼")</f>
        <v>4Pcs 10/15cm 유럽 단단한 나무 조각 가구 발 다리 도색되지 않은 캐비닛 피트 나무 데칼</v>
      </c>
      <c r="F214" s="1" t="str">
        <f>IFERROR(__xludf.DUMMYFUNCTION("CONCATENATE(GOOGLETRANSLATE(C214, ""en"", ""ja""))"),"4 個 10/15 センチメートルヨーロッパ無垢材彫刻家具足脚未塗装キャビネット足木製デカール")</f>
        <v>4 個 10/15 センチメートルヨーロッパ無垢材彫刻家具足脚未塗装キャビネット足木製デカール</v>
      </c>
    </row>
    <row r="215" ht="15.75" customHeight="1">
      <c r="A215" s="1">
        <v>1680.0</v>
      </c>
      <c r="B215" s="1" t="s">
        <v>15</v>
      </c>
      <c r="C215" s="1" t="s">
        <v>204</v>
      </c>
      <c r="D215" s="1" t="str">
        <f>IFERROR(__xludf.DUMMYFUNCTION("CONCATENATE(GOOGLETRANSLATE(C215, ""en"", ""zh-cn""))"),"25 英尺空气软管接头 Recoil 气动压缩机 200PSI 快速接头")</f>
        <v>25 英尺空气软管接头 Recoil 气动压缩机 200PSI 快速接头</v>
      </c>
      <c r="E215" s="1" t="str">
        <f>IFERROR(__xludf.DUMMYFUNCTION("CONCATENATE(GOOGLETRANSLATE(C215, ""en"", ""ko""))"),"25FT 공기 호스 피팅 반동 공압 항공 압축기 200PSI 퀵 커플러")</f>
        <v>25FT 공기 호스 피팅 반동 공압 항공 압축기 200PSI 퀵 커플러</v>
      </c>
      <c r="F215" s="1" t="str">
        <f>IFERROR(__xludf.DUMMYFUNCTION("CONCATENATE(GOOGLETRANSLATE(C215, ""en"", ""ja""))"),"25FT エアホース継手リコイル空気圧エアラインコンプレッサー 200PSI クイックカプラー")</f>
        <v>25FT エアホース継手リコイル空気圧エアラインコンプレッサー 200PSI クイックカプラー</v>
      </c>
    </row>
    <row r="216" ht="15.75" customHeight="1">
      <c r="A216" s="1">
        <v>1681.0</v>
      </c>
      <c r="B216" s="1" t="s">
        <v>15</v>
      </c>
      <c r="C216" s="1" t="s">
        <v>205</v>
      </c>
      <c r="D216" s="1" t="str">
        <f>IFERROR(__xludf.DUMMYFUNCTION("CONCATENATE(GOOGLETRANSLATE(C216, ""en"", ""zh-cn""))"),"1/2/3 座弹性沙发套通用纯色椅子座椅保护沙发套弹力沙发套家庭办公家具装饰品")</f>
        <v>1/2/3 座弹性沙发套通用纯色椅子座椅保护沙发套弹力沙发套家庭办公家具装饰品</v>
      </c>
      <c r="E216" s="1" t="str">
        <f>IFERROR(__xludf.DUMMYFUNCTION("CONCATENATE(GOOGLETRANSLATE(C216, ""en"", ""ko""))"),"1/2/3 Seaters 탄성 소파 커버 유니버설 퓨어 컬러 의자 좌석 보호대 소파 케이스 스트레치 슬립 커버 홈 오피스 가구 장식")</f>
        <v>1/2/3 Seaters 탄성 소파 커버 유니버설 퓨어 컬러 의자 좌석 보호대 소파 케이스 스트레치 슬립 커버 홈 오피스 가구 장식</v>
      </c>
      <c r="F216" s="1" t="str">
        <f>IFERROR(__xludf.DUMMYFUNCTION("CONCATENATE(GOOGLETRANSLATE(C216, ""en"", ""ja""))"),"1/2/3 人乗り弾性ソファカバーユニバーサルピュアカラー椅子シートプロテクターソファケースストレッチスリップカバーホームオフィス家具装飾")</f>
        <v>1/2/3 人乗り弾性ソファカバーユニバーサルピュアカラー椅子シートプロテクターソファケースストレッチスリップカバーホームオフィス家具装飾</v>
      </c>
    </row>
    <row r="217" ht="15.75" customHeight="1">
      <c r="A217" s="1">
        <v>1682.0</v>
      </c>
      <c r="B217" s="1" t="s">
        <v>15</v>
      </c>
      <c r="C217" s="1" t="s">
        <v>206</v>
      </c>
      <c r="D217" s="1" t="str">
        <f>IFERROR(__xludf.DUMMYFUNCTION("CONCATENATE(GOOGLETRANSLATE(C217, ""en"", ""zh-cn""))"),"60/90/120/150/200cm浴室/厨房淋浴防水硅胶干湿分离防水条")</f>
        <v>60/90/120/150/200cm浴室/厨房淋浴防水硅胶干湿分离防水条</v>
      </c>
      <c r="E217" s="1" t="str">
        <f>IFERROR(__xludf.DUMMYFUNCTION("CONCATENATE(GOOGLETRANSLATE(C217, ""en"", ""ko""))"),"60/90/120/150/200cm 욕실/주방 샤워 물 배리어 실리콘 건식 및 습식 분리 물 차단 스트립")</f>
        <v>60/90/120/150/200cm 욕실/주방 샤워 물 배리어 실리콘 건식 및 습식 분리 물 차단 스트립</v>
      </c>
      <c r="F217" s="1" t="str">
        <f>IFERROR(__xludf.DUMMYFUNCTION("CONCATENATE(GOOGLETRANSLATE(C217, ""en"", ""ja""))"),"60/90/120/150/200 センチメートル浴室/キッチンシャワー水バリアシリコーンドライとウェット分離ウォーターブロックストリップ")</f>
        <v>60/90/120/150/200 センチメートル浴室/キッチンシャワー水バリアシリコーンドライとウェット分離ウォーターブロックストリップ</v>
      </c>
    </row>
    <row r="218" ht="15.75" customHeight="1">
      <c r="A218" s="1">
        <v>1683.0</v>
      </c>
      <c r="B218" s="1" t="s">
        <v>15</v>
      </c>
      <c r="C218" s="1" t="s">
        <v>207</v>
      </c>
      <c r="D218" s="1" t="str">
        <f>IFERROR(__xludf.DUMMYFUNCTION("CONCATENATE(GOOGLETRANSLATE(C218, ""en"", ""zh-cn""))"),"弹性椅套家庭办公酒店现代可拆卸花艺椅子套桌椅家居装饰品")</f>
        <v>弹性椅套家庭办公酒店现代可拆卸花艺椅子套桌椅家居装饰品</v>
      </c>
      <c r="E218" s="1" t="str">
        <f>IFERROR(__xludf.DUMMYFUNCTION("CONCATENATE(GOOGLETRANSLATE(C218, ""en"", ""ko""))"),"탄성 의자 커버 홈 오피스 호텔 현대 이동식 꽃 의자 슬리퍼 테이블 의자 홈 가구 장식")</f>
        <v>탄성 의자 커버 홈 오피스 호텔 현대 이동식 꽃 의자 슬리퍼 테이블 의자 홈 가구 장식</v>
      </c>
      <c r="F218" s="1" t="str">
        <f>IFERROR(__xludf.DUMMYFUNCTION("CONCATENATE(GOOGLETRANSLATE(C218, ""en"", ""ja""))"),"弾性椅子カバーホームオフィスホテルモダンな取り外し可能な花椅子カバーテーブルチェア家庭用家具の装飾")</f>
        <v>弾性椅子カバーホームオフィスホテルモダンな取り外し可能な花椅子カバーテーブルチェア家庭用家具の装飾</v>
      </c>
    </row>
    <row r="219" ht="15.75" customHeight="1">
      <c r="A219" s="1">
        <v>1684.0</v>
      </c>
      <c r="B219" s="1" t="s">
        <v>15</v>
      </c>
      <c r="C219" s="1" t="s">
        <v>208</v>
      </c>
      <c r="D219" s="1" t="str">
        <f>IFERROR(__xludf.DUMMYFUNCTION("CONCATENATE(GOOGLETRANSLATE(C219, ""en"", ""zh-cn""))"),"4 件装 10/15 厘米欧式实木雕刻家具脚腿未上漆桌柜脚")</f>
        <v>4 件装 10/15 厘米欧式实木雕刻家具脚腿未上漆桌柜脚</v>
      </c>
      <c r="E219" s="1" t="str">
        <f>IFERROR(__xludf.DUMMYFUNCTION("CONCATENATE(GOOGLETRANSLATE(C219, ""en"", ""ko""))"),"4Pcs 10/15cm 유럽 단단한 나무 조각 가구 발 다리 도색되지 않은 테이블 캐비닛 피트")</f>
        <v>4Pcs 10/15cm 유럽 단단한 나무 조각 가구 발 다리 도색되지 않은 테이블 캐비닛 피트</v>
      </c>
      <c r="F219" s="1" t="str">
        <f>IFERROR(__xludf.DUMMYFUNCTION("CONCATENATE(GOOGLETRANSLATE(C219, ""en"", ""ja""))"),"4 個 10/15 センチメートルヨーロッパ無垢材彫刻家具足脚未塗装テーブルキャビネットの足")</f>
        <v>4 個 10/15 センチメートルヨーロッパ無垢材彫刻家具足脚未塗装テーブルキャビネットの足</v>
      </c>
    </row>
    <row r="220" ht="15.75" customHeight="1">
      <c r="A220" s="1">
        <v>1685.0</v>
      </c>
      <c r="B220" s="1" t="s">
        <v>15</v>
      </c>
      <c r="C220" s="1" t="s">
        <v>209</v>
      </c>
      <c r="D220" s="1" t="str">
        <f>IFERROR(__xludf.DUMMYFUNCTION("CONCATENATE(GOOGLETRANSLATE(C220, ""en"", ""zh-cn""))"),"4 件装 10/15 厘米欧式实木雕刻家具脚腿未上漆橱柜沙发座脚")</f>
        <v>4 件装 10/15 厘米欧式实木雕刻家具脚腿未上漆橱柜沙发座脚</v>
      </c>
      <c r="E220" s="1" t="str">
        <f>IFERROR(__xludf.DUMMYFUNCTION("CONCATENATE(GOOGLETRANSLATE(C220, ""en"", ""ko""))"),"4Pcs 10/15cm 유럽 단단한 나무 조각 가구 발 다리 도색되지 않은 캐비닛 소파 좌석 피트")</f>
        <v>4Pcs 10/15cm 유럽 단단한 나무 조각 가구 발 다리 도색되지 않은 캐비닛 소파 좌석 피트</v>
      </c>
      <c r="F220" s="1" t="str">
        <f>IFERROR(__xludf.DUMMYFUNCTION("CONCATENATE(GOOGLETRANSLATE(C220, ""en"", ""ja""))"),"4 個 10/15 センチメートルヨーロッパ無垢材彫刻家具足脚未塗装キャビネットソファシート足")</f>
        <v>4 個 10/15 センチメートルヨーロッパ無垢材彫刻家具足脚未塗装キャビネットソファシート足</v>
      </c>
    </row>
    <row r="221" ht="15.75" customHeight="1">
      <c r="A221" s="1">
        <v>1686.0</v>
      </c>
      <c r="B221" s="1" t="s">
        <v>15</v>
      </c>
      <c r="C221" s="1" t="s">
        <v>210</v>
      </c>
      <c r="D221" s="1" t="str">
        <f>IFERROR(__xludf.DUMMYFUNCTION("CONCATENATE(GOOGLETRANSLATE(C221, ""en"", ""zh-cn""))"),"10 件乙烯基壁板挂钩衣架不锈钢无孔需要乙烯基壁板夹用于悬挂家居户外装饰品")</f>
        <v>10 件乙烯基壁板挂钩衣架不锈钢无孔需要乙烯基壁板夹用于悬挂家居户外装饰品</v>
      </c>
      <c r="E221" s="1" t="str">
        <f>IFERROR(__xludf.DUMMYFUNCTION("CONCATENATE(GOOGLETRANSLATE(C221, ""en"", ""ko""))"),"10Pcs 비닐 사이딩 후크 행거 스테인레스 스틸 구멍 없음 홈 야외 장식을 매달려 비닐 사이딩 클립 필요")</f>
        <v>10Pcs 비닐 사이딩 후크 행거 스테인레스 스틸 구멍 없음 홈 야외 장식을 매달려 비닐 사이딩 클립 필요</v>
      </c>
      <c r="F221" s="1" t="str">
        <f>IFERROR(__xludf.DUMMYFUNCTION("CONCATENATE(GOOGLETRANSLATE(C221, ""en"", ""ja""))"),"10 個のビニール サイディング フック ハンガー ステンレス鋼 穴不要のビニール サイディング クリップ 吊り下げ用 ホーム アウトドア デコレーション")</f>
        <v>10 個のビニール サイディング フック ハンガー ステンレス鋼 穴不要のビニール サイディング クリップ 吊り下げ用 ホーム アウトドア デコレーション</v>
      </c>
    </row>
    <row r="222" ht="15.75" customHeight="1">
      <c r="A222" s="1">
        <v>1687.0</v>
      </c>
      <c r="B222" s="1" t="s">
        <v>15</v>
      </c>
      <c r="C222" s="1" t="s">
        <v>211</v>
      </c>
      <c r="D222" s="1" t="str">
        <f>IFERROR(__xludf.DUMMYFUNCTION("CONCATENATE(GOOGLETRANSLATE(C222, ""en"", ""zh-cn""))"),"25×1100×0.75mm 防滑网球拍握带 羽毛球拍握带 壁球带")</f>
        <v>25×1100×0.75mm 防滑网球拍握带 羽毛球拍握带 壁球带</v>
      </c>
      <c r="E222" s="1" t="str">
        <f>IFERROR(__xludf.DUMMYFUNCTION("CONCATENATE(GOOGLETRANSLATE(C222, ""en"", ""ko""))"),"25×1100×0.75mm 미끄럼 방지 테니스 라켓 그립 테이프 배드민턴 라켓 그립 테이프 스쿼시 테이프")</f>
        <v>25×1100×0.75mm 미끄럼 방지 테니스 라켓 그립 테이프 배드민턴 라켓 그립 테이프 스쿼시 테이프</v>
      </c>
      <c r="F222" s="1" t="str">
        <f>IFERROR(__xludf.DUMMYFUNCTION("CONCATENATE(GOOGLETRANSLATE(C222, ""en"", ""ja""))"),"25×1100×0.75ミリメートルアンチスリップテニスラケットグリップテープバドミントンラケットグリップテープスカッシュテープ")</f>
        <v>25×1100×0.75ミリメートルアンチスリップテニスラケットグリップテープバドミントンラケットグリップテープスカッシュテープ</v>
      </c>
    </row>
    <row r="223" ht="15.75" customHeight="1">
      <c r="A223" s="1">
        <v>1688.0</v>
      </c>
      <c r="B223" s="1" t="s">
        <v>15</v>
      </c>
      <c r="C223" s="1" t="s">
        <v>212</v>
      </c>
      <c r="D223" s="1" t="str">
        <f>IFERROR(__xludf.DUMMYFUNCTION("CONCATENATE(GOOGLETRANSLATE(C223, ""en"", ""zh-cn""))"),"金属椭圆形搭扣转动扭锁适用于 DIY 手提包包钱包")</f>
        <v>金属椭圆形搭扣转动扭锁适用于 DIY 手提包包钱包</v>
      </c>
      <c r="E223" s="1" t="str">
        <f>IFERROR(__xludf.DUMMYFUNCTION("CONCATENATE(GOOGLETRANSLATE(C223, ""en"", ""ko""))"),"DIY 핸드백 가방 지갑을 위한 금속 타원형 모양 걸쇠 회전 트위스트 잠금 장치")</f>
        <v>DIY 핸드백 가방 지갑을 위한 금속 타원형 모양 걸쇠 회전 트위스트 잠금 장치</v>
      </c>
      <c r="F223" s="1" t="str">
        <f>IFERROR(__xludf.DUMMYFUNCTION("CONCATENATE(GOOGLETRANSLATE(C223, ""en"", ""ja""))"),"金属楕円形クラスプターンツイストロック DIY ハンドバッグバッグ財布")</f>
        <v>金属楕円形クラスプターンツイストロック DIY ハンドバッグバッグ財布</v>
      </c>
    </row>
    <row r="224" ht="15.75" customHeight="1">
      <c r="A224" s="1">
        <v>1689.0</v>
      </c>
      <c r="B224" s="1" t="s">
        <v>15</v>
      </c>
      <c r="C224" s="1" t="s">
        <v>213</v>
      </c>
      <c r="D224" s="1" t="str">
        <f>IFERROR(__xludf.DUMMYFUNCTION("CONCATENATE(GOOGLETRANSLATE(C224, ""en"", ""zh-cn""))"),"9 尺寸 M4 M5 M6 M8 M10 六角驱动螺钉螺纹嵌件适用于木材 E 型")</f>
        <v>9 尺寸 M4 M5 M6 M8 M10 六角驱动螺钉螺纹嵌件适用于木材 E 型</v>
      </c>
      <c r="E224" s="1" t="str">
        <f>IFERROR(__xludf.DUMMYFUNCTION("CONCATENATE(GOOGLETRANSLATE(C224, ""en"", ""ko""))"),"9 크기 M4 M5 M6 M8 M10 목재 유형 E용 나사형 인서트의 육각 드라이브 나사")</f>
        <v>9 크기 M4 M5 M6 M8 M10 목재 유형 E용 나사형 인서트의 육각 드라이브 나사</v>
      </c>
      <c r="F224" s="1" t="str">
        <f>IFERROR(__xludf.DUMMYFUNCTION("CONCATENATE(GOOGLETRANSLATE(C224, ""en"", ""ja""))"),"9 サイズ M4 M5 M6 M8 M10 六角ドライブねじねじ込みインサート木材タイプ E")</f>
        <v>9 サイズ M4 M5 M6 M8 M10 六角ドライブねじねじ込みインサート木材タイプ E</v>
      </c>
    </row>
    <row r="225" ht="15.75" customHeight="1">
      <c r="A225" s="1">
        <v>1690.0</v>
      </c>
      <c r="B225" s="1" t="s">
        <v>15</v>
      </c>
      <c r="C225" s="1" t="s">
        <v>214</v>
      </c>
      <c r="D225" s="1" t="str">
        <f>IFERROR(__xludf.DUMMYFUNCTION("CONCATENATE(GOOGLETRANSLATE(C225, ""en"", ""zh-cn""))"),"Suleve™ AC30 30×30mm 铝角连接器连接角支架 3030 系列铝型材")</f>
        <v>Suleve™ AC30 30×30mm 铝角连接器连接角支架 3030 系列铝型材</v>
      </c>
      <c r="E225" s="1" t="str">
        <f>IFERROR(__xludf.DUMMYFUNCTION("CONCATENATE(GOOGLETRANSLATE(C225, ""en"", ""ko""))"),"Suleve™ AC30 30×30mm 알루미늄 앵글 커넥터 접합 코너 브래킷 3030 시리즈 알루미늄 프로파일")</f>
        <v>Suleve™ AC30 30×30mm 알루미늄 앵글 커넥터 접합 코너 브래킷 3030 시리즈 알루미늄 프로파일</v>
      </c>
      <c r="F225" s="1" t="str">
        <f>IFERROR(__xludf.DUMMYFUNCTION("CONCATENATE(GOOGLETRANSLATE(C225, ""en"", ""ja""))"),"Suleve™ AC30 30×30mm アルミニウム アングル コネクタ ジャンクション コーナー ブラケット 3030 シリーズ アルミニウム プロファイル")</f>
        <v>Suleve™ AC30 30×30mm アルミニウム アングル コネクタ ジャンクション コーナー ブラケット 3030 シリーズ アルミニウム プロファイル</v>
      </c>
    </row>
    <row r="226" ht="15.75" customHeight="1">
      <c r="A226" s="1">
        <v>1691.0</v>
      </c>
      <c r="B226" s="1" t="s">
        <v>15</v>
      </c>
      <c r="C226" s="1" t="s">
        <v>215</v>
      </c>
      <c r="D226" s="1" t="str">
        <f>IFERROR(__xludf.DUMMYFUNCTION("CONCATENATE(GOOGLETRANSLATE(C226, ""en"", ""zh-cn""))"),"Suleve™ AC20 20×20mm 铝角角连接器 T 开槽型材 2020 系列铝型材")</f>
        <v>Suleve™ AC20 20×20mm 铝角角连接器 T 开槽型材 2020 系列铝型材</v>
      </c>
      <c r="E226" s="1" t="str">
        <f>IFERROR(__xludf.DUMMYFUNCTION("CONCATENATE(GOOGLETRANSLATE(C226, ""en"", ""ko""))"),"Suleve™ AC20 20×20mm 알루미늄 앵글 코너 커넥터 T 슬롯 프로파일 2020 시리즈 알루미늄 프로파일")</f>
        <v>Suleve™ AC20 20×20mm 알루미늄 앵글 코너 커넥터 T 슬롯 프로파일 2020 시리즈 알루미늄 프로파일</v>
      </c>
      <c r="F226" s="1" t="str">
        <f>IFERROR(__xludf.DUMMYFUNCTION("CONCATENATE(GOOGLETRANSLATE(C226, ""en"", ""ja""))"),"Suleve™ AC20 20×20mm アルミニウム アングル コーナー コネクタ T スロット プロファイル 2020 シリーズ アルミニウム プロファイル")</f>
        <v>Suleve™ AC20 20×20mm アルミニウム アングル コーナー コネクタ T スロット プロファイル 2020 シリーズ アルミニウム プロファイル</v>
      </c>
    </row>
    <row r="227" ht="15.75" customHeight="1">
      <c r="A227" s="1">
        <v>1692.0</v>
      </c>
      <c r="B227" s="1" t="s">
        <v>15</v>
      </c>
      <c r="C227" s="1" t="s">
        <v>216</v>
      </c>
      <c r="D227" s="1" t="str">
        <f>IFERROR(__xludf.DUMMYFUNCTION("CONCATENATE(GOOGLETRANSLATE(C227, ""en"", ""zh-cn""))"),"Suleve™ AC40 40×40mm 铝角连接器连接角支架 4040 系列铝型材")</f>
        <v>Suleve™ AC40 40×40mm 铝角连接器连接角支架 4040 系列铝型材</v>
      </c>
      <c r="E227" s="1" t="str">
        <f>IFERROR(__xludf.DUMMYFUNCTION("CONCATENATE(GOOGLETRANSLATE(C227, ""en"", ""ko""))"),"Suleve™ AC40 40×40mm 알루미늄 앵글 커넥터 접합 코너 브래킷 4040 시리즈 알루미늄 프로파일")</f>
        <v>Suleve™ AC40 40×40mm 알루미늄 앵글 커넥터 접합 코너 브래킷 4040 시리즈 알루미늄 프로파일</v>
      </c>
      <c r="F227" s="1" t="str">
        <f>IFERROR(__xludf.DUMMYFUNCTION("CONCATENATE(GOOGLETRANSLATE(C227, ""en"", ""ja""))"),"Suleve™ AC40 40×40mm アルミニウム アングル コネクタ ジャンクション コーナー ブラケット 4040 シリーズ アルミニウム プロファイル")</f>
        <v>Suleve™ AC40 40×40mm アルミニウム アングル コネクタ ジャンクション コーナー ブラケット 4040 シリーズ アルミニウム プロファイル</v>
      </c>
    </row>
    <row r="228" ht="15.75" customHeight="1">
      <c r="A228" s="1">
        <v>1693.0</v>
      </c>
      <c r="B228" s="1" t="s">
        <v>15</v>
      </c>
      <c r="C228" s="1" t="s">
        <v>217</v>
      </c>
      <c r="D228" s="1" t="str">
        <f>IFERROR(__xludf.DUMMYFUNCTION("CONCATENATE(GOOGLETRANSLATE(C228, ""en"", ""zh-cn""))"),"1/2 英寸 3.5 厘米软管适配器黄铜接头快速接头耦合器")</f>
        <v>1/2 英寸 3.5 厘米软管适配器黄铜接头快速接头耦合器</v>
      </c>
      <c r="E228" s="1" t="str">
        <f>IFERROR(__xludf.DUMMYFUNCTION("CONCATENATE(GOOGLETRANSLATE(C228, ""en"", ""ko""))"),"1/2 인치 3.5cm 호스 어댑터 황동 커플 링 퀵 피팅 커플러")</f>
        <v>1/2 인치 3.5cm 호스 어댑터 황동 커플 링 퀵 피팅 커플러</v>
      </c>
      <c r="F228" s="1" t="str">
        <f>IFERROR(__xludf.DUMMYFUNCTION("CONCATENATE(GOOGLETRANSLATE(C228, ""en"", ""ja""))"),"1/2 インチ 3.5 センチメートルホースアダプター真鍮カップリングクイック継手カプラー")</f>
        <v>1/2 インチ 3.5 センチメートルホースアダプター真鍮カップリングクイック継手カプラー</v>
      </c>
    </row>
    <row r="229" ht="15.75" customHeight="1">
      <c r="A229" s="1">
        <v>1694.0</v>
      </c>
      <c r="B229" s="1" t="s">
        <v>15</v>
      </c>
      <c r="C229" s="1" t="s">
        <v>218</v>
      </c>
      <c r="D229" s="1" t="str">
        <f>IFERROR(__xludf.DUMMYFUNCTION("CONCATENATE(GOOGLETRANSLATE(C229, ""en"", ""zh-cn""))"),"加厚挂篮座垫挂蛋椅垫椅垫 BRS")</f>
        <v>加厚挂篮座垫挂蛋椅垫椅垫 BRS</v>
      </c>
      <c r="E229" s="1" t="str">
        <f>IFERROR(__xludf.DUMMYFUNCTION("CONCATENATE(GOOGLETRANSLATE(C229, ""en"", ""ko""))"),"두꺼운 걸이 바구니 좌석 쿠션 걸이 계란 의자 쿠션 의자 쿠션 BRS")</f>
        <v>두꺼운 걸이 바구니 좌석 쿠션 걸이 계란 의자 쿠션 의자 쿠션 BRS</v>
      </c>
      <c r="F229" s="1" t="str">
        <f>IFERROR(__xludf.DUMMYFUNCTION("CONCATENATE(GOOGLETRANSLATE(C229, ""en"", ""ja""))"),"厚手のハンギングバスケットシートクッションハンギングエッグチェアクッションチェアクッションBRS")</f>
        <v>厚手のハンギングバスケットシートクッションハンギングエッグチェアクッションチェアクッションBRS</v>
      </c>
    </row>
    <row r="230" ht="15.75" customHeight="1">
      <c r="A230" s="1">
        <v>1695.0</v>
      </c>
      <c r="B230" s="1" t="s">
        <v>15</v>
      </c>
      <c r="C230" s="1" t="s">
        <v>219</v>
      </c>
      <c r="D230" s="1" t="str">
        <f>IFERROR(__xludf.DUMMYFUNCTION("CONCATENATE(GOOGLETRANSLATE(C230, ""en"", ""zh-cn""))"),"220 磅吊床吊椅绳放松流苏秋千座椅棉质家用")</f>
        <v>220 磅吊床吊椅绳放松流苏秋千座椅棉质家用</v>
      </c>
      <c r="E230" s="1" t="str">
        <f>IFERROR(__xludf.DUMMYFUNCTION("CONCATENATE(GOOGLETRANSLATE(C230, ""en"", ""ko""))"),"220파운드 해먹 행잉 의자 로프 릴렉스 마크라메 스윙 시트 코튼 홈")</f>
        <v>220파운드 해먹 행잉 의자 로프 릴렉스 마크라메 스윙 시트 코튼 홈</v>
      </c>
      <c r="F230" s="1" t="str">
        <f>IFERROR(__xludf.DUMMYFUNCTION("CONCATENATE(GOOGLETRANSLATE(C230, ""en"", ""ja""))"),"220ポンド ハンモック ハンギングチェア ロープ リラックス マクラメ スイングシート コットン ホーム")</f>
        <v>220ポンド ハンモック ハンギングチェア ロープ リラックス マクラメ スイングシート コットン ホーム</v>
      </c>
    </row>
    <row r="231" ht="15.75" customHeight="1">
      <c r="A231" s="1">
        <v>1696.0</v>
      </c>
      <c r="B231" s="1" t="s">
        <v>15</v>
      </c>
      <c r="C231" s="1" t="s">
        <v>220</v>
      </c>
      <c r="D231" s="1" t="str">
        <f>IFERROR(__xludf.DUMMYFUNCTION("CONCATENATE(GOOGLETRANSLATE(C231, ""en"", ""zh-cn""))"),"可移动电脑笔记本电脑桌高度可调节书写学习桌书本储物架工作站带轮家用办公家具")</f>
        <v>可移动电脑笔记本电脑桌高度可调节书写学习桌书本储物架工作站带轮家用办公家具</v>
      </c>
      <c r="E231" s="1" t="str">
        <f>IFERROR(__xludf.DUMMYFUNCTION("CONCATENATE(GOOGLETRANSLATE(C231, ""en"", ""ko""))"),"이동식 컴퓨터 노트북 책상 높이 조절 가능한 쓰기 학습 테이블 책 보관 선반 바퀴가있는 워크 스테이션 홈 오피스 가구")</f>
        <v>이동식 컴퓨터 노트북 책상 높이 조절 가능한 쓰기 학습 테이블 책 보관 선반 바퀴가있는 워크 스테이션 홈 오피스 가구</v>
      </c>
      <c r="F231" s="1" t="str">
        <f>IFERROR(__xludf.DUMMYFUNCTION("CONCATENATE(GOOGLETRANSLATE(C231, ""en"", ""ja""))"),"移動可能なコンピュータラップトップデスク高さ調節可能なライティング学習テーブル本収納棚ワークステーションホイール付きホームオフィス家具")</f>
        <v>移動可能なコンピュータラップトップデスク高さ調節可能なライティング学習テーブル本収納棚ワークステーションホイール付きホームオフィス家具</v>
      </c>
    </row>
    <row r="232" ht="15.75" customHeight="1">
      <c r="A232" s="1">
        <v>1697.0</v>
      </c>
      <c r="B232" s="1" t="s">
        <v>15</v>
      </c>
      <c r="C232" s="1" t="s">
        <v>221</v>
      </c>
      <c r="D232" s="1" t="str">
        <f>IFERROR(__xludf.DUMMYFUNCTION("CONCATENATE(GOOGLETRANSLATE(C232, ""en"", ""zh-cn""))"),"花园长凳露台座垫椅垫秋千 3 座户外 150x50x10 厘米")</f>
        <v>花园长凳露台座垫椅垫秋千 3 座户外 150x50x10 厘米</v>
      </c>
      <c r="E232" s="1" t="str">
        <f>IFERROR(__xludf.DUMMYFUNCTION("CONCATENATE(GOOGLETRANSLATE(C232, ""en"", ""ko""))"),"정원 벤치 파티오 좌석 패드 의자 쿠션 그네 3인용 야외 150x50x10CM")</f>
        <v>정원 벤치 파티오 좌석 패드 의자 쿠션 그네 3인용 야외 150x50x10CM</v>
      </c>
      <c r="F232" s="1" t="str">
        <f>IFERROR(__xludf.DUMMYFUNCTION("CONCATENATE(GOOGLETRANSLATE(C232, ""en"", ""ja""))"),"ガーデンベンチパティオシートパッドチェアクッションスイング3人乗り屋外150x50x10CM")</f>
        <v>ガーデンベンチパティオシートパッドチェアクッションスイング3人乗り屋外150x50x10CM</v>
      </c>
    </row>
    <row r="233" ht="15.75" customHeight="1">
      <c r="A233" s="1">
        <v>1698.0</v>
      </c>
      <c r="B233" s="1" t="s">
        <v>15</v>
      </c>
      <c r="C233" s="1" t="s">
        <v>222</v>
      </c>
      <c r="D233" s="1" t="str">
        <f>IFERROR(__xludf.DUMMYFUNCTION("CONCATENATE(GOOGLETRANSLATE(C233, ""en"", ""zh-cn""))"),"便携式充气椅户外毛绒充气凳豆袋圆形家居家具")</f>
        <v>便携式充气椅户外毛绒充气凳豆袋圆形家居家具</v>
      </c>
      <c r="E233" s="1" t="str">
        <f>IFERROR(__xludf.DUMMYFUNCTION("CONCATENATE(GOOGLETRANSLATE(C233, ""en"", ""ko""))"),"휴대용 풍선 의자 야외 플러시 공압 의자 콩 가방 원형 모양 홈 가구")</f>
        <v>휴대용 풍선 의자 야외 플러시 공압 의자 콩 가방 원형 모양 홈 가구</v>
      </c>
      <c r="F233" s="1" t="str">
        <f>IFERROR(__xludf.DUMMYFUNCTION("CONCATENATE(GOOGLETRANSLATE(C233, ""en"", ""ja""))"),"ポータブルインフレータブル椅子屋外豪華な空気圧スツールビーンバッグ丸型家庭用家具")</f>
        <v>ポータブルインフレータブル椅子屋外豪華な空気圧スツールビーンバッグ丸型家庭用家具</v>
      </c>
    </row>
    <row r="234" ht="15.75" customHeight="1">
      <c r="A234" s="1">
        <v>1699.0</v>
      </c>
      <c r="B234" s="1" t="s">
        <v>15</v>
      </c>
      <c r="C234" s="1" t="s">
        <v>223</v>
      </c>
      <c r="D234" s="1" t="str">
        <f>IFERROR(__xludf.DUMMYFUNCTION("CONCATENATE(GOOGLETRANSLATE(C234, ""en"", ""zh-cn""))"),"8-24 毫米表带不锈钢弹簧连接杆销")</f>
        <v>8-24 毫米表带不锈钢弹簧连接杆销</v>
      </c>
      <c r="E234" s="1" t="str">
        <f>IFERROR(__xludf.DUMMYFUNCTION("CONCATENATE(GOOGLETRANSLATE(C234, ""en"", ""ko""))"),"시계 밴드 스트랩용 8-24mm 스테인레스 스틸 스프링 링크 바 핀")</f>
        <v>시계 밴드 스트랩용 8-24mm 스테인레스 스틸 스프링 링크 바 핀</v>
      </c>
      <c r="F234" s="1" t="str">
        <f>IFERROR(__xludf.DUMMYFUNCTION("CONCATENATE(GOOGLETRANSLATE(C234, ""en"", ""ja""))"),"8-24mm 時計バンド ストラップ用ステンレス鋼スプリング リンク バー ピン")</f>
        <v>8-24mm 時計バンド ストラップ用ステンレス鋼スプリング リンク バー ピン</v>
      </c>
    </row>
    <row r="235" ht="15.75" customHeight="1">
      <c r="A235" s="1">
        <v>1700.0</v>
      </c>
      <c r="B235" s="1" t="s">
        <v>15</v>
      </c>
      <c r="C235" s="1" t="s">
        <v>224</v>
      </c>
      <c r="D235" s="1" t="str">
        <f>IFERROR(__xludf.DUMMYFUNCTION("CONCATENATE(GOOGLETRANSLATE(C235, ""en"", ""zh-cn""))"),"10 件 1/4 英寸公/母 BSP 适配器压缩空气快速接头软管")</f>
        <v>10 件 1/4 英寸公/母 BSP 适配器压缩空气快速接头软管</v>
      </c>
      <c r="E235" s="1" t="str">
        <f>IFERROR(__xludf.DUMMYFUNCTION("CONCATENATE(GOOGLETRANSLATE(C235, ""en"", ""ko""))"),"10pcs 1/4inch 남성/여성 BSP 어댑터 압축 공기 퀵 커플 링 호스")</f>
        <v>10pcs 1/4inch 남성/여성 BSP 어댑터 압축 공기 퀵 커플 링 호스</v>
      </c>
      <c r="F235" s="1" t="str">
        <f>IFERROR(__xludf.DUMMYFUNCTION("CONCATENATE(GOOGLETRANSLATE(C235, ""en"", ""ja""))"),"10 個 1/4 インチオス/メス BSP アダプター圧縮空気クイックカップリングホース")</f>
        <v>10 個 1/4 インチオス/メス BSP アダプター圧縮空気クイックカップリングホース</v>
      </c>
    </row>
    <row r="236" ht="15.75" customHeight="1">
      <c r="A236" s="1">
        <v>1701.0</v>
      </c>
      <c r="B236" s="1" t="s">
        <v>15</v>
      </c>
      <c r="C236" s="1" t="s">
        <v>225</v>
      </c>
      <c r="D236" s="1" t="str">
        <f>IFERROR(__xludf.DUMMYFUNCTION("CONCATENATE(GOOGLETRANSLATE(C236, ""en"", ""zh-cn""))"),"18m×48mm PVC卷 自粘警示胶带 装饰胶带")</f>
        <v>18m×48mm PVC卷 自粘警示胶带 装饰胶带</v>
      </c>
      <c r="E236" s="1" t="str">
        <f>IFERROR(__xludf.DUMMYFUNCTION("CONCATENATE(GOOGLETRANSLATE(C236, ""en"", ""ko""))"),"18m×48mm PVC 목록 자동 접착 경고 테이프 장식 테이프")</f>
        <v>18m×48mm PVC 목록 자동 접착 경고 테이프 장식 테이프</v>
      </c>
      <c r="F236" s="1" t="str">
        <f>IFERROR(__xludf.DUMMYFUNCTION("CONCATENATE(GOOGLETRANSLATE(C236, ""en"", ""ja""))"),"18m×48mm PVCロール自己粘着警告テープ装飾テープ")</f>
        <v>18m×48mm PVCロール自己粘着警告テープ装飾テープ</v>
      </c>
    </row>
    <row r="237" ht="15.75" customHeight="1">
      <c r="A237" s="1">
        <v>1702.0</v>
      </c>
      <c r="B237" s="1" t="s">
        <v>15</v>
      </c>
      <c r="C237" s="1" t="s">
        <v>226</v>
      </c>
      <c r="D237" s="1" t="str">
        <f>IFERROR(__xludf.DUMMYFUNCTION("CONCATENATE(GOOGLETRANSLATE(C237, ""en"", ""zh-cn""))"),"20x10CM木雕角嵌未上漆框架装饰")</f>
        <v>20x10CM木雕角嵌未上漆框架装饰</v>
      </c>
      <c r="E237" s="1" t="str">
        <f>IFERROR(__xludf.DUMMYFUNCTION("CONCATENATE(GOOGLETRANSLATE(C237, ""en"", ""ko""))"),"20x10CM 나무 조각 코너 온레이 도색되지 않은 프레임 장식")</f>
        <v>20x10CM 나무 조각 코너 온레이 도색되지 않은 프레임 장식</v>
      </c>
      <c r="F237" s="1" t="str">
        <f>IFERROR(__xludf.DUMMYFUNCTION("CONCATENATE(GOOGLETRANSLATE(C237, ""en"", ""ja""))"),"20x10CM 木彫りコーナーアンレイ未塗装フレーム装飾")</f>
        <v>20x10CM 木彫りコーナーアンレイ未塗装フレーム装飾</v>
      </c>
    </row>
    <row r="238" ht="15.75" customHeight="1">
      <c r="A238" s="1">
        <v>1703.0</v>
      </c>
      <c r="B238" s="1" t="s">
        <v>15</v>
      </c>
      <c r="C238" s="1" t="s">
        <v>227</v>
      </c>
      <c r="D238" s="1" t="str">
        <f>IFERROR(__xludf.DUMMYFUNCTION("CONCATENATE(GOOGLETRANSLATE(C238, ""en"", ""zh-cn""))"),"10 件不锈钢墙壁展示挂钩适用于衣帽店板墙面板 10 × 150MM")</f>
        <v>10 件不锈钢墙壁展示挂钩适用于衣帽店板墙面板 10 × 150MM</v>
      </c>
      <c r="E238" s="1" t="str">
        <f>IFERROR(__xludf.DUMMYFUNCTION("CONCATENATE(GOOGLETRANSLATE(C238, ""en"", ""ko""))"),"코트 숍 Slatwall 패널 10 × 150MM에 대 한 10Pcs 스테인레스 스틸 벽 디스플레이 후크")</f>
        <v>코트 숍 Slatwall 패널 10 × 150MM에 대 한 10Pcs 스테인레스 스틸 벽 디스플레이 후크</v>
      </c>
      <c r="F238" s="1" t="str">
        <f>IFERROR(__xludf.DUMMYFUNCTION("CONCATENATE(GOOGLETRANSLATE(C238, ""en"", ""ja""))"),"10 個のステンレス鋼壁ディスプレイフックコートショップ Slatwall パネル 10 × 150MM")</f>
        <v>10 個のステンレス鋼壁ディスプレイフックコートショップ Slatwall パネル 10 × 150MM</v>
      </c>
    </row>
    <row r="239" ht="15.75" customHeight="1">
      <c r="A239" s="1">
        <v>1704.0</v>
      </c>
      <c r="B239" s="1" t="s">
        <v>15</v>
      </c>
      <c r="C239" s="1" t="s">
        <v>228</v>
      </c>
      <c r="D239" s="1" t="str">
        <f>IFERROR(__xludf.DUMMYFUNCTION("CONCATENATE(GOOGLETRANSLATE(C239, ""en"", ""zh-cn""))"),"橡胶和不锈钢门挡楔子安全保护器挡块")</f>
        <v>橡胶和不锈钢门挡楔子安全保护器挡块</v>
      </c>
      <c r="E239" s="1" t="str">
        <f>IFERROR(__xludf.DUMMYFUNCTION("CONCATENATE(GOOGLETRANSLATE(C239, ""en"", ""ko""))"),"고무 및 스테인레스 스틸 도어 스톱 웨지 안전 보호 장치 스토퍼 블록")</f>
        <v>고무 및 스테인레스 스틸 도어 스톱 웨지 안전 보호 장치 스토퍼 블록</v>
      </c>
      <c r="F239" s="1" t="str">
        <f>IFERROR(__xludf.DUMMYFUNCTION("CONCATENATE(GOOGLETRANSLATE(C239, ""en"", ""ja""))"),"ゴムおよびステンレス鋼のドアストップウェッジ安全プロテクターストッパーブロック")</f>
        <v>ゴムおよびステンレス鋼のドアストップウェッジ安全プロテクターストッパーブロック</v>
      </c>
    </row>
    <row r="240" ht="15.75" customHeight="1">
      <c r="A240" s="1">
        <v>1705.0</v>
      </c>
      <c r="B240" s="1" t="s">
        <v>15</v>
      </c>
      <c r="C240" s="1" t="s">
        <v>229</v>
      </c>
      <c r="D240" s="1" t="str">
        <f>IFERROR(__xludf.DUMMYFUNCTION("CONCATENATE(GOOGLETRANSLATE(C240, ""en"", ""zh-cn""))"),"FRAP F4254 家用厨房单旋转手柄面盆龙头可选手柄风格水槽龙头 ")</f>
        <v>FRAP F4254 家用厨房单旋转手柄面盆龙头可选手柄风格水槽龙头 </v>
      </c>
      <c r="E240" s="1" t="str">
        <f>IFERROR(__xludf.DUMMYFUNCTION("CONCATENATE(GOOGLETRANSLATE(C240, ""en"", ""ko""))"),"FRAP F4254 가정용 주방 단일 회전 핸들 세면대 수도꼭지 옵션 핸들 스타일 싱크 수도꼭지 ")</f>
        <v>FRAP F4254 가정용 주방 단일 회전 핸들 세면대 수도꼭지 옵션 핸들 스타일 싱크 수도꼭지 </v>
      </c>
      <c r="F240" s="1" t="str">
        <f>IFERROR(__xludf.DUMMYFUNCTION("CONCATENATE(GOOGLETRANSLATE(C240, ""en"", ""ja""))"),"FRAP F4254 ホームキッチンシングル回転ハンドル洗面器の蛇口オプションのハンドルスタイルシンクの蛇口 ")</f>
        <v>FRAP F4254 ホームキッチンシングル回転ハンドル洗面器の蛇口オプションのハンドルスタイルシンクの蛇口 </v>
      </c>
    </row>
    <row r="241" ht="15.75" customHeight="1">
      <c r="A241" s="1">
        <v>1706.0</v>
      </c>
      <c r="B241" s="1" t="s">
        <v>15</v>
      </c>
      <c r="C241" s="1" t="s">
        <v>230</v>
      </c>
      <c r="D241" s="1" t="str">
        <f>IFERROR(__xludf.DUMMYFUNCTION("CONCATENATE(GOOGLETRANSLATE(C241, ""en"", ""zh-cn""))"),"通用 4 路软管水龙头歧管分水器适用于 3/4"" 1/2"" 花园水龙头分流器水管分配器软管快速接头喷嘴关闭控制")</f>
        <v>通用 4 路软管水龙头歧管分水器适用于 3/4" 1/2" 花园水龙头分流器水管分配器软管快速接头喷嘴关闭控制</v>
      </c>
      <c r="E241" s="1" t="str">
        <f>IFERROR(__xludf.DUMMYFUNCTION("CONCATENATE(GOOGLETRANSLATE(C241, ""en"", ""ko""))"),"범용 4 웨이 호스 수도꼭지 매니 폴드 워터 분리기 3/4 ""1/2"" 가든 탭 스플리터 워터 파이프 디바이더 호스 퀵 커넥터 노즐 차단 제어")</f>
        <v>범용 4 웨이 호스 수도꼭지 매니 폴드 워터 분리기 3/4 "1/2" 가든 탭 스플리터 워터 파이프 디바이더 호스 퀵 커넥터 노즐 차단 제어</v>
      </c>
      <c r="F241" s="1" t="str">
        <f>IFERROR(__xludf.DUMMYFUNCTION("CONCATENATE(GOOGLETRANSLATE(C241, ""en"", ""ja""))"),"ユニバーサル 4 ウェイホース蛇口マニホールド水分離器 3/4 ""1/2"" ガーデンタップスプリッター水道管ディバイダーホースクイックコネクタノズルシャットオフ制御")</f>
        <v>ユニバーサル 4 ウェイホース蛇口マニホールド水分離器 3/4 "1/2" ガーデンタップスプリッター水道管ディバイダーホースクイックコネクタノズルシャットオフ制御</v>
      </c>
    </row>
    <row r="242" ht="15.75" customHeight="1">
      <c r="A242" s="1">
        <v>1707.0</v>
      </c>
      <c r="B242" s="1" t="s">
        <v>15</v>
      </c>
      <c r="C242" s="1" t="s">
        <v>231</v>
      </c>
      <c r="D242" s="1" t="str">
        <f>IFERROR(__xludf.DUMMYFUNCTION("CONCATENATE(GOOGLETRANSLATE(C242, ""en"", ""zh-cn""))"),"8.5 厘米 x 6.5 厘米金属钱包袋框架吻扣锁钱包夹 DIY 工艺装饰品")</f>
        <v>8.5 厘米 x 6.5 厘米金属钱包袋框架吻扣锁钱包夹 DIY 工艺装饰品</v>
      </c>
      <c r="E242" s="1" t="str">
        <f>IFERROR(__xludf.DUMMYFUNCTION("CONCATENATE(GOOGLETRANSLATE(C242, ""en"", ""ko""))"),"8.5cm x 6.5cm 금속 지갑 가방 프레임 키스 걸쇠 잠금 지갑 클립 DIY 공예 장식")</f>
        <v>8.5cm x 6.5cm 금속 지갑 가방 프레임 키스 걸쇠 잠금 지갑 클립 DIY 공예 장식</v>
      </c>
      <c r="F242" s="1" t="str">
        <f>IFERROR(__xludf.DUMMYFUNCTION("CONCATENATE(GOOGLETRANSLATE(C242, ""en"", ""ja""))"),"8.5 センチメートル x 6.5 センチメートル金属財布バッグフレームキスクラスプロック財布クリップ DIY クラフト装飾")</f>
        <v>8.5 センチメートル x 6.5 センチメートル金属財布バッグフレームキスクラスプロック財布クリップ DIY クラフト装飾</v>
      </c>
    </row>
    <row r="243" ht="15.75" customHeight="1">
      <c r="A243" s="1">
        <v>1708.0</v>
      </c>
      <c r="B243" s="1" t="s">
        <v>15</v>
      </c>
      <c r="C243" s="1" t="s">
        <v>232</v>
      </c>
      <c r="D243" s="1" t="str">
        <f>IFERROR(__xludf.DUMMYFUNCTION("CONCATENATE(GOOGLETRANSLATE(C243, ""en"", ""zh-cn""))"),"真正的大理石咖啡桌 2 件套圆形边桌金属底座")</f>
        <v>真正的大理石咖啡桌 2 件套圆形边桌金属底座</v>
      </c>
      <c r="E243" s="1" t="str">
        <f>IFERROR(__xludf.DUMMYFUNCTION("CONCATENATE(GOOGLETRANSLATE(C243, ""en"", ""ko""))"),"원형 사이드 테이블 금속 베이스 2개로 구성된 실제 대리석 커피 테이블 세트")</f>
        <v>원형 사이드 테이블 금속 베이스 2개로 구성된 실제 대리석 커피 테이블 세트</v>
      </c>
      <c r="F243" s="1" t="str">
        <f>IFERROR(__xludf.DUMMYFUNCTION("CONCATENATE(GOOGLETRANSLATE(C243, ""en"", ""ja""))"),"本物の大理石のコーヒーテーブル 2 個セット ラウンドサイドエンドテーブル メタルベース")</f>
        <v>本物の大理石のコーヒーテーブル 2 個セット ラウンドサイドエンドテーブル メタルベース</v>
      </c>
    </row>
    <row r="244" ht="15.75" customHeight="1">
      <c r="A244" s="1">
        <v>1709.0</v>
      </c>
      <c r="B244" s="1" t="s">
        <v>15</v>
      </c>
      <c r="C244" s="1" t="s">
        <v>233</v>
      </c>
      <c r="D244" s="1" t="str">
        <f>IFERROR(__xludf.DUMMYFUNCTION("CONCATENATE(GOOGLETRANSLATE(C244, ""en"", ""zh-cn""))"),"66-96CM 可调节伸缩水槽上方碗碟晾衣架")</f>
        <v>66-96CM 可调节伸缩水槽上方碗碟晾衣架</v>
      </c>
      <c r="E244" s="1" t="str">
        <f>IFERROR(__xludf.DUMMYFUNCTION("CONCATENATE(GOOGLETRANSLATE(C244, ""en"", ""ko""))"),"66-96CM 조정 가능한 텔레스코픽 오버 싱크 접시 건조 랙 홀더")</f>
        <v>66-96CM 조정 가능한 텔레스코픽 오버 싱크 접시 건조 랙 홀더</v>
      </c>
      <c r="F244" s="1" t="str">
        <f>IFERROR(__xludf.DUMMYFUNCTION("CONCATENATE(GOOGLETRANSLATE(C244, ""en"", ""ja""))"),"66-96CM調節可能な伸縮式オーバーシンク食器乾燥ラックホルダー")</f>
        <v>66-96CM調節可能な伸縮式オーバーシンク食器乾燥ラックホルダー</v>
      </c>
    </row>
    <row r="245" ht="15.75" customHeight="1">
      <c r="A245" s="1">
        <v>1710.0</v>
      </c>
      <c r="B245" s="1" t="s">
        <v>15</v>
      </c>
      <c r="C245" s="1" t="s">
        <v>234</v>
      </c>
      <c r="D245" s="1" t="str">
        <f>IFERROR(__xludf.DUMMYFUNCTION("CONCATENATE(GOOGLETRANSLATE(C245, ""en"", ""zh-cn""))"),"办公室脚垫脚底按摩垫云形脚枕舒适脚垫枕家用办公用品")</f>
        <v>办公室脚垫脚底按摩垫云形脚枕舒适脚垫枕家用办公用品</v>
      </c>
      <c r="E245" s="1" t="str">
        <f>IFERROR(__xludf.DUMMYFUNCTION("CONCATENATE(GOOGLETRANSLATE(C245, ""en"", ""ko""))"),"사무실 발 받침대 매트 발 마사지 매트 구름 모양의 발 베개 편안한 발 쿠션 베개 홈 오피스 용품")</f>
        <v>사무실 발 받침대 매트 발 마사지 매트 구름 모양의 발 베개 편안한 발 쿠션 베개 홈 오피스 용품</v>
      </c>
      <c r="F245" s="1" t="str">
        <f>IFERROR(__xludf.DUMMYFUNCTION("CONCATENATE(GOOGLETRANSLATE(C245, ""en"", ""ja""))"),"オフィスフットレストマットフットマッサージマット雲型足枕快適な足クッション枕ホームオフィス用品")</f>
        <v>オフィスフットレストマットフットマッサージマット雲型足枕快適な足クッション枕ホームオフィス用品</v>
      </c>
    </row>
    <row r="246" ht="15.75" customHeight="1">
      <c r="A246" s="1">
        <v>1711.0</v>
      </c>
      <c r="B246" s="1" t="s">
        <v>15</v>
      </c>
      <c r="C246" s="1" t="s">
        <v>235</v>
      </c>
      <c r="D246" s="1" t="str">
        <f>IFERROR(__xludf.DUMMYFUNCTION("CONCATENATE(GOOGLETRANSLATE(C246, ""en"", ""zh-cn""))"),"厕所冲洗器手持式坐浴盆淋浴喷头喷洒器清洗喷射软管套装")</f>
        <v>厕所冲洗器手持式坐浴盆淋浴喷头喷洒器清洗喷射软管套装</v>
      </c>
      <c r="E246" s="1" t="str">
        <f>IFERROR(__xludf.DUMMYFUNCTION("CONCATENATE(GOOGLETRANSLATE(C246, ""en"", ""ko""))"),"화장실 샤워 핸드 헬드 비데 샤워 헤드 스프레이 스프링클러 워시 제트 호스 세트")</f>
        <v>화장실 샤워 핸드 헬드 비데 샤워 헤드 스프레이 스프링클러 워시 제트 호스 세트</v>
      </c>
      <c r="F246" s="1" t="str">
        <f>IFERROR(__xludf.DUMMYFUNCTION("CONCATENATE(GOOGLETRANSLATE(C246, ""en"", ""ja""))"),"トイレ潅水ハンドヘルドビデシャワーヘッドスプレースプリンクラー洗浄ジェットホースセット")</f>
        <v>トイレ潅水ハンドヘルドビデシャワーヘッドスプレースプリンクラー洗浄ジェットホースセット</v>
      </c>
    </row>
    <row r="247" ht="15.75" customHeight="1">
      <c r="A247" s="1">
        <v>1712.0</v>
      </c>
      <c r="B247" s="1" t="s">
        <v>15</v>
      </c>
      <c r="C247" s="1" t="s">
        <v>236</v>
      </c>
      <c r="D247" s="1" t="str">
        <f>IFERROR(__xludf.DUMMYFUNCTION("CONCATENATE(GOOGLETRANSLATE(C247, ""en"", ""zh-cn""))"),"6/10/14mm 实心黄铜 Y 型接头 3 路软管连接器 带倒刺 Y 型分流器")</f>
        <v>6/10/14mm 实心黄铜 Y 型接头 3 路软管连接器 带倒刺 Y 型分流器</v>
      </c>
      <c r="E247" s="1" t="str">
        <f>IFERROR(__xludf.DUMMYFUNCTION("CONCATENATE(GOOGLETRANSLATE(C247, ""en"", ""ko""))"),"6/10/14mm 솔리드 브래스 Y 커넥터 3가지 방식 호스 조이너 가시 Y 분배기")</f>
        <v>6/10/14mm 솔리드 브래스 Y 커넥터 3가지 방식 호스 조이너 가시 Y 분배기</v>
      </c>
      <c r="F247" s="1" t="str">
        <f>IFERROR(__xludf.DUMMYFUNCTION("CONCATENATE(GOOGLETRANSLATE(C247, ""en"", ""ja""))"),"6/10/14 ミリメートルソリッドブラス Y コネクタ 3 方法ホースジョイナー有刺鉄線 Y スプリッター")</f>
        <v>6/10/14 ミリメートルソリッドブラス Y コネクタ 3 方法ホースジョイナー有刺鉄線 Y スプリッター</v>
      </c>
    </row>
    <row r="248" ht="15.75" customHeight="1">
      <c r="A248" s="1">
        <v>1713.0</v>
      </c>
      <c r="B248" s="1" t="s">
        <v>15</v>
      </c>
      <c r="C248" s="1" t="s">
        <v>237</v>
      </c>
      <c r="D248" s="1" t="str">
        <f>IFERROR(__xludf.DUMMYFUNCTION("CONCATENATE(GOOGLETRANSLATE(C248, ""en"", ""zh-cn""))"),"拉手，带螺钉，适用于橱柜橱柜抽屉门衣柜")</f>
        <v>拉手，带螺钉，适用于橱柜橱柜抽屉门衣柜</v>
      </c>
      <c r="E248" s="1" t="str">
        <f>IFERROR(__xludf.DUMMYFUNCTION("CONCATENATE(GOOGLETRANSLATE(C248, ""en"", ""ko""))"),"캐비닛 찬장 서랍 문 옷장용 나사로 당기는 손잡이")</f>
        <v>캐비닛 찬장 서랍 문 옷장용 나사로 당기는 손잡이</v>
      </c>
      <c r="F248" s="1" t="str">
        <f>IFERROR(__xludf.DUMMYFUNCTION("CONCATENATE(GOOGLETRANSLATE(C248, ""en"", ""ja""))"),"キャビネット食器棚引き出しドアワードローブ用ネジ付きハンドルプル")</f>
        <v>キャビネット食器棚引き出しドアワードローブ用ネジ付きハンドルプル</v>
      </c>
    </row>
    <row r="249" ht="15.75" customHeight="1">
      <c r="A249" s="1">
        <v>1714.0</v>
      </c>
      <c r="B249" s="1" t="s">
        <v>15</v>
      </c>
      <c r="C249" s="1" t="s">
        <v>238</v>
      </c>
      <c r="D249" s="1" t="str">
        <f>IFERROR(__xludf.DUMMYFUNCTION("CONCATENATE(GOOGLETRANSLATE(C249, ""en"", ""zh-cn""))"),"带柄啤酒水龙头软管扳手的生啤酒塔重建套件")</f>
        <v>带柄啤酒水龙头软管扳手的生啤酒塔重建套件</v>
      </c>
      <c r="E249" s="1" t="str">
        <f>IFERROR(__xludf.DUMMYFUNCTION("CONCATENATE(GOOGLETRANSLATE(C249, ""en"", ""ko""))"),"생크 맥주 수도꼭지 호스 렌치가 포함된 생맥주 타워 재건 키트")</f>
        <v>생크 맥주 수도꼭지 호스 렌치가 포함된 생맥주 타워 재건 키트</v>
      </c>
      <c r="F249" s="1" t="str">
        <f>IFERROR(__xludf.DUMMYFUNCTION("CONCATENATE(GOOGLETRANSLATE(C249, ""en"", ""ja""))"),"ドラフトビールタワー再構築キット シャンクビール蛇口ホースレンチ付き")</f>
        <v>ドラフトビールタワー再構築キット シャンクビール蛇口ホースレンチ付き</v>
      </c>
    </row>
    <row r="250" ht="15.75" customHeight="1">
      <c r="A250" s="1">
        <v>1715.0</v>
      </c>
      <c r="B250" s="1" t="s">
        <v>15</v>
      </c>
      <c r="C250" s="1" t="s">
        <v>239</v>
      </c>
      <c r="D250" s="1" t="str">
        <f>IFERROR(__xludf.DUMMYFUNCTION("CONCATENATE(GOOGLETRANSLATE(C250, ""en"", ""zh-cn""))"),"20 件黑色 12.9 级 M12 内六角套筒组芯点平头螺钉")</f>
        <v>20 件黑色 12.9 级 M12 内六角套筒组芯点平头螺钉</v>
      </c>
      <c r="E250" s="1" t="str">
        <f>IFERROR(__xludf.DUMMYFUNCTION("CONCATENATE(GOOGLETRANSLATE(C250, ""en"", ""ko""))"),"20개 검정색 12.9 등급 M12 육각형 소켓 세트 코어 포인트 그러브 나사")</f>
        <v>20개 검정색 12.9 등급 M12 육각형 소켓 세트 코어 포인트 그러브 나사</v>
      </c>
      <c r="F250" s="1" t="str">
        <f>IFERROR(__xludf.DUMMYFUNCTION("CONCATENATE(GOOGLETRANSLATE(C250, ""en"", ""ja""))"),"20 個ブラック 12.9 グレード M12 六角ソケットセットコアポイントグラブネジ")</f>
        <v>20 個ブラック 12.9 グレード M12 六角ソケットセットコアポイントグラブネジ</v>
      </c>
    </row>
    <row r="251" ht="15.75" customHeight="1">
      <c r="A251" s="1">
        <v>1716.0</v>
      </c>
      <c r="B251" s="1" t="s">
        <v>15</v>
      </c>
      <c r="C251" s="1" t="s">
        <v>240</v>
      </c>
      <c r="D251" s="1" t="str">
        <f>IFERROR(__xludf.DUMMYFUNCTION("CONCATENATE(GOOGLETRANSLATE(C251, ""en"", ""zh-cn""))"),"眼镜展示柜网格收纳盒珠宝收藏盒展示架")</f>
        <v>眼镜展示柜网格收纳盒珠宝收藏盒展示架</v>
      </c>
      <c r="E251" s="1" t="str">
        <f>IFERROR(__xludf.DUMMYFUNCTION("CONCATENATE(GOOGLETRANSLATE(C251, ""en"", ""ko""))"),"안경 디스플레이 케이스 그리드 보관 상자 보석 컬렉션 케이스 디스플레이 홀더")</f>
        <v>안경 디스플레이 케이스 그리드 보관 상자 보석 컬렉션 케이스 디스플레이 홀더</v>
      </c>
      <c r="F251" s="1" t="str">
        <f>IFERROR(__xludf.DUMMYFUNCTION("CONCATENATE(GOOGLETRANSLATE(C251, ""en"", ""ja""))"),"メガネディスプレイケースグリッド収納ボックスジュエリーコレクションケースディスプレイホルダー")</f>
        <v>メガネディスプレイケースグリッド収納ボックスジュエリーコレクションケースディスプレイホルダー</v>
      </c>
    </row>
    <row r="252" ht="15.75" customHeight="1">
      <c r="A252" s="1">
        <v>1717.0</v>
      </c>
      <c r="B252" s="1" t="s">
        <v>15</v>
      </c>
      <c r="C252" s="1" t="s">
        <v>241</v>
      </c>
      <c r="D252" s="1" t="str">
        <f>IFERROR(__xludf.DUMMYFUNCTION("CONCATENATE(GOOGLETRANSLATE(C252, ""en"", ""zh-cn""))"),"帆布秋千悬挂吊床椅棉绳流苏树椅座椅露台户外")</f>
        <v>帆布秋千悬挂吊床椅棉绳流苏树椅座椅露台户外</v>
      </c>
      <c r="E252" s="1" t="str">
        <f>IFERROR(__xludf.DUMMYFUNCTION("CONCATENATE(GOOGLETRANSLATE(C252, ""en"", ""ko""))"),"캔버스 그네 교수형 해먹 의자 코튼 로프 술 나무 의자 좌석 파티오 야외")</f>
        <v>캔버스 그네 교수형 해먹 의자 코튼 로프 술 나무 의자 좌석 파티오 야외</v>
      </c>
      <c r="F252" s="1" t="str">
        <f>IFERROR(__xludf.DUMMYFUNCTION("CONCATENATE(GOOGLETRANSLATE(C252, ""en"", ""ja""))"),"キャンバス ブランコ ハンモック チェア コットン ロープ タッセル ツリー チェア シート パティオ 屋外")</f>
        <v>キャンバス ブランコ ハンモック チェア コットン ロープ タッセル ツリー チェア シート パティオ 屋外</v>
      </c>
    </row>
    <row r="253" ht="15.75" customHeight="1">
      <c r="A253" s="1">
        <v>1718.0</v>
      </c>
      <c r="B253" s="1" t="s">
        <v>15</v>
      </c>
      <c r="C253" s="1" t="s">
        <v>242</v>
      </c>
      <c r="D253" s="1" t="str">
        <f>IFERROR(__xludf.DUMMYFUNCTION("CONCATENATE(GOOGLETRANSLATE(C253, ""en"", ""zh-cn""))"),"花园树庭院露营吊床椅吊椅秋千棉流苏绳")</f>
        <v>花园树庭院露营吊床椅吊椅秋千棉流苏绳</v>
      </c>
      <c r="E253" s="1" t="str">
        <f>IFERROR(__xludf.DUMMYFUNCTION("CONCATENATE(GOOGLETRANSLATE(C253, ""en"", ""ko""))"),"정원 나무 파티오 캠핑 해먹 의자 교수형 의자 스윙 코튼 태슬 로프")</f>
        <v>정원 나무 파티오 캠핑 해먹 의자 교수형 의자 스윙 코튼 태슬 로프</v>
      </c>
      <c r="F253" s="1" t="str">
        <f>IFERROR(__xludf.DUMMYFUNCTION("CONCATENATE(GOOGLETRANSLATE(C253, ""en"", ""ja""))"),"庭木パティオキャンプハンモックチェアハンギングチェアスイングコットンタッセルロープ")</f>
        <v>庭木パティオキャンプハンモックチェアハンギングチェアスイングコットンタッセルロープ</v>
      </c>
    </row>
    <row r="254" ht="15.75" customHeight="1">
      <c r="A254" s="1">
        <v>1719.0</v>
      </c>
      <c r="B254" s="1" t="s">
        <v>15</v>
      </c>
      <c r="C254" s="1" t="s">
        <v>243</v>
      </c>
      <c r="D254" s="1" t="str">
        <f>IFERROR(__xludf.DUMMYFUNCTION("CONCATENATE(GOOGLETRANSLATE(C254, ""en"", ""zh-cn""))"),"硅胶方圆形家具脚帽桌椅腿垫地板保护垫防刮")</f>
        <v>硅胶方圆形家具脚帽桌椅腿垫地板保护垫防刮</v>
      </c>
      <c r="E254" s="1" t="str">
        <f>IFERROR(__xludf.DUMMYFUNCTION("CONCATENATE(GOOGLETRANSLATE(C254, ""en"", ""ko""))"),"실리콘 사각 원형 가구 피트 캡 테이블 의자 다리 패드 긁힘 방지 바닥 보호대")</f>
        <v>실리콘 사각 원형 가구 피트 캡 테이블 의자 다리 패드 긁힘 방지 바닥 보호대</v>
      </c>
      <c r="F254" s="1" t="str">
        <f>IFERROR(__xludf.DUMMYFUNCTION("CONCATENATE(GOOGLETRANSLATE(C254, ""en"", ""ja""))"),"シリコーン正方形ラウンド家具足キャップテーブル椅子脚パッド床プロテクター傷防止")</f>
        <v>シリコーン正方形ラウンド家具足キャップテーブル椅子脚パッド床プロテクター傷防止</v>
      </c>
    </row>
    <row r="255" ht="15.75" customHeight="1">
      <c r="A255" s="1">
        <v>1720.0</v>
      </c>
      <c r="B255" s="1" t="s">
        <v>15</v>
      </c>
      <c r="C255" s="1" t="s">
        <v>244</v>
      </c>
      <c r="D255" s="1" t="str">
        <f>IFERROR(__xludf.DUMMYFUNCTION("CONCATENATE(GOOGLETRANSLATE(C255, ""en"", ""zh-cn""))"),"儿童如厕训练座椅，带阶梯凳梯，适用于幼儿马桶椅")</f>
        <v>儿童如厕训练座椅，带阶梯凳梯，适用于幼儿马桶椅</v>
      </c>
      <c r="E255" s="1" t="str">
        <f>IFERROR(__xludf.DUMMYFUNCTION("CONCATENATE(GOOGLETRANSLATE(C255, ""en"", ""ko""))"),"어린이 유아 변기 의자용 발판 사다리가 있는 어린이 변기 훈련 시트")</f>
        <v>어린이 유아 변기 의자용 발판 사다리가 있는 어린이 변기 훈련 시트</v>
      </c>
      <c r="F255" s="1" t="str">
        <f>IFERROR(__xludf.DUMMYFUNCTION("CONCATENATE(GOOGLETRANSLATE(C255, ""en"", ""ja""))"),"子供用トイレトレーニングシート ステップスツールはしご付き 子供幼児トイレチェア用")</f>
        <v>子供用トイレトレーニングシート ステップスツールはしご付き 子供幼児トイレチェア用</v>
      </c>
    </row>
    <row r="256" ht="15.75" customHeight="1">
      <c r="A256" s="1">
        <v>1721.0</v>
      </c>
      <c r="B256" s="1" t="s">
        <v>15</v>
      </c>
      <c r="C256" s="1" t="s">
        <v>245</v>
      </c>
      <c r="D256" s="1" t="str">
        <f>IFERROR(__xludf.DUMMYFUNCTION("CONCATENATE(GOOGLETRANSLATE(C256, ""en"", ""zh-cn""))"),"复古墙架木绳秋千架婴儿儿童房间储物架装饰全新")</f>
        <v>复古墙架木绳秋千架婴儿儿童房间储物架装饰全新</v>
      </c>
      <c r="E256" s="1" t="str">
        <f>IFERROR(__xludf.DUMMYFUNCTION("CONCATENATE(GOOGLETRANSLATE(C256, ""en"", ""ko""))"),"레트로 벽 선반 나무 로프 스윙 선반 아기 어린이 방 스토리지 홀더 장식 새로운")</f>
        <v>레트로 벽 선반 나무 로프 스윙 선반 아기 어린이 방 스토리지 홀더 장식 새로운</v>
      </c>
      <c r="F256" s="1" t="str">
        <f>IFERROR(__xludf.DUMMYFUNCTION("CONCATENATE(GOOGLETRANSLATE(C256, ""en"", ""ja""))"),"レトロな壁棚木製ロープスイング棚ベビーキッズルーム収納ホルダー装飾新しい")</f>
        <v>レトロな壁棚木製ロープスイング棚ベビーキッズルーム収納ホルダー装飾新しい</v>
      </c>
    </row>
    <row r="257" ht="15.75" customHeight="1">
      <c r="A257" s="1">
        <v>1722.0</v>
      </c>
      <c r="B257" s="1" t="s">
        <v>15</v>
      </c>
      <c r="C257" s="1" t="s">
        <v>246</v>
      </c>
      <c r="D257" s="1" t="str">
        <f>IFERROR(__xludf.DUMMYFUNCTION("CONCATENATE(GOOGLETRANSLATE(C257, ""en"", ""zh-cn""))"),"天鹅绒弹力椅套椅子保护套套餐厅婚礼宴会派对家庭办公室装饰")</f>
        <v>天鹅绒弹力椅套椅子保护套套餐厅婚礼宴会派对家庭办公室装饰</v>
      </c>
      <c r="E257" s="1" t="str">
        <f>IFERROR(__xludf.DUMMYFUNCTION("CONCATENATE(GOOGLETRANSLATE(C257, ""en"", ""ko""))"),"벨벳 스트레치 의자 커버 의자 보호대 슬리퍼 다이닝 룸 웨딩 연회 파티 홈 오피스 장식")</f>
        <v>벨벳 스트레치 의자 커버 의자 보호대 슬리퍼 다이닝 룸 웨딩 연회 파티 홈 오피스 장식</v>
      </c>
      <c r="F257" s="1" t="str">
        <f>IFERROR(__xludf.DUMMYFUNCTION("CONCATENATE(GOOGLETRANSLATE(C257, ""en"", ""ja""))"),"ベルベットストレッチ椅子カバー椅子プロテクタースリップカバーダイニングルーム結婚式宴会パーティーホームオフィス装飾用")</f>
        <v>ベルベットストレッチ椅子カバー椅子プロテクタースリップカバーダイニングルーム結婚式宴会パーティーホームオフィス装飾用</v>
      </c>
    </row>
    <row r="258" ht="15.75" customHeight="1">
      <c r="A258" s="1">
        <v>1723.0</v>
      </c>
      <c r="B258" s="1" t="s">
        <v>15</v>
      </c>
      <c r="C258" s="1" t="s">
        <v>247</v>
      </c>
      <c r="D258" s="1" t="str">
        <f>IFERROR(__xludf.DUMMYFUNCTION("CONCATENATE(GOOGLETRANSLATE(C258, ""en"", ""zh-cn""))"),"木制电脑笔记本电脑桌现代桌子学习桌办公家具电脑工作站家庭办公室学习客厅")</f>
        <v>木制电脑笔记本电脑桌现代桌子学习桌办公家具电脑工作站家庭办公室学习客厅</v>
      </c>
      <c r="E258" s="1" t="str">
        <f>IFERROR(__xludf.DUMMYFUNCTION("CONCATENATE(GOOGLETRANSLATE(C258, ""en"", ""ko""))"),"나무 컴퓨터 노트북 책상 현대 테이블 연구 책상 사무용 가구 홈 오피스 공부 거실을위한 PC 워크 스테이션")</f>
        <v>나무 컴퓨터 노트북 책상 현대 테이블 연구 책상 사무용 가구 홈 오피스 공부 거실을위한 PC 워크 스테이션</v>
      </c>
      <c r="F258" s="1" t="str">
        <f>IFERROR(__xludf.DUMMYFUNCTION("CONCATENATE(GOOGLETRANSLATE(C258, ""en"", ""ja""))"),"木製コンピュータラップトップデスクモダンテーブル学習机オフィス家具PCワークステーションホームオフィス学習リビングルーム")</f>
        <v>木製コンピュータラップトップデスクモダンテーブル学習机オフィス家具PCワークステーションホームオフィス学習リビングルーム</v>
      </c>
    </row>
    <row r="259" ht="15.75" customHeight="1">
      <c r="A259" s="1">
        <v>1724.0</v>
      </c>
      <c r="B259" s="1" t="s">
        <v>15</v>
      </c>
      <c r="C259" s="1" t="s">
        <v>248</v>
      </c>
      <c r="D259" s="1" t="str">
        <f>IFERROR(__xludf.DUMMYFUNCTION("CONCATENATE(GOOGLETRANSLATE(C259, ""en"", ""zh-cn""))"),"3 件装自定型硅胶多用途建模修复裂缝修复形状修复橡皮泥工具")</f>
        <v>3 件装自定型硅胶多用途建模修复裂缝修复形状修复橡皮泥工具</v>
      </c>
      <c r="E259" s="1" t="str">
        <f>IFERROR(__xludf.DUMMYFUNCTION("CONCATENATE(GOOGLETRANSLATE(C259, ""en"", ""ko""))"),"3Pcs 팩 자체 설정 실리콘 다목적 모델링 수리 균열 수정 양식 수리 Plasticine 도구")</f>
        <v>3Pcs 팩 자체 설정 실리콘 다목적 모델링 수리 균열 수정 양식 수리 Plasticine 도구</v>
      </c>
      <c r="F259" s="1" t="str">
        <f>IFERROR(__xludf.DUMMYFUNCTION("CONCATENATE(GOOGLETRANSLATE(C259, ""en"", ""ja""))"),"3 個パック自己設定シリコーン多目的モデリング修理亀裂修正フォーム修復粘土ツール")</f>
        <v>3 個パック自己設定シリコーン多目的モデリング修理亀裂修正フォーム修復粘土ツール</v>
      </c>
    </row>
    <row r="260" ht="15.75" customHeight="1">
      <c r="A260" s="1">
        <v>1725.0</v>
      </c>
      <c r="B260" s="1" t="s">
        <v>15</v>
      </c>
      <c r="C260" s="1" t="s">
        <v>249</v>
      </c>
      <c r="D260" s="1" t="str">
        <f>IFERROR(__xludf.DUMMYFUNCTION("CONCATENATE(GOOGLETRANSLATE(C260, ""en"", ""zh-cn""))"),"10 件装 11 毫米 x 200 毫米彩色闪光热熔胶棒着色剂 DIY 工艺品修复模型胶棒")</f>
        <v>10 件装 11 毫米 x 200 毫米彩色闪光热熔胶棒着色剂 DIY 工艺品修复模型胶棒</v>
      </c>
      <c r="E260" s="1" t="str">
        <f>IFERROR(__xludf.DUMMYFUNCTION("CONCATENATE(GOOGLETRANSLATE(C260, ""en"", ""ko""))"),"10Pcs 11mm x 200mm 다채로운 반짝이 핫멜트 접착제 스틱 착색제 DIY 공예 수리 모델 접착 스틱")</f>
        <v>10Pcs 11mm x 200mm 다채로운 반짝이 핫멜트 접착제 스틱 착색제 DIY 공예 수리 모델 접착 스틱</v>
      </c>
      <c r="F260" s="1" t="str">
        <f>IFERROR(__xludf.DUMMYFUNCTION("CONCATENATE(GOOGLETRANSLATE(C260, ""en"", ""ja""))"),"10 個 11 ミリメートル × 200 ミリメートルカラフルなグリッターホットメルト接着剤スティック着色剤 DIY 工芸品修理モデル粘着スティック")</f>
        <v>10 個 11 ミリメートル × 200 ミリメートルカラフルなグリッターホットメルト接着剤スティック着色剤 DIY 工芸品修理モデル粘着スティック</v>
      </c>
    </row>
    <row r="261" ht="15.75" customHeight="1">
      <c r="A261" s="1">
        <v>1726.0</v>
      </c>
      <c r="B261" s="1" t="s">
        <v>15</v>
      </c>
      <c r="C261" s="1" t="s">
        <v>250</v>
      </c>
      <c r="D261" s="1" t="str">
        <f>IFERROR(__xludf.DUMMYFUNCTION("CONCATENATE(GOOGLETRANSLATE(C261, ""en"", ""zh-cn""))"),"古董黄铜三角阀浴室配件 G1/2 黄铜角截止阀填充阀方形")</f>
        <v>古董黄铜三角阀浴室配件 G1/2 黄铜角截止阀填充阀方形</v>
      </c>
      <c r="E261" s="1" t="str">
        <f>IFERROR(__xludf.DUMMYFUNCTION("CONCATENATE(GOOGLETRANSLATE(C261, ""en"", ""ko""))"),"골동품 황동 삼각형 밸브 욕실 액세서리 G1/2 황동 앵글 스톱 밸브 필링 밸브 스퀘어 타입")</f>
        <v>골동품 황동 삼각형 밸브 욕실 액세서리 G1/2 황동 앵글 스톱 밸브 필링 밸브 스퀘어 타입</v>
      </c>
      <c r="F261" s="1" t="str">
        <f>IFERROR(__xludf.DUMMYFUNCTION("CONCATENATE(GOOGLETRANSLATE(C261, ""en"", ""ja""))"),"アンティーク真鍮三角バルブバスルームアクセサリー G1/2 真鍮アングルストップバルブ充填バルブ角型")</f>
        <v>アンティーク真鍮三角バルブバスルームアクセサリー G1/2 真鍮アングルストップバルブ充填バルブ角型</v>
      </c>
    </row>
    <row r="262" ht="15.75" customHeight="1">
      <c r="A262" s="1">
        <v>1727.0</v>
      </c>
      <c r="B262" s="1" t="s">
        <v>15</v>
      </c>
      <c r="C262" s="1" t="s">
        <v>251</v>
      </c>
      <c r="D262" s="1" t="str">
        <f>IFERROR(__xludf.DUMMYFUNCTION("CONCATENATE(GOOGLETRANSLATE(C262, ""en"", ""zh-cn""))"),"丝绒收纳脚凳沙发脚凳脚凳化妆梳妆台凳子收纳盒长凳座椅椅子家用办公家具")</f>
        <v>丝绒收纳脚凳沙发脚凳脚凳化妆梳妆台凳子收纳盒长凳座椅椅子家用办公家具</v>
      </c>
      <c r="E262" s="1" t="str">
        <f>IFERROR(__xludf.DUMMYFUNCTION("CONCATENATE(GOOGLETRANSLATE(C262, ""en"", ""ko""))"),"벨벳 보관 발판 소파 오토만 발판 메이크업 드레싱 테이블 의자 보관 상자 벤치 좌석 의자 홈 오피스 가구")</f>
        <v>벨벳 보관 발판 소파 오토만 발판 메이크업 드레싱 테이블 의자 보관 상자 벤치 좌석 의자 홈 오피스 가구</v>
      </c>
      <c r="F262" s="1" t="str">
        <f>IFERROR(__xludf.DUMMYFUNCTION("CONCATENATE(GOOGLETRANSLATE(C262, ""en"", ""ja""))"),"ベルベット収納フットスツールソファオットマンフットレスト化粧ドレッシングテーブルスツール収納ボックスベンチシートチェアホームオフィス家具")</f>
        <v>ベルベット収納フットスツールソファオットマンフットレスト化粧ドレッシングテーブルスツール収納ボックスベンチシートチェアホームオフィス家具</v>
      </c>
    </row>
    <row r="263" ht="15.75" customHeight="1">
      <c r="A263" s="1">
        <v>1728.0</v>
      </c>
      <c r="B263" s="1" t="s">
        <v>15</v>
      </c>
      <c r="C263" s="1" t="s">
        <v>252</v>
      </c>
      <c r="D263" s="1" t="str">
        <f>IFERROR(__xludf.DUMMYFUNCTION("CONCATENATE(GOOGLETRANSLATE(C263, ""en"", ""zh-cn""))"),"高背椅垫防水沙发躺椅垫座椅靠背垫榻榻米垫适用于办公室家庭庭院后院花园")</f>
        <v>高背椅垫防水沙发躺椅垫座椅靠背垫榻榻米垫适用于办公室家庭庭院后院花园</v>
      </c>
      <c r="E263" s="1" t="str">
        <f>IFERROR(__xludf.DUMMYFUNCTION("CONCATENATE(GOOGLETRANSLATE(C263, ""en"", ""ko""))"),"하이 백 의자 쿠션 방수 소파 안락 의자 의자 쿠션 시트 백 패드 다다미 매트 사무실 홈 파티오 뒷마당 정원")</f>
        <v>하이 백 의자 쿠션 방수 소파 안락 의자 의자 쿠션 시트 백 패드 다다미 매트 사무실 홈 파티오 뒷마당 정원</v>
      </c>
      <c r="F263" s="1" t="str">
        <f>IFERROR(__xludf.DUMMYFUNCTION("CONCATENATE(GOOGLETRANSLATE(C263, ""en"", ""ja""))"),"ハイバックチェアクッション防水ソファリクライニングチェアクッションシートバックパッド畳オフィスホームパティオ裏庭庭用")</f>
        <v>ハイバックチェアクッション防水ソファリクライニングチェアクッションシートバックパッド畳オフィスホームパティオ裏庭庭用</v>
      </c>
    </row>
    <row r="264" ht="15.75" customHeight="1">
      <c r="A264" s="1">
        <v>1729.0</v>
      </c>
      <c r="B264" s="1" t="s">
        <v>15</v>
      </c>
      <c r="C264" s="1" t="s">
        <v>253</v>
      </c>
      <c r="D264" s="1" t="str">
        <f>IFERROR(__xludf.DUMMYFUNCTION("CONCATENATE(GOOGLETRANSLATE(C264, ""en"", ""zh-cn""))"),"高背椅座垫办公椅躺椅椅垫抱枕软沙发汽车座垫垫家用办公家具装饰品")</f>
        <v>高背椅座垫办公椅躺椅椅垫抱枕软沙发汽车座垫垫家用办公家具装饰品</v>
      </c>
      <c r="E264" s="1" t="str">
        <f>IFERROR(__xludf.DUMMYFUNCTION("CONCATENATE(GOOGLETRANSLATE(C264, ""en"", ""ko""))"),"높은 뒤 의자 좌석 쿠션 사무실 의자 안락 의자 의자 패드 베개 부드러운 소파 자동차 좌석 쿠션 매트 홈 오피스 가구 장식")</f>
        <v>높은 뒤 의자 좌석 쿠션 사무실 의자 안락 의자 의자 패드 베개 부드러운 소파 자동차 좌석 쿠션 매트 홈 오피스 가구 장식</v>
      </c>
      <c r="F264" s="1" t="str">
        <f>IFERROR(__xludf.DUMMYFUNCTION("CONCATENATE(GOOGLETRANSLATE(C264, ""en"", ""ja""))"),"ハイバックチェアシートクッションオフィスチェアリクライニングチェアパッド枕ソフトソファカーシートクッションマットホームオフィス家具装飾")</f>
        <v>ハイバックチェアシートクッションオフィスチェアリクライニングチェアパッド枕ソフトソファカーシートクッションマットホームオフィス家具装飾</v>
      </c>
    </row>
    <row r="265" ht="15.75" customHeight="1">
      <c r="A265" s="1">
        <v>1730.0</v>
      </c>
      <c r="B265" s="1" t="s">
        <v>15</v>
      </c>
      <c r="C265" s="1" t="s">
        <v>254</v>
      </c>
      <c r="D265" s="1" t="str">
        <f>IFERROR(__xludf.DUMMYFUNCTION("CONCATENATE(GOOGLETRANSLATE(C265, ""en"", ""zh-cn""))"),"婴儿幼儿如厕训练器如厕带可调节梯子安全座椅椅子台阶")</f>
        <v>婴儿幼儿如厕训练器如厕带可调节梯子安全座椅椅子台阶</v>
      </c>
      <c r="E265" s="1" t="str">
        <f>IFERROR(__xludf.DUMMYFUNCTION("CONCATENATE(GOOGLETRANSLATE(C265, ""en"", ""ko""))"),"조절 가능한 사다리 안전 좌석 의자 단계가 포함된 유아용 화장실 트레이너 변기")</f>
        <v>조절 가능한 사다리 안전 좌석 의자 단계가 포함된 유아용 화장실 트레이너 변기</v>
      </c>
      <c r="F265" s="1" t="str">
        <f>IFERROR(__xludf.DUMMYFUNCTION("CONCATENATE(GOOGLETRANSLATE(C265, ""en"", ""ja""))"),"調節可能なはしご安全シートチェアステップ付きベビー幼児トイレトレーナートイレ")</f>
        <v>調節可能なはしご安全シートチェアステップ付きベビー幼児トイレトレーナートイレ</v>
      </c>
    </row>
    <row r="266" ht="15.75" customHeight="1">
      <c r="A266" s="1">
        <v>1731.0</v>
      </c>
      <c r="B266" s="1" t="s">
        <v>15</v>
      </c>
      <c r="C266" s="1" t="s">
        <v>255</v>
      </c>
      <c r="D266" s="1" t="str">
        <f>IFERROR(__xludf.DUMMYFUNCTION("CONCATENATE(GOOGLETRANSLATE(C266, ""en"", ""zh-cn""))"),"YOUHUA 2006 5/6 层花卉植物架室内金属盆栽展示架")</f>
        <v>YOUHUA 2006 5/6 层花卉植物架室内金属盆栽展示架</v>
      </c>
      <c r="E266" s="1" t="str">
        <f>IFERROR(__xludf.DUMMYFUNCTION("CONCATENATE(GOOGLETRANSLATE(C266, ""en"", ""ko""))"),"YOUHUA 2006 5/6층 꽃 식물 스탠드 실내 금속 화분 스탠드 디스플레이")</f>
        <v>YOUHUA 2006 5/6층 꽃 식물 스탠드 실내 금속 화분 스탠드 디스플레이</v>
      </c>
      <c r="F266" s="1" t="str">
        <f>IFERROR(__xludf.DUMMYFUNCTION("CONCATENATE(GOOGLETRANSLATE(C266, ""en"", ""ja""))"),"YOUHUA 2006 5/6 段花植物スタンド屋内金属ポットスタンダーディスプレイ")</f>
        <v>YOUHUA 2006 5/6 段花植物スタンド屋内金属ポットスタンダーディスプレイ</v>
      </c>
    </row>
    <row r="267" ht="15.75" customHeight="1">
      <c r="A267" s="1">
        <v>1732.0</v>
      </c>
      <c r="B267" s="1" t="s">
        <v>15</v>
      </c>
      <c r="C267" s="1" t="s">
        <v>256</v>
      </c>
      <c r="D267" s="1" t="str">
        <f>IFERROR(__xludf.DUMMYFUNCTION("CONCATENATE(GOOGLETRANSLATE(C267, ""en"", ""zh-cn""))"),"3/4 层储物架家用浴室淋浴架厨房浴室支架收纳架")</f>
        <v>3/4 层储物架家用浴室淋浴架厨房浴室支架收纳架</v>
      </c>
      <c r="E267" s="1" t="str">
        <f>IFERROR(__xludf.DUMMYFUNCTION("CONCATENATE(GOOGLETRANSLATE(C267, ""en"", ""ko""))"),"3/4 레이어 스토리지 랙 홈 욕실 샤워 선반 주방 목욕 홀더 주최자")</f>
        <v>3/4 레이어 스토리지 랙 홈 욕실 샤워 선반 주방 목욕 홀더 주최자</v>
      </c>
      <c r="F267" s="1" t="str">
        <f>IFERROR(__xludf.DUMMYFUNCTION("CONCATENATE(GOOGLETRANSLATE(C267, ""en"", ""ja""))"),"3/4 層収納ラックホームバスルームのシャワー棚キッチンバスホルダーオーガナイザー")</f>
        <v>3/4 層収納ラックホームバスルームのシャワー棚キッチンバスホルダーオーガナイザー</v>
      </c>
    </row>
    <row r="268" ht="15.75" customHeight="1">
      <c r="A268" s="1">
        <v>1733.0</v>
      </c>
      <c r="B268" s="1" t="s">
        <v>15</v>
      </c>
      <c r="C268" s="1" t="s">
        <v>257</v>
      </c>
      <c r="D268" s="1" t="str">
        <f>IFERROR(__xludf.DUMMYFUNCTION("CONCATENATE(GOOGLETRANSLATE(C268, ""en"", ""zh-cn""))"),"卧室浴室门圆形杠杆手柄旋钮锁不锈钢")</f>
        <v>卧室浴室门圆形杠杆手柄旋钮锁不锈钢</v>
      </c>
      <c r="E268" s="1" t="str">
        <f>IFERROR(__xludf.DUMMYFUNCTION("CONCATENATE(GOOGLETRANSLATE(C268, ""en"", ""ko""))"),"침실 욕실 문 원형 레버 손잡이 손잡이 잠금 장치 스테인레스 스틸")</f>
        <v>침실 욕실 문 원형 레버 손잡이 손잡이 잠금 장치 스테인레스 스틸</v>
      </c>
      <c r="F268" s="1" t="str">
        <f>IFERROR(__xludf.DUMMYFUNCTION("CONCATENATE(GOOGLETRANSLATE(C268, ""en"", ""ja""))"),"寝室の浴室のドアラウンドレバーハンドルノブロックステンレス鋼")</f>
        <v>寝室の浴室のドアラウンドレバーハンドルノブロックステンレス鋼</v>
      </c>
    </row>
    <row r="269" ht="15.75" customHeight="1">
      <c r="A269" s="1">
        <v>1734.0</v>
      </c>
      <c r="B269" s="1" t="s">
        <v>15</v>
      </c>
      <c r="C269" s="1" t="s">
        <v>258</v>
      </c>
      <c r="D269" s="1" t="str">
        <f>IFERROR(__xludf.DUMMYFUNCTION("CONCATENATE(GOOGLETRANSLATE(C269, ""en"", ""zh-cn""))"),"USB电脑桌多功能便携式床上电脑桌懒人可折叠懒人笔记本电脑桌家庭办公宿舍")</f>
        <v>USB电脑桌多功能便携式床上电脑桌懒人可折叠懒人笔记本电脑桌家庭办公宿舍</v>
      </c>
      <c r="E269" s="1" t="str">
        <f>IFERROR(__xludf.DUMMYFUNCTION("CONCATENATE(GOOGLETRANSLATE(C269, ""en"", ""ko""))"),"USB 컴퓨터 책상 다기능 휴대용 침대 컴퓨터 책상 홈 오피스 기숙사를위한 게으른 접이식 게으른 노트북 테이블")</f>
        <v>USB 컴퓨터 책상 다기능 휴대용 침대 컴퓨터 책상 홈 오피스 기숙사를위한 게으른 접이식 게으른 노트북 테이블</v>
      </c>
      <c r="F269" s="1" t="str">
        <f>IFERROR(__xludf.DUMMYFUNCTION("CONCATENATE(GOOGLETRANSLATE(C269, ""en"", ""ja""))"),"USBコンピュータデスク多機能ポータブルベッドコンピュータデスク怠惰な折りたたみ式怠惰なラップトップテーブルホームオフィス寮用")</f>
        <v>USBコンピュータデスク多機能ポータブルベッドコンピュータデスク怠惰な折りたたみ式怠惰なラップトップテーブルホームオフィス寮用</v>
      </c>
    </row>
    <row r="270" ht="15.75" customHeight="1">
      <c r="A270" s="1">
        <v>1735.0</v>
      </c>
      <c r="B270" s="1" t="s">
        <v>15</v>
      </c>
      <c r="C270" s="1" t="s">
        <v>259</v>
      </c>
      <c r="D270" s="1" t="str">
        <f>IFERROR(__xludf.DUMMYFUNCTION("CONCATENATE(GOOGLETRANSLATE(C270, ""en"", ""zh-cn""))"),"可调节笔记本电脑桌可移动床头柜书写小书桌升降桌家庭宿舍移动床头柜")</f>
        <v>可调节笔记本电脑桌可移动床头柜书写小书桌升降桌家庭宿舍移动床头柜</v>
      </c>
      <c r="E270" s="1" t="str">
        <f>IFERROR(__xludf.DUMMYFUNCTION("CONCATENATE(GOOGLETRANSLATE(C270, ""en"", ""ko""))"),"조정 가능한 노트북 책상 이동식 침대 책상 쓰기 작은 책상 리프팅 책상 홈 기숙사 용 모바일 침대 옆 테이블")</f>
        <v>조정 가능한 노트북 책상 이동식 침대 책상 쓰기 작은 책상 리프팅 책상 홈 기숙사 용 모바일 침대 옆 테이블</v>
      </c>
      <c r="F270" s="1" t="str">
        <f>IFERROR(__xludf.DUMMYFUNCTION("CONCATENATE(GOOGLETRANSLATE(C270, ""en"", ""ja""))"),"調節可能なラップトップデスク可動ベッドデスクライティング小型デスクリフティングデスクモバイルベッドサイドテーブル自宅寮用")</f>
        <v>調節可能なラップトップデスク可動ベッドデスクライティング小型デスクリフティングデスクモバイルベッドサイドテーブル自宅寮用</v>
      </c>
    </row>
    <row r="271" ht="15.75" customHeight="1">
      <c r="A271" s="1">
        <v>1736.0</v>
      </c>
      <c r="B271" s="1" t="s">
        <v>15</v>
      </c>
      <c r="C271" s="1" t="s">
        <v>260</v>
      </c>
      <c r="D271" s="1" t="str">
        <f>IFERROR(__xludf.DUMMYFUNCTION("CONCATENATE(GOOGLETRANSLATE(C271, ""en"", ""zh-cn""))"),"12 件装防滑握把防滑浴缸安全贴纸淋浴地板")</f>
        <v>12 件装防滑握把防滑浴缸安全贴纸淋浴地板</v>
      </c>
      <c r="E271" s="1" t="str">
        <f>IFERROR(__xludf.DUMMYFUNCTION("CONCATENATE(GOOGLETRANSLATE(C271, ""en"", ""ko""))"),"12개 미끄럼 방지 그립 스트립 미끄럼 방지 욕조 안전 스티커 샤워 바닥")</f>
        <v>12개 미끄럼 방지 그립 스트립 미끄럼 방지 욕조 안전 스티커 샤워 바닥</v>
      </c>
      <c r="F271" s="1" t="str">
        <f>IFERROR(__xludf.DUMMYFUNCTION("CONCATENATE(GOOGLETRANSLATE(C271, ""en"", ""ja""))"),"12 個の滑り止めグリップストリップ滑り止め浴槽安全ステッカーシャワーフロア")</f>
        <v>12 個の滑り止めグリップストリップ滑り止め浴槽安全ステッカーシャワーフロア</v>
      </c>
    </row>
    <row r="272" ht="15.75" customHeight="1">
      <c r="A272" s="1">
        <v>1737.0</v>
      </c>
      <c r="B272" s="1" t="s">
        <v>15</v>
      </c>
      <c r="C272" s="1" t="s">
        <v>261</v>
      </c>
      <c r="D272" s="1" t="str">
        <f>IFERROR(__xludf.DUMMYFUNCTION("CONCATENATE(GOOGLETRANSLATE(C272, ""en"", ""zh-cn""))"),"2 合 1 可折叠便携式婴儿床和背包婴儿床儿童房旅行床蚊子")</f>
        <v>2 合 1 可折叠便携式婴儿床和背包婴儿床儿童房旅行床蚊子</v>
      </c>
      <c r="E272" s="1" t="str">
        <f>IFERROR(__xludf.DUMMYFUNCTION("CONCATENATE(GOOGLETRANSLATE(C272, ""en"", ""ko""))"),"2 IN 1 접이식 휴대용 아기 침대 및 배낭 유아용 침대 보육 여행용 침대 모기")</f>
        <v>2 IN 1 접이식 휴대용 아기 침대 및 배낭 유아용 침대 보육 여행용 침대 모기</v>
      </c>
      <c r="F272" s="1" t="str">
        <f>IFERROR(__xludf.DUMMYFUNCTION("CONCATENATE(GOOGLETRANSLATE(C272, ""en"", ""ja""))"),"2 IN 1 折りたたみ式ポータブルベビーベッド &amp; バックパックベビーベッド保育園旅行用ベビーベッド蚊")</f>
        <v>2 IN 1 折りたたみ式ポータブルベビーベッド &amp; バックパックベビーベッド保育園旅行用ベビーベッド蚊</v>
      </c>
    </row>
    <row r="273" ht="15.75" customHeight="1">
      <c r="A273" s="1">
        <v>1738.0</v>
      </c>
      <c r="B273" s="1" t="s">
        <v>15</v>
      </c>
      <c r="C273" s="1" t="s">
        <v>262</v>
      </c>
      <c r="D273" s="1" t="str">
        <f>IFERROR(__xludf.DUMMYFUNCTION("CONCATENATE(GOOGLETRANSLATE(C273, ""en"", ""zh-cn""))"),"厨房排水管储物架水槽海绵洗碗巾收纳架布架架子")</f>
        <v>厨房排水管储物架水槽海绵洗碗巾收纳架布架架子</v>
      </c>
      <c r="E273" s="1" t="str">
        <f>IFERROR(__xludf.DUMMYFUNCTION("CONCATENATE(GOOGLETRANSLATE(C273, ""en"", ""ko""))"),"주방 배수 보관함 싱크대 스폰지 접시 수건 정리 천 홀더 선반")</f>
        <v>주방 배수 보관함 싱크대 스폰지 접시 수건 정리 천 홀더 선반</v>
      </c>
      <c r="F273" s="1" t="str">
        <f>IFERROR(__xludf.DUMMYFUNCTION("CONCATENATE(GOOGLETRANSLATE(C273, ""en"", ""ja""))"),"キッチン排水管収納ラックシンクスポンジディッシュタオルオーガナイザー布ホルダー棚")</f>
        <v>キッチン排水管収納ラックシンクスポンジディッシュタオルオーガナイザー布ホルダー棚</v>
      </c>
    </row>
    <row r="274" ht="15.75" customHeight="1">
      <c r="A274" s="1">
        <v>1739.0</v>
      </c>
      <c r="B274" s="1" t="s">
        <v>15</v>
      </c>
      <c r="C274" s="1" t="s">
        <v>263</v>
      </c>
      <c r="D274" s="1" t="str">
        <f>IFERROR(__xludf.DUMMYFUNCTION("CONCATENATE(GOOGLETRANSLATE(C274, ""en"", ""zh-cn""))"),"MUMAREN ZJBGZWJ 壁挂式储物架质朴浮动地幔书架家居装饰")</f>
        <v>MUMAREN ZJBGZWJ 壁挂式储物架质朴浮动地幔书架家居装饰</v>
      </c>
      <c r="E274" s="1" t="str">
        <f>IFERROR(__xludf.DUMMYFUNCTION("CONCATENATE(GOOGLETRANSLATE(C274, ""en"", ""ko""))"),"MUMAREN ZJBGZWJ 벽걸이형 보관 선반 소박한 플로팅 맨틀 책장 홈 장식")</f>
        <v>MUMAREN ZJBGZWJ 벽걸이형 보관 선반 소박한 플로팅 맨틀 책장 홈 장식</v>
      </c>
      <c r="F274" s="1" t="str">
        <f>IFERROR(__xludf.DUMMYFUNCTION("CONCATENATE(GOOGLETRANSLATE(C274, ""en"", ""ja""))"),"MUMAREN ZJBGZWJ 壁掛け収納棚素朴なフローティングマントル本棚家の装飾")</f>
        <v>MUMAREN ZJBGZWJ 壁掛け収納棚素朴なフローティングマントル本棚家の装飾</v>
      </c>
    </row>
    <row r="275" ht="15.75" customHeight="1">
      <c r="A275" s="1">
        <v>1740.0</v>
      </c>
      <c r="B275" s="1" t="s">
        <v>15</v>
      </c>
      <c r="C275" s="1" t="s">
        <v>264</v>
      </c>
      <c r="D275" s="1" t="str">
        <f>IFERROR(__xludf.DUMMYFUNCTION("CONCATENATE(GOOGLETRANSLATE(C275, ""en"", ""zh-cn""))"),"壁挂式收纳架儿童房装饰置物架粉色黄色紫色")</f>
        <v>壁挂式收纳架儿童房装饰置物架粉色黄色紫色</v>
      </c>
      <c r="E275" s="1" t="str">
        <f>IFERROR(__xludf.DUMMYFUNCTION("CONCATENATE(GOOGLETRANSLATE(C275, ""en"", ""ko""))"),"잘 고정된 저장 선반 아이들 방 장식적인 선반 분홍색 노란 자주색")</f>
        <v>잘 고정된 저장 선반 아이들 방 장식적인 선반 분홍색 노란 자주색</v>
      </c>
      <c r="F275" s="1" t="str">
        <f>IFERROR(__xludf.DUMMYFUNCTION("CONCATENATE(GOOGLETRANSLATE(C275, ""en"", ""ja""))"),"壁掛け収納ラック子供部屋装飾棚ピンクイエローパープル")</f>
        <v>壁掛け収納ラック子供部屋装飾棚ピンクイエローパープル</v>
      </c>
    </row>
    <row r="276" ht="15.75" customHeight="1">
      <c r="A276" s="1">
        <v>1741.0</v>
      </c>
      <c r="B276" s="1" t="s">
        <v>15</v>
      </c>
      <c r="C276" s="1" t="s">
        <v>265</v>
      </c>
      <c r="D276" s="1" t="str">
        <f>IFERROR(__xludf.DUMMYFUNCTION("CONCATENATE(GOOGLETRANSLATE(C276, ""en"", ""zh-cn""))"),"1/2/3 座弹性毛绒沙发套通用加厚纯色沙发椅座椅保护套弹力沙发套家用办公家具装饰")</f>
        <v>1/2/3 座弹性毛绒沙发套通用加厚纯色沙发椅座椅保护套弹力沙发套家用办公家具装饰</v>
      </c>
      <c r="E276" s="1" t="str">
        <f>IFERROR(__xludf.DUMMYFUNCTION("CONCATENATE(GOOGLETRANSLATE(C276, ""en"", ""ko""))"),"1/2/3 Seaters 탄성 플러시 소파 커버 유니버설 두꺼운 순수 컬러 소파 의자 좌석 보호대 스트레치 슬립 커버 소파 케이스 홈 오피스 가구 장식")</f>
        <v>1/2/3 Seaters 탄성 플러시 소파 커버 유니버설 두꺼운 순수 컬러 소파 의자 좌석 보호대 스트레치 슬립 커버 소파 케이스 홈 오피스 가구 장식</v>
      </c>
      <c r="F276" s="1" t="str">
        <f>IFERROR(__xludf.DUMMYFUNCTION("CONCATENATE(GOOGLETRANSLATE(C276, ""en"", ""ja""))"),"1/2/3 人乗り弾性ぬいぐるみソファカバーユニバーサル厚い純粋な色のソファ椅子シートプロテクターストレッチスリップカバーソファケースホームオフィス家具装飾")</f>
        <v>1/2/3 人乗り弾性ぬいぐるみソファカバーユニバーサル厚い純粋な色のソファ椅子シートプロテクターストレッチスリップカバーソファケースホームオフィス家具装飾</v>
      </c>
    </row>
    <row r="277" ht="15.75" customHeight="1">
      <c r="A277" s="1">
        <v>1742.0</v>
      </c>
      <c r="B277" s="1" t="s">
        <v>15</v>
      </c>
      <c r="C277" s="1" t="s">
        <v>266</v>
      </c>
      <c r="D277" s="1" t="str">
        <f>IFERROR(__xludf.DUMMYFUNCTION("CONCATENATE(GOOGLETRANSLATE(C277, ""en"", ""zh-cn""))"),"1/3/5m 25/45mm 通用实用汽车成型装饰条汽车防撞条防刮花")</f>
        <v>1/3/5m 25/45mm 通用实用汽车成型装饰条汽车防撞条防刮花</v>
      </c>
      <c r="E277" s="1" t="str">
        <f>IFERROR(__xludf.DUMMYFUNCTION("CONCATENATE(GOOGLETRANSLATE(C277, ""en"", ""ko""))"),"1/3/5m 25/45mm 범용 실용 자동 몰딩 트림 자동차 충돌 방지 스트립 스크래치")</f>
        <v>1/3/5m 25/45mm 범용 실용 자동 몰딩 트림 자동차 충돌 방지 스트립 스크래치</v>
      </c>
      <c r="F277" s="1" t="str">
        <f>IFERROR(__xludf.DUMMYFUNCTION("CONCATENATE(GOOGLETRANSLATE(C277, ""en"", ""ja""))"),"1/3/5 メートル 25/45 ミリメートルユニバーサル実用的な自動成形トリム車衝突防止ストリップスクラッチ")</f>
        <v>1/3/5 メートル 25/45 ミリメートルユニバーサル実用的な自動成形トリム車衝突防止ストリップスクラッチ</v>
      </c>
    </row>
    <row r="278" ht="15.75" customHeight="1">
      <c r="A278" s="1">
        <v>1743.0</v>
      </c>
      <c r="B278" s="1" t="s">
        <v>15</v>
      </c>
      <c r="C278" s="1" t="s">
        <v>267</v>
      </c>
      <c r="D278" s="1" t="str">
        <f>IFERROR(__xludf.DUMMYFUNCTION("CONCATENATE(GOOGLETRANSLATE(C278, ""en"", ""zh-cn""))"),"浴室厨房止水条分隔硅胶隔断条高度30MM")</f>
        <v>浴室厨房止水条分隔硅胶隔断条高度30MM</v>
      </c>
      <c r="E278" s="1" t="str">
        <f>IFERROR(__xludf.DUMMYFUNCTION("CONCATENATE(GOOGLETRANSLATE(C278, ""en"", ""ko""))"),"욕실 주방 워터 스토퍼 분리 실리콘 파티션 스트립 높이 30MM")</f>
        <v>욕실 주방 워터 스토퍼 분리 실리콘 파티션 스트립 높이 30MM</v>
      </c>
      <c r="F278" s="1" t="str">
        <f>IFERROR(__xludf.DUMMYFUNCTION("CONCATENATE(GOOGLETRANSLATE(C278, ""en"", ""ja""))"),"浴室のキッチン止水栓分離シリコーンパーティションストリップ高さ30MM")</f>
        <v>浴室のキッチン止水栓分離シリコーンパーティションストリップ高さ30MM</v>
      </c>
    </row>
    <row r="279" ht="15.75" customHeight="1">
      <c r="A279" s="1">
        <v>1744.0</v>
      </c>
      <c r="B279" s="1" t="s">
        <v>15</v>
      </c>
      <c r="C279" s="1" t="s">
        <v>268</v>
      </c>
      <c r="D279" s="1" t="str">
        <f>IFERROR(__xludf.DUMMYFUNCTION("CONCATENATE(GOOGLETRANSLATE(C279, ""en"", ""zh-cn""))"),"Suleve通用水龙头加长器1080度旋转延长器防溅过滤起泡器旋转网嘴防溅头双模式水龙头延长器浴室厨房节水装置")</f>
        <v>Suleve通用水龙头加长器1080度旋转延长器防溅过滤起泡器旋转网嘴防溅头双模式水龙头延长器浴室厨房节水装置</v>
      </c>
      <c r="E279" s="1" t="str">
        <f>IFERROR(__xludf.DUMMYFUNCTION("CONCATENATE(GOOGLETRANSLATE(C279, ""en"", ""ko""))"),"Suleve 범용 ​​수도꼭지 Areaator 1080도 회전 익스텐더 스플래시 필터 버블러 회전 메쉬 입 안티 스플래시 헤드 욕실 주방을 위한 듀얼 모드 수도꼭지 익스텐더 물 절약 장치")</f>
        <v>Suleve 범용 ​​수도꼭지 Areaator 1080도 회전 익스텐더 스플래시 필터 버블러 회전 메쉬 입 안티 스플래시 헤드 욕실 주방을 위한 듀얼 모드 수도꼭지 익스텐더 물 절약 장치</v>
      </c>
      <c r="F279" s="1" t="str">
        <f>IFERROR(__xludf.DUMMYFUNCTION("CONCATENATE(GOOGLETRANSLATE(C279, ""en"", ""ja""))"),"Suleve ユニバーサル蛇口エリアター 1080 度回転エクステンダー スプラッシュフィルターバブラー回転メッシュ口アンチスプラッシュヘッドデュアルモード蛇口エクステンダー節水装置浴室キッチン用")</f>
        <v>Suleve ユニバーサル蛇口エリアター 1080 度回転エクステンダー スプラッシュフィルターバブラー回転メッシュ口アンチスプラッシュヘッドデュアルモード蛇口エクステンダー節水装置浴室キッチン用</v>
      </c>
    </row>
    <row r="280" ht="15.75" customHeight="1">
      <c r="A280" s="1">
        <v>1745.0</v>
      </c>
      <c r="B280" s="1" t="s">
        <v>15</v>
      </c>
      <c r="C280" s="1" t="s">
        <v>269</v>
      </c>
      <c r="D280" s="1" t="str">
        <f>IFERROR(__xludf.DUMMYFUNCTION("CONCATENATE(GOOGLETRANSLATE(C280, ""en"", ""zh-cn""))"),"索尔诺 Z674 4 层储物架铁艺浴室厨房置物架白色/棕色")</f>
        <v>索尔诺 Z674 4 层储物架铁艺浴室厨房置物架白色/棕色</v>
      </c>
      <c r="E280" s="1" t="str">
        <f>IFERROR(__xludf.DUMMYFUNCTION("CONCATENATE(GOOGLETRANSLATE(C280, ""en"", ""ko""))"),"SUOERNUO Z674 4겹 스토리지 랙 단철 욕실 주방 선반 화이트/브라운")</f>
        <v>SUOERNUO Z674 4겹 스토리지 랙 단철 욕실 주방 선반 화이트/브라운</v>
      </c>
      <c r="F280" s="1" t="str">
        <f>IFERROR(__xludf.DUMMYFUNCTION("CONCATENATE(GOOGLETRANSLATE(C280, ""en"", ""ja""))"),"SUOERNUO Z674 4層収納ラック錬鉄製バスルームキッチンシェルフホワイト/ブラウン")</f>
        <v>SUOERNUO Z674 4層収納ラック錬鉄製バスルームキッチンシェルフホワイト/ブラウン</v>
      </c>
    </row>
    <row r="281" ht="15.75" customHeight="1">
      <c r="A281" s="1">
        <v>1746.0</v>
      </c>
      <c r="B281" s="1" t="s">
        <v>15</v>
      </c>
      <c r="C281" s="1" t="s">
        <v>270</v>
      </c>
      <c r="D281" s="1" t="str">
        <f>IFERROR(__xludf.DUMMYFUNCTION("CONCATENATE(GOOGLETRANSLATE(C281, ""en"", ""zh-cn""))"),"洗衣机上方 2 层浴室储物架卫生间落地架")</f>
        <v>洗衣机上方 2 层浴室储物架卫生间落地架</v>
      </c>
      <c r="E281" s="1" t="str">
        <f>IFERROR(__xludf.DUMMYFUNCTION("CONCATENATE(GOOGLETRANSLATE(C281, ""en"", ""ko""))"),"세탁기 화장실 바닥 스탠딩 랙 위의 2단 욕실 보관 선반")</f>
        <v>세탁기 화장실 바닥 스탠딩 랙 위의 2단 욕실 보관 선반</v>
      </c>
      <c r="F281" s="1" t="str">
        <f>IFERROR(__xludf.DUMMYFUNCTION("CONCATENATE(GOOGLETRANSLATE(C281, ""en"", ""ja""))"),"2段バスルーム収納棚洗濯機トイレ床置きラックの上")</f>
        <v>2段バスルーム収納棚洗濯機トイレ床置きラックの上</v>
      </c>
    </row>
    <row r="282" ht="15.75" customHeight="1">
      <c r="A282" s="1">
        <v>1747.0</v>
      </c>
      <c r="B282" s="1" t="s">
        <v>15</v>
      </c>
      <c r="C282" s="1" t="s">
        <v>271</v>
      </c>
      <c r="D282" s="1" t="str">
        <f>IFERROR(__xludf.DUMMYFUNCTION("CONCATENATE(GOOGLETRANSLATE(C282, ""en"", ""zh-cn""))"),"2 层厨房/浴室储物架独立式搁板节省空间")</f>
        <v>2 层厨房/浴室储物架独立式搁板节省空间</v>
      </c>
      <c r="E282" s="1" t="str">
        <f>IFERROR(__xludf.DUMMYFUNCTION("CONCATENATE(GOOGLETRANSLATE(C282, ""en"", ""ko""))"),"2단 주방/욕실 보관함 독립형 선반 공간 절약")</f>
        <v>2단 주방/욕실 보관함 독립형 선반 공간 절약</v>
      </c>
      <c r="F282" s="1" t="str">
        <f>IFERROR(__xludf.DUMMYFUNCTION("CONCATENATE(GOOGLETRANSLATE(C282, ""en"", ""ja""))"),"2段キッチン/バスルーム収納ラック自立棚スペースを節約")</f>
        <v>2段キッチン/バスルーム収納ラック自立棚スペースを節約</v>
      </c>
    </row>
    <row r="283" ht="15.75" customHeight="1">
      <c r="A283" s="1">
        <v>1748.0</v>
      </c>
      <c r="B283" s="1" t="s">
        <v>15</v>
      </c>
      <c r="C283" s="1" t="s">
        <v>272</v>
      </c>
      <c r="D283" s="1" t="str">
        <f>IFERROR(__xludf.DUMMYFUNCTION("CONCATENATE(GOOGLETRANSLATE(C283, ""en"", ""zh-cn""))"),"化妆品收纳盒 360° 旋转化妆盒储物旋转架案例")</f>
        <v>化妆品收纳盒 360° 旋转化妆盒储物旋转架案例</v>
      </c>
      <c r="E283" s="1" t="str">
        <f>IFERROR(__xludf.DUMMYFUNCTION("CONCATENATE(GOOGLETRANSLATE(C283, ""en"", ""ko""))"),"화장품 정리함 360° 회전 메이크업 상자 보관함 회전 랙 케이스")</f>
        <v>화장품 정리함 360° 회전 메이크업 상자 보관함 회전 랙 케이스</v>
      </c>
      <c r="F283" s="1" t="str">
        <f>IFERROR(__xludf.DUMMYFUNCTION("CONCATENATE(GOOGLETRANSLATE(C283, ""en"", ""ja""))"),"化粧品オーガナイザー 360 度回転メイクボックス収納スピニングラックケース")</f>
        <v>化粧品オーガナイザー 360 度回転メイクボックス収納スピニングラックケース</v>
      </c>
    </row>
    <row r="284" ht="15.75" customHeight="1">
      <c r="A284" s="1">
        <v>1749.0</v>
      </c>
      <c r="B284" s="1" t="s">
        <v>15</v>
      </c>
      <c r="C284" s="1" t="s">
        <v>273</v>
      </c>
      <c r="D284" s="1" t="str">
        <f>IFERROR(__xludf.DUMMYFUNCTION("CONCATENATE(GOOGLETRANSLATE(C284, ""en"", ""zh-cn""))"),"4 层储物柜洗衣柜什锦架子抽屉办公室家用")</f>
        <v>4 层储物柜洗衣柜什锦架子抽屉办公室家用</v>
      </c>
      <c r="E284" s="1" t="str">
        <f>IFERROR(__xludf.DUMMYFUNCTION("CONCATENATE(GOOGLETRANSLATE(C284, ""en"", ""ko""))"),"4단 수납 캐비닛 세탁 찬장 다양한 선반 서랍 사무실 홈")</f>
        <v>4단 수납 캐비닛 세탁 찬장 다양한 선반 서랍 사무실 홈</v>
      </c>
      <c r="F284" s="1" t="str">
        <f>IFERROR(__xludf.DUMMYFUNCTION("CONCATENATE(GOOGLETRANSLATE(C284, ""en"", ""ja""))"),"4段収納キャビネット ランドリー食器棚 各種棚 引き出し オフィス ホーム")</f>
        <v>4段収納キャビネット ランドリー食器棚 各種棚 引き出し オフィス ホーム</v>
      </c>
    </row>
    <row r="285" ht="15.75" customHeight="1">
      <c r="A285" s="1">
        <v>1750.0</v>
      </c>
      <c r="B285" s="1" t="s">
        <v>15</v>
      </c>
      <c r="C285" s="1" t="s">
        <v>274</v>
      </c>
      <c r="D285" s="1" t="str">
        <f>IFERROR(__xludf.DUMMYFUNCTION("CONCATENATE(GOOGLETRANSLATE(C285, ""en"", ""zh-cn""))"),"5 抽屉美发沙龙美容水疗美发师收纳车推车滚动理发师")</f>
        <v>5 抽屉美发沙龙美容水疗美发师收纳车推车滚动理发师</v>
      </c>
      <c r="E285" s="1" t="str">
        <f>IFERROR(__xludf.DUMMYFUNCTION("CONCATENATE(GOOGLETRANSLATE(C285, ""en"", ""ko""))"),"서랍 5개 헤어 살롱 미용 스파 미용사 보관 카트 트롤리 롤링 이발사")</f>
        <v>서랍 5개 헤어 살롱 미용 스파 미용사 보관 카트 트롤리 롤링 이발사</v>
      </c>
      <c r="F285" s="1" t="str">
        <f>IFERROR(__xludf.DUMMYFUNCTION("CONCATENATE(GOOGLETRANSLATE(C285, ""en"", ""ja""))"),"5 引き出しヘアサロン美容スパ美容院収納カートトロリーローリング理髪店")</f>
        <v>5 引き出しヘアサロン美容スパ美容院収納カートトロリーローリング理髪店</v>
      </c>
    </row>
    <row r="286" ht="15.75" customHeight="1">
      <c r="A286" s="1">
        <v>1751.0</v>
      </c>
      <c r="B286" s="1" t="s">
        <v>15</v>
      </c>
      <c r="C286" s="1" t="s">
        <v>275</v>
      </c>
      <c r="D286" s="1" t="str">
        <f>IFERROR(__xludf.DUMMYFUNCTION("CONCATENATE(GOOGLETRANSLATE(C286, ""en"", ""zh-cn""))"),"墙壁储物架毛巾收纳架免打孔厨房浴室 30/40/50/60 厘米")</f>
        <v>墙壁储物架毛巾收纳架免打孔厨房浴室 30/40/50/60 厘米</v>
      </c>
      <c r="E286" s="1" t="str">
        <f>IFERROR(__xludf.DUMMYFUNCTION("CONCATENATE(GOOGLETRANSLATE(C286, ""en"", ""ko""))"),"벽 보관함 수건 정리함 펀치 없는 주방 욕실 30/40/50/60CM")</f>
        <v>벽 보관함 수건 정리함 펀치 없는 주방 욕실 30/40/50/60CM</v>
      </c>
      <c r="F286" s="1" t="str">
        <f>IFERROR(__xludf.DUMMYFUNCTION("CONCATENATE(GOOGLETRANSLATE(C286, ""en"", ""ja""))"),"壁収納ラック タオルオーガナイザー パンチフリー キッチン バスルーム 30/40/50/60CM")</f>
        <v>壁収納ラック タオルオーガナイザー パンチフリー キッチン バスルーム 30/40/50/60CM</v>
      </c>
    </row>
    <row r="287" ht="15.75" customHeight="1">
      <c r="A287" s="1">
        <v>1752.0</v>
      </c>
      <c r="B287" s="1" t="s">
        <v>15</v>
      </c>
      <c r="C287" s="1" t="s">
        <v>276</v>
      </c>
      <c r="D287" s="1" t="str">
        <f>IFERROR(__xludf.DUMMYFUNCTION("CONCATENATE(GOOGLETRANSLATE(C287, ""en"", ""zh-cn""))"),"文件柜抽屉柜床头柜衣柜床头柜书桌储物 2 层")</f>
        <v>文件柜抽屉柜床头柜衣柜床头柜书桌储物 2 层</v>
      </c>
      <c r="E287" s="1" t="str">
        <f>IFERROR(__xludf.DUMMYFUNCTION("CONCATENATE(GOOGLETRANSLATE(C287, ""en"", ""ko""))"),"파일 캐비넷 서랍장 침실용 탁자 옷장 침대 옆 탁자 책상 보관함 2겹")</f>
        <v>파일 캐비넷 서랍장 침실용 탁자 옷장 침대 옆 탁자 책상 보관함 2겹</v>
      </c>
      <c r="F287" s="1" t="str">
        <f>IFERROR(__xludf.DUMMYFUNCTION("CONCATENATE(GOOGLETRANSLATE(C287, ""en"", ""ja""))"),"ファイルキャビネット引き出しチェストナイトスタンドワードローブベッドサイドテーブルデスク収納 2 層")</f>
        <v>ファイルキャビネット引き出しチェストナイトスタンドワードローブベッドサイドテーブルデスク収納 2 層</v>
      </c>
    </row>
    <row r="288" ht="15.75" customHeight="1">
      <c r="A288" s="1">
        <v>1753.0</v>
      </c>
      <c r="B288" s="1" t="s">
        <v>15</v>
      </c>
      <c r="C288" s="1" t="s">
        <v>277</v>
      </c>
      <c r="D288" s="1" t="str">
        <f>IFERROR(__xludf.DUMMYFUNCTION("CONCATENATE(GOOGLETRANSLATE(C288, ""en"", ""zh-cn""))"),"盛荣达 635 三层厨房储物架橱柜桌面独立式调料架瓶架")</f>
        <v>盛荣达 635 三层厨房储物架橱柜桌面独立式调料架瓶架</v>
      </c>
      <c r="E288" s="1" t="str">
        <f>IFERROR(__xludf.DUMMYFUNCTION("CONCATENATE(GOOGLETRANSLATE(C288, ""en"", ""ko""))"),"SHENGRONGDA 635 3 단 주방 수납 선반 찬장 테이블 Topp 프리 스탠딩 스파이스 랙 병 홀더")</f>
        <v>SHENGRONGDA 635 3 단 주방 수납 선반 찬장 테이블 Topp 프리 스탠딩 스파이스 랙 병 홀더</v>
      </c>
      <c r="F288" s="1" t="str">
        <f>IFERROR(__xludf.DUMMYFUNCTION("CONCATENATE(GOOGLETRANSLATE(C288, ""en"", ""ja""))"),"SHENGRONGDA 635 3 層キッチン収納棚食器棚テーブルトップ自立スパイスラックボトルホルダー")</f>
        <v>SHENGRONGDA 635 3 層キッチン収納棚食器棚テーブルトップ自立スパイスラックボトルホルダー</v>
      </c>
    </row>
    <row r="289" ht="15.75" customHeight="1">
      <c r="A289" s="1">
        <v>1754.0</v>
      </c>
      <c r="B289" s="1" t="s">
        <v>15</v>
      </c>
      <c r="C289" s="1" t="s">
        <v>278</v>
      </c>
      <c r="D289" s="1" t="str">
        <f>IFERROR(__xludf.DUMMYFUNCTION("CONCATENATE(GOOGLETRANSLATE(C289, ""en"", ""zh-cn""))"),"2 件装壁挂式浮动货架木质工业货架支架架子")</f>
        <v>2 件装壁挂式浮动货架木质工业货架支架架子</v>
      </c>
      <c r="E289" s="1" t="str">
        <f>IFERROR(__xludf.DUMMYFUNCTION("CONCATENATE(GOOGLETRANSLATE(C289, ""en"", ""ko""))"),"2개 벽걸이형 플로팅 선반 목재 산업용 랙 브래킷 선반")</f>
        <v>2개 벽걸이형 플로팅 선반 목재 산업용 랙 브래킷 선반</v>
      </c>
      <c r="F289" s="1" t="str">
        <f>IFERROR(__xludf.DUMMYFUNCTION("CONCATENATE(GOOGLETRANSLATE(C289, ""en"", ""ja""))"),"2 個壁掛けフローティング棚木材工業用ラックブラケット棚")</f>
        <v>2 個壁掛けフローティング棚木材工業用ラックブラケット棚</v>
      </c>
    </row>
    <row r="290" ht="15.75" customHeight="1">
      <c r="A290" s="1">
        <v>1755.0</v>
      </c>
      <c r="B290" s="1" t="s">
        <v>15</v>
      </c>
      <c r="C290" s="1" t="s">
        <v>279</v>
      </c>
      <c r="D290" s="1" t="str">
        <f>IFERROR(__xludf.DUMMYFUNCTION("CONCATENATE(GOOGLETRANSLATE(C290, ""en"", ""zh-cn""))"),"衣帽架服装架架子金属夹克雨伞衣架站立 12 个挂钩")</f>
        <v>衣帽架服装架架子金属夹克雨伞衣架站立 12 个挂钩</v>
      </c>
      <c r="E290" s="1" t="str">
        <f>IFERROR(__xludf.DUMMYFUNCTION("CONCATENATE(GOOGLETRANSLATE(C290, ""en"", ""ko""))"),"코트 스탠드 의류 선반 선반 금속 재킷 우산 걸이 스탠딩 12 후크")</f>
        <v>코트 스탠드 의류 선반 선반 금속 재킷 우산 걸이 스탠딩 12 후크</v>
      </c>
      <c r="F290" s="1" t="str">
        <f>IFERROR(__xludf.DUMMYFUNCTION("CONCATENATE(GOOGLETRANSLATE(C290, ""en"", ""ja""))"),"コートスタンドガーメントラック棚メタルジャケット傘ハンガースタンディング12フック")</f>
        <v>コートスタンドガーメントラック棚メタルジャケット傘ハンガースタンディング12フック</v>
      </c>
    </row>
    <row r="291" ht="15.75" customHeight="1">
      <c r="A291" s="1">
        <v>1756.0</v>
      </c>
      <c r="B291" s="1" t="s">
        <v>15</v>
      </c>
      <c r="C291" s="1" t="s">
        <v>280</v>
      </c>
      <c r="D291" s="1" t="str">
        <f>IFERROR(__xludf.DUMMYFUNCTION("CONCATENATE(GOOGLETRANSLATE(C291, ""en"", ""zh-cn""))"),"躺椅垫躺椅花园躺椅座垫柔软替换垫")</f>
        <v>躺椅垫躺椅花园躺椅座垫柔软替换垫</v>
      </c>
      <c r="E291" s="1" t="str">
        <f>IFERROR(__xludf.DUMMYFUNCTION("CONCATENATE(GOOGLETRANSLATE(C291, ""en"", ""ko""))"),"안락 의자 쿠션 라운지 의자 정원 갑판 의자 좌석 패드 소프트 교체 매트")</f>
        <v>안락 의자 쿠션 라운지 의자 정원 갑판 의자 좌석 패드 소프트 교체 매트</v>
      </c>
      <c r="F291" s="1" t="str">
        <f>IFERROR(__xludf.DUMMYFUNCTION("CONCATENATE(GOOGLETRANSLATE(C291, ""en"", ""ja""))"),"リクライニングクッションラウンジ長椅子ガーデンデッキチェアシートパッドソフト交換マット")</f>
        <v>リクライニングクッションラウンジ長椅子ガーデンデッキチェアシートパッドソフト交換マット</v>
      </c>
    </row>
    <row r="292" ht="15.75" customHeight="1">
      <c r="A292" s="1">
        <v>1757.0</v>
      </c>
      <c r="B292" s="1" t="s">
        <v>15</v>
      </c>
      <c r="C292" s="1" t="s">
        <v>281</v>
      </c>
      <c r="D292" s="1" t="str">
        <f>IFERROR(__xludf.DUMMYFUNCTION("CONCATENATE(GOOGLETRANSLATE(C292, ""en"", ""zh-cn""))"),"碗碟晾干架储物架厨房支架铁板沥水架")</f>
        <v>碗碟晾干架储物架厨房支架铁板沥水架</v>
      </c>
      <c r="E292" s="1" t="str">
        <f>IFERROR(__xludf.DUMMYFUNCTION("CONCATENATE(GOOGLETRANSLATE(C292, ""en"", ""ko""))"),"접시 건조 랙 보관 선반 주방 홀더 철판 배수구 정리함")</f>
        <v>접시 건조 랙 보관 선반 주방 홀더 철판 배수구 정리함</v>
      </c>
      <c r="F292" s="1" t="str">
        <f>IFERROR(__xludf.DUMMYFUNCTION("CONCATENATE(GOOGLETRANSLATE(C292, ""en"", ""ja""))"),"食器乾燥ラック 収納棚 キッチンホルダー 鉄板 水切りオーガナイザー")</f>
        <v>食器乾燥ラック 収納棚 キッチンホルダー 鉄板 水切りオーガナイザー</v>
      </c>
    </row>
    <row r="293" ht="15.75" customHeight="1">
      <c r="A293" s="1">
        <v>1758.0</v>
      </c>
      <c r="B293" s="1" t="s">
        <v>15</v>
      </c>
      <c r="C293" s="1" t="s">
        <v>282</v>
      </c>
      <c r="D293" s="1" t="str">
        <f>IFERROR(__xludf.DUMMYFUNCTION("CONCATENATE(GOOGLETRANSLATE(C293, ""en"", ""zh-cn""))"),"永红 G29496 多功能厨房置物架底排水隔断收纳餐具菜板用具")</f>
        <v>永红 G29496 多功能厨房置物架底排水隔断收纳餐具菜板用具</v>
      </c>
      <c r="E293" s="1" t="str">
        <f>IFERROR(__xludf.DUMMYFUNCTION("CONCATENATE(GOOGLETRANSLATE(C293, ""en"", ""ko""))"),"YONGHONG G29496 식기 도마 용품을위한 다기능 주방 선반 바닥 배수 파티션 보관")</f>
        <v>YONGHONG G29496 식기 도마 용품을위한 다기능 주방 선반 바닥 배수 파티션 보관</v>
      </c>
      <c r="F293" s="1" t="str">
        <f>IFERROR(__xludf.DUMMYFUNCTION("CONCATENATE(GOOGLETRANSLATE(C293, ""en"", ""ja""))"),"YONGHONG G29496 多機能キッチン棚底排水パーティション収納食器まな板調理器具用")</f>
        <v>YONGHONG G29496 多機能キッチン棚底排水パーティション収納食器まな板調理器具用</v>
      </c>
    </row>
    <row r="294" ht="15.75" customHeight="1">
      <c r="A294" s="1">
        <v>1759.0</v>
      </c>
      <c r="B294" s="1" t="s">
        <v>15</v>
      </c>
      <c r="C294" s="1" t="s">
        <v>283</v>
      </c>
      <c r="D294" s="1" t="str">
        <f>IFERROR(__xludf.DUMMYFUNCTION("CONCATENATE(GOOGLETRANSLATE(C294, ""en"", ""zh-cn""))"),"智米 ZM-049 厨房餐具沥干架 2/3 层香料罐瓶不锈钢收纳盒")</f>
        <v>智米 ZM-049 厨房餐具沥干架 2/3 层香料罐瓶不锈钢收纳盒</v>
      </c>
      <c r="E294" s="1" t="str">
        <f>IFERROR(__xludf.DUMMYFUNCTION("CONCATENATE(GOOGLETRANSLATE(C294, ""en"", ""ko""))"),"ZHIMI ZM-049 주방 접시 배수구 건조 랙 2/3단 양념통 병 스테인레스 정리함")</f>
        <v>ZHIMI ZM-049 주방 접시 배수구 건조 랙 2/3단 양념통 병 스테인레스 정리함</v>
      </c>
      <c r="F294" s="1" t="str">
        <f>IFERROR(__xludf.DUMMYFUNCTION("CONCATENATE(GOOGLETRANSLATE(C294, ""en"", ""ja""))"),"ZHIMI ZM-049 キッチン水切りドライラック 2/3 段スパイス瓶ボトルステンレスオーガナイザー")</f>
        <v>ZHIMI ZM-049 キッチン水切りドライラック 2/3 段スパイス瓶ボトルステンレスオーガナイザー</v>
      </c>
    </row>
    <row r="295" ht="15.75" customHeight="1">
      <c r="A295" s="1">
        <v>1760.0</v>
      </c>
      <c r="B295" s="1" t="s">
        <v>15</v>
      </c>
      <c r="C295" s="1" t="s">
        <v>284</v>
      </c>
      <c r="D295" s="1" t="str">
        <f>IFERROR(__xludf.DUMMYFUNCTION("CONCATENATE(GOOGLETRANSLATE(C295, ""en"", ""zh-cn""))"),"厕所/浴室/洗衣房/洗衣机架子上的 3 层储物架")</f>
        <v>厕所/浴室/洗衣房/洗衣机架子上的 3 层储物架</v>
      </c>
      <c r="E295" s="1" t="str">
        <f>IFERROR(__xludf.DUMMYFUNCTION("CONCATENATE(GOOGLETRANSLATE(C295, ""en"", ""ko""))"),"화장실/욕실/세탁실/세탁기 선반 정리함 위의 3단 보관 랙")</f>
        <v>화장실/욕실/세탁실/세탁기 선반 정리함 위의 3단 보관 랙</v>
      </c>
      <c r="F295" s="1" t="str">
        <f>IFERROR(__xludf.DUMMYFUNCTION("CONCATENATE(GOOGLETRANSLATE(C295, ""en"", ""ja""))"),"3段収納ラック トイレ/バスルーム/ランドリー/洗濯機棚オーガナイザー")</f>
        <v>3段収納ラック トイレ/バスルーム/ランドリー/洗濯機棚オーガナイザー</v>
      </c>
    </row>
    <row r="296" ht="15.75" customHeight="1">
      <c r="A296" s="1">
        <v>1761.0</v>
      </c>
      <c r="B296" s="1" t="s">
        <v>15</v>
      </c>
      <c r="C296" s="1" t="s">
        <v>285</v>
      </c>
      <c r="D296" s="1" t="str">
        <f>IFERROR(__xludf.DUMMYFUNCTION("CONCATENATE(GOOGLETRANSLATE(C296, ""en"", ""zh-cn""))"),"1/2/3 层壁挂式储物架木质吊绳架浮动架")</f>
        <v>1/2/3 层壁挂式储物架木质吊绳架浮动架</v>
      </c>
      <c r="E296" s="1" t="str">
        <f>IFERROR(__xludf.DUMMYFUNCTION("CONCATENATE(GOOGLETRANSLATE(C296, ""en"", ""ko""))"),"1/2/3단 벽걸이형 스토리지 홀더 나무 걸이형 로프 선반 플로팅 랙")</f>
        <v>1/2/3단 벽걸이형 스토리지 홀더 나무 걸이형 로프 선반 플로팅 랙</v>
      </c>
      <c r="F296" s="1" t="str">
        <f>IFERROR(__xludf.DUMMYFUNCTION("CONCATENATE(GOOGLETRANSLATE(C296, ""en"", ""ja""))"),"1/2/3 段壁掛け収納ホルダー木製吊りロープ棚フローティングラック")</f>
        <v>1/2/3 段壁掛け収納ホルダー木製吊りロープ棚フローティングラック</v>
      </c>
    </row>
    <row r="297" ht="15.75" customHeight="1">
      <c r="A297" s="1">
        <v>1762.0</v>
      </c>
      <c r="B297" s="1" t="s">
        <v>15</v>
      </c>
      <c r="C297" s="1" t="s">
        <v>286</v>
      </c>
      <c r="D297" s="1" t="str">
        <f>IFERROR(__xludf.DUMMYFUNCTION("CONCATENATE(GOOGLETRANSLATE(C297, ""en"", ""zh-cn""))"),"3 层储物架桌面化妆品收纳架浴室架香料化妆架")</f>
        <v>3 层储物架桌面化妆品收纳架浴室架香料化妆架</v>
      </c>
      <c r="E297" s="1" t="str">
        <f>IFERROR(__xludf.DUMMYFUNCTION("CONCATENATE(GOOGLETRANSLATE(C297, ""en"", ""ko""))"),"3단 보관 선반 데스크탑 화장품 정리함 목욕 선반 스파이스 메이크업 랙")</f>
        <v>3단 보관 선반 데스크탑 화장품 정리함 목욕 선반 스파이스 메이크업 랙</v>
      </c>
      <c r="F297" s="1" t="str">
        <f>IFERROR(__xludf.DUMMYFUNCTION("CONCATENATE(GOOGLETRANSLATE(C297, ""en"", ""ja""))"),"3段収納棚デスクトップ化粧品オーガナイザーバス棚スパイス化粧ラック")</f>
        <v>3段収納棚デスクトップ化粧品オーガナイザーバス棚スパイス化粧ラック</v>
      </c>
    </row>
    <row r="298" ht="15.75" customHeight="1">
      <c r="A298" s="1">
        <v>1763.0</v>
      </c>
      <c r="B298" s="1" t="s">
        <v>15</v>
      </c>
      <c r="C298" s="1" t="s">
        <v>287</v>
      </c>
      <c r="D298" s="1" t="str">
        <f>IFERROR(__xludf.DUMMYFUNCTION("CONCATENATE(GOOGLETRANSLATE(C298, ""en"", ""zh-cn""))"),"圣诞老人桌布椅套圣诞节 3D 打印桌布座椅保护套适用于派对宴会酒店厨房家庭办公家具装饰品")</f>
        <v>圣诞老人桌布椅套圣诞节 3D 打印桌布座椅保护套适用于派对宴会酒店厨房家庭办公家具装饰品</v>
      </c>
      <c r="E298" s="1" t="str">
        <f>IFERROR(__xludf.DUMMYFUNCTION("CONCATENATE(GOOGLETRANSLATE(C298, ""en"", ""ko""))"),"산타 클로스 테이블 천으로 의자 커버 크리스마스 3D 인쇄 식탁보 좌석 보호대 파티 연회 호텔 주방 홈 오피스 가구 장식")</f>
        <v>산타 클로스 테이블 천으로 의자 커버 크리스마스 3D 인쇄 식탁보 좌석 보호대 파티 연회 호텔 주방 홈 오피스 가구 장식</v>
      </c>
      <c r="F298" s="1" t="str">
        <f>IFERROR(__xludf.DUMMYFUNCTION("CONCATENATE(GOOGLETRANSLATE(C298, ""en"", ""ja""))"),"サンタクロース テーブルクロス 椅子カバー クリスマス 3D プリント テーブルクロス シートプロテクター スリップカバー パーティー 宴会 ホテル キッチン ホーム オフィス 家具装飾用")</f>
        <v>サンタクロース テーブルクロス 椅子カバー クリスマス 3D プリント テーブルクロス シートプロテクター スリップカバー パーティー 宴会 ホテル キッチン ホーム オフィス 家具装飾用</v>
      </c>
    </row>
    <row r="299" ht="15.75" customHeight="1">
      <c r="A299" s="1">
        <v>1764.0</v>
      </c>
      <c r="B299" s="1" t="s">
        <v>15</v>
      </c>
      <c r="C299" s="1" t="s">
        <v>288</v>
      </c>
      <c r="D299" s="1" t="str">
        <f>IFERROR(__xludf.DUMMYFUNCTION("CONCATENATE(GOOGLETRANSLATE(C299, ""en"", ""zh-cn""))"),"YIDUOLE 花盆架 80 厘米金属支架花卉展示架室内花园家居装饰")</f>
        <v>YIDUOLE 花盆架 80 厘米金属支架花卉展示架室内花园家居装饰</v>
      </c>
      <c r="E299" s="1" t="str">
        <f>IFERROR(__xludf.DUMMYFUNCTION("CONCATENATE(GOOGLETRANSLATE(C299, ""en"", ""ko""))"),"YIDUOLE 식물 냄비 스탠드 80CM 금속 홀더 꽃 디스플레이 선반 실내 정원 홈 장식")</f>
        <v>YIDUOLE 식물 냄비 스탠드 80CM 금속 홀더 꽃 디스플레이 선반 실내 정원 홈 장식</v>
      </c>
      <c r="F299" s="1" t="str">
        <f>IFERROR(__xludf.DUMMYFUNCTION("CONCATENATE(GOOGLETRANSLATE(C299, ""en"", ""ja""))"),"YIDUOLE 植木鉢スタンド 80 センチメートル金属ホルダーフラワー陳列棚屋内庭の家の装飾")</f>
        <v>YIDUOLE 植木鉢スタンド 80 センチメートル金属ホルダーフラワー陳列棚屋内庭の家の装飾</v>
      </c>
    </row>
    <row r="300" ht="15.75" customHeight="1">
      <c r="A300" s="1">
        <v>1765.0</v>
      </c>
      <c r="B300" s="1" t="s">
        <v>15</v>
      </c>
      <c r="C300" s="1" t="s">
        <v>289</v>
      </c>
      <c r="D300" s="1" t="str">
        <f>IFERROR(__xludf.DUMMYFUNCTION("CONCATENATE(GOOGLETRANSLATE(C300, ""en"", ""zh-cn""))"),"椅垫簇绒软甲板躺椅垫户外露台泳池躺椅 18*61")</f>
        <v>椅垫簇绒软甲板躺椅垫户外露台泳池躺椅 18*61</v>
      </c>
      <c r="E300" s="1" t="str">
        <f>IFERROR(__xludf.DUMMYFUNCTION("CONCATENATE(GOOGLETRANSLATE(C300, ""en"", ""ko""))"),"의자 쿠션 터프트 소프트 데크 긴 의자 패딩 야외 테라스 수영장 안락의자 18*61")</f>
        <v>의자 쿠션 터프트 소프트 데크 긴 의자 패딩 야외 테라스 수영장 안락의자 18*61</v>
      </c>
      <c r="F300" s="1" t="str">
        <f>IFERROR(__xludf.DUMMYFUNCTION("CONCATENATE(GOOGLETRANSLATE(C300, ""en"", ""ja""))"),"椅子クッション房状ソフトデッキ長椅子パディング屋外パティオプールリクライニングチェア 18*61")</f>
        <v>椅子クッション房状ソフトデッキ長椅子パディング屋外パティオプールリクライニングチェア 18*61</v>
      </c>
    </row>
    <row r="301" ht="15.75" customHeight="1">
      <c r="A301" s="1">
        <v>1766.0</v>
      </c>
      <c r="B301" s="1" t="s">
        <v>15</v>
      </c>
      <c r="C301" s="1" t="s">
        <v>290</v>
      </c>
      <c r="D301" s="1" t="str">
        <f>IFERROR(__xludf.DUMMYFUNCTION("CONCATENATE(GOOGLETRANSLATE(C301, ""en"", ""zh-cn""))"),"木制植物架室内/室外花园花盆花盆架架子 6 层")</f>
        <v>木制植物架室内/室外花园花盆花盆架架子 6 层</v>
      </c>
      <c r="E301" s="1" t="str">
        <f>IFERROR(__xludf.DUMMYFUNCTION("CONCATENATE(GOOGLETRANSLATE(C301, ""en"", ""ko""))"),"나무 식물 스탠드 실내/야외 정원 화분 화분 스탠드 선반 6겹")</f>
        <v>나무 식물 스탠드 실내/야외 정원 화분 화분 스탠드 선반 6겹</v>
      </c>
      <c r="F301" s="1" t="str">
        <f>IFERROR(__xludf.DUMMYFUNCTION("CONCATENATE(GOOGLETRANSLATE(C301, ""en"", ""ja""))"),"木製植物スタンド/屋外庭プランター植木鉢スタンド棚 6 層")</f>
        <v>木製植物スタンド/屋外庭プランター植木鉢スタンド棚 6 層</v>
      </c>
    </row>
    <row r="302" ht="15.75" customHeight="1">
      <c r="A302" s="1">
        <v>1767.0</v>
      </c>
      <c r="B302" s="1" t="s">
        <v>15</v>
      </c>
      <c r="C302" s="1" t="s">
        <v>291</v>
      </c>
      <c r="D302" s="1" t="str">
        <f>IFERROR(__xludf.DUMMYFUNCTION("CONCATENATE(GOOGLETRANSLATE(C302, ""en"", ""zh-cn""))"),"可折叠花篮海草编织腹花盆洗衣收纳盒")</f>
        <v>可折叠花篮海草编织腹花盆洗衣收纳盒</v>
      </c>
      <c r="E302" s="1" t="str">
        <f>IFERROR(__xludf.DUMMYFUNCTION("CONCATENATE(GOOGLETRANSLATE(C302, ""en"", ""ko""))"),"접이식 꽃 바구니 해초로 짠 배꼽 화분 냄비 세탁 보관 상자")</f>
        <v>접이식 꽃 바구니 해초로 짠 배꼽 화분 냄비 세탁 보관 상자</v>
      </c>
      <c r="F302" s="1" t="str">
        <f>IFERROR(__xludf.DUMMYFUNCTION("CONCATENATE(GOOGLETRANSLATE(C302, ""en"", ""ja""))"),"折りたたみ式フラワーバスケット シーグラス織ベリープランターポット ランドリー収納スケップボックス")</f>
        <v>折りたたみ式フラワーバスケット シーグラス織ベリープランターポット ランドリー収納スケップボックス</v>
      </c>
    </row>
    <row r="303" ht="15.75" customHeight="1">
      <c r="A303" s="1">
        <v>1768.0</v>
      </c>
      <c r="B303" s="1" t="s">
        <v>15</v>
      </c>
      <c r="C303" s="1" t="s">
        <v>292</v>
      </c>
      <c r="D303" s="1" t="str">
        <f>IFERROR(__xludf.DUMMYFUNCTION("CONCATENATE(GOOGLETRANSLATE(C303, ""en"", ""zh-cn""))"),"花盆架架式阳台铁艺悬挂式家用")</f>
        <v>花盆架架式阳台铁艺悬挂式家用</v>
      </c>
      <c r="E303" s="1" t="str">
        <f>IFERROR(__xludf.DUMMYFUNCTION("CONCATENATE(GOOGLETRANSLATE(C303, ""en"", ""ko""))"),"가정용 꽃 냄비 스탠드 랙 장착형 발코니 단철 걸이")</f>
        <v>가정용 꽃 냄비 스탠드 랙 장착형 발코니 단철 걸이</v>
      </c>
      <c r="F303" s="1" t="str">
        <f>IFERROR(__xludf.DUMMYFUNCTION("CONCATENATE(GOOGLETRANSLATE(C303, ""en"", ""ja""))"),"植木鉢スタンドラックマウントバルコニー錬鉄製家庭用吊り下げ")</f>
        <v>植木鉢スタンドラックマウントバルコニー錬鉄製家庭用吊り下げ</v>
      </c>
    </row>
    <row r="304" ht="15.75" customHeight="1">
      <c r="A304" s="1">
        <v>1769.0</v>
      </c>
      <c r="B304" s="1" t="s">
        <v>15</v>
      </c>
      <c r="C304" s="1" t="s">
        <v>293</v>
      </c>
      <c r="D304" s="1" t="str">
        <f>IFERROR(__xludf.DUMMYFUNCTION("CONCATENATE(GOOGLETRANSLATE(C304, ""en"", ""zh-cn""))"),"厨房三层带板不锈钢沥水架晾菜架")</f>
        <v>厨房三层带板不锈钢沥水架晾菜架</v>
      </c>
      <c r="E304" s="1" t="str">
        <f>IFERROR(__xludf.DUMMYFUNCTION("CONCATENATE(GOOGLETRANSLATE(C304, ""en"", ""ko""))"),"부엌을 위한 널 스테인리스 배수구 선반을 가진 3개의 층 건조용 접시 선반")</f>
        <v>부엌을 위한 널 스테인리스 배수구 선반을 가진 3개의 층 건조용 접시 선반</v>
      </c>
      <c r="F304" s="1" t="str">
        <f>IFERROR(__xludf.DUMMYFUNCTION("CONCATENATE(GOOGLETRANSLATE(C304, ""en"", ""ja""))"),"3 層乾燥ディッシュラック ボード付きステンレス鋼水切り棚キッチン用")</f>
        <v>3 層乾燥ディッシュラック ボード付きステンレス鋼水切り棚キッチン用</v>
      </c>
    </row>
    <row r="305" ht="15.75" customHeight="1">
      <c r="A305" s="1">
        <v>1770.0</v>
      </c>
      <c r="B305" s="1" t="s">
        <v>15</v>
      </c>
      <c r="C305" s="1" t="s">
        <v>294</v>
      </c>
      <c r="D305" s="1" t="str">
        <f>IFERROR(__xludf.DUMMYFUNCTION("CONCATENATE(GOOGLETRANSLATE(C305, ""en"", ""zh-cn""))"),"1/2 层干燥碗碟架餐具盘沥水架带滴水盘厨房")</f>
        <v>1/2 层干燥碗碟架餐具盘沥水架带滴水盘厨房</v>
      </c>
      <c r="E305" s="1" t="str">
        <f>IFERROR(__xludf.DUMMYFUNCTION("CONCATENATE(GOOGLETRANSLATE(C305, ""en"", ""ko""))"),"1/2단 건조 접시 랙 칼붙이 접시 배수구 선반(물받이 트레이 포함) 주방")</f>
        <v>1/2단 건조 접시 랙 칼붙이 접시 배수구 선반(물받이 트레이 포함) 주방</v>
      </c>
      <c r="F305" s="1" t="str">
        <f>IFERROR(__xludf.DUMMYFUNCTION("CONCATENATE(GOOGLETRANSLATE(C305, ""en"", ""ja""))"),"1/2 段乾燥ディッシュラックカトラリープレート水切り棚ドリップトレイキッチン")</f>
        <v>1/2 段乾燥ディッシュラックカトラリープレート水切り棚ドリップトレイキッチン</v>
      </c>
    </row>
    <row r="306" ht="15.75" customHeight="1">
      <c r="A306" s="1">
        <v>1771.0</v>
      </c>
      <c r="B306" s="1" t="s">
        <v>15</v>
      </c>
      <c r="C306" s="1" t="s">
        <v>295</v>
      </c>
      <c r="D306" s="1" t="str">
        <f>IFERROR(__xludf.DUMMYFUNCTION("CONCATENATE(GOOGLETRANSLATE(C306, ""en"", ""zh-cn""))"),"4 层铁艺花架盆栽植物展示架花园家居装饰")</f>
        <v>4 层铁艺花架盆栽植物展示架花园家居装饰</v>
      </c>
      <c r="E306" s="1" t="str">
        <f>IFERROR(__xludf.DUMMYFUNCTION("CONCATENATE(GOOGLETRANSLATE(C306, ""en"", ""ko""))"),"4겹 철제 꽃 스탠드 화분 식물 디스플레이 선반 랙 정원 홈 인테리어")</f>
        <v>4겹 철제 꽃 스탠드 화분 식물 디스플레이 선반 랙 정원 홈 인테리어</v>
      </c>
      <c r="F306" s="1" t="str">
        <f>IFERROR(__xludf.DUMMYFUNCTION("CONCATENATE(GOOGLETRANSLATE(C306, ""en"", ""ja""))"),"4 層鉄フラワースタンドポット植物ディスプレイ棚ラック庭の家の装飾")</f>
        <v>4 層鉄フラワースタンドポット植物ディスプレイ棚ラック庭の家の装飾</v>
      </c>
    </row>
    <row r="307" ht="15.75" customHeight="1">
      <c r="A307" s="1">
        <v>1772.0</v>
      </c>
      <c r="B307" s="1" t="s">
        <v>15</v>
      </c>
      <c r="C307" s="1" t="s">
        <v>296</v>
      </c>
      <c r="D307" s="1" t="str">
        <f>IFERROR(__xludf.DUMMYFUNCTION("CONCATENATE(GOOGLETRANSLATE(C307, ""en"", ""zh-cn""))"),"冬季躺椅坐垫椅子摇椅座垫榻榻米防滑垫沙发办公椅加厚坐垫")</f>
        <v>冬季躺椅坐垫椅子摇椅座垫榻榻米防滑垫沙发办公椅加厚坐垫</v>
      </c>
      <c r="E307" s="1" t="str">
        <f>IFERROR(__xludf.DUMMYFUNCTION("CONCATENATE(GOOGLETRANSLATE(C307, ""en"", ""ko""))"),"겨울 안락 의자 쿠션 의자 흔들 의자 좌석 매트 다다미 매트 미끄럼 방지 쿠션 소파 사무실 의자 두꺼운 쿠션")</f>
        <v>겨울 안락 의자 쿠션 의자 흔들 의자 좌석 매트 다다미 매트 미끄럼 방지 쿠션 소파 사무실 의자 두꺼운 쿠션</v>
      </c>
      <c r="F307" s="1" t="str">
        <f>IFERROR(__xludf.DUMMYFUNCTION("CONCATENATE(GOOGLETRANSLATE(C307, ""en"", ""ja""))"),"冬リクライニングクッションチェアロッキングチェアシートマット畳マット滑り止めクッションソファオフィスチェア厚みのあるクッション")</f>
        <v>冬リクライニングクッションチェアロッキングチェアシートマット畳マット滑り止めクッションソファオフィスチェア厚みのあるクッション</v>
      </c>
    </row>
    <row r="308" ht="15.75" customHeight="1">
      <c r="A308" s="1">
        <v>1773.0</v>
      </c>
      <c r="B308" s="1" t="s">
        <v>15</v>
      </c>
      <c r="C308" s="1" t="s">
        <v>297</v>
      </c>
      <c r="D308" s="1" t="str">
        <f>IFERROR(__xludf.DUMMYFUNCTION("CONCATENATE(GOOGLETRANSLATE(C308, ""en"", ""zh-cn""))"),"HONGPAI 冰箱架厨房酒吧收纳架侧架侧壁支架家用")</f>
        <v>HONGPAI 冰箱架厨房酒吧收纳架侧架侧壁支架家用</v>
      </c>
      <c r="E308" s="1" t="str">
        <f>IFERROR(__xludf.DUMMYFUNCTION("CONCATENATE(GOOGLETRANSLATE(C308, ""en"", ""ko""))"),"HONGPAI 냉장고 랙 주방 바 주최자 측면 선반 측벽 홀더 가구")</f>
        <v>HONGPAI 냉장고 랙 주방 바 주최자 측면 선반 측벽 홀더 가구</v>
      </c>
      <c r="F308" s="1" t="str">
        <f>IFERROR(__xludf.DUMMYFUNCTION("CONCATENATE(GOOGLETRANSLATE(C308, ""en"", ""ja""))"),"HONGPAI 冷蔵庫ラック キッチン バー オーガナイザー サイドシェルフ 側壁ホルダー 家庭用")</f>
        <v>HONGPAI 冷蔵庫ラック キッチン バー オーガナイザー サイドシェルフ 側壁ホルダー 家庭用</v>
      </c>
    </row>
    <row r="309" ht="15.75" customHeight="1">
      <c r="A309" s="1">
        <v>1774.0</v>
      </c>
      <c r="B309" s="1" t="s">
        <v>15</v>
      </c>
      <c r="C309" s="1" t="s">
        <v>298</v>
      </c>
      <c r="D309" s="1" t="str">
        <f>IFERROR(__xludf.DUMMYFUNCTION("CONCATENATE(GOOGLETRANSLATE(C309, ""en"", ""zh-cn""))"),"木质桌面收纳架可调节储物架双 H 型书架适合家庭办公室")</f>
        <v>木质桌面收纳架可调节储物架双 H 型书架适合家庭办公室</v>
      </c>
      <c r="E309" s="1" t="str">
        <f>IFERROR(__xludf.DUMMYFUNCTION("CONCATENATE(GOOGLETRANSLATE(C309, ""en"", ""ko""))"),"홈 오피스용 목재 데스크탑 정리함 조정 가능한 스토리지 랙 더블 H 스타일 책장")</f>
        <v>홈 오피스용 목재 데스크탑 정리함 조정 가능한 스토리지 랙 더블 H 스타일 책장</v>
      </c>
      <c r="F309" s="1" t="str">
        <f>IFERROR(__xludf.DUMMYFUNCTION("CONCATENATE(GOOGLETRANSLATE(C309, ""en"", ""ja""))"),"木製デスクトップオーガナイザー調節可能な収納ラックダブルHスタイル本棚ホームオフィス用")</f>
        <v>木製デスクトップオーガナイザー調節可能な収納ラックダブルHスタイル本棚ホームオフィス用</v>
      </c>
    </row>
    <row r="310" ht="15.75" customHeight="1">
      <c r="A310" s="1">
        <v>1775.0</v>
      </c>
      <c r="B310" s="1" t="s">
        <v>15</v>
      </c>
      <c r="C310" s="1" t="s">
        <v>299</v>
      </c>
      <c r="D310" s="1" t="str">
        <f>IFERROR(__xludf.DUMMYFUNCTION("CONCATENATE(GOOGLETRANSLATE(C310, ""en"", ""zh-cn""))"),"4 层储物架复古铁艺落地式家用厨房收纳架")</f>
        <v>4 层储物架复古铁艺落地式家用厨房收纳架</v>
      </c>
      <c r="E310" s="1" t="str">
        <f>IFERROR(__xludf.DUMMYFUNCTION("CONCATENATE(GOOGLETRANSLATE(C310, ""en"", ""ko""))"),"4겹 스토리지 랙 복고풍 철 바닥 스탠딩 홈 주방 정리 스탠드")</f>
        <v>4겹 스토리지 랙 복고풍 철 바닥 스탠딩 홈 주방 정리 스탠드</v>
      </c>
      <c r="F310" s="1" t="str">
        <f>IFERROR(__xludf.DUMMYFUNCTION("CONCATENATE(GOOGLETRANSLATE(C310, ""en"", ""ja""))"),"4層収納ラックレトロアイアンフロアスタンディングホームキッチンオーガナイザースタンド")</f>
        <v>4層収納ラックレトロアイアンフロアスタンディングホームキッチンオーガナイザースタンド</v>
      </c>
    </row>
    <row r="311" ht="15.75" customHeight="1">
      <c r="A311" s="1">
        <v>1776.0</v>
      </c>
      <c r="B311" s="1" t="s">
        <v>15</v>
      </c>
      <c r="C311" s="1" t="s">
        <v>300</v>
      </c>
      <c r="D311" s="1" t="str">
        <f>IFERROR(__xludf.DUMMYFUNCTION("CONCATENATE(GOOGLETRANSLATE(C311, ""en"", ""zh-cn""))"),"多功能衣帽架衣包收纳衣架鞋架凳子架")</f>
        <v>多功能衣帽架衣包收纳衣架鞋架凳子架</v>
      </c>
      <c r="E311" s="1" t="str">
        <f>IFERROR(__xludf.DUMMYFUNCTION("CONCATENATE(GOOGLETRANSLATE(C311, ""en"", ""ko""))"),"다기능 코트 랙 옷 가방 보관 걸이 신발 홀더 의자 선반")</f>
        <v>다기능 코트 랙 옷 가방 보관 걸이 신발 홀더 의자 선반</v>
      </c>
      <c r="F311" s="1" t="str">
        <f>IFERROR(__xludf.DUMMYFUNCTION("CONCATENATE(GOOGLETRANSLATE(C311, ""en"", ""ja""))"),"多機能コートラック衣類バッグ収納ハンガーシューズホルダースツール棚")</f>
        <v>多機能コートラック衣類バッグ収納ハンガーシューズホルダースツール棚</v>
      </c>
    </row>
    <row r="312" ht="15.75" customHeight="1">
      <c r="A312" s="1">
        <v>1777.0</v>
      </c>
      <c r="B312" s="1" t="s">
        <v>15</v>
      </c>
      <c r="C312" s="1" t="s">
        <v>301</v>
      </c>
      <c r="D312" s="1" t="str">
        <f>IFERROR(__xludf.DUMMYFUNCTION("CONCATENATE(GOOGLETRANSLATE(C312, ""en"", ""zh-cn""))"),"可折叠笔记本电脑桌便携式高度可调节电脑支架竹制茶托盘床餐桌笔记本电脑桌")</f>
        <v>可折叠笔记本电脑桌便携式高度可调节电脑支架竹制茶托盘床餐桌笔记本电脑桌</v>
      </c>
      <c r="E312" s="1" t="str">
        <f>IFERROR(__xludf.DUMMYFUNCTION("CONCATENATE(GOOGLETRANSLATE(C312, ""en"", ""ko""))"),"접이식 노트북 책상 휴대용 높이 조절 컴퓨터 스탠드 대나무 차 서빙 트레이 침대 식탁 노트북 노트북 테이블")</f>
        <v>접이식 노트북 책상 휴대용 높이 조절 컴퓨터 스탠드 대나무 차 서빙 트레이 침대 식탁 노트북 노트북 테이블</v>
      </c>
      <c r="F312" s="1" t="str">
        <f>IFERROR(__xludf.DUMMYFUNCTION("CONCATENATE(GOOGLETRANSLATE(C312, ""en"", ""ja""))"),"折りたたみ式ラップトップデスクポータブル高さ調節可能なコンピュータスタンド竹茶サービングトレイベッドダイニングテーブルラップトップノートブックテーブル")</f>
        <v>折りたたみ式ラップトップデスクポータブル高さ調節可能なコンピュータスタンド竹茶サービングトレイベッドダイニングテーブルラップトップノートブックテーブル</v>
      </c>
    </row>
    <row r="313" ht="15.75" customHeight="1">
      <c r="A313" s="1">
        <v>1778.0</v>
      </c>
      <c r="B313" s="1" t="s">
        <v>15</v>
      </c>
      <c r="C313" s="1" t="s">
        <v>302</v>
      </c>
      <c r="D313" s="1" t="str">
        <f>IFERROR(__xludf.DUMMYFUNCTION("CONCATENATE(GOOGLETRANSLATE(C313, ""en"", ""zh-cn""))"),"弹性餐椅套办公电脑椅保护弹力座椅套家用办公家具装饰")</f>
        <v>弹性餐椅套办公电脑椅保护弹力座椅套家用办公家具装饰</v>
      </c>
      <c r="E313" s="1" t="str">
        <f>IFERROR(__xludf.DUMMYFUNCTION("CONCATENATE(GOOGLETRANSLATE(C313, ""en"", ""ko""))"),"탄성 식당 의자 커버 사무실 컴퓨터 의자 보호대 스트레치 좌석 슬리퍼 홈 오피스 가구 장식")</f>
        <v>탄성 식당 의자 커버 사무실 컴퓨터 의자 보호대 스트레치 좌석 슬리퍼 홈 오피스 가구 장식</v>
      </c>
      <c r="F313" s="1" t="str">
        <f>IFERROR(__xludf.DUMMYFUNCTION("CONCATENATE(GOOGLETRANSLATE(C313, ""en"", ""ja""))"),"弾性ダイニングチェアカバーオフィスコンピュータチェアプロテクターストレッチシートスリップカバーホームオフィス家具装飾")</f>
        <v>弾性ダイニングチェアカバーオフィスコンピュータチェアプロテクターストレッチシートスリップカバーホームオフィス家具装飾</v>
      </c>
    </row>
    <row r="314" ht="15.75" customHeight="1">
      <c r="A314" s="1">
        <v>1779.0</v>
      </c>
      <c r="B314" s="1" t="s">
        <v>15</v>
      </c>
      <c r="C314" s="1" t="s">
        <v>303</v>
      </c>
      <c r="D314" s="1" t="str">
        <f>IFERROR(__xludf.DUMMYFUNCTION("CONCATENATE(GOOGLETRANSLATE(C314, ""en"", ""zh-cn""))"),"弹性脚凳套脚凳保护弹力储物凳椅子座椅套家用办公家具装饰")</f>
        <v>弹性脚凳套脚凳保护弹力储物凳椅子座椅套家用办公家具装饰</v>
      </c>
      <c r="E314" s="1" t="str">
        <f>IFERROR(__xludf.DUMMYFUNCTION("CONCATENATE(GOOGLETRANSLATE(C314, ""en"", ""ko""))"),"탄성 오토만 커버 발판 보호대 스트레치 스토리지 의자 의자 좌석 슬립 커버 홈 오피스 가구 장식")</f>
        <v>탄성 오토만 커버 발판 보호대 스트레치 스토리지 의자 의자 좌석 슬립 커버 홈 오피스 가구 장식</v>
      </c>
      <c r="F314" s="1" t="str">
        <f>IFERROR(__xludf.DUMMYFUNCTION("CONCATENATE(GOOGLETRANSLATE(C314, ""en"", ""ja""))"),"弾性オットマンカバーフットスツールプロテクターストレッチ収納スツール椅子シート本カバーホームオフィス家具装飾")</f>
        <v>弾性オットマンカバーフットスツールプロテクターストレッチ収納スツール椅子シート本カバーホームオフィス家具装飾</v>
      </c>
    </row>
    <row r="315" ht="15.75" customHeight="1">
      <c r="A315" s="1">
        <v>1780.0</v>
      </c>
      <c r="B315" s="1" t="s">
        <v>15</v>
      </c>
      <c r="C315" s="1" t="s">
        <v>304</v>
      </c>
      <c r="D315" s="1" t="str">
        <f>IFERROR(__xludf.DUMMYFUNCTION("CONCATENATE(GOOGLETRANSLATE(C315, ""en"", ""zh-cn""))"),"弹性餐椅套弹力涤纶椅子座椅套办公室电脑椅保护器家庭办公家具装饰")</f>
        <v>弹性餐椅套弹力涤纶椅子座椅套办公室电脑椅保护器家庭办公家具装饰</v>
      </c>
      <c r="E315" s="1" t="str">
        <f>IFERROR(__xludf.DUMMYFUNCTION("CONCATENATE(GOOGLETRANSLATE(C315, ""en"", ""ko""))"),"탄성 다이닝 의자 커버 스트레치 폴리 에스터 의자 좌석 커버 사무실 컴퓨터 의자 보호대 홈 오피스 가구 장식")</f>
        <v>탄성 다이닝 의자 커버 스트레치 폴리 에스터 의자 좌석 커버 사무실 컴퓨터 의자 보호대 홈 오피스 가구 장식</v>
      </c>
      <c r="F315" s="1" t="str">
        <f>IFERROR(__xludf.DUMMYFUNCTION("CONCATENATE(GOOGLETRANSLATE(C315, ""en"", ""ja""))"),"弾性ダイニングチェアカバーストレッチポリエステル椅子シート本カバーオフィスコンピュータ椅子プロテクターホームオフィス家具装飾")</f>
        <v>弾性ダイニングチェアカバーストレッチポリエステル椅子シート本カバーオフィスコンピュータ椅子プロテクターホームオフィス家具装飾</v>
      </c>
    </row>
    <row r="316" ht="15.75" customHeight="1">
      <c r="A316" s="1">
        <v>1781.0</v>
      </c>
      <c r="B316" s="1" t="s">
        <v>15</v>
      </c>
      <c r="C316" s="1" t="s">
        <v>305</v>
      </c>
      <c r="D316" s="1" t="str">
        <f>IFERROR(__xludf.DUMMYFUNCTION("CONCATENATE(GOOGLETRANSLATE(C316, ""en"", ""zh-cn""))"),"弹性餐椅套印花弹力涤纶椅子座椅套办公室电脑椅保护套家用办公家具装饰")</f>
        <v>弹性餐椅套印花弹力涤纶椅子座椅套办公室电脑椅保护套家用办公家具装饰</v>
      </c>
      <c r="E316" s="1" t="str">
        <f>IFERROR(__xludf.DUMMYFUNCTION("CONCATENATE(GOOGLETRANSLATE(C316, ""en"", ""ko""))"),"탄성 다이닝 의자 커버 인쇄 스트레치 폴리 에스터 의자 좌석 커버 사무실 컴퓨터 의자 보호대 홈 오피스 가구 장식")</f>
        <v>탄성 다이닝 의자 커버 인쇄 스트레치 폴리 에스터 의자 좌석 커버 사무실 컴퓨터 의자 보호대 홈 오피스 가구 장식</v>
      </c>
      <c r="F316" s="1" t="str">
        <f>IFERROR(__xludf.DUMMYFUNCTION("CONCATENATE(GOOGLETRANSLATE(C316, ""en"", ""ja""))"),"弾性ダイニングチェアカバー印刷ストレッチポリエステル椅子シート本カバーオフィスコンピュータ椅子プロテクターホームオフィス家具装飾")</f>
        <v>弾性ダイニングチェアカバー印刷ストレッチポリエステル椅子シート本カバーオフィスコンピュータ椅子プロテクターホームオフィス家具装飾</v>
      </c>
    </row>
    <row r="317" ht="15.75" customHeight="1">
      <c r="A317" s="1">
        <v>1782.0</v>
      </c>
      <c r="B317" s="1" t="s">
        <v>15</v>
      </c>
      <c r="C317" s="1" t="s">
        <v>306</v>
      </c>
      <c r="D317" s="1" t="str">
        <f>IFERROR(__xludf.DUMMYFUNCTION("CONCATENATE(GOOGLETRANSLATE(C317, ""en"", ""zh-cn""))"),"纸杯蛋糕架蛋糕架婚礼派对展示 LED 灯串 3/4/5 层")</f>
        <v>纸杯蛋糕架蛋糕架婚礼派对展示 LED 灯串 3/4/5 层</v>
      </c>
      <c r="E317" s="1" t="str">
        <f>IFERROR(__xludf.DUMMYFUNCTION("CONCATENATE(GOOGLETRANSLATE(C317, ""en"", ""ko""))"),"컵케이크 스탠드 케이크 홀더 웨딩 파티 디스플레이 LED 스트링 조명 3/4/5단")</f>
        <v>컵케이크 스탠드 케이크 홀더 웨딩 파티 디스플레이 LED 스트링 조명 3/4/5단</v>
      </c>
      <c r="F317" s="1" t="str">
        <f>IFERROR(__xludf.DUMMYFUNCTION("CONCATENATE(GOOGLETRANSLATE(C317, ""en"", ""ja""))"),"カップケーキスタンド ケーキホルダー ウェディングパーティーディスプレイ LEDストリングライト 3/4/5段")</f>
        <v>カップケーキスタンド ケーキホルダー ウェディングパーティーディスプレイ LEDストリングライト 3/4/5段</v>
      </c>
    </row>
    <row r="318" ht="15.75" customHeight="1">
      <c r="A318" s="1">
        <v>1783.0</v>
      </c>
      <c r="B318" s="1" t="s">
        <v>15</v>
      </c>
      <c r="C318" s="1" t="s">
        <v>307</v>
      </c>
      <c r="D318" s="1" t="str">
        <f>IFERROR(__xludf.DUMMYFUNCTION("CONCATENATE(GOOGLETRANSLATE(C318, ""en"", ""zh-cn""))"),"便携式电动洗衣架衣架折叠晾衣旅行110V/220V")</f>
        <v>便携式电动洗衣架衣架折叠晾衣旅行110V/220V</v>
      </c>
      <c r="E318" s="1" t="str">
        <f>IFERROR(__xludf.DUMMYFUNCTION("CONCATENATE(GOOGLETRANSLATE(C318, ""en"", ""ko""))"),"휴대용 전기 세탁 선반 걸이 접이식 건조 옷 여행 110V/220V")</f>
        <v>휴대용 전기 세탁 선반 걸이 접이식 건조 옷 여행 110V/220V</v>
      </c>
      <c r="F318" s="1" t="str">
        <f>IFERROR(__xludf.DUMMYFUNCTION("CONCATENATE(GOOGLETRANSLATE(C318, ""en"", ""ja""))"),"ポータブル電気ランドリーラックハンガー折りたたみ乾燥衣類旅行 110 V/220 V")</f>
        <v>ポータブル電気ランドリーラックハンガー折りたたみ乾燥衣類旅行 110 V/220 V</v>
      </c>
    </row>
    <row r="319" ht="15.75" customHeight="1">
      <c r="A319" s="1">
        <v>1784.0</v>
      </c>
      <c r="B319" s="1" t="s">
        <v>15</v>
      </c>
      <c r="C319" s="1" t="s">
        <v>308</v>
      </c>
      <c r="D319" s="1" t="str">
        <f>IFERROR(__xludf.DUMMYFUNCTION("CONCATENATE(GOOGLETRANSLATE(C319, ""en"", ""zh-cn""))"),"ZHUYUWAN 筷子架壁挂式厨房餐具勺子收纳盒")</f>
        <v>ZHUYUWAN 筷子架壁挂式厨房餐具勺子收纳盒</v>
      </c>
      <c r="E319" s="1" t="str">
        <f>IFERROR(__xludf.DUMMYFUNCTION("CONCATENATE(GOOGLETRANSLATE(C319, ""en"", ""ko""))"),"ZHUYUWAN 젓가락 홀더 벽걸이형 주방 식기 스푼 보관함")</f>
        <v>ZHUYUWAN 젓가락 홀더 벽걸이형 주방 식기 스푼 보관함</v>
      </c>
      <c r="F319" s="1" t="str">
        <f>IFERROR(__xludf.DUMMYFUNCTION("CONCATENATE(GOOGLETRANSLATE(C319, ""en"", ""ja""))"),"ZHUYUWAN 箸ホルダー 壁掛けキッチン食器スプーン収納ボックス")</f>
        <v>ZHUYUWAN 箸ホルダー 壁掛けキッチン食器スプーン収納ボックス</v>
      </c>
    </row>
    <row r="320" ht="15.75" customHeight="1">
      <c r="A320" s="1">
        <v>1785.0</v>
      </c>
      <c r="B320" s="1" t="s">
        <v>15</v>
      </c>
      <c r="C320" s="1" t="s">
        <v>309</v>
      </c>
      <c r="D320" s="1" t="str">
        <f>IFERROR(__xludf.DUMMYFUNCTION("CONCATENATE(GOOGLETRANSLATE(C320, ""en"", ""zh-cn""))"),"腰部支撑垫/按摩枕便携式充气家用旅行办公汽车")</f>
        <v>腰部支撑垫/按摩枕便携式充气家用旅行办公汽车</v>
      </c>
      <c r="E320" s="1" t="str">
        <f>IFERROR(__xludf.DUMMYFUNCTION("CONCATENATE(GOOGLETRANSLATE(C320, ""en"", ""ko""))"),"요추 지지 쿠션/ 마사지 베개 휴대용 공기주입식 가정용 여행 사무실 차량용")</f>
        <v>요추 지지 쿠션/ 마사지 베개 휴대용 공기주입식 가정용 여행 사무실 차량용</v>
      </c>
      <c r="F320" s="1" t="str">
        <f>IFERROR(__xludf.DUMMYFUNCTION("CONCATENATE(GOOGLETRANSLATE(C320, ""en"", ""ja""))"),"ランバーサポートクッション/マッサージ枕ポータブルインフレータブル家庭旅行オフィス車用")</f>
        <v>ランバーサポートクッション/マッサージ枕ポータブルインフレータブル家庭旅行オフィス車用</v>
      </c>
    </row>
    <row r="321" ht="15.75" customHeight="1">
      <c r="A321" s="1">
        <v>1786.0</v>
      </c>
      <c r="B321" s="1" t="s">
        <v>15</v>
      </c>
      <c r="C321" s="1" t="s">
        <v>310</v>
      </c>
      <c r="D321" s="1" t="str">
        <f>IFERROR(__xludf.DUMMYFUNCTION("CONCATENATE(GOOGLETRANSLATE(C321, ""en"", ""zh-cn""))"),"衣服洗衣篮大号牛津布篮储物收纳袋可折叠")</f>
        <v>衣服洗衣篮大号牛津布篮储物收纳袋可折叠</v>
      </c>
      <c r="E321" s="1" t="str">
        <f>IFERROR(__xludf.DUMMYFUNCTION("CONCATENATE(GOOGLETRANSLATE(C321, ""en"", ""ko""))"),"옷 세탁 바구니 대형 옥스퍼드 천 바구니 수납 정리함 가방 접이식")</f>
        <v>옷 세탁 바구니 대형 옥스퍼드 천 바구니 수납 정리함 가방 접이식</v>
      </c>
      <c r="F321" s="1" t="str">
        <f>IFERROR(__xludf.DUMMYFUNCTION("CONCATENATE(GOOGLETRANSLATE(C321, ""en"", ""ja""))"),"衣類ランドリーバスケット大型オックスフォード布かご収納オーガナイザーバッグ折りたたみ式")</f>
        <v>衣類ランドリーバスケット大型オックスフォード布かご収納オーガナイザーバッグ折りたたみ式</v>
      </c>
    </row>
    <row r="322" ht="15.75" customHeight="1">
      <c r="A322" s="1">
        <v>1787.0</v>
      </c>
      <c r="B322" s="1" t="s">
        <v>15</v>
      </c>
      <c r="C322" s="1" t="s">
        <v>311</v>
      </c>
      <c r="D322" s="1" t="str">
        <f>IFERROR(__xludf.DUMMYFUNCTION("CONCATENATE(GOOGLETRANSLATE(C322, ""en"", ""zh-cn""))"),"室内室外花园露台家用厨房办公椅座椅软垫垫")</f>
        <v>室内室外花园露台家用厨房办公椅座椅软垫垫</v>
      </c>
      <c r="E322" s="1" t="str">
        <f>IFERROR(__xludf.DUMMYFUNCTION("CONCATENATE(GOOGLETRANSLATE(C322, ""en"", ""ko""))"),"실내 옥외 정원 테라스 가정 부엌 사무실 의자 좌석 소프트 쿠션 패드")</f>
        <v>실내 옥외 정원 테라스 가정 부엌 사무실 의자 좌석 소프트 쿠션 패드</v>
      </c>
      <c r="F322" s="1" t="str">
        <f>IFERROR(__xludf.DUMMYFUNCTION("CONCATENATE(GOOGLETRANSLATE(C322, ""en"", ""ja""))"),"屋内屋外ガーデンパティオホームキッチンオフィスチェアシートソフトクッションパッド")</f>
        <v>屋内屋外ガーデンパティオホームキッチンオフィスチェアシートソフトクッションパッド</v>
      </c>
    </row>
    <row r="323" ht="15.75" customHeight="1">
      <c r="A323" s="1">
        <v>1788.0</v>
      </c>
      <c r="B323" s="1" t="s">
        <v>15</v>
      </c>
      <c r="C323" s="1" t="s">
        <v>312</v>
      </c>
      <c r="D323" s="1" t="str">
        <f>IFERROR(__xludf.DUMMYFUNCTION("CONCATENATE(GOOGLETRANSLATE(C323, ""en"", ""zh-cn""))"),"躺椅躺椅座垫替换棉垫套太阳沙发花园椅垫")</f>
        <v>躺椅躺椅座垫替换棉垫套太阳沙发花园椅垫</v>
      </c>
      <c r="E323" s="1" t="str">
        <f>IFERROR(__xludf.DUMMYFUNCTION("CONCATENATE(GOOGLETRANSLATE(C323, ""en"", ""ko""))"),"라운저 안락 의자 좌석 패드 교체용 면 쿠션 커버 태양 소파 정원 의자 매트")</f>
        <v>라운저 안락 의자 좌석 패드 교체용 면 쿠션 커버 태양 소파 정원 의자 매트</v>
      </c>
      <c r="F323" s="1" t="str">
        <f>IFERROR(__xludf.DUMMYFUNCTION("CONCATENATE(GOOGLETRANSLATE(C323, ""en"", ""ja""))"),"ラウンジャーリクライニングシートパッド交換用コットンクッションカバーサンソファガーデンチェアマット")</f>
        <v>ラウンジャーリクライニングシートパッド交換用コットンクッションカバーサンソファガーデンチェアマット</v>
      </c>
    </row>
    <row r="324" ht="15.75" customHeight="1">
      <c r="A324" s="1">
        <v>1789.0</v>
      </c>
      <c r="B324" s="1" t="s">
        <v>15</v>
      </c>
      <c r="C324" s="1" t="s">
        <v>313</v>
      </c>
      <c r="D324" s="1" t="str">
        <f>IFERROR(__xludf.DUMMYFUNCTION("CONCATENATE(GOOGLETRANSLATE(C324, ""en"", ""zh-cn""))"),"椅套座椅椅套餐厅婚礼办公室宴会装饰")</f>
        <v>椅套座椅椅套餐厅婚礼办公室宴会装饰</v>
      </c>
      <c r="E324" s="1" t="str">
        <f>IFERROR(__xludf.DUMMYFUNCTION("CONCATENATE(GOOGLETRANSLATE(C324, ""en"", ""ko""))"),"의자 커버 좌석 의자 커버 다이닝룸 결혼식 사무실 연회 장식용")</f>
        <v>의자 커버 좌석 의자 커버 다이닝룸 결혼식 사무실 연회 장식용</v>
      </c>
      <c r="F324" s="1" t="str">
        <f>IFERROR(__xludf.DUMMYFUNCTION("CONCATENATE(GOOGLETRANSLATE(C324, ""en"", ""ja""))"),"椅子カバーシートチェアスリップカバーダイニングルーム結婚式オフィス宴会装飾用")</f>
        <v>椅子カバーシートチェアスリップカバーダイニングルーム結婚式オフィス宴会装飾用</v>
      </c>
    </row>
    <row r="325" ht="15.75" customHeight="1">
      <c r="A325" s="1">
        <v>1790.0</v>
      </c>
      <c r="B325" s="1" t="s">
        <v>15</v>
      </c>
      <c r="C325" s="1" t="s">
        <v>314</v>
      </c>
      <c r="D325" s="1" t="str">
        <f>IFERROR(__xludf.DUMMYFUNCTION("CONCATENATE(GOOGLETRANSLATE(C325, ""en"", ""zh-cn""))"),"6瓶可折叠木瓶架-自然架子展示")</f>
        <v>6瓶可折叠木瓶架-自然架子展示</v>
      </c>
      <c r="E325" s="1" t="str">
        <f>IFERROR(__xludf.DUMMYFUNCTION("CONCATENATE(GOOGLETRANSLATE(C325, ""en"", ""ko""))"),"6병 접이식 나무 병 홀더 - 천연 선반 디스플레이")</f>
        <v>6병 접이식 나무 병 홀더 - 천연 선반 디스플레이</v>
      </c>
      <c r="F325" s="1" t="str">
        <f>IFERROR(__xludf.DUMMYFUNCTION("CONCATENATE(GOOGLETRANSLATE(C325, ""en"", ""ja""))"),"6ボトル折りたたみ式木製ボトルホルダー - ナチュラルシェルフディスプレイ")</f>
        <v>6ボトル折りたたみ式木製ボトルホルダー - ナチュラルシェルフディスプレイ</v>
      </c>
    </row>
    <row r="326" ht="15.75" customHeight="1">
      <c r="A326" s="1">
        <v>1791.0</v>
      </c>
      <c r="B326" s="1" t="s">
        <v>15</v>
      </c>
      <c r="C326" s="1" t="s">
        <v>315</v>
      </c>
      <c r="D326" s="1" t="str">
        <f>IFERROR(__xludf.DUMMYFUNCTION("CONCATENATE(GOOGLETRANSLATE(C326, ""en"", ""zh-cn""))"),"长凳储物凳鞋木鞋架竹架椅子收纳架")</f>
        <v>长凳储物凳鞋木鞋架竹架椅子收纳架</v>
      </c>
      <c r="E326" s="1" t="str">
        <f>IFERROR(__xludf.DUMMYFUNCTION("CONCATENATE(GOOGLETRANSLATE(C326, ""en"", ""ko""))"),"벤치 보관 의자 신발 나무 신발 랙 대나무 스탠드 의자 정리함")</f>
        <v>벤치 보관 의자 신발 나무 신발 랙 대나무 스탠드 의자 정리함</v>
      </c>
      <c r="F326" s="1" t="str">
        <f>IFERROR(__xludf.DUMMYFUNCTION("CONCATENATE(GOOGLETRANSLATE(C326, ""en"", ""ja""))"),"ベンチ収納スツール靴木製シューズラック竹スタンドチェアオーガナイザー")</f>
        <v>ベンチ収納スツール靴木製シューズラック竹スタンドチェアオーガナイザー</v>
      </c>
    </row>
    <row r="327" ht="15.75" customHeight="1">
      <c r="A327" s="1">
        <v>1792.0</v>
      </c>
      <c r="B327" s="1" t="s">
        <v>15</v>
      </c>
      <c r="C327" s="1" t="s">
        <v>316</v>
      </c>
      <c r="D327" s="1" t="str">
        <f>IFERROR(__xludf.DUMMYFUNCTION("CONCATENATE(GOOGLETRANSLATE(C327, ""en"", ""zh-cn""))"),"4 件装 28 英寸桌腿金属发夹腿家具腿支架脚家用办公家具配件带地板保护垫")</f>
        <v>4 件装 28 英寸桌腿金属发夹腿家具腿支架脚家用办公家具配件带地板保护垫</v>
      </c>
      <c r="E327" s="1" t="str">
        <f>IFERROR(__xludf.DUMMYFUNCTION("CONCATENATE(GOOGLETRANSLATE(C327, ""en"", ""ko""))"),"4pcs 28 인치 테이블 책상 다리 금속 머리핀 다리 가구 다리 스탠드 피트 바닥 보호 매트와 홈 오피스 가구 액세서리")</f>
        <v>4pcs 28 인치 테이블 책상 다리 금속 머리핀 다리 가구 다리 스탠드 피트 바닥 보호 매트와 홈 오피스 가구 액세서리</v>
      </c>
      <c r="F327" s="1" t="str">
        <f>IFERROR(__xludf.DUMMYFUNCTION("CONCATENATE(GOOGLETRANSLATE(C327, ""en"", ""ja""))"),"4 個 28 インチテーブルデスク脚金属ヘアピン脚家具脚スタンド足ホームオフィス家具アクセサリー床保護マット付き")</f>
        <v>4 個 28 インチテーブルデスク脚金属ヘアピン脚家具脚スタンド足ホームオフィス家具アクセサリー床保護マット付き</v>
      </c>
    </row>
    <row r="328" ht="15.75" customHeight="1">
      <c r="A328" s="1">
        <v>1793.0</v>
      </c>
      <c r="B328" s="1" t="s">
        <v>15</v>
      </c>
      <c r="C328" s="1" t="s">
        <v>317</v>
      </c>
      <c r="D328" s="1" t="str">
        <f>IFERROR(__xludf.DUMMYFUNCTION("CONCATENATE(GOOGLETRANSLATE(C328, ""en"", ""zh-cn""))"),"4 件装桌腿 16 英寸/41 厘米金属发夹腿家具腿支架脚家庭办公家具配件")</f>
        <v>4 件装桌腿 16 英寸/41 厘米金属发夹腿家具腿支架脚家庭办公家具配件</v>
      </c>
      <c r="E328" s="1" t="str">
        <f>IFERROR(__xludf.DUMMYFUNCTION("CONCATENATE(GOOGLETRANSLATE(C328, ""en"", ""ko""))"),"4pcs 테이블 책상 다리 16 ""/41cm 금속 머리핀 다리 가구 다리 스탠드 피트 홈 오피스 가구 액세서리")</f>
        <v>4pcs 테이블 책상 다리 16 "/41cm 금속 머리핀 다리 가구 다리 스탠드 피트 홈 오피스 가구 액세서리</v>
      </c>
      <c r="F328" s="1" t="str">
        <f>IFERROR(__xludf.DUMMYFUNCTION("CONCATENATE(GOOGLETRANSLATE(C328, ""en"", ""ja""))"),"4 個テーブルデスク脚 16 ""/41 センチメートル金属ヘアピン脚家具の脚スタンド足ホームオフィス家具アクセサリー")</f>
        <v>4 個テーブルデスク脚 16 "/41 センチメートル金属ヘアピン脚家具の脚スタンド足ホームオフィス家具アクセサリー</v>
      </c>
    </row>
    <row r="329" ht="15.75" customHeight="1">
      <c r="A329" s="1">
        <v>1794.0</v>
      </c>
      <c r="B329" s="1" t="s">
        <v>15</v>
      </c>
      <c r="C329" s="1" t="s">
        <v>318</v>
      </c>
      <c r="D329" s="1" t="str">
        <f>IFERROR(__xludf.DUMMYFUNCTION("CONCATENATE(GOOGLETRANSLATE(C329, ""en"", ""zh-cn""))"),"椅套加厚弹力躺椅翼形沙发保护套懒人可水洗面料")</f>
        <v>椅套加厚弹力躺椅翼形沙发保护套懒人可水洗面料</v>
      </c>
      <c r="E329" s="1" t="str">
        <f>IFERROR(__xludf.DUMMYFUNCTION("CONCATENATE(GOOGLETRANSLATE(C329, ""en"", ""ko""))"),"의자 커버 두꺼운 스트레치 안락 의자 날개 소파 보호대 게으른 세탁 가능 직물")</f>
        <v>의자 커버 두꺼운 스트레치 안락 의자 날개 소파 보호대 게으른 세탁 가능 직물</v>
      </c>
      <c r="F329" s="1" t="str">
        <f>IFERROR(__xludf.DUMMYFUNCTION("CONCATENATE(GOOGLETRANSLATE(C329, ""en"", ""ja""))"),"椅子カバー厚手ストレッチリクライニングウィングソファプロテクター怠惰な洗える生地")</f>
        <v>椅子カバー厚手ストレッチリクライニングウィングソファプロテクター怠惰な洗える生地</v>
      </c>
    </row>
    <row r="330" ht="15.75" customHeight="1">
      <c r="A330" s="1">
        <v>1795.0</v>
      </c>
      <c r="B330" s="1" t="s">
        <v>15</v>
      </c>
      <c r="C330" s="1" t="s">
        <v>319</v>
      </c>
      <c r="D330" s="1" t="str">
        <f>IFERROR(__xludf.DUMMYFUNCTION("CONCATENATE(GOOGLETRANSLATE(C330, ""en"", ""zh-cn""))"),"LN塑料迷你桌子可折叠笔记本电脑书桌床懒人桌学生宿舍书桌写字桌")</f>
        <v>LN塑料迷你桌子可折叠笔记本电脑书桌床懒人桌学生宿舍书桌写字桌</v>
      </c>
      <c r="E330" s="1" t="str">
        <f>IFERROR(__xludf.DUMMYFUNCTION("CONCATENATE(GOOGLETRANSLATE(C330, ""en"", ""ko""))"),"LN 플라스틱 미니 테이블 접이식 노트북 책상 침대 게으른 테이블 학생 기숙사 책상 쓰기 테이블")</f>
        <v>LN 플라스틱 미니 테이블 접이식 노트북 책상 침대 게으른 테이블 학생 기숙사 책상 쓰기 테이블</v>
      </c>
      <c r="F330" s="1" t="str">
        <f>IFERROR(__xludf.DUMMYFUNCTION("CONCATENATE(GOOGLETRANSLATE(C330, ""en"", ""ja""))"),"LN プラスチックミニテーブル折りたたみ式ラップトップデスクベッド怠惰なテーブル学生寮デスクライティングテーブル")</f>
        <v>LN プラスチックミニテーブル折りたたみ式ラップトップデスクベッド怠惰なテーブル学生寮デスクライティングテーブル</v>
      </c>
    </row>
    <row r="331" ht="15.75" customHeight="1">
      <c r="A331" s="1">
        <v>1796.0</v>
      </c>
      <c r="B331" s="1" t="s">
        <v>15</v>
      </c>
      <c r="C331" s="1" t="s">
        <v>320</v>
      </c>
      <c r="D331" s="1" t="str">
        <f>IFERROR(__xludf.DUMMYFUNCTION("CONCATENATE(GOOGLETRANSLATE(C331, ""en"", ""zh-cn""))"),"浴室马桶柜储物柜架纸巾收纳架")</f>
        <v>浴室马桶柜储物柜架纸巾收纳架</v>
      </c>
      <c r="E331" s="1" t="str">
        <f>IFERROR(__xludf.DUMMYFUNCTION("CONCATENATE(GOOGLETRANSLATE(C331, ""en"", ""ko""))"),"욕실 화장실 캐비닛 보관 찬장 랙 조직 정리 선반")</f>
        <v>욕실 화장실 캐비닛 보관 찬장 랙 조직 정리 선반</v>
      </c>
      <c r="F331" s="1" t="str">
        <f>IFERROR(__xludf.DUMMYFUNCTION("CONCATENATE(GOOGLETRANSLATE(C331, ""en"", ""ja""))"),"バスルーム トイレ キャビネット 収納食器棚ラック ティッシュ オーガナイザー シェルフ")</f>
        <v>バスルーム トイレ キャビネット 収納食器棚ラック ティッシュ オーガナイザー シェルフ</v>
      </c>
    </row>
    <row r="332" ht="15.75" customHeight="1">
      <c r="A332" s="1">
        <v>1797.0</v>
      </c>
      <c r="B332" s="1" t="s">
        <v>15</v>
      </c>
      <c r="C332" s="1" t="s">
        <v>321</v>
      </c>
      <c r="D332" s="1" t="str">
        <f>IFERROR(__xludf.DUMMYFUNCTION("CONCATENATE(GOOGLETRANSLATE(C332, ""en"", ""zh-cn""))"),"2 件套咖啡桌腿工业金属电脑笔记本电脑办公桌餐桌钢基脚家用办公家具配件")</f>
        <v>2 件套咖啡桌腿工业金属电脑笔记本电脑办公桌餐桌钢基脚家用办公家具配件</v>
      </c>
      <c r="E332" s="1" t="str">
        <f>IFERROR(__xludf.DUMMYFUNCTION("CONCATENATE(GOOGLETRANSLATE(C332, ""en"", ""ko""))"),"2Pcs 커피 테이블 다리 산업용 금속 컴퓨터 노트북 책상 식탁 철강 기본 피트 홈 오피스 가구 액세서리")</f>
        <v>2Pcs 커피 테이블 다리 산업용 금속 컴퓨터 노트북 책상 식탁 철강 기본 피트 홈 오피스 가구 액세서리</v>
      </c>
      <c r="F332" s="1" t="str">
        <f>IFERROR(__xludf.DUMMYFUNCTION("CONCATENATE(GOOGLETRANSLATE(C332, ""en"", ""ja""))"),"2 個コーヒーテーブル脚工業用金属コンピュータラップトップデスクダイニングテーブルスチールベース足ホームオフィス家具アクセサリー")</f>
        <v>2 個コーヒーテーブル脚工業用金属コンピュータラップトップデスクダイニングテーブルスチールベース足ホームオフィス家具アクセサリー</v>
      </c>
    </row>
    <row r="333" ht="15.75" customHeight="1">
      <c r="A333" s="1">
        <v>1798.0</v>
      </c>
      <c r="B333" s="1" t="s">
        <v>15</v>
      </c>
      <c r="C333" s="1" t="s">
        <v>322</v>
      </c>
      <c r="D333" s="1" t="str">
        <f>IFERROR(__xludf.DUMMYFUNCTION("CONCATENATE(GOOGLETRANSLATE(C333, ""en"", ""zh-cn""))"),"工业梯架 4 层书架植物花架储物架多用途收纳架金属框架适合家庭办公室")</f>
        <v>工业梯架 4 层书架植物花架储物架多用途收纳架金属框架适合家庭办公室</v>
      </c>
      <c r="E333" s="1" t="str">
        <f>IFERROR(__xludf.DUMMYFUNCTION("CONCATENATE(GOOGLETRANSLATE(C333, ""en"", ""ko""))"),"산업용 사다리 선반 4 계층 책장 식물 꽃 스탠드 스토리지 랙 다목적 주최자 선반 홈 오피스 용 금속 프레임")</f>
        <v>산업용 사다리 선반 4 계층 책장 식물 꽃 스탠드 스토리지 랙 다목적 주최자 선반 홈 오피스 용 금속 프레임</v>
      </c>
      <c r="F333" s="1" t="str">
        <f>IFERROR(__xludf.DUMMYFUNCTION("CONCATENATE(GOOGLETRANSLATE(C333, ""en"", ""ja""))"),"工業用ラダーシェルフ 4 段本棚植物フラワースタンド収納ラック多目的オーガナイザー棚ホームオフィス用金属フレーム")</f>
        <v>工業用ラダーシェルフ 4 段本棚植物フラワースタンド収納ラック多目的オーガナイザー棚ホームオフィス用金属フレーム</v>
      </c>
    </row>
    <row r="334" ht="15.75" customHeight="1">
      <c r="A334" s="1">
        <v>1799.0</v>
      </c>
      <c r="B334" s="1" t="s">
        <v>15</v>
      </c>
      <c r="C334" s="1" t="s">
        <v>323</v>
      </c>
      <c r="D334" s="1" t="str">
        <f>IFERROR(__xludf.DUMMYFUNCTION("CONCATENATE(GOOGLETRANSLATE(C334, ""en"", ""zh-cn""))"),"可调节靠垫枕头楔形腰靠颈背枕头支撑汽车座椅椅子沙发垫儿童儿童")</f>
        <v>可调节靠垫枕头楔形腰靠颈背枕头支撑汽车座椅椅子沙发垫儿童儿童</v>
      </c>
      <c r="E334" s="1" t="str">
        <f>IFERROR(__xludf.DUMMYFUNCTION("CONCATENATE(GOOGLETRANSLATE(C334, ""en"", ""ko""))"),"조정 가능한 쿠션 베개 웨지 허리 받침대 목 뒤로 베개 지원 어린이를위한 자동차 좌석 의자 소파 쿠션 어린이")</f>
        <v>조정 가능한 쿠션 베개 웨지 허리 받침대 목 뒤로 베개 지원 어린이를위한 자동차 좌석 의자 소파 쿠션 어린이</v>
      </c>
      <c r="F334" s="1" t="str">
        <f>IFERROR(__xludf.DUMMYFUNCTION("CONCATENATE(GOOGLETRANSLATE(C334, ""en"", ""ja""))"),"調節可能なクッション枕ウェッジウエストレストネックバック枕サポートカーシート椅子ソファクッション子供用")</f>
        <v>調節可能なクッション枕ウェッジウエストレストネックバック枕サポートカーシート椅子ソファクッション子供用</v>
      </c>
    </row>
    <row r="335" ht="15.75" customHeight="1">
      <c r="A335" s="1">
        <v>1800.0</v>
      </c>
      <c r="B335" s="1" t="s">
        <v>15</v>
      </c>
      <c r="C335" s="1" t="s">
        <v>324</v>
      </c>
      <c r="D335" s="1" t="str">
        <f>IFERROR(__xludf.DUMMYFUNCTION("CONCATENATE(GOOGLETRANSLATE(C335, ""en"", ""zh-cn""))"),"10 件/1 套耐用塑料家用双层鞋存放架鞋架收纳架节省空间")</f>
        <v>10 件/1 套耐用塑料家用双层鞋存放架鞋架收纳架节省空间</v>
      </c>
      <c r="E335" s="1" t="str">
        <f>IFERROR(__xludf.DUMMYFUNCTION("CONCATENATE(GOOGLETRANSLATE(C335, ""en"", ""ko""))"),"10Pcs/1Set 내구성 플라스틱 홈 더블 레이어 신발 보관 랙 신발 선반 홀더 주최자 공간 절약")</f>
        <v>10Pcs/1Set 내구성 플라스틱 홈 더블 레이어 신발 보관 랙 신발 선반 홀더 주최자 공간 절약</v>
      </c>
      <c r="F335" s="1" t="str">
        <f>IFERROR(__xludf.DUMMYFUNCTION("CONCATENATE(GOOGLETRANSLATE(C335, ""en"", ""ja""))"),"10 ピース/1 セット耐久性のあるプラスチックホーム二重層靴収納ラック靴棚ホルダーオーガナイザー省スペース")</f>
        <v>10 ピース/1 セット耐久性のあるプラスチックホーム二重層靴収納ラック靴棚ホルダーオーガナイザー省スペース</v>
      </c>
    </row>
    <row r="336" ht="15.75" customHeight="1">
      <c r="A336" s="1">
        <v>1801.0</v>
      </c>
      <c r="B336" s="1" t="s">
        <v>15</v>
      </c>
      <c r="C336" s="1" t="s">
        <v>325</v>
      </c>
      <c r="D336" s="1" t="str">
        <f>IFERROR(__xludf.DUMMYFUNCTION("CONCATENATE(GOOGLETRANSLATE(C336, ""en"", ""zh-cn""))"),"90Kg/198Lbs 铰接夹夹持能力水平板")</f>
        <v>90Kg/198Lbs 铰接夹夹持能力水平板</v>
      </c>
      <c r="E336" s="1" t="str">
        <f>IFERROR(__xludf.DUMMYFUNCTION("CONCATENATE(GOOGLETRANSLATE(C336, ""en"", ""ko""))"),"90Kg/ 198Lbs 토글 클램프 보유 용량 수평 플레이트")</f>
        <v>90Kg/ 198Lbs 토글 클램프 보유 용량 수평 플레이트</v>
      </c>
      <c r="F336" s="1" t="str">
        <f>IFERROR(__xludf.DUMMYFUNCTION("CONCATENATE(GOOGLETRANSLATE(C336, ""en"", ""ja""))"),"90Kg/198ポンドのトグルクランプ保持能力水平プレート")</f>
        <v>90Kg/198ポンドのトグルクランプ保持能力水平プレート</v>
      </c>
    </row>
    <row r="337" ht="15.75" customHeight="1">
      <c r="A337" s="1">
        <v>1802.0</v>
      </c>
      <c r="B337" s="1" t="s">
        <v>15</v>
      </c>
      <c r="C337" s="1" t="s">
        <v>326</v>
      </c>
      <c r="D337" s="1" t="str">
        <f>IFERROR(__xludf.DUMMYFUNCTION("CONCATENATE(GOOGLETRANSLATE(C337, ""en"", ""zh-cn""))"),"6 件/套硅胶弹力吸盘盖厨房盖锅碗塞盖")</f>
        <v>6 件/套硅胶弹力吸盘盖厨房盖锅碗塞盖</v>
      </c>
      <c r="E337" s="1" t="str">
        <f>IFERROR(__xludf.DUMMYFUNCTION("CONCATENATE(GOOGLETRANSLATE(C337, ""en"", ""ko""))"),"6개/대 실리콘 스트레치 흡입 냄비 뚜껑 주방 커버 팬 그릇 스토퍼 캡")</f>
        <v>6개/대 실리콘 스트레치 흡입 냄비 뚜껑 주방 커버 팬 그릇 스토퍼 캡</v>
      </c>
      <c r="F337" s="1" t="str">
        <f>IFERROR(__xludf.DUMMYFUNCTION("CONCATENATE(GOOGLETRANSLATE(C337, ""en"", ""ja""))"),"6 ピース/セットシリコンストレッチ吸引ポット蓋キッチンカバーパンボウルストッパーキャップ")</f>
        <v>6 ピース/セットシリコンストレッチ吸引ポット蓋キッチンカバーパンボウルストッパーキャップ</v>
      </c>
    </row>
    <row r="338" ht="15.75" customHeight="1">
      <c r="A338" s="1">
        <v>1803.0</v>
      </c>
      <c r="B338" s="1" t="s">
        <v>15</v>
      </c>
      <c r="C338" s="1" t="s">
        <v>327</v>
      </c>
      <c r="D338" s="1" t="str">
        <f>IFERROR(__xludf.DUMMYFUNCTION("CONCATENATE(GOOGLETRANSLATE(C338, ""en"", ""zh-cn""))"),"35 厘米/45 厘米单层木绳挂墙架复古浮动储物架壁挂式书架家居装饰品架")</f>
        <v>35 厘米/45 厘米单层木绳挂墙架复古浮动储物架壁挂式书架家居装饰品架</v>
      </c>
      <c r="E338" s="1" t="str">
        <f>IFERROR(__xludf.DUMMYFUNCTION("CONCATENATE(GOOGLETRANSLATE(C338, ""en"", ""ko""))"),"35cm/45cm 단일 레이어 나무 밧줄 매달려 벽 선반 빈티지 플로팅 스토리지 랙 벽 마운트 책장 홈 장식 스탠드")</f>
        <v>35cm/45cm 단일 레이어 나무 밧줄 매달려 벽 선반 빈티지 플로팅 스토리지 랙 벽 마운트 책장 홈 장식 스탠드</v>
      </c>
      <c r="F338" s="1" t="str">
        <f>IFERROR(__xludf.DUMMYFUNCTION("CONCATENATE(GOOGLETRANSLATE(C338, ""en"", ""ja""))"),"35 センチメートル/45 センチメートル単層木製ロープ吊り壁棚ヴィンテージフローティング収納ラックウォールマウント本棚家の装飾スタンド")</f>
        <v>35 センチメートル/45 センチメートル単層木製ロープ吊り壁棚ヴィンテージフローティング収納ラックウォールマウント本棚家の装飾スタンド</v>
      </c>
    </row>
    <row r="339" ht="15.75" customHeight="1">
      <c r="A339" s="1">
        <v>1804.0</v>
      </c>
      <c r="B339" s="1" t="s">
        <v>15</v>
      </c>
      <c r="C339" s="1" t="s">
        <v>328</v>
      </c>
      <c r="D339" s="1" t="str">
        <f>IFERROR(__xludf.DUMMYFUNCTION("CONCATENATE(GOOGLETRANSLATE(C339, ""en"", ""zh-cn""))"),"12.08 英寸 100 张 LP 黑胶唱片防静电塑料封面内套 LD")</f>
        <v>12.08 英寸 100 张 LP 黑胶唱片防静电塑料封面内套 LD</v>
      </c>
      <c r="E339" s="1" t="str">
        <f>IFERROR(__xludf.DUMMYFUNCTION("CONCATENATE(GOOGLETRANSLATE(C339, ""en"", ""ko""))"),"12.08인치 100개 LP 비닐 레코드 정전기 방지 플라스틱 커버 내부 슬리브 LD")</f>
        <v>12.08인치 100개 LP 비닐 레코드 정전기 방지 플라스틱 커버 내부 슬리브 LD</v>
      </c>
      <c r="F339" s="1" t="str">
        <f>IFERROR(__xludf.DUMMYFUNCTION("CONCATENATE(GOOGLETRANSLATE(C339, ""en"", ""ja""))"),"12.08インチ 100枚 LPビニールレコード 帯電防止プラスチックカバー インナースリーブ LD")</f>
        <v>12.08インチ 100枚 LPビニールレコード 帯電防止プラスチックカバー インナースリーブ LD</v>
      </c>
    </row>
    <row r="340" ht="15.75" customHeight="1">
      <c r="A340" s="1">
        <v>1805.0</v>
      </c>
      <c r="B340" s="1" t="s">
        <v>15</v>
      </c>
      <c r="C340" s="1" t="s">
        <v>329</v>
      </c>
      <c r="D340" s="1" t="str">
        <f>IFERROR(__xludf.DUMMYFUNCTION("CONCATENATE(GOOGLETRANSLATE(C340, ""en"", ""zh-cn""))"),"木质多肉花盆置物架多层实木地板室内生活")</f>
        <v>木质多肉花盆置物架多层实木地板室内生活</v>
      </c>
      <c r="E340" s="1" t="str">
        <f>IFERROR(__xludf.DUMMYFUNCTION("CONCATENATE(GOOGLETRANSLATE(C340, ""en"", ""ko""))"),"나무로 된 즙이 많은 화분 선반 랙 다층 단단한 나무 바닥 실내 생활")</f>
        <v>나무로 된 즙이 많은 화분 선반 랙 다층 단단한 나무 바닥 실내 생활</v>
      </c>
      <c r="F340" s="1" t="str">
        <f>IFERROR(__xludf.DUMMYFUNCTION("CONCATENATE(GOOGLETRANSLATE(C340, ""en"", ""ja""))"),"木製多肉植物植木鉢棚ラック多層無垢材床屋内リビング")</f>
        <v>木製多肉植物植木鉢棚ラック多層無垢材床屋内リビング</v>
      </c>
    </row>
    <row r="341" ht="15.75" customHeight="1">
      <c r="A341" s="1">
        <v>1806.0</v>
      </c>
      <c r="B341" s="1" t="s">
        <v>15</v>
      </c>
      <c r="C341" s="1" t="s">
        <v>330</v>
      </c>
      <c r="D341" s="1" t="str">
        <f>IFERROR(__xludf.DUMMYFUNCTION("CONCATENATE(GOOGLETRANSLATE(C341, ""en"", ""zh-cn""))"),"防水胶带厨房浴室卫生间水槽墙角PVC密封条")</f>
        <v>防水胶带厨房浴室卫生间水槽墙角PVC密封条</v>
      </c>
      <c r="E341" s="1" t="str">
        <f>IFERROR(__xludf.DUMMYFUNCTION("CONCATENATE(GOOGLETRANSLATE(C341, ""en"", ""ko""))"),"방수 테이프 주방 욕실 화장실 싱크 벽 코너 PVC 씰링 스트립")</f>
        <v>방수 테이프 주방 욕실 화장실 싱크 벽 코너 PVC 씰링 스트립</v>
      </c>
      <c r="F341" s="1" t="str">
        <f>IFERROR(__xludf.DUMMYFUNCTION("CONCATENATE(GOOGLETRANSLATE(C341, ""en"", ""ja""))"),"防水テープキッチン浴室トイレシンク壁コーナー PVC シールストリップ")</f>
        <v>防水テープキッチン浴室トイレシンク壁コーナー PVC シールストリップ</v>
      </c>
    </row>
    <row r="342" ht="15.75" customHeight="1">
      <c r="A342" s="1">
        <v>1807.0</v>
      </c>
      <c r="B342" s="1" t="s">
        <v>15</v>
      </c>
      <c r="C342" s="1" t="s">
        <v>331</v>
      </c>
      <c r="D342" s="1" t="str">
        <f>IFERROR(__xludf.DUMMYFUNCTION("CONCATENATE(GOOGLETRANSLATE(C342, ""en"", ""zh-cn""))"),"SUBMARINE 不锈钢盆和厕所柔性水暖波纹软管 G1/2 英寸冷热管浴室加热器管 20-60 厘米 ")</f>
        <v>SUBMARINE 不锈钢盆和厕所柔性水暖波纹软管 G1/2 英寸冷热管浴室加热器管 20-60 厘米 </v>
      </c>
      <c r="E342" s="1" t="str">
        <f>IFERROR(__xludf.DUMMYFUNCTION("CONCATENATE(GOOGLETRANSLATE(C342, ""en"", ""ko""))"),"잠수함 스테인레스 스틸 분지 및 화장실 유연한 배관 물 골판지 호스 G1/2 ""온수 및 냉수 튜브 욕실 히터 파이프 20-60cm from ")</f>
        <v>잠수함 스테인레스 스틸 분지 및 화장실 유연한 배관 물 골판지 호스 G1/2 "온수 및 냉수 튜브 욕실 히터 파이프 20-60cm from </v>
      </c>
      <c r="F342" s="1" t="str">
        <f>IFERROR(__xludf.DUMMYFUNCTION("CONCATENATE(GOOGLETRANSLATE(C342, ""en"", ""ja""))"),"SUBMARINE ステンレス鋼洗面器 &amp; トイレフレキシブル配管水波形ホース G1/2 ""ホット &amp; コールドチューブ浴室ヒーターパイプ 20-60 センチメートルから ")</f>
        <v>SUBMARINE ステンレス鋼洗面器 &amp; トイレフレキシブル配管水波形ホース G1/2 "ホット &amp; コールドチューブ浴室ヒーターパイプ 20-60 センチメートルから </v>
      </c>
    </row>
    <row r="343" ht="15.75" customHeight="1">
      <c r="A343" s="1">
        <v>1808.0</v>
      </c>
      <c r="B343" s="1" t="s">
        <v>15</v>
      </c>
      <c r="C343" s="1" t="s">
        <v>332</v>
      </c>
      <c r="D343" s="1" t="str">
        <f>IFERROR(__xludf.DUMMYFUNCTION("CONCATENATE(GOOGLETRANSLATE(C343, ""en"", ""zh-cn""))"),"北欧风几何置物架家用书架厨房塑料食品收纳盒干果零食盒家居装饰品")</f>
        <v>北欧风几何置物架家用书架厨房塑料食品收纳盒干果零食盒家居装饰品</v>
      </c>
      <c r="E343" s="1" t="str">
        <f>IFERROR(__xludf.DUMMYFUNCTION("CONCATENATE(GOOGLETRANSLATE(C343, ""en"", ""ko""))"),"북유럽 바람 기하학 선반 가정용 책장 주방 플라스틱 식품 보관 케이스 말린 과일 스낵 상자 홈 장식")</f>
        <v>북유럽 바람 기하학 선반 가정용 책장 주방 플라스틱 식품 보관 케이스 말린 과일 스낵 상자 홈 장식</v>
      </c>
      <c r="F343" s="1" t="str">
        <f>IFERROR(__xludf.DUMMYFUNCTION("CONCATENATE(GOOGLETRANSLATE(C343, ""en"", ""ja""))"),"北欧風の幾何学的な棚家庭用本棚キッチンプラスチック食品収納ケースドライフルーツスナックボックス家の装飾")</f>
        <v>北欧風の幾何学的な棚家庭用本棚キッチンプラスチック食品収納ケースドライフルーツスナックボックス家の装飾</v>
      </c>
    </row>
    <row r="344" ht="15.75" customHeight="1">
      <c r="A344" s="1">
        <v>1809.0</v>
      </c>
      <c r="B344" s="1" t="s">
        <v>15</v>
      </c>
      <c r="C344" s="1" t="s">
        <v>333</v>
      </c>
      <c r="D344" s="1" t="str">
        <f>IFERROR(__xludf.DUMMYFUNCTION("CONCATENATE(GOOGLETRANSLATE(C344, ""en"", ""zh-cn""))"),"150x30cm PVC 黑色/白色超级固定强力防水胶带管道修复胶带自固定胶带止漏密封绝缘胶带")</f>
        <v>150x30cm PVC 黑色/白色超级固定强力防水胶带管道修复胶带自固定胶带止漏密封绝缘胶带</v>
      </c>
      <c r="E344" s="1" t="str">
        <f>IFERROR(__xludf.DUMMYFUNCTION("CONCATENATE(GOOGLETRANSLATE(C344, ""en"", ""ko""))"),"150x30cm PVC 블랙/화이트 슈퍼 수정 강력한 방수 접착 테이프 파이프 수리 테이프 자체 고정 테이프 중지 누출 씰 절연 테이프")</f>
        <v>150x30cm PVC 블랙/화이트 슈퍼 수정 강력한 방수 접착 테이프 파이프 수리 테이프 자체 고정 테이프 중지 누출 씰 절연 테이프</v>
      </c>
      <c r="F344" s="1" t="str">
        <f>IFERROR(__xludf.DUMMYFUNCTION("CONCATENATE(GOOGLETRANSLATE(C344, ""en"", ""ja""))"),"150 × 30 センチメートル PVC ブラック/ホワイトスーパーフィックス強力な防水粘着テープパイプ修理テープ自己固定可能テープストップリークシール絶縁テープ")</f>
        <v>150 × 30 センチメートル PVC ブラック/ホワイトスーパーフィックス強力な防水粘着テープパイプ修理テープ自己固定可能テープストップリークシール絶縁テープ</v>
      </c>
    </row>
    <row r="345" ht="15.75" customHeight="1">
      <c r="A345" s="1">
        <v>1810.0</v>
      </c>
      <c r="B345" s="1" t="s">
        <v>15</v>
      </c>
      <c r="C345" s="1" t="s">
        <v>334</v>
      </c>
      <c r="D345" s="1" t="str">
        <f>IFERROR(__xludf.DUMMYFUNCTION("CONCATENATE(GOOGLETRANSLATE(C345, ""en"", ""zh-cn""))"),"多功能可移动床头笔记本电脑桌电脑桌学习桌电脑支架带 2 层储物架书架")</f>
        <v>多功能可移动床头笔记本电脑桌电脑桌学习桌电脑支架带 2 层储物架书架</v>
      </c>
      <c r="E345" s="1" t="str">
        <f>IFERROR(__xludf.DUMMYFUNCTION("CONCATENATE(GOOGLETRANSLATE(C345, ""en"", ""ko""))"),"다기능 이동식 침대 옆 노트북 책상 컴퓨터 테이블 연구 테이블 컴퓨터 스탠드 2 계층 스토리지 선반 책장")</f>
        <v>다기능 이동식 침대 옆 노트북 책상 컴퓨터 테이블 연구 테이블 컴퓨터 스탠드 2 계층 스토리지 선반 책장</v>
      </c>
      <c r="F345" s="1" t="str">
        <f>IFERROR(__xludf.DUMMYFUNCTION("CONCATENATE(GOOGLETRANSLATE(C345, ""en"", ""ja""))"),"多機能可動ベッドサイドラップトップデスクコンピュータテーブル学習テーブルコンピュータスタンド2段収納棚本棚")</f>
        <v>多機能可動ベッドサイドラップトップデスクコンピュータテーブル学習テーブルコンピュータスタンド2段収納棚本棚</v>
      </c>
    </row>
    <row r="346" ht="15.75" customHeight="1">
      <c r="A346" s="1">
        <v>1811.0</v>
      </c>
      <c r="B346" s="1" t="s">
        <v>15</v>
      </c>
      <c r="C346" s="1" t="s">
        <v>335</v>
      </c>
      <c r="D346" s="1" t="str">
        <f>IFERROR(__xludf.DUMMYFUNCTION("CONCATENATE(GOOGLETRANSLATE(C346, ""en"", ""zh-cn""))"),"3300W 电热水器水龙头 LED 环境光温度显示即热水龙头")</f>
        <v>3300W 电热水器水龙头 LED 环境光温度显示即热水龙头</v>
      </c>
      <c r="E346" s="1" t="str">
        <f>IFERROR(__xludf.DUMMYFUNCTION("CONCATENATE(GOOGLETRANSLATE(C346, ""en"", ""ko""))"),"3300W 전기 온수기 수도꼭지 LED 주변 광 온도 표시 순간 가열 탭 수도꼭지")</f>
        <v>3300W 전기 온수기 수도꼭지 LED 주변 광 온도 표시 순간 가열 탭 수도꼭지</v>
      </c>
      <c r="F346" s="1" t="str">
        <f>IFERROR(__xludf.DUMMYFUNCTION("CONCATENATE(GOOGLETRANSLATE(C346, ""en"", ""ja""))"),"3300 ワット電気温水ヒーター蛇口 LED 周囲光温度表示インスタント加熱タップ蛇口")</f>
        <v>3300 ワット電気温水ヒーター蛇口 LED 周囲光温度表示インスタント加熱タップ蛇口</v>
      </c>
    </row>
    <row r="347" ht="15.75" customHeight="1">
      <c r="A347" s="1">
        <v>1812.0</v>
      </c>
      <c r="B347" s="1" t="s">
        <v>15</v>
      </c>
      <c r="C347" s="1" t="s">
        <v>336</v>
      </c>
      <c r="D347" s="1" t="str">
        <f>IFERROR(__xludf.DUMMYFUNCTION("CONCATENATE(GOOGLETRANSLATE(C347, ""en"", ""zh-cn""))"),"2.5cmx3m 防水硅胶胶带管道修复胶带自固定胶带止漏密封绝缘胶带粘合救援胶带 ")</f>
        <v>2.5cmx3m 防水硅胶胶带管道修复胶带自固定胶带止漏密封绝缘胶带粘合救援胶带 </v>
      </c>
      <c r="E347" s="1" t="str">
        <f>IFERROR(__xludf.DUMMYFUNCTION("CONCATENATE(GOOGLETRANSLATE(C347, ""en"", ""ko""))"),"2.5cmx3m 방수 실리콘 접착 테이프 파이프 수리 테이프 자체 고정 테이프 중지 누출 씰 절연 테이프 Boding 구조 테이프 ")</f>
        <v>2.5cmx3m 방수 실리콘 접착 테이프 파이프 수리 테이프 자체 고정 테이프 중지 누출 씰 절연 테이프 Boding 구조 테이프 </v>
      </c>
      <c r="F347" s="1" t="str">
        <f>IFERROR(__xludf.DUMMYFUNCTION("CONCATENATE(GOOGLETRANSLATE(C347, ""en"", ""ja""))"),"2.5 センチメートル x 3 メートル防水シリコーン粘着テープパイプ修理テープ自己固定可能テープ停止リークシール絶縁テープ結合レスキューテープ ")</f>
        <v>2.5 センチメートル x 3 メートル防水シリコーン粘着テープパイプ修理テープ自己固定可能テープ停止リークシール絶縁テープ結合レスキューテープ </v>
      </c>
    </row>
    <row r="348" ht="15.75" customHeight="1">
      <c r="A348" s="1">
        <v>1813.0</v>
      </c>
      <c r="B348" s="1" t="s">
        <v>15</v>
      </c>
      <c r="C348" s="1" t="s">
        <v>337</v>
      </c>
      <c r="D348" s="1" t="str">
        <f>IFERROR(__xludf.DUMMYFUNCTION("CONCATENATE(GOOGLETRANSLATE(C348, ""en"", ""zh-cn""))"),"可扩展厨房储物架浴室鞋室内植物收纳架 ")</f>
        <v>可扩展厨房储物架浴室鞋室内植物收纳架 </v>
      </c>
      <c r="E348" s="1" t="str">
        <f>IFERROR(__xludf.DUMMYFUNCTION("CONCATENATE(GOOGLETRANSLATE(C348, ""en"", ""ko""))"),"확장 가능한 주방 보관 선반 욕실 신발 관엽 식물 정리함 랙 홀더 ")</f>
        <v>확장 가능한 주방 보관 선반 욕실 신발 관엽 식물 정리함 랙 홀더 </v>
      </c>
      <c r="F348" s="1" t="str">
        <f>IFERROR(__xludf.DUMMYFUNCTION("CONCATENATE(GOOGLETRANSLATE(C348, ""en"", ""ja""))"),"拡張可能なキッチン収納棚バスルームシューズ観葉植物オーガナイザーラックホルダー ")</f>
        <v>拡張可能なキッチン収納棚バスルームシューズ観葉植物オーガナイザーラックホルダー </v>
      </c>
    </row>
    <row r="349" ht="15.75" customHeight="1">
      <c r="A349" s="1">
        <v>1814.0</v>
      </c>
      <c r="B349" s="1" t="s">
        <v>15</v>
      </c>
      <c r="C349" s="1" t="s">
        <v>338</v>
      </c>
      <c r="D349" s="1" t="str">
        <f>IFERROR(__xludf.DUMMYFUNCTION("CONCATENATE(GOOGLETRANSLATE(C349, ""en"", ""zh-cn""))"),"防尘鞋架家用收纳简易鞋架整理器鞋撑")</f>
        <v>防尘鞋架家用收纳简易鞋架整理器鞋撑</v>
      </c>
      <c r="E349" s="1" t="str">
        <f>IFERROR(__xludf.DUMMYFUNCTION("CONCATENATE(GOOGLETRANSLATE(C349, ""en"", ""ko""))"),"먼지 방지 신발 랙 가구는 간단한 신발 브래킷 주최자 신발 지원을 받습니다.")</f>
        <v>먼지 방지 신발 랙 가구는 간단한 신발 브래킷 주최자 신발 지원을 받습니다.</v>
      </c>
      <c r="F349" s="1" t="str">
        <f>IFERROR(__xludf.DUMMYFUNCTION("CONCATENATE(GOOGLETRANSLATE(C349, ""en"", ""ja""))"),"防塵靴ラック家庭用シンプルな靴ブラケットオーガナイザー履物サポート")</f>
        <v>防塵靴ラック家庭用シンプルな靴ブラケットオーガナイザー履物サポート</v>
      </c>
    </row>
    <row r="350" ht="15.75" customHeight="1">
      <c r="A350" s="1">
        <v>1815.0</v>
      </c>
      <c r="B350" s="1" t="s">
        <v>15</v>
      </c>
      <c r="C350" s="1" t="s">
        <v>339</v>
      </c>
      <c r="D350" s="1" t="str">
        <f>IFERROR(__xludf.DUMMYFUNCTION("CONCATENATE(GOOGLETRANSLATE(C350, ""en"", ""zh-cn""))"),"Lusimo 工业茶几金属边桌笔记本电脑桌圆形沙发桌带储物架易于组装带金属框架的木质家具 ULET57X")</f>
        <v>Lusimo 工业茶几金属边桌笔记本电脑桌圆形沙发桌带储物架易于组装带金属框架的木质家具 ULET57X</v>
      </c>
      <c r="E350" s="1" t="str">
        <f>IFERROR(__xludf.DUMMYFUNCTION("CONCATENATE(GOOGLETRANSLATE(C350, ""en"", ""ko""))"),"Lusimo 산업용 엔드 테이블 금속 사이드 테이블 노트북 책상 스토리지 랙이 있는 둥근 소파 테이블 쉬운 조립 금속 프레임 ULET57X가 있는 나무 악센트 가구")</f>
        <v>Lusimo 산업용 엔드 테이블 금속 사이드 테이블 노트북 책상 스토리지 랙이 있는 둥근 소파 테이블 쉬운 조립 금속 프레임 ULET57X가 있는 나무 악센트 가구</v>
      </c>
      <c r="F350" s="1" t="str">
        <f>IFERROR(__xludf.DUMMYFUNCTION("CONCATENATE(GOOGLETRANSLATE(C350, ""en"", ""ja""))"),"Lusimo 工業用エンドテーブル メタルサイドテーブル ラップトップデスク ラウンドソファテーブル 収納ラック付き 組み立て簡単 木製アクセント家具 金属フレーム付き ULET57X")</f>
        <v>Lusimo 工業用エンドテーブル メタルサイドテーブル ラップトップデスク ラウンドソファテーブル 収納ラック付き 組み立て簡単 木製アクセント家具 金属フレーム付き ULET57X</v>
      </c>
    </row>
    <row r="351" ht="15.75" customHeight="1">
      <c r="A351" s="1">
        <v>1816.0</v>
      </c>
      <c r="B351" s="1" t="s">
        <v>15</v>
      </c>
      <c r="C351" s="1" t="s">
        <v>340</v>
      </c>
      <c r="D351" s="1" t="str">
        <f>IFERROR(__xludf.DUMMYFUNCTION("CONCATENATE(GOOGLETRANSLATE(C351, ""en"", ""zh-cn""))"),"3/4 网格调味品储存容器厨房壁挂调味品香料架")</f>
        <v>3/4 网格调味品储存容器厨房壁挂调味品香料架</v>
      </c>
      <c r="E351" s="1" t="str">
        <f>IFERROR(__xludf.DUMMYFUNCTION("CONCATENATE(GOOGLETRANSLATE(C351, ""en"", ""ko""))"),"3/4 그리드 조미료 보관 용기 주방 벽걸이 조미료 양념 홀더")</f>
        <v>3/4 그리드 조미료 보관 용기 주방 벽걸이 조미료 양념 홀더</v>
      </c>
      <c r="F351" s="1" t="str">
        <f>IFERROR(__xludf.DUMMYFUNCTION("CONCATENATE(GOOGLETRANSLATE(C351, ""en"", ""ja""))"),"3/4 グリッド調味料保存容器キッチン壁掛け調味料スパイスホルダー")</f>
        <v>3/4 グリッド調味料保存容器キッチン壁掛け調味料スパイスホルダー</v>
      </c>
    </row>
    <row r="352" ht="15.75" customHeight="1">
      <c r="A352" s="1">
        <v>1817.0</v>
      </c>
      <c r="B352" s="1" t="s">
        <v>15</v>
      </c>
      <c r="C352" s="1" t="s">
        <v>341</v>
      </c>
      <c r="D352" s="1" t="str">
        <f>IFERROR(__xludf.DUMMYFUNCTION("CONCATENATE(GOOGLETRANSLATE(C352, ""en"", ""zh-cn""))"),"4 件/套实木圆锥角家具腿套件沙发桌椅凳子零件腿支撑")</f>
        <v>4 件/套实木圆锥角家具腿套件沙发桌椅凳子零件腿支撑</v>
      </c>
      <c r="E352" s="1" t="str">
        <f>IFERROR(__xludf.DUMMYFUNCTION("CONCATENATE(GOOGLETRANSLATE(C352, ""en"", ""ko""))"),"4 개/대 단단한 나무 콘 각도 가구 다리 키트 소파 테이블 의자 의자 부품 다리 지원")</f>
        <v>4 개/대 단단한 나무 콘 각도 가구 다리 키트 소파 테이블 의자 의자 부품 다리 지원</v>
      </c>
      <c r="F352" s="1" t="str">
        <f>IFERROR(__xludf.DUMMYFUNCTION("CONCATENATE(GOOGLETRANSLATE(C352, ""en"", ""ja""))"),"4 ピース/セット木製コーン角度家具脚キットソファテーブル椅子スツール部分脚サポート")</f>
        <v>4 ピース/セット木製コーン角度家具脚キットソファテーブル椅子スツール部分脚サポート</v>
      </c>
    </row>
    <row r="353" ht="15.75" customHeight="1">
      <c r="A353" s="1">
        <v>1818.0</v>
      </c>
      <c r="B353" s="1" t="s">
        <v>15</v>
      </c>
      <c r="C353" s="1" t="s">
        <v>342</v>
      </c>
      <c r="D353" s="1" t="str">
        <f>IFERROR(__xludf.DUMMYFUNCTION("CONCATENATE(GOOGLETRANSLATE(C353, ""en"", ""zh-cn""))"),"浴室置物架纸巾卸妆棉棒面膜护肤品架子免打孔")</f>
        <v>浴室置物架纸巾卸妆棉棒面膜护肤品架子免打孔</v>
      </c>
      <c r="E353" s="1" t="str">
        <f>IFERROR(__xludf.DUMMYFUNCTION("CONCATENATE(GOOGLETRANSLATE(C353, ""en"", ""ko""))"),"욕실 랙 티슈 방전 메이크업 면봉 마스크 스킨 케어 제품 선반 드릴링 없음")</f>
        <v>욕실 랙 티슈 방전 메이크업 면봉 마스크 스킨 케어 제품 선반 드릴링 없음</v>
      </c>
      <c r="F353" s="1" t="str">
        <f>IFERROR(__xludf.DUMMYFUNCTION("CONCATENATE(GOOGLETRANSLATE(C353, ""en"", ""ja""))"),"バスルームラックティッシュ排出メイクアップ綿棒マスクスキンケア製品棚穴あけなし")</f>
        <v>バスルームラックティッシュ排出メイクアップ綿棒マスクスキンケア製品棚穴あけなし</v>
      </c>
    </row>
    <row r="354" ht="15.75" customHeight="1">
      <c r="A354" s="1">
        <v>1819.0</v>
      </c>
      <c r="B354" s="1" t="s">
        <v>15</v>
      </c>
      <c r="C354" s="1" t="s">
        <v>343</v>
      </c>
      <c r="D354" s="1" t="str">
        <f>IFERROR(__xludf.DUMMYFUNCTION("CONCATENATE(GOOGLETRANSLATE(C354, ""en"", ""zh-cn""))"),"实用耐用的浴缸盖和升级版舒适易拆卸的坐垫")</f>
        <v>实用耐用的浴缸盖和升级版舒适易拆卸的坐垫</v>
      </c>
      <c r="E354" s="1" t="str">
        <f>IFERROR(__xludf.DUMMYFUNCTION("CONCATENATE(GOOGLETRANSLATE(C354, ""en"", ""ko""))"),"실용적이고 튼튼한 욕조 커버와 업그레이드된 편안하고 쉽게 탈착 가능한 쿠션")</f>
        <v>실용적이고 튼튼한 욕조 커버와 업그레이드된 편안하고 쉽게 탈착 가능한 쿠션</v>
      </c>
      <c r="F354" s="1" t="str">
        <f>IFERROR(__xludf.DUMMYFUNCTION("CONCATENATE(GOOGLETRANSLATE(C354, ""en"", ""ja""))"),"実用的で耐久性のある浴槽カバーとアップグレードされた快適で取り外しが簡単なクッション")</f>
        <v>実用的で耐久性のある浴槽カバーとアップグレードされた快適で取り外しが簡単なクッション</v>
      </c>
    </row>
    <row r="355" ht="15.75" customHeight="1">
      <c r="A355" s="1">
        <v>1820.0</v>
      </c>
      <c r="B355" s="1" t="s">
        <v>15</v>
      </c>
      <c r="C355" s="1" t="s">
        <v>344</v>
      </c>
      <c r="D355" s="1" t="str">
        <f>IFERROR(__xludf.DUMMYFUNCTION("CONCATENATE(GOOGLETRANSLATE(C355, ""en"", ""zh-cn""))"),"沙发椅套家用弹性弹力沙发套保护套长沙发 1/2/3/4 座")</f>
        <v>沙发椅套家用弹性弹力沙发套保护套长沙发 1/2/3/4 座</v>
      </c>
      <c r="E355" s="1" t="str">
        <f>IFERROR(__xludf.DUMMYFUNCTION("CONCATENATE(GOOGLETRANSLATE(C355, ""en"", ""ko""))"),"소파 의자 커버 가정용 신축성 있는 신축성 있는 커버 보호 긴 의자 1/2/3/4인용")</f>
        <v>소파 의자 커버 가정용 신축성 있는 신축성 있는 커버 보호 긴 의자 1/2/3/4인용</v>
      </c>
      <c r="F355" s="1" t="str">
        <f>IFERROR(__xludf.DUMMYFUNCTION("CONCATENATE(GOOGLETRANSLATE(C355, ""en"", ""ja""))"),"ソファ椅子カバーホーム弾性ストレッチスリップカバープロテクター長椅子 1/2/3/4 人乗り")</f>
        <v>ソファ椅子カバーホーム弾性ストレッチスリップカバープロテクター長椅子 1/2/3/4 人乗り</v>
      </c>
    </row>
    <row r="356" ht="15.75" customHeight="1">
      <c r="A356" s="1">
        <v>1821.0</v>
      </c>
      <c r="B356" s="1" t="s">
        <v>15</v>
      </c>
      <c r="C356" s="1" t="s">
        <v>345</v>
      </c>
      <c r="D356" s="1" t="str">
        <f>IFERROR(__xludf.DUMMYFUNCTION("CONCATENATE(GOOGLETRANSLATE(C356, ""en"", ""zh-cn""))"),"2/3 层厨房架收纳盒不锈钢台面香料罐瓶套件")</f>
        <v>2/3 层厨房架收纳盒不锈钢台面香料罐瓶套件</v>
      </c>
      <c r="E356" s="1" t="str">
        <f>IFERROR(__xludf.DUMMYFUNCTION("CONCATENATE(GOOGLETRANSLATE(C356, ""en"", ""ko""))"),"2/3단 주방 선반 정리함 스테인레스 스틸 조리대 양념통 병 키트")</f>
        <v>2/3단 주방 선반 정리함 스테인레스 스틸 조리대 양념통 병 키트</v>
      </c>
      <c r="F356" s="1" t="str">
        <f>IFERROR(__xludf.DUMMYFUNCTION("CONCATENATE(GOOGLETRANSLATE(C356, ""en"", ""ja""))"),"2/3段キッチンラックオーガナイザーステンレススチールカウンタートップスパイスジャーボトルキット")</f>
        <v>2/3段キッチンラックオーガナイザーステンレススチールカウンタートップスパイスジャーボトルキット</v>
      </c>
    </row>
    <row r="357" ht="15.75" customHeight="1">
      <c r="A357" s="1">
        <v>1822.0</v>
      </c>
      <c r="B357" s="1" t="s">
        <v>15</v>
      </c>
      <c r="C357" s="1" t="s">
        <v>346</v>
      </c>
      <c r="D357" s="1" t="str">
        <f>IFERROR(__xludf.DUMMYFUNCTION("CONCATENATE(GOOGLETRANSLATE(C357, ""en"", ""zh-cn""))"),"沙发套 1/2/3/4 座休闲沙发躺椅椅弹力沙发套保护")</f>
        <v>沙发套 1/2/3/4 座休闲沙发躺椅椅弹力沙发套保护</v>
      </c>
      <c r="E357" s="1" t="str">
        <f>IFERROR(__xludf.DUMMYFUNCTION("CONCATENATE(GOOGLETRANSLATE(C357, ""en"", ""ko""))"),"소파 커버 1/2/3/4인용 라운지 소파 안락의자 의자 신축성 커버 보호")</f>
        <v>소파 커버 1/2/3/4인용 라운지 소파 안락의자 의자 신축성 커버 보호</v>
      </c>
      <c r="F357" s="1" t="str">
        <f>IFERROR(__xludf.DUMMYFUNCTION("CONCATENATE(GOOGLETRANSLATE(C357, ""en"", ""ja""))"),"ソファカバー 1/2/3/4 人掛けラウンジソファリクライニングチェアストレッチスリップカバー保護")</f>
        <v>ソファカバー 1/2/3/4 人掛けラウンジソファリクライニングチェアストレッチスリップカバー保護</v>
      </c>
    </row>
    <row r="358" ht="15.75" customHeight="1">
      <c r="A358" s="1">
        <v>1823.0</v>
      </c>
      <c r="B358" s="1" t="s">
        <v>15</v>
      </c>
      <c r="C358" s="1" t="s">
        <v>347</v>
      </c>
      <c r="D358" s="1" t="str">
        <f>IFERROR(__xludf.DUMMYFUNCTION("CONCATENATE(GOOGLETRANSLATE(C358, ""en"", ""zh-cn""))"),"5 层植物架风车花盆架室内室外花园花盆架储物架带轮")</f>
        <v>5 层植物架风车花盆架室内室外花园花盆架储物架带轮</v>
      </c>
      <c r="E358" s="1" t="str">
        <f>IFERROR(__xludf.DUMMYFUNCTION("CONCATENATE(GOOGLETRANSLATE(C358, ""en"", ""ko""))"),"5 레이어 식물 스탠드 풍차 꽃 냄비 선반 실내 야외 정원 재배자 선반 바퀴가있는 스토리지 랙")</f>
        <v>5 레이어 식물 스탠드 풍차 꽃 냄비 선반 실내 야외 정원 재배자 선반 바퀴가있는 스토리지 랙</v>
      </c>
      <c r="F358" s="1" t="str">
        <f>IFERROR(__xludf.DUMMYFUNCTION("CONCATENATE(GOOGLETRANSLATE(C358, ""en"", ""ja""))"),"5 層植物スタンド風車植木鉢棚屋内屋外ガーデンプランター棚収納ラック車輪付き")</f>
        <v>5 層植物スタンド風車植木鉢棚屋内屋外ガーデンプランター棚収納ラック車輪付き</v>
      </c>
    </row>
    <row r="359" ht="15.75" customHeight="1">
      <c r="A359" s="1">
        <v>1824.0</v>
      </c>
      <c r="B359" s="1" t="s">
        <v>15</v>
      </c>
      <c r="C359" s="1" t="s">
        <v>348</v>
      </c>
      <c r="D359" s="1" t="str">
        <f>IFERROR(__xludf.DUMMYFUNCTION("CONCATENATE(GOOGLETRANSLATE(C359, ""en"", ""zh-cn""))"),"2 层植物架花盆架室内室外花园家庭办公室花盆架储物架")</f>
        <v>2 层植物架花盆架室内室外花园家庭办公室花盆架储物架</v>
      </c>
      <c r="E359" s="1" t="str">
        <f>IFERROR(__xludf.DUMMYFUNCTION("CONCATENATE(GOOGLETRANSLATE(C359, ""en"", ""ko""))"),"2 레이어 식물 스탠드 꽃 냄비 선반 실내 야외 정원 홈 오피스 화분 선반 스토리지 랙")</f>
        <v>2 레이어 식물 스탠드 꽃 냄비 선반 실내 야외 정원 홈 오피스 화분 선반 스토리지 랙</v>
      </c>
      <c r="F359" s="1" t="str">
        <f>IFERROR(__xludf.DUMMYFUNCTION("CONCATENATE(GOOGLETRANSLATE(C359, ""en"", ""ja""))"),"2 層植物スタンド植木鉢棚屋内屋外庭ホームオフィスプランター棚収納ラック")</f>
        <v>2 層植物スタンド植木鉢棚屋内屋外庭ホームオフィスプランター棚収納ラック</v>
      </c>
    </row>
    <row r="360" ht="15.75" customHeight="1">
      <c r="A360" s="1">
        <v>1825.0</v>
      </c>
      <c r="B360" s="1" t="s">
        <v>15</v>
      </c>
      <c r="C360" s="1" t="s">
        <v>349</v>
      </c>
      <c r="D360" s="1" t="str">
        <f>IFERROR(__xludf.DUMMYFUNCTION("CONCATENATE(GOOGLETRANSLATE(C360, ""en"", ""zh-cn""))"),"哑光黑色铝门锁机械室内门把手锁芯锁杆门锁家用安全静音储物柜带钥匙新家居配件")</f>
        <v>哑光黑色铝门锁机械室内门把手锁芯锁杆门锁家用安全静音储物柜带钥匙新家居配件</v>
      </c>
      <c r="E360" s="1" t="str">
        <f>IFERROR(__xludf.DUMMYFUNCTION("CONCATENATE(GOOGLETRANSLATE(C360, ""en"", ""ko""))"),"매트 블랙 알루미늄 도어 잠금 기계 내부 도어 핸들 실린더 잠금 레버 래치 홈 보안 음소거 사물함 키 새로운 홈 액세서리")</f>
        <v>매트 블랙 알루미늄 도어 잠금 기계 내부 도어 핸들 실린더 잠금 레버 래치 홈 보안 음소거 사물함 키 새로운 홈 액세서리</v>
      </c>
      <c r="F360" s="1" t="str">
        <f>IFERROR(__xludf.DUMMYFUNCTION("CONCATENATE(GOOGLETRANSLATE(C360, ""en"", ""ja""))"),"マットブラックアルミドアロック機械式インテリアドアハンドルシリンダーロックレバーラッチホームセキュリティミュートロッカーキー付き新しいホームアクセサリー")</f>
        <v>マットブラックアルミドアロック機械式インテリアドアハンドルシリンダーロックレバーラッチホームセキュリティミュートロッカーキー付き新しいホームアクセサリー</v>
      </c>
    </row>
    <row r="361" ht="15.75" customHeight="1">
      <c r="A361" s="1">
        <v>1826.0</v>
      </c>
      <c r="B361" s="1" t="s">
        <v>15</v>
      </c>
      <c r="C361" s="1" t="s">
        <v>350</v>
      </c>
      <c r="D361" s="1" t="str">
        <f>IFERROR(__xludf.DUMMYFUNCTION("CONCATENATE(GOOGLETRANSLATE(C361, ""en"", ""zh-cn""))"),"圣诞桌布椅套 3D 打印礼品盒桌布座椅保护套适用于派对宴会酒店厨房家庭办公室")</f>
        <v>圣诞桌布椅套 3D 打印礼品盒桌布座椅保护套适用于派对宴会酒店厨房家庭办公室</v>
      </c>
      <c r="E361" s="1" t="str">
        <f>IFERROR(__xludf.DUMMYFUNCTION("CONCATENATE(GOOGLETRANSLATE(C361, ""en"", ""ko""))"),"크리스마스 식탁보 의자 커버 3D 인쇄 선물 상자 테이블 천으로 좌석 보호대 슬리퍼 파티 연회 호텔 주방 홈 오피스")</f>
        <v>크리스마스 식탁보 의자 커버 3D 인쇄 선물 상자 테이블 천으로 좌석 보호대 슬리퍼 파티 연회 호텔 주방 홈 오피스</v>
      </c>
      <c r="F361" s="1" t="str">
        <f>IFERROR(__xludf.DUMMYFUNCTION("CONCATENATE(GOOGLETRANSLATE(C361, ""en"", ""ja""))"),"クリスマス テーブルクロス 椅子カバー 3D プリント ギフトボックス テーブルクロス シートプロテクター スリップカバー パーティー 宴会 ホテル キッチン ホーム オフィス用")</f>
        <v>クリスマス テーブルクロス 椅子カバー 3D プリント ギフトボックス テーブルクロス シートプロテクター スリップカバー パーティー 宴会 ホテル キッチン ホーム オフィス用</v>
      </c>
    </row>
    <row r="362" ht="15.75" customHeight="1">
      <c r="A362" s="1">
        <v>1827.0</v>
      </c>
      <c r="B362" s="1" t="s">
        <v>15</v>
      </c>
      <c r="C362" s="1" t="s">
        <v>351</v>
      </c>
      <c r="D362" s="1" t="str">
        <f>IFERROR(__xludf.DUMMYFUNCTION("CONCATENATE(GOOGLETRANSLATE(C362, ""en"", ""zh-cn""))"),"JIAHUA 衣帽架壁挂式铁衣架收纳架搁板支架黑色")</f>
        <v>JIAHUA 衣帽架壁挂式铁衣架收纳架搁板支架黑色</v>
      </c>
      <c r="E362" s="1" t="str">
        <f>IFERROR(__xludf.DUMMYFUNCTION("CONCATENATE(GOOGLETRANSLATE(C362, ""en"", ""ko""))"),"JIAHUA 코트 랙 벽 걸이 철 걸이 정리함 선반 브래킷 블랙")</f>
        <v>JIAHUA 코트 랙 벽 걸이 철 걸이 정리함 선반 브래킷 블랙</v>
      </c>
      <c r="F362" s="1" t="str">
        <f>IFERROR(__xludf.DUMMYFUNCTION("CONCATENATE(GOOGLETRANSLATE(C362, ""en"", ""ja""))"),"JIAHUA コートラック 壁掛け アイアンハンガー オーガナイザー 棚ブラケット ブラック")</f>
        <v>JIAHUA コートラック 壁掛け アイアンハンガー オーガナイザー 棚ブラケット ブラック</v>
      </c>
    </row>
    <row r="363" ht="15.75" customHeight="1">
      <c r="A363" s="1">
        <v>1828.0</v>
      </c>
      <c r="B363" s="1" t="s">
        <v>15</v>
      </c>
      <c r="C363" s="1" t="s">
        <v>352</v>
      </c>
      <c r="D363" s="1" t="str">
        <f>IFERROR(__xludf.DUMMYFUNCTION("CONCATENATE(GOOGLETRANSLATE(C363, ""en"", ""zh-cn""))"),"2 层植物花架架金属落地架家居阳台装饰")</f>
        <v>2 层植物花架架金属落地架家居阳台装饰</v>
      </c>
      <c r="E363" s="1" t="str">
        <f>IFERROR(__xludf.DUMMYFUNCTION("CONCATENATE(GOOGLETRANSLATE(C363, ""en"", ""ko""))"),"2겹 식물 꽃 스탠드 랙 금속 바닥 선반 홈 발코니 장식")</f>
        <v>2겹 식물 꽃 스탠드 랙 금속 바닥 선반 홈 발코니 장식</v>
      </c>
      <c r="F363" s="1" t="str">
        <f>IFERROR(__xludf.DUMMYFUNCTION("CONCATENATE(GOOGLETRANSLATE(C363, ""en"", ""ja""))"),"2層植物フラワースタンドラック金属床棚家のバルコニーの装飾")</f>
        <v>2層植物フラワースタンドラック金属床棚家のバルコニーの装飾</v>
      </c>
    </row>
    <row r="364" ht="15.75" customHeight="1">
      <c r="A364" s="1">
        <v>1829.0</v>
      </c>
      <c r="B364" s="1" t="s">
        <v>15</v>
      </c>
      <c r="C364" s="1" t="s">
        <v>353</v>
      </c>
      <c r="D364" s="1" t="str">
        <f>IFERROR(__xludf.DUMMYFUNCTION("CONCATENATE(GOOGLETRANSLATE(C364, ""en"", ""zh-cn""))"),"BNBS 2/3 层浴室储物架厕所架节省空间收纳架家用")</f>
        <v>BNBS 2/3 层浴室储物架厕所架节省空间收纳架家用</v>
      </c>
      <c r="E364" s="1" t="str">
        <f>IFERROR(__xludf.DUMMYFUNCTION("CONCATENATE(GOOGLETRANSLATE(C364, ""en"", ""ko""))"),"BNBS 2/3단 욕실 수납 선반 홀더 화장실 선반 공간 절약형 정리함 홈")</f>
        <v>BNBS 2/3단 욕실 수납 선반 홀더 화장실 선반 공간 절약형 정리함 홈</v>
      </c>
      <c r="F364" s="1" t="str">
        <f>IFERROR(__xludf.DUMMYFUNCTION("CONCATENATE(GOOGLETRANSLATE(C364, ""en"", ""ja""))"),"BNBS 2/3 段バスルーム収納棚ホルダートイレラックスペースセーバーオーガナイザーホーム")</f>
        <v>BNBS 2/3 段バスルーム収納棚ホルダートイレラックスペースセーバーオーガナイザーホーム</v>
      </c>
    </row>
    <row r="365" ht="15.75" customHeight="1">
      <c r="A365" s="1">
        <v>1830.0</v>
      </c>
      <c r="B365" s="1" t="s">
        <v>15</v>
      </c>
      <c r="C365" s="1" t="s">
        <v>354</v>
      </c>
      <c r="D365" s="1" t="str">
        <f>IFERROR(__xludf.DUMMYFUNCTION("CONCATENATE(GOOGLETRANSLATE(C365, ""en"", ""zh-cn""))"),"20 件/套 M12 x 1.5 车轮螺母 19 毫米六角锁紧螺母印迹")</f>
        <v>20 件/套 M12 x 1.5 车轮螺母 19 毫米六角锁紧螺母印迹</v>
      </c>
      <c r="E365" s="1" t="str">
        <f>IFERROR(__xludf.DUMMYFUNCTION("CONCATENATE(GOOGLETRANSLATE(C365, ""en"", ""ko""))"),"20개/세트 M12 x 1.5 휠 너트 19mm 육각 잠금 너트 블롯")</f>
        <v>20개/세트 M12 x 1.5 휠 너트 19mm 육각 잠금 너트 블롯</v>
      </c>
      <c r="F365" s="1" t="str">
        <f>IFERROR(__xludf.DUMMYFUNCTION("CONCATENATE(GOOGLETRANSLATE(C365, ""en"", ""ja""))"),"20 個/セット M12 x 1.5 ホイールナット 19mm 六角ロックナットブロット")</f>
        <v>20 個/セット M12 x 1.5 ホイールナット 19mm 六角ロックナットブロット</v>
      </c>
    </row>
    <row r="366" ht="15.75" customHeight="1">
      <c r="A366" s="1">
        <v>1831.0</v>
      </c>
      <c r="B366" s="1" t="s">
        <v>15</v>
      </c>
      <c r="C366" s="1" t="s">
        <v>355</v>
      </c>
      <c r="D366" s="1" t="str">
        <f>IFERROR(__xludf.DUMMYFUNCTION("CONCATENATE(GOOGLETRANSLATE(C366, ""en"", ""zh-cn""))"),"Suleve MXNP2 270 件白色/黑色 M2-M5 塑料尼龙十字螺丝圆头六角螺母分类套件")</f>
        <v>Suleve MXNP2 270 件白色/黑色 M2-M5 塑料尼龙十字螺丝圆头六角螺母分类套件</v>
      </c>
      <c r="E366" s="1" t="str">
        <f>IFERROR(__xludf.DUMMYFUNCTION("CONCATENATE(GOOGLETRANSLATE(C366, ""en"", ""ko""))"),"Suleve MXNP2 270Pcs 흰색/검정색 M2-M5 플라스틱 나일론 필립스 나사 둥근 머리 육각 너트 모음 키트")</f>
        <v>Suleve MXNP2 270Pcs 흰색/검정색 M2-M5 플라스틱 나일론 필립스 나사 둥근 머리 육각 너트 모음 키트</v>
      </c>
      <c r="F366" s="1" t="str">
        <f>IFERROR(__xludf.DUMMYFUNCTION("CONCATENATE(GOOGLETRANSLATE(C366, ""en"", ""ja""))"),"Suleve MXNP2 270 個ホワイト/ブラック M2-M5 プラスチックナイロンプラスネジ丸頭六角ナット詰め合わせキット")</f>
        <v>Suleve MXNP2 270 個ホワイト/ブラック M2-M5 プラスチックナイロンプラスネジ丸頭六角ナット詰め合わせキット</v>
      </c>
    </row>
    <row r="367" ht="15.75" customHeight="1">
      <c r="A367" s="1">
        <v>1832.0</v>
      </c>
      <c r="B367" s="1" t="s">
        <v>15</v>
      </c>
      <c r="C367" s="1" t="s">
        <v>356</v>
      </c>
      <c r="D367" s="1" t="str">
        <f>IFERROR(__xludf.DUMMYFUNCTION("CONCATENATE(GOOGLETRANSLATE(C367, ""en"", ""zh-cn""))"),"61 英寸躺椅垫躺椅衬垫室内/室外躺椅露台花园办公室")</f>
        <v>61 英寸躺椅垫躺椅衬垫室内/室外躺椅露台花园办公室</v>
      </c>
      <c r="E367" s="1" t="str">
        <f>IFERROR(__xludf.DUMMYFUNCTION("CONCATENATE(GOOGLETRANSLATE(C367, ""en"", ""ko""))"),"61인치 데크 의자 쿠션 라운지 긴 의자 패딩 내부/실외 안락의자 파티오 가든 사무실")</f>
        <v>61인치 데크 의자 쿠션 라운지 긴 의자 패딩 내부/실외 안락의자 파티오 가든 사무실</v>
      </c>
      <c r="F367" s="1" t="str">
        <f>IFERROR(__xludf.DUMMYFUNCTION("CONCATENATE(GOOGLETRANSLATE(C367, ""en"", ""ja""))"),"61インチ デッキチェアクッション ラウンジ長椅子パッド 屋内/屋外リクライニングチェア パティオ ガーデンオフィス")</f>
        <v>61インチ デッキチェアクッション ラウンジ長椅子パッド 屋内/屋外リクライニングチェア パティオ ガーデンオフィス</v>
      </c>
    </row>
    <row r="368" ht="15.75" customHeight="1">
      <c r="A368" s="1">
        <v>1833.0</v>
      </c>
      <c r="B368" s="1" t="s">
        <v>15</v>
      </c>
      <c r="C368" s="1" t="s">
        <v>357</v>
      </c>
      <c r="D368" s="1" t="str">
        <f>IFERROR(__xludf.DUMMYFUNCTION("CONCATENATE(GOOGLETRANSLATE(C368, ""en"", ""zh-cn""))"),"170 厘米太阳躺椅垫躺椅躺椅垫带防滑背弹性套适用于花园户外/室内/沙发/榻榻米/汽车座椅")</f>
        <v>170 厘米太阳躺椅垫躺椅躺椅垫带防滑背弹性套适用于花园户外/室内/沙发/榻榻米/汽车座椅</v>
      </c>
      <c r="E368" s="1" t="str">
        <f>IFERROR(__xludf.DUMMYFUNCTION("CONCATENATE(GOOGLETRANSLATE(C368, ""en"", ""ko""))"),"170CM Sun Lounger 의자 쿠션 정원 야외/실내/소파/다다미/자동차 좌석 용 미끄럼 방지 백 탄성 슬리브가있는 라운지 Chaise 안락 의자 의자 쿠션")</f>
        <v>170CM Sun Lounger 의자 쿠션 정원 야외/실내/소파/다다미/자동차 좌석 용 미끄럼 방지 백 탄성 슬리브가있는 라운지 Chaise 안락 의자 의자 쿠션</v>
      </c>
      <c r="F368" s="1" t="str">
        <f>IFERROR(__xludf.DUMMYFUNCTION("CONCATENATE(GOOGLETRANSLATE(C368, ""en"", ""ja""))"),"170CM サンラウンジャーチェアクッション ラウンジ長椅子 リクライニングチェアクッション 滑り止めバック弾性スリーブ付き 庭用 屋外/屋内/ソファ/畳/カーシート用")</f>
        <v>170CM サンラウンジャーチェアクッション ラウンジ長椅子 リクライニングチェアクッション 滑り止めバック弾性スリーブ付き 庭用 屋外/屋内/ソファ/畳/カーシート用</v>
      </c>
    </row>
    <row r="369" ht="15.75" customHeight="1">
      <c r="A369" s="1">
        <v>1834.0</v>
      </c>
      <c r="B369" s="1" t="s">
        <v>15</v>
      </c>
      <c r="C369" s="1" t="s">
        <v>358</v>
      </c>
      <c r="D369" s="1" t="str">
        <f>IFERROR(__xludf.DUMMYFUNCTION("CONCATENATE(GOOGLETRANSLATE(C369, ""en"", ""zh-cn""))"),"可折叠懒人沙发单人床电脑椅落地宿舍小沙发阳台飘窗靠背椅用品")</f>
        <v>可折叠懒人沙发单人床电脑椅落地宿舍小沙发阳台飘窗靠背椅用品</v>
      </c>
      <c r="E369" s="1" t="str">
        <f>IFERROR(__xludf.DUMMYFUNCTION("CONCATENATE(GOOGLETRANSLATE(C369, ""en"", ""ko""))"),"접이식 게으른 소파 싱글 침대 컴퓨터 의자 바닥 기숙사 발코니 베이 창 뒤 의자 용품을위한 작은 소파")</f>
        <v>접이식 게으른 소파 싱글 침대 컴퓨터 의자 바닥 기숙사 발코니 베이 창 뒤 의자 용품을위한 작은 소파</v>
      </c>
      <c r="F369" s="1" t="str">
        <f>IFERROR(__xludf.DUMMYFUNCTION("CONCATENATE(GOOGLETRANSLATE(C369, ""en"", ""ja""))"),"折りたたみ怠惰なソファシングルベッドコンピュータチェア床寮小さなソファバルコニー出窓バックチェア用品")</f>
        <v>折りたたみ怠惰なソファシングルベッドコンピュータチェア床寮小さなソファバルコニー出窓バックチェア用品</v>
      </c>
    </row>
    <row r="370" ht="15.75" customHeight="1">
      <c r="A370" s="1">
        <v>1835.0</v>
      </c>
      <c r="B370" s="1" t="s">
        <v>15</v>
      </c>
      <c r="C370" s="1" t="s">
        <v>359</v>
      </c>
      <c r="D370" s="1" t="str">
        <f>IFERROR(__xludf.DUMMYFUNCTION("CONCATENATE(GOOGLETRANSLATE(C370, ""en"", ""zh-cn""))"),"实心重型锌合金加长磁性门吸隐藏式脚踏板落地式门锁免打孔门夹  ")</f>
        <v>实心重型锌合金加长磁性门吸隐藏式脚踏板落地式门锁免打孔门夹  </v>
      </c>
      <c r="E370" s="1" t="str">
        <f>IFERROR(__xludf.DUMMYFUNCTION("CONCATENATE(GOOGLETRANSLATE(C370, ""en"", ""ko""))"),"솔리드 헤비 듀티 아연 합금 확장 마그네틱 도어 스톱퍼 숨겨진 풋 페달 플로어 마운트 도어 캐치 프리 펀칭 도어 홀더  ")</f>
        <v>솔리드 헤비 듀티 아연 합금 확장 마그네틱 도어 스톱퍼 숨겨진 풋 페달 플로어 마운트 도어 캐치 프리 펀칭 도어 홀더  </v>
      </c>
      <c r="F370" s="1" t="str">
        <f>IFERROR(__xludf.DUMMYFUNCTION("CONCATENATE(GOOGLETRANSLATE(C370, ""en"", ""ja""))"),"固体高耐久亜鉛合金拡張磁気ドアストッパー隠しフットペダルフロアマウントドアキャッチフリーパンチングドアホルダー  ")</f>
        <v>固体高耐久亜鉛合金拡張磁気ドアストッパー隠しフットペダルフロアマウントドアキャッチフリーパンチングドアホルダー  </v>
      </c>
    </row>
    <row r="371" ht="15.75" customHeight="1">
      <c r="A371" s="1">
        <v>1836.0</v>
      </c>
      <c r="B371" s="1" t="s">
        <v>15</v>
      </c>
      <c r="C371" s="1" t="s">
        <v>360</v>
      </c>
      <c r="D371" s="1" t="str">
        <f>IFERROR(__xludf.DUMMYFUNCTION("CONCATENATE(GOOGLETRANSLATE(C371, ""en"", ""zh-cn""))"),"碗碟晾干架收纳架家用厨房水槽水槽不锈钢沥干63/73/83CM")</f>
        <v>碗碟晾干架收纳架家用厨房水槽水槽不锈钢沥干63/73/83CM</v>
      </c>
      <c r="E371" s="1" t="str">
        <f>IFERROR(__xludf.DUMMYFUNCTION("CONCATENATE(GOOGLETRANSLATE(C371, ""en"", ""ko""))"),"접시 건조대 정리함 가정용 주방 싱크대 스테인레스 스틸 63/73/83CM 배수")</f>
        <v>접시 건조대 정리함 가정용 주방 싱크대 스테인레스 스틸 63/73/83CM 배수</v>
      </c>
      <c r="F371" s="1" t="str">
        <f>IFERROR(__xludf.DUMMYFUNCTION("CONCATENATE(GOOGLETRANSLATE(C371, ""en"", ""ja""))"),"食器乾燥ラックオーガナイザーホームキッチンシンク上水切りステンレス鋼 63/73/83 センチメートル")</f>
        <v>食器乾燥ラックオーガナイザーホームキッチンシンク上水切りステンレス鋼 63/73/83 センチメートル</v>
      </c>
    </row>
    <row r="372" ht="15.75" customHeight="1">
      <c r="A372" s="1">
        <v>1837.0</v>
      </c>
      <c r="B372" s="1" t="s">
        <v>15</v>
      </c>
      <c r="C372" s="1" t="s">
        <v>361</v>
      </c>
      <c r="D372" s="1" t="str">
        <f>IFERROR(__xludf.DUMMYFUNCTION("CONCATENATE(GOOGLETRANSLATE(C372, ""en"", ""zh-cn""))"),"可移动笔记本电脑桌家用床懒人桌床头柜学生宿舍卧室学习桌书桌家庭办公室书房卧室")</f>
        <v>可移动笔记本电脑桌家用床懒人桌床头柜学生宿舍卧室学习桌书桌家庭办公室书房卧室</v>
      </c>
      <c r="E372" s="1" t="str">
        <f>IFERROR(__xludf.DUMMYFUNCTION("CONCATENATE(GOOGLETRANSLATE(C372, ""en"", ""ko""))"),"이동식 노트북 책상 홈 침대 게으른 테이블 침대 옆 테이블 학생 기숙사 침실 연구 테이블 책상 홈 오피스 Stydy 침실")</f>
        <v>이동식 노트북 책상 홈 침대 게으른 테이블 침대 옆 테이블 학생 기숙사 침실 연구 테이블 책상 홈 오피스 Stydy 침실</v>
      </c>
      <c r="F372" s="1" t="str">
        <f>IFERROR(__xludf.DUMMYFUNCTION("CONCATENATE(GOOGLETRANSLATE(C372, ""en"", ""ja""))"),"移動可能なラップトップデスクホームベッド怠惰なテーブルベッドサイドテーブル学生寮の寝室学習テーブルデスクホームオフィス Stydy 寝室")</f>
        <v>移動可能なラップトップデスクホームベッド怠惰なテーブルベッドサイドテーブル学生寮の寝室学習テーブルデスクホームオフィス Stydy 寝室</v>
      </c>
    </row>
    <row r="373" ht="15.75" customHeight="1">
      <c r="A373" s="1">
        <v>1838.0</v>
      </c>
      <c r="B373" s="1" t="s">
        <v>15</v>
      </c>
      <c r="C373" s="1" t="s">
        <v>362</v>
      </c>
      <c r="D373" s="1" t="str">
        <f>IFERROR(__xludf.DUMMYFUNCTION("CONCATENATE(GOOGLETRANSLATE(C373, ""en"", ""zh-cn""))"),"1/2/3/4 座弹性沙发套通用椅子座椅保护套弹力套沙发套家庭办公家具装饰")</f>
        <v>1/2/3/4 座弹性沙发套通用椅子座椅保护套弹力套沙发套家庭办公家具装饰</v>
      </c>
      <c r="E373" s="1" t="str">
        <f>IFERROR(__xludf.DUMMYFUNCTION("CONCATENATE(GOOGLETRANSLATE(C373, ""en"", ""ko""))"),"1/2/3/4 Seaters 탄성 소파 커버 범용 의자 좌석 보호대 스트레치 슬립 커버 소파 케이스 홈 오피스 가구 장식")</f>
        <v>1/2/3/4 Seaters 탄성 소파 커버 범용 의자 좌석 보호대 스트레치 슬립 커버 소파 케이스 홈 오피스 가구 장식</v>
      </c>
      <c r="F373" s="1" t="str">
        <f>IFERROR(__xludf.DUMMYFUNCTION("CONCATENATE(GOOGLETRANSLATE(C373, ""en"", ""ja""))"),"1/2/3/4 人乗り弾性ソファカバーユニバーサル椅子シートプロテクターストレッチ本カバーソファケースホームオフィス家具装飾")</f>
        <v>1/2/3/4 人乗り弾性ソファカバーユニバーサル椅子シートプロテクターストレッチ本カバーソファケースホームオフィス家具装飾</v>
      </c>
    </row>
    <row r="374" ht="15.75" customHeight="1">
      <c r="A374" s="1">
        <v>1839.0</v>
      </c>
      <c r="B374" s="1" t="s">
        <v>15</v>
      </c>
      <c r="C374" s="1" t="s">
        <v>363</v>
      </c>
      <c r="D374" s="1" t="str">
        <f>IFERROR(__xludf.DUMMYFUNCTION("CONCATENATE(GOOGLETRANSLATE(C374, ""en"", ""zh-cn""))"),"8L家用客厅卧室垃圾桶磨砂ABS袋")</f>
        <v>8L家用客厅卧室垃圾桶磨砂ABS袋</v>
      </c>
      <c r="E374" s="1" t="str">
        <f>IFERROR(__xludf.DUMMYFUNCTION("CONCATENATE(GOOGLETRANSLATE(C374, ""en"", ""ko""))"),"8L 가정 거실 침실 쓰레기통 젖빛 ABS 가방")</f>
        <v>8L 가정 거실 침실 쓰레기통 젖빛 ABS 가방</v>
      </c>
      <c r="F374" s="1" t="str">
        <f>IFERROR(__xludf.DUMMYFUNCTION("CONCATENATE(GOOGLETRANSLATE(C374, ""en"", ""ja""))"),"8L ホーム リビング ルーム ベッドルーム ゴミ箱 つや消し ABS バッグ")</f>
        <v>8L ホーム リビング ルーム ベッドルーム ゴミ箱 つや消し ABS バッグ</v>
      </c>
    </row>
    <row r="375" ht="15.75" customHeight="1">
      <c r="A375" s="1">
        <v>1840.0</v>
      </c>
      <c r="B375" s="1" t="s">
        <v>15</v>
      </c>
      <c r="C375" s="1" t="s">
        <v>364</v>
      </c>
      <c r="D375" s="1" t="str">
        <f>IFERROR(__xludf.DUMMYFUNCTION("CONCATENATE(GOOGLETRANSLATE(C375, ""en"", ""zh-cn""))"),"铝合金黑色家具拉手橱柜拉手厨房拉手抽屉拉手橱柜拉手橱柜拉手旋钮")</f>
        <v>铝合金黑色家具拉手橱柜拉手厨房拉手抽屉拉手橱柜拉手橱柜拉手旋钮</v>
      </c>
      <c r="E375" s="1" t="str">
        <f>IFERROR(__xludf.DUMMYFUNCTION("CONCATENATE(GOOGLETRANSLATE(C375, ""en"", ""ko""))"),"가구 내각 손잡이 및 손잡이를 위한 알루미늄 합금 검정 손잡이 부엌 손잡이 서랍 손잡이 내각은 찬장 손잡이 손잡이를 당깁니다")</f>
        <v>가구 내각 손잡이 및 손잡이를 위한 알루미늄 합금 검정 손잡이 부엌 손잡이 서랍 손잡이 내각은 찬장 손잡이 손잡이를 당깁니다</v>
      </c>
      <c r="F375" s="1" t="str">
        <f>IFERROR(__xludf.DUMMYFUNCTION("CONCATENATE(GOOGLETRANSLATE(C375, ""en"", ""ja""))"),"アルミ合金黒ハンドル家具キャビネットノブとハンドルキッチンハンドル引き出しノブキャビネット取手食器棚ハンドルノブ")</f>
        <v>アルミ合金黒ハンドル家具キャビネットノブとハンドルキッチンハンドル引き出しノブキャビネット取手食器棚ハンドルノブ</v>
      </c>
    </row>
    <row r="376" ht="15.75" customHeight="1">
      <c r="A376" s="1">
        <v>1841.0</v>
      </c>
      <c r="B376" s="1" t="s">
        <v>15</v>
      </c>
      <c r="C376" s="1" t="s">
        <v>365</v>
      </c>
      <c r="D376" s="1" t="str">
        <f>IFERROR(__xludf.DUMMYFUNCTION("CONCATENATE(GOOGLETRANSLATE(C376, ""en"", ""zh-cn""))"),"书架展示架DIY管架仿古支架浮动架子墙壁支架")</f>
        <v>书架展示架DIY管架仿古支架浮动架子墙壁支架</v>
      </c>
      <c r="E376" s="1" t="str">
        <f>IFERROR(__xludf.DUMMYFUNCTION("CONCATENATE(GOOGLETRANSLATE(C376, ""en"", ""ko""))"),"책장 디스플레이 선반 DIY 파이프 선반 소박한 브래킷 부동 선반 벽 브래킷")</f>
        <v>책장 디스플레이 선반 DIY 파이프 선반 소박한 브래킷 부동 선반 벽 브래킷</v>
      </c>
      <c r="F376" s="1" t="str">
        <f>IFERROR(__xludf.DUMMYFUNCTION("CONCATENATE(GOOGLETRANSLATE(C376, ""en"", ""ja""))"),"本棚陳列棚 DIY パイプ棚 素朴なブラケット フローティング棚 壁ブラケット")</f>
        <v>本棚陳列棚 DIY パイプ棚 素朴なブラケット フローティング棚 壁ブラケット</v>
      </c>
    </row>
    <row r="377" ht="15.75" customHeight="1">
      <c r="A377" s="1">
        <v>1842.0</v>
      </c>
      <c r="B377" s="1" t="s">
        <v>15</v>
      </c>
      <c r="C377" s="1" t="s">
        <v>366</v>
      </c>
      <c r="D377" s="1" t="str">
        <f>IFERROR(__xludf.DUMMYFUNCTION("CONCATENATE(GOOGLETRANSLATE(C377, ""en"", ""zh-cn""))"),"80厘米多功能散热器晾衣架晾衣机散热器阳台浴缸晾衣架")</f>
        <v>80厘米多功能散热器晾衣架晾衣机散热器阳台浴缸晾衣架</v>
      </c>
      <c r="E377" s="1" t="str">
        <f>IFERROR(__xludf.DUMMYFUNCTION("CONCATENATE(GOOGLETRANSLATE(C377, ""en"", ""ko""))"),"80cm 다기능 라디에이터 건조 랙 의류 건조기 라디에이터 발코니 욕조 옷 랙")</f>
        <v>80cm 다기능 라디에이터 건조 랙 의류 건조기 라디에이터 발코니 욕조 옷 랙</v>
      </c>
      <c r="F377" s="1" t="str">
        <f>IFERROR(__xludf.DUMMYFUNCTION("CONCATENATE(GOOGLETRANSLATE(C377, ""en"", ""ja""))"),"80 センチメートル多機能ラジエーター乾燥ラック衣類乾燥機ラジエーターバルコニー浴槽洋服ラック")</f>
        <v>80 センチメートル多機能ラジエーター乾燥ラック衣類乾燥機ラジエーターバルコニー浴槽洋服ラック</v>
      </c>
    </row>
    <row r="378" ht="15.75" customHeight="1">
      <c r="A378" s="1">
        <v>1843.0</v>
      </c>
      <c r="B378" s="1" t="s">
        <v>15</v>
      </c>
      <c r="C378" s="1" t="s">
        <v>367</v>
      </c>
      <c r="D378" s="1" t="str">
        <f>IFERROR(__xludf.DUMMYFUNCTION("CONCATENATE(GOOGLETRANSLATE(C378, ""en"", ""zh-cn""))"),"复古格子抱枕套垫套 18 英寸 x 18 英寸枕头保护套适用于卧室沙发沙发床露台椅子家居汽车装饰")</f>
        <v>复古格子抱枕套垫套 18 英寸 x 18 英寸枕头保护套适用于卧室沙发沙发床露台椅子家居汽车装饰</v>
      </c>
      <c r="E378" s="1" t="str">
        <f>IFERROR(__xludf.DUMMYFUNCTION("CONCATENATE(GOOGLETRANSLATE(C378, ""en"", ""ko""))"),"레트로 격자 무늬 던져 베개 케이스 쿠션 커버 18''x18'' 침실 소파 소파 침대 파티오 의자 홈 자동차 장식에 대한 베개 보호대")</f>
        <v>레트로 격자 무늬 던져 베개 케이스 쿠션 커버 18''x18'' 침실 소파 소파 침대 파티오 의자 홈 자동차 장식에 대한 베개 보호대</v>
      </c>
      <c r="F378" s="1" t="str">
        <f>IFERROR(__xludf.DUMMYFUNCTION("CONCATENATE(GOOGLETRANSLATE(C378, ""en"", ""ja""))"),"レトロチェック柄スローピローケースクッションカバー 18 インチ x 18 インチ枕プロテクター寝室のカウチソファベッドパティオチェア家の車の装飾")</f>
        <v>レトロチェック柄スローピローケースクッションカバー 18 インチ x 18 インチ枕プロテクター寝室のカウチソファベッドパティオチェア家の車の装飾</v>
      </c>
    </row>
    <row r="379" ht="15.75" customHeight="1">
      <c r="A379" s="1">
        <v>1844.0</v>
      </c>
      <c r="B379" s="1" t="s">
        <v>15</v>
      </c>
      <c r="C379" s="1" t="s">
        <v>368</v>
      </c>
      <c r="D379" s="1" t="str">
        <f>IFERROR(__xludf.DUMMYFUNCTION("CONCATENATE(GOOGLETRANSLATE(C379, ""en"", ""zh-cn""))"),"多功能壁挂架壁挂储物架厨房/浴室")</f>
        <v>多功能壁挂架壁挂储物架厨房/浴室</v>
      </c>
      <c r="E379" s="1" t="str">
        <f>IFERROR(__xludf.DUMMYFUNCTION("CONCATENATE(GOOGLETRANSLATE(C379, ""en"", ""ko""))"),"다기능 벽걸이 스탠드 월 행잉 스토리지 랙 주방/욕실")</f>
        <v>다기능 벽걸이 스탠드 월 행잉 스토리지 랙 주방/욕실</v>
      </c>
      <c r="F379" s="1" t="str">
        <f>IFERROR(__xludf.DUMMYFUNCTION("CONCATENATE(GOOGLETRANSLATE(C379, ""en"", ""ja""))"),"多機能壁掛けスタンド壁掛け収納ラックキッチン/バスルーム")</f>
        <v>多機能壁掛けスタンド壁掛け収納ラックキッチン/バスルーム</v>
      </c>
    </row>
    <row r="380" ht="15.75" customHeight="1">
      <c r="A380" s="1">
        <v>1845.0</v>
      </c>
      <c r="B380" s="1" t="s">
        <v>15</v>
      </c>
      <c r="C380" s="1" t="s">
        <v>369</v>
      </c>
      <c r="D380" s="1" t="str">
        <f>IFERROR(__xludf.DUMMYFUNCTION("CONCATENATE(GOOGLETRANSLATE(C380, ""en"", ""zh-cn""))"),"创意壁挂置物架日式铁艺壁挂式收纳篮置物架免打孔置物架书架家用办公室装饰品置物架")</f>
        <v>创意壁挂置物架日式铁艺壁挂式收纳篮置物架免打孔置物架书架家用办公室装饰品置物架</v>
      </c>
      <c r="E380" s="1" t="str">
        <f>IFERROR(__xludf.DUMMYFUNCTION("CONCATENATE(GOOGLETRANSLATE(C380, ""en"", ""ko""))"),"크리 에이 티브 벽 교수형 선반 일본식 철 벽 마운트 스토리지 바구니 랙 무료 펀치 랙 책장 홈 오피스 장식 스탠드")</f>
        <v>크리 에이 티브 벽 교수형 선반 일본식 철 벽 마운트 스토리지 바구니 랙 무료 펀치 랙 책장 홈 오피스 장식 스탠드</v>
      </c>
      <c r="F380" s="1" t="str">
        <f>IFERROR(__xludf.DUMMYFUNCTION("CONCATENATE(GOOGLETRANSLATE(C380, ""en"", ""ja""))"),"クリエイティブ壁掛け棚和風アイアン壁掛け収納バスケットラックフリーパンチラック本棚ホームオフィス装飾スタンド")</f>
        <v>クリエイティブ壁掛け棚和風アイアン壁掛け収納バスケットラックフリーパンチラック本棚ホームオフィス装飾スタンド</v>
      </c>
    </row>
    <row r="381" ht="15.75" customHeight="1">
      <c r="A381" s="1">
        <v>1846.0</v>
      </c>
      <c r="B381" s="1" t="s">
        <v>15</v>
      </c>
      <c r="C381" s="1" t="s">
        <v>370</v>
      </c>
      <c r="D381" s="1" t="str">
        <f>IFERROR(__xludf.DUMMYFUNCTION("CONCATENATE(GOOGLETRANSLATE(C381, ""en"", ""zh-cn""))"),"多功能壁挂式储物架家用浴室收纳架架子 ")</f>
        <v>多功能壁挂式储物架家用浴室收纳架架子 </v>
      </c>
      <c r="E381" s="1" t="str">
        <f>IFERROR(__xludf.DUMMYFUNCTION("CONCATENATE(GOOGLETRANSLATE(C381, ""en"", ""ko""))"),"다기능 벽걸이형 스토리지 랙 홈 목욕 정리함 선반 홀더 ")</f>
        <v>다기능 벽걸이형 스토리지 랙 홈 목욕 정리함 선반 홀더 </v>
      </c>
      <c r="F381" s="1" t="str">
        <f>IFERROR(__xludf.DUMMYFUNCTION("CONCATENATE(GOOGLETRANSLATE(C381, ""en"", ""ja""))"),"多機能壁掛け収納ラックホームバスオーガナイザー棚ホルダー ")</f>
        <v>多機能壁掛け収納ラックホームバスオーガナイザー棚ホルダー </v>
      </c>
    </row>
    <row r="382" ht="15.75" customHeight="1">
      <c r="A382" s="1">
        <v>1847.0</v>
      </c>
      <c r="B382" s="1" t="s">
        <v>15</v>
      </c>
      <c r="C382" s="1" t="s">
        <v>371</v>
      </c>
      <c r="D382" s="1" t="str">
        <f>IFERROR(__xludf.DUMMYFUNCTION("CONCATENATE(GOOGLETRANSLATE(C382, ""en"", ""zh-cn""))"),"12 英寸 DIY 瓷砖贴纸 3D 砖墙自粘贴纸浴室厨房")</f>
        <v>12 英寸 DIY 瓷砖贴纸 3D 砖墙自粘贴纸浴室厨房</v>
      </c>
      <c r="E382" s="1" t="str">
        <f>IFERROR(__xludf.DUMMYFUNCTION("CONCATENATE(GOOGLETRANSLATE(C382, ""en"", ""ko""))"),"12인치 DIY 타일 스티커 3D 벽돌 벽 자체 접착 스티커 욕실 주방")</f>
        <v>12인치 DIY 타일 스티커 3D 벽돌 벽 자체 접착 스티커 욕실 주방</v>
      </c>
      <c r="F382" s="1" t="str">
        <f>IFERROR(__xludf.DUMMYFUNCTION("CONCATENATE(GOOGLETRANSLATE(C382, ""en"", ""ja""))"),"12 インチ DIY タイルステッカー 3D レンガ壁自己粘着ステッカー浴室キッチン")</f>
        <v>12 インチ DIY タイルステッカー 3D レンガ壁自己粘着ステッカー浴室キッチン</v>
      </c>
    </row>
    <row r="383" ht="15.75" customHeight="1">
      <c r="A383" s="1">
        <v>1848.0</v>
      </c>
      <c r="B383" s="1" t="s">
        <v>15</v>
      </c>
      <c r="C383" s="1" t="s">
        <v>372</v>
      </c>
      <c r="D383" s="1" t="str">
        <f>IFERROR(__xludf.DUMMYFUNCTION("CONCATENATE(GOOGLETRANSLATE(C383, ""en"", ""zh-cn""))"),"水槽龙头感应水龙头镀铬黄铜自动免提红外线面盆水龙头")</f>
        <v>水槽龙头感应水龙头镀铬黄铜自动免提红外线面盆水龙头</v>
      </c>
      <c r="E383" s="1" t="str">
        <f>IFERROR(__xludf.DUMMYFUNCTION("CONCATENATE(GOOGLETRANSLATE(C383, ""en"", ""ko""))"),"싱크 믹서 센서 탭 크롬 황동 자동 핸즈프리 적외선 세면대 수도꼭지")</f>
        <v>싱크 믹서 센서 탭 크롬 황동 자동 핸즈프리 적외선 세면대 수도꼭지</v>
      </c>
      <c r="F383" s="1" t="str">
        <f>IFERROR(__xludf.DUMMYFUNCTION("CONCATENATE(GOOGLETRANSLATE(C383, ""en"", ""ja""))"),"シンクミキサーセンサータップクローム真鍮自動ハンズフリー赤外線洗面器の蛇口")</f>
        <v>シンクミキサーセンサータップクローム真鍮自動ハンズフリー赤外線洗面器の蛇口</v>
      </c>
    </row>
    <row r="384" ht="15.75" customHeight="1">
      <c r="A384" s="1">
        <v>1849.0</v>
      </c>
      <c r="B384" s="1" t="s">
        <v>15</v>
      </c>
      <c r="C384" s="1" t="s">
        <v>373</v>
      </c>
      <c r="D384" s="1" t="str">
        <f>IFERROR(__xludf.DUMMYFUNCTION("CONCATENATE(GOOGLETRANSLATE(C384, ""en"", ""zh-cn""))"),"三合一厨房储物架海绵抹布架沥水盘不锈钢收纳架")</f>
        <v>三合一厨房储物架海绵抹布架沥水盘不锈钢收纳架</v>
      </c>
      <c r="E384" s="1" t="str">
        <f>IFERROR(__xludf.DUMMYFUNCTION("CONCATENATE(GOOGLETRANSLATE(C384, ""en"", ""ko""))"),"3-IN-1 주방 보관함 스폰지 걸레 홀더 배수 트레이 스테인레스 스틸 정리함 보관함")</f>
        <v>3-IN-1 주방 보관함 스폰지 걸레 홀더 배수 트레이 스테인레스 스틸 정리함 보관함</v>
      </c>
      <c r="F384" s="1" t="str">
        <f>IFERROR(__xludf.DUMMYFUNCTION("CONCATENATE(GOOGLETRANSLATE(C384, ""en"", ""ja""))"),"3-IN-1 キッチン収納ラック スポンジラグホルダー 排水トレイ ステンレススチール オーガナイザーホールド")</f>
        <v>3-IN-1 キッチン収納ラック スポンジラグホルダー 排水トレイ ステンレススチール オーガナイザーホールド</v>
      </c>
    </row>
    <row r="385" ht="15.75" customHeight="1">
      <c r="A385" s="1">
        <v>1850.0</v>
      </c>
      <c r="B385" s="1" t="s">
        <v>15</v>
      </c>
      <c r="C385" s="1" t="s">
        <v>374</v>
      </c>
      <c r="D385" s="1" t="str">
        <f>IFERROR(__xludf.DUMMYFUNCTION("CONCATENATE(GOOGLETRANSLATE(C385, ""en"", ""zh-cn""))"),"RONGWO自动红外线水槽龙头非接触式感应水龙头免提节水感应电热冷面盆龙头")</f>
        <v>RONGWO自动红外线水槽龙头非接触式感应水龙头免提节水感应电热冷面盆龙头</v>
      </c>
      <c r="E385" s="1" t="str">
        <f>IFERROR(__xludf.DUMMYFUNCTION("CONCATENATE(GOOGLETRANSLATE(C385, ""en"", ""ko""))"),"ROGWO 자동 적외선 싱크 수도꼭지 터치리스 프리 센서 수도꼭지 핸즈프리 물 절약 유도 전기 핫 콜드 분지의 수도꼭지")</f>
        <v>ROGWO 자동 적외선 싱크 수도꼭지 터치리스 프리 센서 수도꼭지 핸즈프리 물 절약 유도 전기 핫 콜드 분지의 수도꼭지</v>
      </c>
      <c r="F385" s="1" t="str">
        <f>IFERROR(__xludf.DUMMYFUNCTION("CONCATENATE(GOOGLETRANSLATE(C385, ""en"", ""ja""))"),"RONGWO 自動赤外線シンクの蛇口タッチレスフリーセンサー蛇口ハンズフリー節水誘導電気ホットコールド洗面器の蛇口")</f>
        <v>RONGWO 自動赤外線シンクの蛇口タッチレスフリーセンサー蛇口ハンズフリー節水誘導電気ホットコールド洗面器の蛇口</v>
      </c>
    </row>
    <row r="386" ht="15.75" customHeight="1">
      <c r="A386" s="1">
        <v>1851.0</v>
      </c>
      <c r="B386" s="1" t="s">
        <v>15</v>
      </c>
      <c r="C386" s="1" t="s">
        <v>375</v>
      </c>
      <c r="D386" s="1" t="str">
        <f>IFERROR(__xludf.DUMMYFUNCTION("CONCATENATE(GOOGLETRANSLATE(C386, ""en"", ""zh-cn""))"),"Geepro 12 件吸音板瓷砖工作室隔音隔热泡沫")</f>
        <v>Geepro 12 件吸音板瓷砖工作室隔音隔热泡沫</v>
      </c>
      <c r="E386" s="1" t="str">
        <f>IFERROR(__xludf.DUMMYFUNCTION("CONCATENATE(GOOGLETRANSLATE(C386, ""en"", ""ko""))"),"Geepro 12Pcs 음향 패널 타일 스튜디오 방음 절연 폼")</f>
        <v>Geepro 12Pcs 음향 패널 타일 스튜디오 방음 절연 폼</v>
      </c>
      <c r="F386" s="1" t="str">
        <f>IFERROR(__xludf.DUMMYFUNCTION("CONCATENATE(GOOGLETRANSLATE(C386, ""en"", ""ja""))"),"Geepro 12 個音響パネルタイルスタジオ防音断熱フォーム")</f>
        <v>Geepro 12 個音響パネルタイルスタジオ防音断熱フォーム</v>
      </c>
    </row>
    <row r="387" ht="15.75" customHeight="1">
      <c r="A387" s="1">
        <v>1852.0</v>
      </c>
      <c r="B387" s="1" t="s">
        <v>15</v>
      </c>
      <c r="C387" s="1" t="s">
        <v>376</v>
      </c>
      <c r="D387" s="1" t="str">
        <f>IFERROR(__xludf.DUMMYFUNCTION("CONCATENATE(GOOGLETRANSLATE(C387, ""en"", ""zh-cn""))"),"Geepro 6 块泡沫板吸音宽带工作室处理吸音泡沫墙板")</f>
        <v>Geepro 6 块泡沫板吸音宽带工作室处理吸音泡沫墙板</v>
      </c>
      <c r="E387" s="1" t="str">
        <f>IFERROR(__xludf.DUMMYFUNCTION("CONCATENATE(GOOGLETRANSLATE(C387, ""en"", ""ko""))"),"Geepro 6Pcs 폼 패널 흡음 광대역 스튜디오 처리 음향 폼 벽 타일")</f>
        <v>Geepro 6Pcs 폼 패널 흡음 광대역 스튜디오 처리 음향 폼 벽 타일</v>
      </c>
      <c r="F387" s="1" t="str">
        <f>IFERROR(__xludf.DUMMYFUNCTION("CONCATENATE(GOOGLETRANSLATE(C387, ""en"", ""ja""))"),"Geepro 6 個フォームパネル吸音ブロードバンドスタジオ治療音響フォーム壁タイル")</f>
        <v>Geepro 6 個フォームパネル吸音ブロードバンドスタジオ治療音響フォーム壁タイル</v>
      </c>
    </row>
    <row r="388" ht="15.75" customHeight="1">
      <c r="A388" s="1">
        <v>1853.0</v>
      </c>
      <c r="B388" s="1" t="s">
        <v>15</v>
      </c>
      <c r="C388" s="1" t="s">
        <v>377</v>
      </c>
      <c r="D388" s="1" t="str">
        <f>IFERROR(__xludf.DUMMYFUNCTION("CONCATENATE(GOOGLETRANSLATE(C388, ""en"", ""zh-cn""))"),"壁挂式挂钩架可折叠挂钩衣架家用衣服外套收纳架")</f>
        <v>壁挂式挂钩架可折叠挂钩衣架家用衣服外套收纳架</v>
      </c>
      <c r="E388" s="1" t="str">
        <f>IFERROR(__xludf.DUMMYFUNCTION("CONCATENATE(GOOGLETRANSLATE(C388, ""en"", ""ko""))"),"벽걸이형 후크 랙 접이식 후크 행거 홈 의류 코트 정리함 랙")</f>
        <v>벽걸이형 후크 랙 접이식 후크 행거 홈 의류 코트 정리함 랙</v>
      </c>
      <c r="F388" s="1" t="str">
        <f>IFERROR(__xludf.DUMMYFUNCTION("CONCATENATE(GOOGLETRANSLATE(C388, ""en"", ""ja""))"),"壁掛けフックラック折りたたみフックハンガー家庭用衣類コートオーガナイザーラック")</f>
        <v>壁掛けフックラック折りたたみフックハンガー家庭用衣類コートオーガナイザーラック</v>
      </c>
    </row>
    <row r="389" ht="15.75" customHeight="1">
      <c r="A389" s="1">
        <v>1854.0</v>
      </c>
      <c r="B389" s="1" t="s">
        <v>15</v>
      </c>
      <c r="C389" s="1" t="s">
        <v>378</v>
      </c>
      <c r="D389" s="1" t="str">
        <f>IFERROR(__xludf.DUMMYFUNCTION("CONCATENATE(GOOGLETRANSLATE(C389, ""en"", ""zh-cn""))"),"加厚实心小拉手欧式橱柜拉手简约衣柜拉手抽屉单孔合金拉手")</f>
        <v>加厚实心小拉手欧式橱柜拉手简约衣柜拉手抽屉单孔合金拉手</v>
      </c>
      <c r="E389" s="1" t="str">
        <f>IFERROR(__xludf.DUMMYFUNCTION("CONCATENATE(GOOGLETRANSLATE(C389, ""en"", ""ko""))"),"두꺼운 단단한 작은 손잡이 유럽 스타일의 캐비닛 손잡이 간단한 옷장 손잡이 서랍 단일 구멍 합금 손잡이")</f>
        <v>두꺼운 단단한 작은 손잡이 유럽 스타일의 캐비닛 손잡이 간단한 옷장 손잡이 서랍 단일 구멍 합금 손잡이</v>
      </c>
      <c r="F389" s="1" t="str">
        <f>IFERROR(__xludf.DUMMYFUNCTION("CONCATENATE(GOOGLETRANSLATE(C389, ""en"", ""ja""))"),"肥厚固体小さなハンドルヨーロピアンスタイルキャビネットハンドルシンプルなワードローブハンドル引き出し単穴合金ハンドル")</f>
        <v>肥厚固体小さなハンドルヨーロピアンスタイルキャビネットハンドルシンプルなワードローブハンドル引き出し単穴合金ハンドル</v>
      </c>
    </row>
    <row r="390" ht="15.75" customHeight="1">
      <c r="A390" s="1">
        <v>1855.0</v>
      </c>
      <c r="B390" s="1" t="s">
        <v>15</v>
      </c>
      <c r="C390" s="1" t="s">
        <v>379</v>
      </c>
      <c r="D390" s="1" t="str">
        <f>IFERROR(__xludf.DUMMYFUNCTION("CONCATENATE(GOOGLETRANSLATE(C390, ""en"", ""zh-cn""))"),"免触摸按键笔电梯快递柜开门器银行ATM机取款免触摸按键笔")</f>
        <v>免触摸按键笔电梯快递柜开门器银行ATM机取款免触摸按键笔</v>
      </c>
      <c r="E390" s="1" t="str">
        <f>IFERROR(__xludf.DUMMYFUNCTION("CONCATENATE(GOOGLETRANSLATE(C390, ""en"", ""ko""))"),"터치 프리 키 펜 엘리베이터 익스프레스 캐비닛 도어 오프너 은행 ATM 기계 인출 무료 터치 키 펜")</f>
        <v>터치 프리 키 펜 엘리베이터 익스프레스 캐비닛 도어 오프너 은행 ATM 기계 인출 무료 터치 키 펜</v>
      </c>
      <c r="F390" s="1" t="str">
        <f>IFERROR(__xludf.DUMMYFUNCTION("CONCATENATE(GOOGLETRANSLATE(C390, ""en"", ""ja""))"),"タッチフリーキーペンエレベーターエクスプレスキャビネットドアオープナー銀行ATM機引き出しフリータッチキーペン")</f>
        <v>タッチフリーキーペンエレベーターエクスプレスキャビネットドアオープナー銀行ATM機引き出しフリータッチキーペン</v>
      </c>
    </row>
    <row r="391" ht="15.75" customHeight="1">
      <c r="A391" s="1">
        <v>1856.0</v>
      </c>
      <c r="B391" s="1" t="s">
        <v>15</v>
      </c>
      <c r="C391" s="1" t="s">
        <v>380</v>
      </c>
      <c r="D391" s="1" t="str">
        <f>IFERROR(__xludf.DUMMYFUNCTION("CONCATENATE(GOOGLETRANSLATE(C391, ""en"", ""zh-cn""))"),"多功能墙壁装饰油漆滚筒角刷手柄工具 DIY 家用绘画刷套件")</f>
        <v>多功能墙壁装饰油漆滚筒角刷手柄工具 DIY 家用绘画刷套件</v>
      </c>
      <c r="E391" s="1" t="str">
        <f>IFERROR(__xludf.DUMMYFUNCTION("CONCATENATE(GOOGLETRANSLATE(C391, ""en"", ""ko""))"),"다기능 벽 장식 페인트 롤러 코너 브러시 핸들 도구 DIY 가정용 그림 브러쉬 키트")</f>
        <v>다기능 벽 장식 페인트 롤러 코너 브러시 핸들 도구 DIY 가정용 그림 브러쉬 키트</v>
      </c>
      <c r="F391" s="1" t="str">
        <f>IFERROR(__xludf.DUMMYFUNCTION("CONCATENATE(GOOGLETRANSLATE(C391, ""en"", ""ja""))"),"多機能壁装飾ペイントローラーコーナーブラシハンドルツール DIY 家庭用絵画ブラシキット")</f>
        <v>多機能壁装飾ペイントローラーコーナーブラシハンドルツール DIY 家庭用絵画ブラシキット</v>
      </c>
    </row>
    <row r="392" ht="15.75" customHeight="1">
      <c r="A392" s="1">
        <v>1857.0</v>
      </c>
      <c r="B392" s="1" t="s">
        <v>381</v>
      </c>
      <c r="C392" s="1" t="s">
        <v>382</v>
      </c>
      <c r="D392" s="1" t="str">
        <f>IFERROR(__xludf.DUMMYFUNCTION("CONCATENATE(GOOGLETRANSLATE(C392, ""en"", ""zh-cn""))"),"男式民族图案抽绳袋鼠口袋长袖连帽衫")</f>
        <v>男式民族图案抽绳袋鼠口袋长袖连帽衫</v>
      </c>
      <c r="E392" s="1" t="str">
        <f>IFERROR(__xludf.DUMMYFUNCTION("CONCATENATE(GOOGLETRANSLATE(C392, ""en"", ""ko""))"),"남성용 에스닉 패턴 졸라매는 끈 캥거루 포켓 긴 소매 후드티")</f>
        <v>남성용 에스닉 패턴 졸라매는 끈 캥거루 포켓 긴 소매 후드티</v>
      </c>
      <c r="F392" s="1" t="str">
        <f>IFERROR(__xludf.DUMMYFUNCTION("CONCATENATE(GOOGLETRANSLATE(C392, ""en"", ""ja""))"),"メンズエスニックパターン巾着カンガルーポケット長袖パーカー")</f>
        <v>メンズエスニックパターン巾着カンガルーポケット長袖パーカー</v>
      </c>
    </row>
    <row r="393" ht="15.75" customHeight="1">
      <c r="A393" s="1">
        <v>1858.0</v>
      </c>
      <c r="B393" s="1" t="s">
        <v>381</v>
      </c>
      <c r="C393" s="1" t="s">
        <v>383</v>
      </c>
      <c r="D393" s="1" t="str">
        <f>IFERROR(__xludf.DUMMYFUNCTION("CONCATENATE(GOOGLETRANSLATE(C393, ""en"", ""zh-cn""))"),"男式卡通猫图案袋鼠口袋抽绳连帽衫")</f>
        <v>男式卡通猫图案袋鼠口袋抽绳连帽衫</v>
      </c>
      <c r="E393" s="1" t="str">
        <f>IFERROR(__xludf.DUMMYFUNCTION("CONCATENATE(GOOGLETRANSLATE(C393, ""en"", ""ko""))"),"남성용 만화 고양이 그래픽 캥거루 포켓 드로스트링 후드티")</f>
        <v>남성용 만화 고양이 그래픽 캥거루 포켓 드로스트링 후드티</v>
      </c>
      <c r="F393" s="1" t="str">
        <f>IFERROR(__xludf.DUMMYFUNCTION("CONCATENATE(GOOGLETRANSLATE(C393, ""en"", ""ja""))"),"メンズ漫画猫グラフィックカンガルーポケット巾着パーカー")</f>
        <v>メンズ漫画猫グラフィックカンガルーポケット巾着パーカー</v>
      </c>
    </row>
    <row r="394" ht="15.75" customHeight="1">
      <c r="A394" s="1">
        <v>1859.0</v>
      </c>
      <c r="B394" s="1" t="s">
        <v>381</v>
      </c>
      <c r="C394" s="1" t="s">
        <v>384</v>
      </c>
      <c r="D394" s="1" t="str">
        <f>IFERROR(__xludf.DUMMYFUNCTION("CONCATENATE(GOOGLETRANSLATE(C394, ""en"", ""zh-cn""))"),"男式玫瑰日式渐变色印花袋鼠口袋抽绳连帽衫")</f>
        <v>男式玫瑰日式渐变色印花袋鼠口袋抽绳连帽衫</v>
      </c>
      <c r="E394" s="1" t="str">
        <f>IFERROR(__xludf.DUMMYFUNCTION("CONCATENATE(GOOGLETRANSLATE(C394, ""en"", ""ko""))"),"남성용 로즈 일본식 옴브레 프린트 캥거루 포켓 드로스트링 후드티")</f>
        <v>남성용 로즈 일본식 옴브레 프린트 캥거루 포켓 드로스트링 후드티</v>
      </c>
      <c r="F394" s="1" t="str">
        <f>IFERROR(__xludf.DUMMYFUNCTION("CONCATENATE(GOOGLETRANSLATE(C394, ""en"", ""ja""))"),"メンズローズ日本語オンブルプリントカンガルーポケット巾着パーカー")</f>
        <v>メンズローズ日本語オンブルプリントカンガルーポケット巾着パーカー</v>
      </c>
    </row>
    <row r="395" ht="15.75" customHeight="1">
      <c r="A395" s="1">
        <v>1868.0</v>
      </c>
      <c r="B395" s="1" t="s">
        <v>381</v>
      </c>
      <c r="C395" s="1" t="s">
        <v>385</v>
      </c>
      <c r="D395" s="1" t="str">
        <f>IFERROR(__xludf.DUMMYFUNCTION("CONCATENATE(GOOGLETRANSLATE(C395, ""en"", ""zh-cn""))"),"男式万圣节南瓜印花圆领套头运动衫")</f>
        <v>男式万圣节南瓜印花圆领套头运动衫</v>
      </c>
      <c r="E395" s="1" t="str">
        <f>IFERROR(__xludf.DUMMYFUNCTION("CONCATENATE(GOOGLETRANSLATE(C395, ""en"", ""ko""))"),"남성용 할로윈 호박 프린트 크루넥 풀오버 스웨트셔츠")</f>
        <v>남성용 할로윈 호박 프린트 크루넥 풀오버 스웨트셔츠</v>
      </c>
      <c r="F395" s="1" t="str">
        <f>IFERROR(__xludf.DUMMYFUNCTION("CONCATENATE(GOOGLETRANSLATE(C395, ""en"", ""ja""))"),"メンズ ハロウィン パンプキン プリント クルーネック プルオーバー スウェットシャツ")</f>
        <v>メンズ ハロウィン パンプキン プリント クルーネック プルオーバー スウェットシャツ</v>
      </c>
    </row>
    <row r="396" ht="15.75" customHeight="1">
      <c r="A396" s="1">
        <v>1869.0</v>
      </c>
      <c r="B396" s="1" t="s">
        <v>381</v>
      </c>
      <c r="C396" s="1" t="s">
        <v>386</v>
      </c>
      <c r="D396" s="1" t="str">
        <f>IFERROR(__xludf.DUMMYFUNCTION("CONCATENATE(GOOGLETRANSLATE(C396, ""en"", ""zh-cn""))"),"男式日本印花拼布圆领套头运动衫")</f>
        <v>男式日本印花拼布圆领套头运动衫</v>
      </c>
      <c r="E396" s="1" t="str">
        <f>IFERROR(__xludf.DUMMYFUNCTION("CONCATENATE(GOOGLETRANSLATE(C396, ""en"", ""ko""))"),"남성용 일본식 프린트 패치워크 크루넥 풀오버 스웨트셔츠")</f>
        <v>남성용 일본식 프린트 패치워크 크루넥 풀오버 스웨트셔츠</v>
      </c>
      <c r="F396" s="1" t="str">
        <f>IFERROR(__xludf.DUMMYFUNCTION("CONCATENATE(GOOGLETRANSLATE(C396, ""en"", ""ja""))"),"メンズ日本のプリントパッチワーククルーネックプルオーバースウェットシャツ")</f>
        <v>メンズ日本のプリントパッチワーククルーネックプルオーバースウェットシャツ</v>
      </c>
    </row>
    <row r="397" ht="15.75" customHeight="1">
      <c r="A397" s="1">
        <v>1870.0</v>
      </c>
      <c r="B397" s="1" t="s">
        <v>381</v>
      </c>
      <c r="C397" s="1" t="s">
        <v>387</v>
      </c>
      <c r="D397" s="1" t="str">
        <f>IFERROR(__xludf.DUMMYFUNCTION("CONCATENATE(GOOGLETRANSLATE(C397, ""en"", ""zh-cn""))"),"男式日本波浪红太阳印花袋鼠口袋连帽衫")</f>
        <v>男式日本波浪红太阳印花袋鼠口袋连帽衫</v>
      </c>
      <c r="E397" s="1" t="str">
        <f>IFERROR(__xludf.DUMMYFUNCTION("CONCATENATE(GOOGLETRANSLATE(C397, ""en"", ""ko""))"),"남성용 일본식 웨이브 레드 썬 프린트 캥거루 포켓 후드티")</f>
        <v>남성용 일본식 웨이브 레드 썬 프린트 캥거루 포켓 후드티</v>
      </c>
      <c r="F397" s="1" t="str">
        <f>IFERROR(__xludf.DUMMYFUNCTION("CONCATENATE(GOOGLETRANSLATE(C397, ""en"", ""ja""))"),"メンズ ジャパニーズ ウェーブ レッド サン プリント カンガルー ポケット パーカー")</f>
        <v>メンズ ジャパニーズ ウェーブ レッド サン プリント カンガルー ポケット パーカー</v>
      </c>
    </row>
    <row r="398" ht="15.75" customHeight="1">
      <c r="A398" s="1">
        <v>1871.0</v>
      </c>
      <c r="B398" s="1" t="s">
        <v>381</v>
      </c>
      <c r="C398" s="1" t="s">
        <v>388</v>
      </c>
      <c r="D398" s="1" t="str">
        <f>IFERROR(__xludf.DUMMYFUNCTION("CONCATENATE(GOOGLETRANSLATE(C398, ""en"", ""zh-cn""))"),"男士色块拼布刺绣圆领套头运动衫")</f>
        <v>男士色块拼布刺绣圆领套头运动衫</v>
      </c>
      <c r="E398" s="1" t="str">
        <f>IFERROR(__xludf.DUMMYFUNCTION("CONCATENATE(GOOGLETRANSLATE(C398, ""en"", ""ko""))"),"남성용 컬러 블록 패치워크 자수 크루넥 풀오버 스웨트셔츠")</f>
        <v>남성용 컬러 블록 패치워크 자수 크루넥 풀오버 스웨트셔츠</v>
      </c>
      <c r="F398" s="1" t="str">
        <f>IFERROR(__xludf.DUMMYFUNCTION("CONCATENATE(GOOGLETRANSLATE(C398, ""en"", ""ja""))"),"メンズカラーブロックパッチワーク刺繍クルーネックプルオーバースウェットシャツ")</f>
        <v>メンズカラーブロックパッチワーク刺繍クルーネックプルオーバースウェットシャツ</v>
      </c>
    </row>
    <row r="399" ht="15.75" customHeight="1">
      <c r="A399" s="1">
        <v>1872.0</v>
      </c>
      <c r="B399" s="1" t="s">
        <v>381</v>
      </c>
      <c r="C399" s="1" t="s">
        <v>389</v>
      </c>
      <c r="D399" s="1" t="str">
        <f>IFERROR(__xludf.DUMMYFUNCTION("CONCATENATE(GOOGLETRANSLATE(C399, ""en"", ""zh-cn""))"),"男式拼色袋鼠口袋抽绳连帽衫")</f>
        <v>男式拼色袋鼠口袋抽绳连帽衫</v>
      </c>
      <c r="E399" s="1" t="str">
        <f>IFERROR(__xludf.DUMMYFUNCTION("CONCATENATE(GOOGLETRANSLATE(C399, ""en"", ""ko""))"),"남성용 컬러 블록 패치워크 캥거루 포켓 드로스트링 후드티")</f>
        <v>남성용 컬러 블록 패치워크 캥거루 포켓 드로스트링 후드티</v>
      </c>
      <c r="F399" s="1" t="str">
        <f>IFERROR(__xludf.DUMMYFUNCTION("CONCATENATE(GOOGLETRANSLATE(C399, ""en"", ""ja""))"),"メンズカラーブロックパッチワークカンガルーポケット巾着パーカー")</f>
        <v>メンズカラーブロックパッチワークカンガルーポケット巾着パーカー</v>
      </c>
    </row>
    <row r="400" ht="15.75" customHeight="1">
      <c r="A400" s="1">
        <v>1873.0</v>
      </c>
      <c r="B400" s="1" t="s">
        <v>381</v>
      </c>
      <c r="C400" s="1" t="s">
        <v>390</v>
      </c>
      <c r="D400" s="1" t="str">
        <f>IFERROR(__xludf.DUMMYFUNCTION("CONCATENATE(GOOGLETRANSLATE(C400, ""en"", ""zh-cn""))"),"男式通体民族几何印花长袖抽绳连帽衫")</f>
        <v>男式通体民族几何印花长袖抽绳连帽衫</v>
      </c>
      <c r="E400" s="1" t="str">
        <f>IFERROR(__xludf.DUMMYFUNCTION("CONCATENATE(GOOGLETRANSLATE(C400, ""en"", ""ko""))"),"남성용 올오버 에스닉 기하학 프린트 긴 소매 드로스트링 후드티")</f>
        <v>남성용 올오버 에스닉 기하학 프린트 긴 소매 드로스트링 후드티</v>
      </c>
      <c r="F400" s="1" t="str">
        <f>IFERROR(__xludf.DUMMYFUNCTION("CONCATENATE(GOOGLETRANSLATE(C400, ""en"", ""ja""))"),"メンズ総柄エスニック幾何学プリント長袖巾着パーカー")</f>
        <v>メンズ総柄エスニック幾何学プリント長袖巾着パーカー</v>
      </c>
    </row>
    <row r="401" ht="15.75" customHeight="1">
      <c r="A401" s="1">
        <v>1874.0</v>
      </c>
      <c r="B401" s="1" t="s">
        <v>381</v>
      </c>
      <c r="C401" s="1" t="s">
        <v>391</v>
      </c>
      <c r="D401" s="1" t="str">
        <f>IFERROR(__xludf.DUMMYFUNCTION("CONCATENATE(GOOGLETRANSLATE(C401, ""en"", ""zh-cn""))"),"男式日本樱花印花拼布袋鼠口袋连帽衫")</f>
        <v>男式日本樱花印花拼布袋鼠口袋连帽衫</v>
      </c>
      <c r="E401" s="1" t="str">
        <f>IFERROR(__xludf.DUMMYFUNCTION("CONCATENATE(GOOGLETRANSLATE(C401, ""en"", ""ko""))"),"남성용 일본 벚꽃 프린트 패치워크 캥거루 포켓 후드티")</f>
        <v>남성용 일본 벚꽃 프린트 패치워크 캥거루 포켓 후드티</v>
      </c>
      <c r="F401" s="1" t="str">
        <f>IFERROR(__xludf.DUMMYFUNCTION("CONCATENATE(GOOGLETRANSLATE(C401, ""en"", ""ja""))"),"メンズ日本の桜プリント パッチワーク カンガルー ポケット パーカー")</f>
        <v>メンズ日本の桜プリント パッチワーク カンガルー ポケット パーカー</v>
      </c>
    </row>
    <row r="402" ht="15.75" customHeight="1">
      <c r="A402" s="1">
        <v>1875.0</v>
      </c>
      <c r="B402" s="1" t="s">
        <v>381</v>
      </c>
      <c r="C402" s="1" t="s">
        <v>392</v>
      </c>
      <c r="D402" s="1" t="str">
        <f>IFERROR(__xludf.DUMMYFUNCTION("CONCATENATE(GOOGLETRANSLATE(C402, ""en"", ""zh-cn""))"),"男士拼色圆领休闲套头运动衫")</f>
        <v>男士拼色圆领休闲套头运动衫</v>
      </c>
      <c r="E402" s="1" t="str">
        <f>IFERROR(__xludf.DUMMYFUNCTION("CONCATENATE(GOOGLETRANSLATE(C402, ""en"", ""ko""))"),"남성용 컬러 블록 패치워크 크루넥 캐주얼 풀오버 스웨트셔츠")</f>
        <v>남성용 컬러 블록 패치워크 크루넥 캐주얼 풀오버 스웨트셔츠</v>
      </c>
      <c r="F402" s="1" t="str">
        <f>IFERROR(__xludf.DUMMYFUNCTION("CONCATENATE(GOOGLETRANSLATE(C402, ""en"", ""ja""))"),"メンズ カラーブロック パッチワーク クルーネック カジュアル プルオーバー スウェットシャツ")</f>
        <v>メンズ カラーブロック パッチワーク クルーネック カジュアル プルオーバー スウェットシャツ</v>
      </c>
    </row>
    <row r="403" ht="15.75" customHeight="1">
      <c r="A403" s="1">
        <v>1876.0</v>
      </c>
      <c r="B403" s="1" t="s">
        <v>381</v>
      </c>
      <c r="C403" s="1" t="s">
        <v>393</v>
      </c>
      <c r="D403" s="1" t="str">
        <f>IFERROR(__xludf.DUMMYFUNCTION("CONCATENATE(GOOGLETRANSLATE(C403, ""en"", ""zh-cn""))"),"男式民族部落几何印花拼布抽绳连帽衫")</f>
        <v>男式民族部落几何印花拼布抽绳连帽衫</v>
      </c>
      <c r="E403" s="1" t="str">
        <f>IFERROR(__xludf.DUMMYFUNCTION("CONCATENATE(GOOGLETRANSLATE(C403, ""en"", ""ko""))"),"남성용 민족 부족 기하학적 프린트 패치워크 드로스트링 후드티")</f>
        <v>남성용 민족 부족 기하학적 프린트 패치워크 드로스트링 후드티</v>
      </c>
      <c r="F403" s="1" t="str">
        <f>IFERROR(__xludf.DUMMYFUNCTION("CONCATENATE(GOOGLETRANSLATE(C403, ""en"", ""ja""))"),"メンズエスニックトライバル幾何学プリントパッチワーク巾着パーカー")</f>
        <v>メンズエスニックトライバル幾何学プリントパッチワーク巾着パーカー</v>
      </c>
    </row>
    <row r="404" ht="15.75" customHeight="1">
      <c r="A404" s="1">
        <v>1877.0</v>
      </c>
      <c r="B404" s="1" t="s">
        <v>381</v>
      </c>
      <c r="C404" s="1" t="s">
        <v>394</v>
      </c>
      <c r="D404" s="1" t="str">
        <f>IFERROR(__xludf.DUMMYFUNCTION("CONCATENATE(GOOGLETRANSLATE(C404, ""en"", ""zh-cn""))"),"男式日本印花拼色抽绳连帽衫")</f>
        <v>男式日本印花拼色抽绳连帽衫</v>
      </c>
      <c r="E404" s="1" t="str">
        <f>IFERROR(__xludf.DUMMYFUNCTION("CONCATENATE(GOOGLETRANSLATE(C404, ""en"", ""ko""))"),"남성용 일본식 프린트 컬러 블록 패치워크 드로스트링 후드티")</f>
        <v>남성용 일본식 프린트 컬러 블록 패치워크 드로스트링 후드티</v>
      </c>
      <c r="F404" s="1" t="str">
        <f>IFERROR(__xludf.DUMMYFUNCTION("CONCATENATE(GOOGLETRANSLATE(C404, ""en"", ""ja""))"),"メンズ日本のプリントカラーブロックパッチワーク巾着パーカー")</f>
        <v>メンズ日本のプリントカラーブロックパッチワーク巾着パーカー</v>
      </c>
    </row>
    <row r="405" ht="15.75" customHeight="1">
      <c r="A405" s="1">
        <v>1878.0</v>
      </c>
      <c r="B405" s="1" t="s">
        <v>381</v>
      </c>
      <c r="C405" s="1" t="s">
        <v>395</v>
      </c>
      <c r="D405" s="1" t="str">
        <f>IFERROR(__xludf.DUMMYFUNCTION("CONCATENATE(GOOGLETRANSLATE(C405, ""en"", ""zh-cn""))"),"男式日本猫印花拼布人造两件套连帽衫")</f>
        <v>男式日本猫印花拼布人造两件套连帽衫</v>
      </c>
      <c r="E405" s="1" t="str">
        <f>IFERROR(__xludf.DUMMYFUNCTION("CONCATENATE(GOOGLETRANSLATE(C405, ""en"", ""ko""))"),"남성용 일본 고양이 프린트 패치워크 인조 후드 2피스")</f>
        <v>남성용 일본 고양이 프린트 패치워크 인조 후드 2피스</v>
      </c>
      <c r="F405" s="1" t="str">
        <f>IFERROR(__xludf.DUMMYFUNCTION("CONCATENATE(GOOGLETRANSLATE(C405, ""en"", ""ja""))"),"メンズ日本の猫プリントパッチワークフェイクツーピースパーカー")</f>
        <v>メンズ日本の猫プリントパッチワークフェイクツーピースパーカー</v>
      </c>
    </row>
    <row r="406" ht="15.75" customHeight="1">
      <c r="A406" s="1">
        <v>1879.0</v>
      </c>
      <c r="B406" s="1" t="s">
        <v>381</v>
      </c>
      <c r="C406" s="1" t="s">
        <v>396</v>
      </c>
      <c r="D406" s="1" t="str">
        <f>IFERROR(__xludf.DUMMYFUNCTION("CONCATENATE(GOOGLETRANSLATE(C406, ""en"", ""zh-cn""))"),"男式不规则拼色拼布袋鼠口袋连帽衫")</f>
        <v>男式不规则拼色拼布袋鼠口袋连帽衫</v>
      </c>
      <c r="E406" s="1" t="str">
        <f>IFERROR(__xludf.DUMMYFUNCTION("CONCATENATE(GOOGLETRANSLATE(C406, ""en"", ""ko""))"),"남성용 불규칙 컬러 블록 패치워크 캥거루 포켓 후드티")</f>
        <v>남성용 불규칙 컬러 블록 패치워크 캥거루 포켓 후드티</v>
      </c>
      <c r="F406" s="1" t="str">
        <f>IFERROR(__xludf.DUMMYFUNCTION("CONCATENATE(GOOGLETRANSLATE(C406, ""en"", ""ja""))"),"メンズ不規則なカラーブロックパッチワークカンガルーポケットパーカー")</f>
        <v>メンズ不規則なカラーブロックパッチワークカンガルーポケットパーカー</v>
      </c>
    </row>
    <row r="407" ht="15.75" customHeight="1">
      <c r="A407" s="1">
        <v>1880.0</v>
      </c>
      <c r="B407" s="1" t="s">
        <v>381</v>
      </c>
      <c r="C407" s="1" t="s">
        <v>397</v>
      </c>
      <c r="D407" s="1" t="str">
        <f>IFERROR(__xludf.DUMMYFUNCTION("CONCATENATE(GOOGLETRANSLATE(C407, ""en"", ""zh-cn""))"),"男士微笑印花拼色袋鼠口袋连帽衫")</f>
        <v>男士微笑印花拼色袋鼠口袋连帽衫</v>
      </c>
      <c r="E407" s="1" t="str">
        <f>IFERROR(__xludf.DUMMYFUNCTION("CONCATENATE(GOOGLETRANSLATE(C407, ""en"", ""ko""))"),"남성용 스마일 프린트 컬러 블록 패치워크 캥거루 포켓 후드티")</f>
        <v>남성용 스마일 프린트 컬러 블록 패치워크 캥거루 포켓 후드티</v>
      </c>
      <c r="F407" s="1" t="str">
        <f>IFERROR(__xludf.DUMMYFUNCTION("CONCATENATE(GOOGLETRANSLATE(C407, ""en"", ""ja""))"),"メンズスマイルプリントカラーブロックパッチワークカンガルーポケットパーカー")</f>
        <v>メンズスマイルプリントカラーブロックパッチワークカンガルーポケットパーカー</v>
      </c>
    </row>
    <row r="408" ht="15.75" customHeight="1">
      <c r="A408" s="1">
        <v>1881.0</v>
      </c>
      <c r="B408" s="1" t="s">
        <v>381</v>
      </c>
      <c r="C408" s="1" t="s">
        <v>398</v>
      </c>
      <c r="D408" s="1" t="str">
        <f>IFERROR(__xludf.DUMMYFUNCTION("CONCATENATE(GOOGLETRANSLATE(C408, ""en"", ""zh-cn""))"),"男式日本波浪猫印花圆领套头运动衫")</f>
        <v>男式日本波浪猫印花圆领套头运动衫</v>
      </c>
      <c r="E408" s="1" t="str">
        <f>IFERROR(__xludf.DUMMYFUNCTION("CONCATENATE(GOOGLETRANSLATE(C408, ""en"", ""ko""))"),"남성용 일본식 웨이브 고양이 프린트 크루넥 풀오버 스웨트셔츠")</f>
        <v>남성용 일본식 웨이브 고양이 프린트 크루넥 풀오버 스웨트셔츠</v>
      </c>
      <c r="F408" s="1" t="str">
        <f>IFERROR(__xludf.DUMMYFUNCTION("CONCATENATE(GOOGLETRANSLATE(C408, ""en"", ""ja""))"),"メンズ ジャパニーズ ウェーブ キャット プリント クルーネック プルオーバー スウェットシャツ")</f>
        <v>メンズ ジャパニーズ ウェーブ キャット プリント クルーネック プルオーバー スウェットシャツ</v>
      </c>
    </row>
    <row r="409" ht="15.75" customHeight="1">
      <c r="A409" s="1">
        <v>1882.0</v>
      </c>
      <c r="B409" s="1" t="s">
        <v>381</v>
      </c>
      <c r="C409" s="1" t="s">
        <v>399</v>
      </c>
      <c r="D409" s="1" t="str">
        <f>IFERROR(__xludf.DUMMYFUNCTION("CONCATENATE(GOOGLETRANSLATE(C409, ""en"", ""zh-cn""))"),"男式民族图案拼布插肩袖套头运动衫")</f>
        <v>男式民族图案拼布插肩袖套头运动衫</v>
      </c>
      <c r="E409" s="1" t="str">
        <f>IFERROR(__xludf.DUMMYFUNCTION("CONCATENATE(GOOGLETRANSLATE(C409, ""en"", ""ko""))"),"남성용 에스닉 패턴 패치워크 라글란 슬리브 풀오버 스웨트셔츠")</f>
        <v>남성용 에스닉 패턴 패치워크 라글란 슬리브 풀오버 스웨트셔츠</v>
      </c>
      <c r="F409" s="1" t="str">
        <f>IFERROR(__xludf.DUMMYFUNCTION("CONCATENATE(GOOGLETRANSLATE(C409, ""en"", ""ja""))"),"メンズエスニックパターンパッチワークラグランスリーブプルオーバースウェットシャツ")</f>
        <v>メンズエスニックパターンパッチワークラグランスリーブプルオーバースウェットシャツ</v>
      </c>
    </row>
    <row r="410" ht="15.75" customHeight="1">
      <c r="A410" s="1">
        <v>1883.0</v>
      </c>
      <c r="B410" s="1" t="s">
        <v>381</v>
      </c>
      <c r="C410" s="1" t="s">
        <v>400</v>
      </c>
      <c r="D410" s="1" t="str">
        <f>IFERROR(__xludf.DUMMYFUNCTION("CONCATENATE(GOOGLETRANSLATE(C410, ""en"", ""zh-cn""))"),"男式民族微笑印花拼色袋鼠口袋连帽衫")</f>
        <v>男式民族微笑印花拼色袋鼠口袋连帽衫</v>
      </c>
      <c r="E410" s="1" t="str">
        <f>IFERROR(__xludf.DUMMYFUNCTION("CONCATENATE(GOOGLETRANSLATE(C410, ""en"", ""ko""))"),"남성용 에스닉 스마일 프린트 컬러 블록 패치워크 캥거루 포켓 후드티")</f>
        <v>남성용 에스닉 스마일 프린트 컬러 블록 패치워크 캥거루 포켓 후드티</v>
      </c>
      <c r="F410" s="1" t="str">
        <f>IFERROR(__xludf.DUMMYFUNCTION("CONCATENATE(GOOGLETRANSLATE(C410, ""en"", ""ja""))"),"メンズエスニックスマイルプリントカラーブロックパッチワークカンガルーポケットパーカー")</f>
        <v>メンズエスニックスマイルプリントカラーブロックパッチワークカンガルーポケットパーカー</v>
      </c>
    </row>
    <row r="411" ht="15.75" customHeight="1">
      <c r="A411" s="1">
        <v>1884.0</v>
      </c>
      <c r="B411" s="1" t="s">
        <v>381</v>
      </c>
      <c r="C411" s="1" t="s">
        <v>401</v>
      </c>
      <c r="D411" s="1" t="str">
        <f>IFERROR(__xludf.DUMMYFUNCTION("CONCATENATE(GOOGLETRANSLATE(C411, ""en"", ""zh-cn""))"),"男士圣诞帽猫印花圆领套头运动衫")</f>
        <v>男士圣诞帽猫印花圆领套头运动衫</v>
      </c>
      <c r="E411" s="1" t="str">
        <f>IFERROR(__xludf.DUMMYFUNCTION("CONCATENATE(GOOGLETRANSLATE(C411, ""en"", ""ko""))"),"남성용 크리스마스 모자 고양이 프린트 크루넥 풀오버 스웨트셔츠")</f>
        <v>남성용 크리스마스 모자 고양이 프린트 크루넥 풀오버 스웨트셔츠</v>
      </c>
      <c r="F411" s="1" t="str">
        <f>IFERROR(__xludf.DUMMYFUNCTION("CONCATENATE(GOOGLETRANSLATE(C411, ""en"", ""ja""))"),"メンズ クリスマス ハット キャット プリント クルーネック プルオーバー スウェットシャツ")</f>
        <v>メンズ クリスマス ハット キャット プリント クルーネック プルオーバー スウェットシャツ</v>
      </c>
    </row>
    <row r="412" ht="15.75" customHeight="1">
      <c r="A412" s="1">
        <v>1885.0</v>
      </c>
      <c r="B412" s="1" t="s">
        <v>381</v>
      </c>
      <c r="C412" s="1" t="s">
        <v>402</v>
      </c>
      <c r="D412" s="1" t="str">
        <f>IFERROR(__xludf.DUMMYFUNCTION("CONCATENATE(GOOGLETRANSLATE(C412, ""en"", ""zh-cn""))"),"男士日式波浪印花长袖宽松抽绳连帽衫")</f>
        <v>男士日式波浪印花长袖宽松抽绳连帽衫</v>
      </c>
      <c r="E412" s="1" t="str">
        <f>IFERROR(__xludf.DUMMYFUNCTION("CONCATENATE(GOOGLETRANSLATE(C412, ""en"", ""ko""))"),"남성용 일본식 웨이브 프린트 긴 소매 루즈 드로스트링 후드티")</f>
        <v>남성용 일본식 웨이브 프린트 긴 소매 루즈 드로스트링 후드티</v>
      </c>
      <c r="F412" s="1" t="str">
        <f>IFERROR(__xludf.DUMMYFUNCTION("CONCATENATE(GOOGLETRANSLATE(C412, ""en"", ""ja""))"),"メンズ日本の波プリント長袖ルーズ巾着パーカー")</f>
        <v>メンズ日本の波プリント長袖ルーズ巾着パーカー</v>
      </c>
    </row>
    <row r="413" ht="15.75" customHeight="1">
      <c r="A413" s="1">
        <v>1886.0</v>
      </c>
      <c r="B413" s="1" t="s">
        <v>381</v>
      </c>
      <c r="C413" s="1" t="s">
        <v>403</v>
      </c>
      <c r="D413" s="1" t="str">
        <f>IFERROR(__xludf.DUMMYFUNCTION("CONCATENATE(GOOGLETRANSLATE(C413, ""en"", ""zh-cn""))"),"男式民族几何印花胸袋毛绒衬里抽绳连帽衫")</f>
        <v>男式民族几何印花胸袋毛绒衬里抽绳连帽衫</v>
      </c>
      <c r="E413" s="1" t="str">
        <f>IFERROR(__xludf.DUMMYFUNCTION("CONCATENATE(GOOGLETRANSLATE(C413, ""en"", ""ko""))"),"남성용 에스닉 기하학적 프린트 가슴 주머니 봉제 안감 조임끈 후드티")</f>
        <v>남성용 에스닉 기하학적 프린트 가슴 주머니 봉제 안감 조임끈 후드티</v>
      </c>
      <c r="F413" s="1" t="str">
        <f>IFERROR(__xludf.DUMMYFUNCTION("CONCATENATE(GOOGLETRANSLATE(C413, ""en"", ""ja""))"),"メンズエスニック幾何学プリント胸ポケットぬいぐるみ裏地巾着パーカー")</f>
        <v>メンズエスニック幾何学プリント胸ポケットぬいぐるみ裏地巾着パーカー</v>
      </c>
    </row>
    <row r="414" ht="15.75" customHeight="1">
      <c r="A414" s="1">
        <v>1887.0</v>
      </c>
      <c r="B414" s="1" t="s">
        <v>381</v>
      </c>
      <c r="C414" s="1" t="s">
        <v>404</v>
      </c>
      <c r="D414" s="1" t="str">
        <f>IFERROR(__xludf.DUMMYFUNCTION("CONCATENATE(GOOGLETRANSLATE(C414, ""en"", ""zh-cn""))"),"男式拼色袋鼠口袋灯芯绒抽绳连帽衫")</f>
        <v>男式拼色袋鼠口袋灯芯绒抽绳连帽衫</v>
      </c>
      <c r="E414" s="1" t="str">
        <f>IFERROR(__xludf.DUMMYFUNCTION("CONCATENATE(GOOGLETRANSLATE(C414, ""en"", ""ko""))"),"남성용 컬러 블록 패치워크 캥거루 포켓 코듀로이 드로스트링 후드티")</f>
        <v>남성용 컬러 블록 패치워크 캥거루 포켓 코듀로이 드로스트링 후드티</v>
      </c>
      <c r="F414" s="1" t="str">
        <f>IFERROR(__xludf.DUMMYFUNCTION("CONCATENATE(GOOGLETRANSLATE(C414, ""en"", ""ja""))"),"メンズ カラー ブロック パッチワーク カンガルー ポケット コーデュロイ ドローストリング パーカー")</f>
        <v>メンズ カラー ブロック パッチワーク カンガルー ポケット コーデュロイ ドローストリング パーカー</v>
      </c>
    </row>
    <row r="415" ht="15.75" customHeight="1">
      <c r="A415" s="1">
        <v>1888.0</v>
      </c>
      <c r="B415" s="1" t="s">
        <v>381</v>
      </c>
      <c r="C415" s="1" t="s">
        <v>405</v>
      </c>
      <c r="D415" s="1" t="str">
        <f>IFERROR(__xludf.DUMMYFUNCTION("CONCATENATE(GOOGLETRANSLATE(C415, ""en"", ""zh-cn""))"),"男式笑脸印花拼接休闲宽松抽绳连帽衫")</f>
        <v>男式笑脸印花拼接休闲宽松抽绳连帽衫</v>
      </c>
      <c r="E415" s="1" t="str">
        <f>IFERROR(__xludf.DUMMYFUNCTION("CONCATENATE(GOOGLETRANSLATE(C415, ""en"", ""ko""))"),"남성용 스마일 페이스 프린트 패치워크 캐주얼 루즈 드로스트링 후드티")</f>
        <v>남성용 스마일 페이스 프린트 패치워크 캐주얼 루즈 드로스트링 후드티</v>
      </c>
      <c r="F415" s="1" t="str">
        <f>IFERROR(__xludf.DUMMYFUNCTION("CONCATENATE(GOOGLETRANSLATE(C415, ""en"", ""ja""))"),"メンズスマイルフェイスプリントパッチワークカジュアルルーズ巾着パーカー")</f>
        <v>メンズスマイルフェイスプリントパッチワークカジュアルルーズ巾着パーカー</v>
      </c>
    </row>
    <row r="416" ht="15.75" customHeight="1">
      <c r="A416" s="1">
        <v>1889.0</v>
      </c>
      <c r="B416" s="1" t="s">
        <v>381</v>
      </c>
      <c r="C416" s="1" t="s">
        <v>406</v>
      </c>
      <c r="D416" s="1" t="str">
        <f>IFERROR(__xludf.DUMMYFUNCTION("CONCATENATE(GOOGLETRANSLATE(C416, ""en"", ""zh-cn""))"),"男士圣诞树麋鹿印花长袖抽绳连帽衫")</f>
        <v>男士圣诞树麋鹿印花长袖抽绳连帽衫</v>
      </c>
      <c r="E416" s="1" t="str">
        <f>IFERROR(__xludf.DUMMYFUNCTION("CONCATENATE(GOOGLETRANSLATE(C416, ""en"", ""ko""))"),"남성용 크리스마스 트리 엘크 프린트 긴 소매 드로스트링 후드티")</f>
        <v>남성용 크리스마스 트리 엘크 프린트 긴 소매 드로스트링 후드티</v>
      </c>
      <c r="F416" s="1" t="str">
        <f>IFERROR(__xludf.DUMMYFUNCTION("CONCATENATE(GOOGLETRANSLATE(C416, ""en"", ""ja""))"),"メンズクリスマスツリーヘラジカプリント長袖巾着パーカー")</f>
        <v>メンズクリスマスツリーヘラジカプリント長袖巾着パーカー</v>
      </c>
    </row>
    <row r="417" ht="15.75" customHeight="1">
      <c r="A417" s="1">
        <v>1890.0</v>
      </c>
      <c r="B417" s="1" t="s">
        <v>381</v>
      </c>
      <c r="C417" s="1" t="s">
        <v>407</v>
      </c>
      <c r="D417" s="1" t="str">
        <f>IFERROR(__xludf.DUMMYFUNCTION("CONCATENATE(GOOGLETRANSLATE(C417, ""en"", ""zh-cn""))"),"男士条纹四分之一纽扣长袖休闲抽绳连帽衫")</f>
        <v>男士条纹四分之一纽扣长袖休闲抽绳连帽衫</v>
      </c>
      <c r="E417" s="1" t="str">
        <f>IFERROR(__xludf.DUMMYFUNCTION("CONCATENATE(GOOGLETRANSLATE(C417, ""en"", ""ko""))"),"남성 스트라이프 쿼터 버튼 긴 소매 캐주얼 드로스트링 후드티")</f>
        <v>남성 스트라이프 쿼터 버튼 긴 소매 캐주얼 드로스트링 후드티</v>
      </c>
      <c r="F417" s="1" t="str">
        <f>IFERROR(__xludf.DUMMYFUNCTION("CONCATENATE(GOOGLETRANSLATE(C417, ""en"", ""ja""))"),"メンズストライプクォーターボタン長袖カジュアル巾着パーカー")</f>
        <v>メンズストライプクォーターボタン長袖カジュアル巾着パーカー</v>
      </c>
    </row>
    <row r="418" ht="15.75" customHeight="1">
      <c r="A418" s="1">
        <v>1891.0</v>
      </c>
      <c r="B418" s="1" t="s">
        <v>381</v>
      </c>
      <c r="C418" s="1" t="s">
        <v>408</v>
      </c>
      <c r="D418" s="1" t="str">
        <f>IFERROR(__xludf.DUMMYFUNCTION("CONCATENATE(GOOGLETRANSLATE(C418, ""en"", ""zh-cn""))"),"男式笑脸印花撞色拼布圆领套头运动衫")</f>
        <v>男式笑脸印花撞色拼布圆领套头运动衫</v>
      </c>
      <c r="E418" s="1" t="str">
        <f>IFERROR(__xludf.DUMMYFUNCTION("CONCATENATE(GOOGLETRANSLATE(C418, ""en"", ""ko""))"),"남성용 스마일 페이스 프린트 대비 패치워크 크루넥 풀오버 스웨트셔츠")</f>
        <v>남성용 스마일 페이스 프린트 대비 패치워크 크루넥 풀오버 스웨트셔츠</v>
      </c>
      <c r="F418" s="1" t="str">
        <f>IFERROR(__xludf.DUMMYFUNCTION("CONCATENATE(GOOGLETRANSLATE(C418, ""en"", ""ja""))"),"メンズスマイルフェイスプリントコントラストパッチワーククルーネックプルオーバースウェットシャツ")</f>
        <v>メンズスマイルフェイスプリントコントラストパッチワーククルーネックプルオーバースウェットシャツ</v>
      </c>
    </row>
    <row r="419" ht="15.75" customHeight="1">
      <c r="A419" s="1">
        <v>1892.0</v>
      </c>
      <c r="B419" s="1" t="s">
        <v>381</v>
      </c>
      <c r="C419" s="1" t="s">
        <v>409</v>
      </c>
      <c r="D419" s="1" t="str">
        <f>IFERROR(__xludf.DUMMYFUNCTION("CONCATENATE(GOOGLETRANSLATE(C419, ""en"", ""zh-cn""))"),"男式日本波浪印花圆领长袖套头运动衫")</f>
        <v>男式日本波浪印花圆领长袖套头运动衫</v>
      </c>
      <c r="E419" s="1" t="str">
        <f>IFERROR(__xludf.DUMMYFUNCTION("CONCATENATE(GOOGLETRANSLATE(C419, ""en"", ""ko""))"),"남성용 일본식 웨이브 프린트 크루넥 긴 소매 풀오버 스웨트셔츠")</f>
        <v>남성용 일본식 웨이브 프린트 크루넥 긴 소매 풀오버 스웨트셔츠</v>
      </c>
      <c r="F419" s="1" t="str">
        <f>IFERROR(__xludf.DUMMYFUNCTION("CONCATENATE(GOOGLETRANSLATE(C419, ""en"", ""ja""))"),"メンズ日本の波プリントクルーネック長袖プルオーバースウェットシャツ")</f>
        <v>メンズ日本の波プリントクルーネック長袖プルオーバースウェットシャツ</v>
      </c>
    </row>
    <row r="420" ht="15.75" customHeight="1">
      <c r="A420" s="1">
        <v>1893.0</v>
      </c>
      <c r="B420" s="1" t="s">
        <v>381</v>
      </c>
      <c r="C420" s="1" t="s">
        <v>410</v>
      </c>
      <c r="D420" s="1" t="str">
        <f>IFERROR(__xludf.DUMMYFUNCTION("CONCATENATE(GOOGLETRANSLATE(C420, ""en"", ""zh-cn""))"),"男士拼色圆领宽松套头运动衫")</f>
        <v>男士拼色圆领宽松套头运动衫</v>
      </c>
      <c r="E420" s="1" t="str">
        <f>IFERROR(__xludf.DUMMYFUNCTION("CONCATENATE(GOOGLETRANSLATE(C420, ""en"", ""ko""))"),"남성용 컬러 블록 패치워크 크루넥 루즈 풀오버 스웨트셔츠")</f>
        <v>남성용 컬러 블록 패치워크 크루넥 루즈 풀오버 스웨트셔츠</v>
      </c>
      <c r="F420" s="1" t="str">
        <f>IFERROR(__xludf.DUMMYFUNCTION("CONCATENATE(GOOGLETRANSLATE(C420, ""en"", ""ja""))"),"メンズカラーブロックパッチワーククルーネックルーズプルオーバースウェットシャツ")</f>
        <v>メンズカラーブロックパッチワーククルーネックルーズプルオーバースウェットシャツ</v>
      </c>
    </row>
    <row r="421" ht="15.75" customHeight="1">
      <c r="A421" s="1">
        <v>1894.0</v>
      </c>
      <c r="B421" s="1" t="s">
        <v>381</v>
      </c>
      <c r="C421" s="1" t="s">
        <v>411</v>
      </c>
      <c r="D421" s="1" t="str">
        <f>IFERROR(__xludf.DUMMYFUNCTION("CONCATENATE(GOOGLETRANSLATE(C421, ""en"", ""zh-cn""))"),"男式两色拼布立领灯芯绒套头运动衫")</f>
        <v>男式两色拼布立领灯芯绒套头运动衫</v>
      </c>
      <c r="E421" s="1" t="str">
        <f>IFERROR(__xludf.DUMMYFUNCTION("CONCATENATE(GOOGLETRANSLATE(C421, ""en"", ""ko""))"),"남성용 투톤 패치워크 스탠드 칼라 코듀로이 풀오버 스웨트셔츠")</f>
        <v>남성용 투톤 패치워크 스탠드 칼라 코듀로이 풀오버 스웨트셔츠</v>
      </c>
      <c r="F421" s="1" t="str">
        <f>IFERROR(__xludf.DUMMYFUNCTION("CONCATENATE(GOOGLETRANSLATE(C421, ""en"", ""ja""))"),"メンズ ツートーン パッチワーク スタンドカラー コーデュロイ プルオーバー スウェットシャツ")</f>
        <v>メンズ ツートーン パッチワーク スタンドカラー コーデュロイ プルオーバー スウェットシャツ</v>
      </c>
    </row>
    <row r="422" ht="15.75" customHeight="1">
      <c r="A422" s="1">
        <v>1895.0</v>
      </c>
      <c r="B422" s="1" t="s">
        <v>381</v>
      </c>
      <c r="C422" s="1" t="s">
        <v>412</v>
      </c>
      <c r="D422" s="1" t="str">
        <f>IFERROR(__xludf.DUMMYFUNCTION("CONCATENATE(GOOGLETRANSLATE(C422, ""en"", ""zh-cn""))"),"男式撞色拼布立领抓绒休闲套头运动衫")</f>
        <v>男式撞色拼布立领抓绒休闲套头运动衫</v>
      </c>
      <c r="E422" s="1" t="str">
        <f>IFERROR(__xludf.DUMMYFUNCTION("CONCATENATE(GOOGLETRANSLATE(C422, ""en"", ""ko""))"),"남성용 대비 패치워크 스탠드 칼라 플리스 캐주얼 풀오버 스웨트셔츠")</f>
        <v>남성용 대비 패치워크 스탠드 칼라 플리스 캐주얼 풀오버 스웨트셔츠</v>
      </c>
      <c r="F422" s="1" t="str">
        <f>IFERROR(__xludf.DUMMYFUNCTION("CONCATENATE(GOOGLETRANSLATE(C422, ""en"", ""ja""))"),"メンズコントラストパッチワークスタンドカラーフリースカジュアルプルオーバースウェットシャツ")</f>
        <v>メンズコントラストパッチワークスタンドカラーフリースカジュアルプルオーバースウェットシャツ</v>
      </c>
    </row>
    <row r="423" ht="15.75" customHeight="1">
      <c r="A423" s="1">
        <v>1896.0</v>
      </c>
      <c r="B423" s="1" t="s">
        <v>381</v>
      </c>
      <c r="C423" s="1" t="s">
        <v>413</v>
      </c>
      <c r="D423" s="1" t="str">
        <f>IFERROR(__xludf.DUMMYFUNCTION("CONCATENATE(GOOGLETRANSLATE(C423, ""en"", ""zh-cn""))"),"男士撞色拼布圆领休闲宽松套头运动衫")</f>
        <v>男士撞色拼布圆领休闲宽松套头运动衫</v>
      </c>
      <c r="E423" s="1" t="str">
        <f>IFERROR(__xludf.DUMMYFUNCTION("CONCATENATE(GOOGLETRANSLATE(C423, ""en"", ""ko""))"),"남성용 대비 패치워크 크루넥 캐주얼 루즈 풀오버 스웨트셔츠")</f>
        <v>남성용 대비 패치워크 크루넥 캐주얼 루즈 풀오버 스웨트셔츠</v>
      </c>
      <c r="F423" s="1" t="str">
        <f>IFERROR(__xludf.DUMMYFUNCTION("CONCATENATE(GOOGLETRANSLATE(C423, ""en"", ""ja""))"),"メンズコントラストパッチワーククルーネックカジュアルルーズプルオーバースウェットシャツ")</f>
        <v>メンズコントラストパッチワーククルーネックカジュアルルーズプルオーバースウェットシャツ</v>
      </c>
    </row>
    <row r="424" ht="15.75" customHeight="1">
      <c r="A424" s="1">
        <v>1897.0</v>
      </c>
      <c r="B424" s="1" t="s">
        <v>381</v>
      </c>
      <c r="C424" s="1" t="s">
        <v>414</v>
      </c>
      <c r="D424" s="1" t="str">
        <f>IFERROR(__xludf.DUMMYFUNCTION("CONCATENATE(GOOGLETRANSLATE(C424, ""en"", ""zh-cn""))"),"男式纯色半拉链袋鼠口袋休闲抽绳连帽衫")</f>
        <v>男式纯色半拉链袋鼠口袋休闲抽绳连帽衫</v>
      </c>
      <c r="E424" s="1" t="str">
        <f>IFERROR(__xludf.DUMMYFUNCTION("CONCATENATE(GOOGLETRANSLATE(C424, ""en"", ""ko""))"),"남성용 솔리드 하프 지퍼 캥거루 포켓 캐주얼 드로스트링 후드티")</f>
        <v>남성용 솔리드 하프 지퍼 캥거루 포켓 캐주얼 드로스트링 후드티</v>
      </c>
      <c r="F424" s="1" t="str">
        <f>IFERROR(__xludf.DUMMYFUNCTION("CONCATENATE(GOOGLETRANSLATE(C424, ""en"", ""ja""))"),"メンズソリッドハーフジップカンガルーポケットカジュアル巾着パーカー")</f>
        <v>メンズソリッドハーフジップカンガルーポケットカジュアル巾着パーカー</v>
      </c>
    </row>
    <row r="425" ht="15.75" customHeight="1">
      <c r="A425" s="1">
        <v>1898.0</v>
      </c>
      <c r="B425" s="1" t="s">
        <v>381</v>
      </c>
      <c r="C425" s="1" t="s">
        <v>415</v>
      </c>
      <c r="D425" s="1" t="str">
        <f>IFERROR(__xludf.DUMMYFUNCTION("CONCATENATE(GOOGLETRANSLATE(C425, ""en"", ""zh-cn""))"),"男士笑脸印花拼接半拉链抽绳连帽衫")</f>
        <v>男士笑脸印花拼接半拉链抽绳连帽衫</v>
      </c>
      <c r="E425" s="1" t="str">
        <f>IFERROR(__xludf.DUMMYFUNCTION("CONCATENATE(GOOGLETRANSLATE(C425, ""en"", ""ko""))"),"남성용 스마일 페이스 프린트 패치워크 하프 지퍼 드로스트링 후드티")</f>
        <v>남성용 스마일 페이스 프린트 패치워크 하프 지퍼 드로스트링 후드티</v>
      </c>
      <c r="F425" s="1" t="str">
        <f>IFERROR(__xludf.DUMMYFUNCTION("CONCATENATE(GOOGLETRANSLATE(C425, ""en"", ""ja""))"),"メンズスマイルフェイスプリントパッチワークハーフジップ巾着パーカー")</f>
        <v>メンズスマイルフェイスプリントパッチワークハーフジップ巾着パーカー</v>
      </c>
    </row>
    <row r="426" ht="15.75" customHeight="1">
      <c r="A426" s="1">
        <v>1899.0</v>
      </c>
      <c r="B426" s="1" t="s">
        <v>381</v>
      </c>
      <c r="C426" s="1" t="s">
        <v>416</v>
      </c>
      <c r="D426" s="1" t="str">
        <f>IFERROR(__xludf.DUMMYFUNCTION("CONCATENATE(GOOGLETRANSLATE(C426, ""en"", ""zh-cn""))"),"男式笑脸印花袋鼠口袋休闲抽绳连帽衫")</f>
        <v>男式笑脸印花袋鼠口袋休闲抽绳连帽衫</v>
      </c>
      <c r="E426" s="1" t="str">
        <f>IFERROR(__xludf.DUMMYFUNCTION("CONCATENATE(GOOGLETRANSLATE(C426, ""en"", ""ko""))"),"남성용 스마일 페이스 프린트 캥거루 포켓 캐주얼 드로스트링 후드티")</f>
        <v>남성용 스마일 페이스 프린트 캥거루 포켓 캐주얼 드로스트링 후드티</v>
      </c>
      <c r="F426" s="1" t="str">
        <f>IFERROR(__xludf.DUMMYFUNCTION("CONCATENATE(GOOGLETRANSLATE(C426, ""en"", ""ja""))"),"メンズスマイルフェイスプリントカンガルーポケットカジュアル巾着パーカー")</f>
        <v>メンズスマイルフェイスプリントカンガルーポケットカジュアル巾着パーカー</v>
      </c>
    </row>
    <row r="427" ht="15.75" customHeight="1">
      <c r="A427" s="1">
        <v>1900.0</v>
      </c>
      <c r="B427" s="1" t="s">
        <v>381</v>
      </c>
      <c r="C427" s="1" t="s">
        <v>417</v>
      </c>
      <c r="D427" s="1" t="str">
        <f>IFERROR(__xludf.DUMMYFUNCTION("CONCATENATE(GOOGLETRANSLATE(C427, ""en"", ""zh-cn""))"),"男式微笑刺绣撞色拼布圆领套头运动衫")</f>
        <v>男式微笑刺绣撞色拼布圆领套头运动衫</v>
      </c>
      <c r="E427" s="1" t="str">
        <f>IFERROR(__xludf.DUMMYFUNCTION("CONCATENATE(GOOGLETRANSLATE(C427, ""en"", ""ko""))"),"남성용 스마일 자수 대비 패치워크 크루넥 풀오버 스웨트셔츠")</f>
        <v>남성용 스마일 자수 대비 패치워크 크루넥 풀오버 스웨트셔츠</v>
      </c>
      <c r="F427" s="1" t="str">
        <f>IFERROR(__xludf.DUMMYFUNCTION("CONCATENATE(GOOGLETRANSLATE(C427, ""en"", ""ja""))"),"メンズスマイル刺繍コントラストパッチワーククルーネックプルオーバースウェットシャツ")</f>
        <v>メンズスマイル刺繍コントラストパッチワーククルーネックプルオーバースウェットシャツ</v>
      </c>
    </row>
    <row r="428" ht="15.75" customHeight="1">
      <c r="A428" s="1">
        <v>1901.0</v>
      </c>
      <c r="B428" s="1" t="s">
        <v>381</v>
      </c>
      <c r="C428" s="1" t="s">
        <v>418</v>
      </c>
      <c r="D428" s="1" t="str">
        <f>IFERROR(__xludf.DUMMYFUNCTION("CONCATENATE(GOOGLETRANSLATE(C428, ""en"", ""zh-cn""))"),"男式菱形图案微笑刺绣拼布宽松抽绳连帽衫")</f>
        <v>男式菱形图案微笑刺绣拼布宽松抽绳连帽衫</v>
      </c>
      <c r="E428" s="1" t="str">
        <f>IFERROR(__xludf.DUMMYFUNCTION("CONCATENATE(GOOGLETRANSLATE(C428, ""en"", ""ko""))"),"남성용 아가일 패턴 스마일 자수 패치워크 루즈한 드로스트링 후드티")</f>
        <v>남성용 아가일 패턴 스마일 자수 패치워크 루즈한 드로스트링 후드티</v>
      </c>
      <c r="F428" s="1" t="str">
        <f>IFERROR(__xludf.DUMMYFUNCTION("CONCATENATE(GOOGLETRANSLATE(C428, ""en"", ""ja""))"),"メンズアーガイル柄スマイル刺繍パッチワークルーズ巾着パーカー")</f>
        <v>メンズアーガイル柄スマイル刺繍パッチワークルーズ巾着パーカー</v>
      </c>
    </row>
    <row r="429" ht="15.75" customHeight="1">
      <c r="A429" s="1">
        <v>1902.0</v>
      </c>
      <c r="B429" s="1" t="s">
        <v>381</v>
      </c>
      <c r="C429" s="1" t="s">
        <v>419</v>
      </c>
      <c r="D429" s="1" t="str">
        <f>IFERROR(__xludf.DUMMYFUNCTION("CONCATENATE(GOOGLETRANSLATE(C429, ""en"", ""zh-cn""))"),"男式复古民族几何图案圆领套头运动衫")</f>
        <v>男式复古民族几何图案圆领套头运动衫</v>
      </c>
      <c r="E429" s="1" t="str">
        <f>IFERROR(__xludf.DUMMYFUNCTION("CONCATENATE(GOOGLETRANSLATE(C429, ""en"", ""ko""))"),"남성용 빈티지 에스닉 기하학적 패턴 크루넥 풀오버 스웨트셔츠")</f>
        <v>남성용 빈티지 에스닉 기하학적 패턴 크루넥 풀오버 스웨트셔츠</v>
      </c>
      <c r="F429" s="1" t="str">
        <f>IFERROR(__xludf.DUMMYFUNCTION("CONCATENATE(GOOGLETRANSLATE(C429, ""en"", ""ja""))"),"メンズヴィンテージエスニック幾何学模様クルーネックプルオーバースウェットシャツ")</f>
        <v>メンズヴィンテージエスニック幾何学模様クルーネックプルオーバースウェットシャツ</v>
      </c>
    </row>
    <row r="430" ht="15.75" customHeight="1">
      <c r="A430" s="1">
        <v>1903.0</v>
      </c>
      <c r="B430" s="1" t="s">
        <v>381</v>
      </c>
      <c r="C430" s="1" t="s">
        <v>420</v>
      </c>
      <c r="D430" s="1" t="str">
        <f>IFERROR(__xludf.DUMMYFUNCTION("CONCATENATE(GOOGLETRANSLATE(C430, ""en"", ""zh-cn""))"),"男式民族佩斯利印花拼布纹理圆领套头运动衫")</f>
        <v>男式民族佩斯利印花拼布纹理圆领套头运动衫</v>
      </c>
      <c r="E430" s="1" t="str">
        <f>IFERROR(__xludf.DUMMYFUNCTION("CONCATENATE(GOOGLETRANSLATE(C430, ""en"", ""ko""))"),"남성용 에스닉 페이즐리 프린트 패치워크 텍스처 크루넥 풀오버 스웨트셔츠")</f>
        <v>남성용 에스닉 페이즐리 프린트 패치워크 텍스처 크루넥 풀오버 스웨트셔츠</v>
      </c>
      <c r="F430" s="1" t="str">
        <f>IFERROR(__xludf.DUMMYFUNCTION("CONCATENATE(GOOGLETRANSLATE(C430, ""en"", ""ja""))"),"メンズエスニックペイズリープリントパッチワークテクスチャークルーネックプルオーバースウェットシャツ")</f>
        <v>メンズエスニックペイズリープリントパッチワークテクスチャークルーネックプルオーバースウェットシャツ</v>
      </c>
    </row>
    <row r="431" ht="15.75" customHeight="1">
      <c r="A431" s="1">
        <v>1904.0</v>
      </c>
      <c r="B431" s="1" t="s">
        <v>381</v>
      </c>
      <c r="C431" s="1" t="s">
        <v>421</v>
      </c>
      <c r="D431" s="1" t="str">
        <f>IFERROR(__xludf.DUMMYFUNCTION("CONCATENATE(GOOGLETRANSLATE(C431, ""en"", ""zh-cn""))"),"男式民族部落字母印花拼布圆领套头运动衫")</f>
        <v>男式民族部落字母印花拼布圆领套头运动衫</v>
      </c>
      <c r="E431" s="1" t="str">
        <f>IFERROR(__xludf.DUMMYFUNCTION("CONCATENATE(GOOGLETRANSLATE(C431, ""en"", ""ko""))"),"남성용 민족 부족 문자 인쇄 패치워크 크루넥 풀오버 스웨트셔츠")</f>
        <v>남성용 민족 부족 문자 인쇄 패치워크 크루넥 풀오버 스웨트셔츠</v>
      </c>
      <c r="F431" s="1" t="str">
        <f>IFERROR(__xludf.DUMMYFUNCTION("CONCATENATE(GOOGLETRANSLATE(C431, ""en"", ""ja""))"),"メンズエスニックトライバルレタープリントパッチワーククルーネックプルオーバースウェットシャツ")</f>
        <v>メンズエスニックトライバルレタープリントパッチワーククルーネックプルオーバースウェットシャツ</v>
      </c>
    </row>
    <row r="432" ht="15.75" customHeight="1">
      <c r="A432" s="1">
        <v>1905.0</v>
      </c>
      <c r="B432" s="1" t="s">
        <v>381</v>
      </c>
      <c r="C432" s="1" t="s">
        <v>422</v>
      </c>
      <c r="D432" s="1" t="str">
        <f>IFERROR(__xludf.DUMMYFUNCTION("CONCATENATE(GOOGLETRANSLATE(C432, ""en"", ""zh-cn""))"),"男式民族几何印花拼布圆领套头运动衫")</f>
        <v>男式民族几何印花拼布圆领套头运动衫</v>
      </c>
      <c r="E432" s="1" t="str">
        <f>IFERROR(__xludf.DUMMYFUNCTION("CONCATENATE(GOOGLETRANSLATE(C432, ""en"", ""ko""))"),"남성용 에스닉 기하학적 프린트 패치워크 크루넥 풀오버 스웨트셔츠")</f>
        <v>남성용 에스닉 기하학적 프린트 패치워크 크루넥 풀오버 스웨트셔츠</v>
      </c>
      <c r="F432" s="1" t="str">
        <f>IFERROR(__xludf.DUMMYFUNCTION("CONCATENATE(GOOGLETRANSLATE(C432, ""en"", ""ja""))"),"メンズエスニック幾何学プリントパッチワーククルーネックプルオーバースウェットシャツ")</f>
        <v>メンズエスニック幾何学プリントパッチワーククルーネックプルオーバースウェットシャツ</v>
      </c>
    </row>
    <row r="433" ht="15.75" customHeight="1">
      <c r="A433" s="1">
        <v>1906.0</v>
      </c>
      <c r="B433" s="1" t="s">
        <v>381</v>
      </c>
      <c r="C433" s="1" t="s">
        <v>423</v>
      </c>
      <c r="D433" s="1" t="str">
        <f>IFERROR(__xludf.DUMMYFUNCTION("CONCATENATE(GOOGLETRANSLATE(C433, ""en"", ""zh-cn""))"),"男士中国风花卉印花圆领套头卫衣")</f>
        <v>男士中国风花卉印花圆领套头卫衣</v>
      </c>
      <c r="E433" s="1" t="str">
        <f>IFERROR(__xludf.DUMMYFUNCTION("CONCATENATE(GOOGLETRANSLATE(C433, ""en"", ""ko""))"),"남성용 중국 스타일 꽃무늬 크루넥 풀오버 스웨트셔츠")</f>
        <v>남성용 중국 스타일 꽃무늬 크루넥 풀오버 스웨트셔츠</v>
      </c>
      <c r="F433" s="1" t="str">
        <f>IFERROR(__xludf.DUMMYFUNCTION("CONCATENATE(GOOGLETRANSLATE(C433, ""en"", ""ja""))"),"メンズ中国風花柄クルーネックプルオーバースウェットシャツ")</f>
        <v>メンズ中国風花柄クルーネックプルオーバースウェットシャツ</v>
      </c>
    </row>
    <row r="434" ht="15.75" customHeight="1">
      <c r="A434" s="1">
        <v>1907.0</v>
      </c>
      <c r="B434" s="1" t="s">
        <v>381</v>
      </c>
      <c r="C434" s="1" t="s">
        <v>424</v>
      </c>
      <c r="D434" s="1" t="str">
        <f>IFERROR(__xludf.DUMMYFUNCTION("CONCATENATE(GOOGLETRANSLATE(C434, ""en"", ""zh-cn""))"),"男式中国人物山水印花拼布抽绳连帽衫")</f>
        <v>男式中国人物山水印花拼布抽绳连帽衫</v>
      </c>
      <c r="E434" s="1" t="str">
        <f>IFERROR(__xludf.DUMMYFUNCTION("CONCATENATE(GOOGLETRANSLATE(C434, ""en"", ""ko""))"),"남성용 중국 그림 풍경화 프린트 패치워크 드로스트링 후드티")</f>
        <v>남성용 중국 그림 풍경화 프린트 패치워크 드로스트링 후드티</v>
      </c>
      <c r="F434" s="1" t="str">
        <f>IFERROR(__xludf.DUMMYFUNCTION("CONCATENATE(GOOGLETRANSLATE(C434, ""en"", ""ja""))"),"メンズ中国図風景プリントパッチワーク巾着パーカー")</f>
        <v>メンズ中国図風景プリントパッチワーク巾着パーカー</v>
      </c>
    </row>
    <row r="435" ht="15.75" customHeight="1">
      <c r="A435" s="1">
        <v>1908.0</v>
      </c>
      <c r="B435" s="1" t="s">
        <v>381</v>
      </c>
      <c r="C435" s="1" t="s">
        <v>425</v>
      </c>
      <c r="D435" s="1" t="str">
        <f>IFERROR(__xludf.DUMMYFUNCTION("CONCATENATE(GOOGLETRANSLATE(C435, ""en"", ""zh-cn""))"),"男士字母印花拼色圆领休闲套头运动衫")</f>
        <v>男士字母印花拼色圆领休闲套头运动衫</v>
      </c>
      <c r="E435" s="1" t="str">
        <f>IFERROR(__xludf.DUMMYFUNCTION("CONCATENATE(GOOGLETRANSLATE(C435, ""en"", ""ko""))"),"남성용 레터 프린트 컬러 블록 패치워크 크루넥 캐주얼 풀오버 스웨트셔츠")</f>
        <v>남성용 레터 프린트 컬러 블록 패치워크 크루넥 캐주얼 풀오버 스웨트셔츠</v>
      </c>
      <c r="F435" s="1" t="str">
        <f>IFERROR(__xludf.DUMMYFUNCTION("CONCATENATE(GOOGLETRANSLATE(C435, ""en"", ""ja""))"),"メンズレタープリントカラーブロックパッチワーククルーネックカジュアルプルオーバースウェットシャツ")</f>
        <v>メンズレタープリントカラーブロックパッチワーククルーネックカジュアルプルオーバースウェットシャツ</v>
      </c>
    </row>
    <row r="436" ht="15.75" customHeight="1">
      <c r="A436" s="1">
        <v>1909.0</v>
      </c>
      <c r="B436" s="1" t="s">
        <v>381</v>
      </c>
      <c r="C436" s="1" t="s">
        <v>426</v>
      </c>
      <c r="D436" s="1" t="str">
        <f>IFERROR(__xludf.DUMMYFUNCTION("CONCATENATE(GOOGLETRANSLATE(C436, ""en"", ""zh-cn""))"),"男式撞色拼布日本印花宽松圆领套头运动衫")</f>
        <v>男式撞色拼布日本印花宽松圆领套头运动衫</v>
      </c>
      <c r="E436" s="1" t="str">
        <f>IFERROR(__xludf.DUMMYFUNCTION("CONCATENATE(GOOGLETRANSLATE(C436, ""en"", ""ko""))"),"남성용 대비 패치워크 일본식 프린트 루즈한 크루넥 풀오버 스웨트셔츠")</f>
        <v>남성용 대비 패치워크 일본식 프린트 루즈한 크루넥 풀오버 스웨트셔츠</v>
      </c>
      <c r="F436" s="1" t="str">
        <f>IFERROR(__xludf.DUMMYFUNCTION("CONCATENATE(GOOGLETRANSLATE(C436, ""en"", ""ja""))"),"メンズコントラストパッチワーク日本のプリントルーズクルーネックプルオーバースウェットシャツ")</f>
        <v>メンズコントラストパッチワーク日本のプリントルーズクルーネックプルオーバースウェットシャツ</v>
      </c>
    </row>
    <row r="437" ht="15.75" customHeight="1">
      <c r="A437" s="1">
        <v>1910.0</v>
      </c>
      <c r="B437" s="1" t="s">
        <v>381</v>
      </c>
      <c r="C437" s="1" t="s">
        <v>427</v>
      </c>
      <c r="D437" s="1" t="str">
        <f>IFERROR(__xludf.DUMMYFUNCTION("CONCATENATE(GOOGLETRANSLATE(C437, ""en"", ""zh-cn""))"),"男式两色拼布袋鼠口袋休闲抽绳连帽衫")</f>
        <v>男式两色拼布袋鼠口袋休闲抽绳连帽衫</v>
      </c>
      <c r="E437" s="1" t="str">
        <f>IFERROR(__xludf.DUMMYFUNCTION("CONCATENATE(GOOGLETRANSLATE(C437, ""en"", ""ko""))"),"남성용 투톤 패치워크 캥거루 포켓 캐주얼 드로스트링 후드티")</f>
        <v>남성용 투톤 패치워크 캥거루 포켓 캐주얼 드로스트링 후드티</v>
      </c>
      <c r="F437" s="1" t="str">
        <f>IFERROR(__xludf.DUMMYFUNCTION("CONCATENATE(GOOGLETRANSLATE(C437, ""en"", ""ja""))"),"メンズツートーンパッチワークカンガルーポケットカジュアル巾着パーカー")</f>
        <v>メンズツートーンパッチワークカンガルーポケットカジュアル巾着パーカー</v>
      </c>
    </row>
    <row r="438" ht="15.75" customHeight="1">
      <c r="A438" s="1">
        <v>1911.0</v>
      </c>
      <c r="B438" s="1" t="s">
        <v>381</v>
      </c>
      <c r="C438" s="1" t="s">
        <v>428</v>
      </c>
      <c r="D438" s="1" t="str">
        <f>IFERROR(__xludf.DUMMYFUNCTION("CONCATENATE(GOOGLETRANSLATE(C438, ""en"", ""zh-cn""))"),"男式复古几何印花圆领套头运动衫")</f>
        <v>男式复古几何印花圆领套头运动衫</v>
      </c>
      <c r="E438" s="1" t="str">
        <f>IFERROR(__xludf.DUMMYFUNCTION("CONCATENATE(GOOGLETRANSLATE(C438, ""en"", ""ko""))"),"남성용 빈티지 기하학적 프린트 크루넥 풀오버 스웨트셔츠")</f>
        <v>남성용 빈티지 기하학적 프린트 크루넥 풀오버 스웨트셔츠</v>
      </c>
      <c r="F438" s="1" t="str">
        <f>IFERROR(__xludf.DUMMYFUNCTION("CONCATENATE(GOOGLETRANSLATE(C438, ""en"", ""ja""))"),"メンズヴィンテージ幾何学プリントクルーネックプルオーバースウェットシャツ")</f>
        <v>メンズヴィンテージ幾何学プリントクルーネックプルオーバースウェットシャツ</v>
      </c>
    </row>
    <row r="439" ht="15.75" customHeight="1">
      <c r="A439" s="1">
        <v>1912.0</v>
      </c>
      <c r="B439" s="1" t="s">
        <v>381</v>
      </c>
      <c r="C439" s="1" t="s">
        <v>429</v>
      </c>
      <c r="D439" s="1" t="str">
        <f>IFERROR(__xludf.DUMMYFUNCTION("CONCATENATE(GOOGLETRANSLATE(C439, ""en"", ""zh-cn""))"),"男士拼色袋鼠口袋宽松抽绳连帽衫")</f>
        <v>男士拼色袋鼠口袋宽松抽绳连帽衫</v>
      </c>
      <c r="E439" s="1" t="str">
        <f>IFERROR(__xludf.DUMMYFUNCTION("CONCATENATE(GOOGLETRANSLATE(C439, ""en"", ""ko""))"),"남성용 컬러 블록 캥거루 포켓 루즈 드로스트링 후드티")</f>
        <v>남성용 컬러 블록 캥거루 포켓 루즈 드로스트링 후드티</v>
      </c>
      <c r="F439" s="1" t="str">
        <f>IFERROR(__xludf.DUMMYFUNCTION("CONCATENATE(GOOGLETRANSLATE(C439, ""en"", ""ja""))"),"メンズカラーブロックカンガルーポケットルーズドローストリングパーカー")</f>
        <v>メンズカラーブロックカンガルーポケットルーズドローストリングパーカー</v>
      </c>
    </row>
    <row r="440" ht="15.75" customHeight="1">
      <c r="A440" s="1">
        <v>1913.0</v>
      </c>
      <c r="B440" s="1" t="s">
        <v>381</v>
      </c>
      <c r="C440" s="1" t="s">
        <v>430</v>
      </c>
      <c r="D440" s="1" t="str">
        <f>IFERROR(__xludf.DUMMYFUNCTION("CONCATENATE(GOOGLETRANSLATE(C440, ""en"", ""zh-cn""))"),"男式撞色拼布半拉链华夫格针织套头运动衫")</f>
        <v>男式撞色拼布半拉链华夫格针织套头运动衫</v>
      </c>
      <c r="E440" s="1" t="str">
        <f>IFERROR(__xludf.DUMMYFUNCTION("CONCATENATE(GOOGLETRANSLATE(C440, ""en"", ""ko""))"),"남성용 콘트라스트 패치워크 하프 지퍼 와플 니트 풀오버 스웨트셔츠")</f>
        <v>남성용 콘트라스트 패치워크 하프 지퍼 와플 니트 풀오버 스웨트셔츠</v>
      </c>
      <c r="F440" s="1" t="str">
        <f>IFERROR(__xludf.DUMMYFUNCTION("CONCATENATE(GOOGLETRANSLATE(C440, ""en"", ""ja""))"),"メンズコントラストパッチワークハーフジップワッフルニットプルオーバースウェットシャツ")</f>
        <v>メンズコントラストパッチワークハーフジップワッフルニットプルオーバースウェットシャツ</v>
      </c>
    </row>
    <row r="441" ht="15.75" customHeight="1">
      <c r="A441" s="1">
        <v>1914.0</v>
      </c>
      <c r="B441" s="1" t="s">
        <v>381</v>
      </c>
      <c r="C441" s="1" t="s">
        <v>431</v>
      </c>
      <c r="D441" s="1" t="str">
        <f>IFERROR(__xludf.DUMMYFUNCTION("CONCATENATE(GOOGLETRANSLATE(C441, ""en"", ""zh-cn""))"),"男士字母印花翻盖休闲抽绳连帽衫")</f>
        <v>男士字母印花翻盖休闲抽绳连帽衫</v>
      </c>
      <c r="E441" s="1" t="str">
        <f>IFERROR(__xludf.DUMMYFUNCTION("CONCATENATE(GOOGLETRANSLATE(C441, ""en"", ""ko""))"),"남성용 레터 프린트 플랩 포켓 캐주얼 드로스트링 후드티")</f>
        <v>남성용 레터 프린트 플랩 포켓 캐주얼 드로스트링 후드티</v>
      </c>
      <c r="F441" s="1" t="str">
        <f>IFERROR(__xludf.DUMMYFUNCTION("CONCATENATE(GOOGLETRANSLATE(C441, ""en"", ""ja""))"),"メンズレタープリントフラップポケットカジュアル巾着パーカー")</f>
        <v>メンズレタープリントフラップポケットカジュアル巾着パーカー</v>
      </c>
    </row>
    <row r="442" ht="15.75" customHeight="1">
      <c r="A442" s="1">
        <v>1915.0</v>
      </c>
      <c r="B442" s="1" t="s">
        <v>381</v>
      </c>
      <c r="C442" s="1" t="s">
        <v>432</v>
      </c>
      <c r="D442" s="1" t="str">
        <f>IFERROR(__xludf.DUMMYFUNCTION("CONCATENATE(GOOGLETRANSLATE(C442, ""en"", ""zh-cn""))"),"男士撞色胸袋圆领休闲套头运动衫")</f>
        <v>男士撞色胸袋圆领休闲套头运动衫</v>
      </c>
      <c r="E442" s="1" t="str">
        <f>IFERROR(__xludf.DUMMYFUNCTION("CONCATENATE(GOOGLETRANSLATE(C442, ""en"", ""ko""))"),"남성용 대비 가슴 포켓 크루넥 캐주얼 풀오버 스웨트셔츠")</f>
        <v>남성용 대비 가슴 포켓 크루넥 캐주얼 풀오버 스웨트셔츠</v>
      </c>
      <c r="F442" s="1" t="str">
        <f>IFERROR(__xludf.DUMMYFUNCTION("CONCATENATE(GOOGLETRANSLATE(C442, ""en"", ""ja""))"),"メンズコントラスト胸ポケットクルーネックカジュアルプルオーバースウェットシャツ")</f>
        <v>メンズコントラスト胸ポケットクルーネックカジュアルプルオーバースウェットシャツ</v>
      </c>
    </row>
    <row r="443" ht="15.75" customHeight="1">
      <c r="A443" s="1">
        <v>1916.0</v>
      </c>
      <c r="B443" s="1" t="s">
        <v>381</v>
      </c>
      <c r="C443" s="1" t="s">
        <v>433</v>
      </c>
      <c r="D443" s="1" t="str">
        <f>IFERROR(__xludf.DUMMYFUNCTION("CONCATENATE(GOOGLETRANSLATE(C443, ""en"", ""zh-cn""))"),"男式微笑民族几何印花拼布圆领套头运动衫")</f>
        <v>男式微笑民族几何印花拼布圆领套头运动衫</v>
      </c>
      <c r="E443" s="1" t="str">
        <f>IFERROR(__xludf.DUMMYFUNCTION("CONCATENATE(GOOGLETRANSLATE(C443, ""en"", ""ko""))"),"남성용 스마일 에스닉 기하학 프린트 패치워크 크루넥 풀오버 스웨트셔츠")</f>
        <v>남성용 스마일 에스닉 기하학 프린트 패치워크 크루넥 풀오버 스웨트셔츠</v>
      </c>
      <c r="F443" s="1" t="str">
        <f>IFERROR(__xludf.DUMMYFUNCTION("CONCATENATE(GOOGLETRANSLATE(C443, ""en"", ""ja""))"),"メンズスマイルエスニック幾何学プリントパッチワーククルーネックプルオーバースウェットシャツ")</f>
        <v>メンズスマイルエスニック幾何学プリントパッチワーククルーネックプルオーバースウェットシャツ</v>
      </c>
    </row>
    <row r="444" ht="15.75" customHeight="1">
      <c r="A444" s="1">
        <v>1917.0</v>
      </c>
      <c r="B444" s="1" t="s">
        <v>381</v>
      </c>
      <c r="C444" s="1" t="s">
        <v>434</v>
      </c>
      <c r="D444" s="1" t="str">
        <f>IFERROR(__xludf.DUMMYFUNCTION("CONCATENATE(GOOGLETRANSLATE(C444, ""en"", ""zh-cn""))"),"男式日本樱花印花撞色拼布抽绳连帽衫")</f>
        <v>男式日本樱花印花撞色拼布抽绳连帽衫</v>
      </c>
      <c r="E444" s="1" t="str">
        <f>IFERROR(__xludf.DUMMYFUNCTION("CONCATENATE(GOOGLETRANSLATE(C444, ""en"", ""ko""))"),"남성용 일본 벚꽃 프린트 대비 패치워크 드로스트링 후드티")</f>
        <v>남성용 일본 벚꽃 프린트 대비 패치워크 드로스트링 후드티</v>
      </c>
      <c r="F444" s="1" t="str">
        <f>IFERROR(__xludf.DUMMYFUNCTION("CONCATENATE(GOOGLETRANSLATE(C444, ""en"", ""ja""))"),"メンズ日本の桜プリントコントラストパッチワーク巾着パーカー")</f>
        <v>メンズ日本の桜プリントコントラストパッチワーク巾着パーカー</v>
      </c>
    </row>
    <row r="445" ht="15.75" customHeight="1">
      <c r="A445" s="1">
        <v>1918.0</v>
      </c>
      <c r="B445" s="1" t="s">
        <v>381</v>
      </c>
      <c r="C445" s="1" t="s">
        <v>435</v>
      </c>
      <c r="D445" s="1" t="str">
        <f>IFERROR(__xludf.DUMMYFUNCTION("CONCATENATE(GOOGLETRANSLATE(C445, ""en"", ""zh-cn""))"),"男式卡通动物印花拼布休闲抽绳连帽衫")</f>
        <v>男式卡通动物印花拼布休闲抽绳连帽衫</v>
      </c>
      <c r="E445" s="1" t="str">
        <f>IFERROR(__xludf.DUMMYFUNCTION("CONCATENATE(GOOGLETRANSLATE(C445, ""en"", ""ko""))"),"남성용 만화 동물 프린트 패치워크 캐주얼 드로스트링 후드티")</f>
        <v>남성용 만화 동물 프린트 패치워크 캐주얼 드로스트링 후드티</v>
      </c>
      <c r="F445" s="1" t="str">
        <f>IFERROR(__xludf.DUMMYFUNCTION("CONCATENATE(GOOGLETRANSLATE(C445, ""en"", ""ja""))"),"メンズ漫画アニマルプリントパッチワークカジュアル巾着パーカー")</f>
        <v>メンズ漫画アニマルプリントパッチワークカジュアル巾着パーカー</v>
      </c>
    </row>
    <row r="446" ht="15.75" customHeight="1">
      <c r="A446" s="1">
        <v>1919.0</v>
      </c>
      <c r="B446" s="1" t="s">
        <v>381</v>
      </c>
      <c r="C446" s="1" t="s">
        <v>436</v>
      </c>
      <c r="D446" s="1" t="str">
        <f>IFERROR(__xludf.DUMMYFUNCTION("CONCATENATE(GOOGLETRANSLATE(C446, ""en"", ""zh-cn""))"),"男式纹理撞色拼布半拉链套头运动衫")</f>
        <v>男式纹理撞色拼布半拉链套头运动衫</v>
      </c>
      <c r="E446" s="1" t="str">
        <f>IFERROR(__xludf.DUMMYFUNCTION("CONCATENATE(GOOGLETRANSLATE(C446, ""en"", ""ko""))"),"남성용 텍스처 대비 패치워크 하프 지퍼 풀오버 ​​스웨트셔츠")</f>
        <v>남성용 텍스처 대비 패치워크 하프 지퍼 풀오버 ​​스웨트셔츠</v>
      </c>
      <c r="F446" s="1" t="str">
        <f>IFERROR(__xludf.DUMMYFUNCTION("CONCATENATE(GOOGLETRANSLATE(C446, ""en"", ""ja""))"),"メンズテクスチャコントラストパッチワークハーフジッププルオーバースウェットシャツ")</f>
        <v>メンズテクスチャコントラストパッチワークハーフジッププルオーバースウェットシャツ</v>
      </c>
    </row>
    <row r="447" ht="15.75" customHeight="1">
      <c r="A447" s="1">
        <v>1920.0</v>
      </c>
      <c r="B447" s="1" t="s">
        <v>381</v>
      </c>
      <c r="C447" s="1" t="s">
        <v>437</v>
      </c>
      <c r="D447" s="1" t="str">
        <f>IFERROR(__xludf.DUMMYFUNCTION("CONCATENATE(GOOGLETRANSLATE(C447, ""en"", ""zh-cn""))"),"男式纯色袋鼠口袋撞色抽绳休闲连帽衫")</f>
        <v>男式纯色袋鼠口袋撞色抽绳休闲连帽衫</v>
      </c>
      <c r="E447" s="1" t="str">
        <f>IFERROR(__xludf.DUMMYFUNCTION("CONCATENATE(GOOGLETRANSLATE(C447, ""en"", ""ko""))"),"남성용 솔리드 캥거루 포켓 대비색 드로스트링 캐주얼 후드티")</f>
        <v>남성용 솔리드 캥거루 포켓 대비색 드로스트링 캐주얼 후드티</v>
      </c>
      <c r="F447" s="1" t="str">
        <f>IFERROR(__xludf.DUMMYFUNCTION("CONCATENATE(GOOGLETRANSLATE(C447, ""en"", ""ja""))"),"メンズソリッドカンガルーポケットコントラスト巾着カジュアルパーカー")</f>
        <v>メンズソリッドカンガルーポケットコントラスト巾着カジュアルパーカー</v>
      </c>
    </row>
    <row r="448" ht="15.75" customHeight="1">
      <c r="A448" s="1">
        <v>1921.0</v>
      </c>
      <c r="B448" s="1" t="s">
        <v>381</v>
      </c>
      <c r="C448" s="1" t="s">
        <v>438</v>
      </c>
      <c r="D448" s="1" t="str">
        <f>IFERROR(__xludf.DUMMYFUNCTION("CONCATENATE(GOOGLETRANSLATE(C448, ""en"", ""zh-cn""))"),"男式民族几何印花拼布撞色袋鼠口袋连帽衫")</f>
        <v>男式民族几何印花拼布撞色袋鼠口袋连帽衫</v>
      </c>
      <c r="E448" s="1" t="str">
        <f>IFERROR(__xludf.DUMMYFUNCTION("CONCATENATE(GOOGLETRANSLATE(C448, ""en"", ""ko""))"),"남성용 에스닉 기하학 프린트 패치워크 대비 캥거루 포켓 후드티")</f>
        <v>남성용 에스닉 기하학 프린트 패치워크 대비 캥거루 포켓 후드티</v>
      </c>
      <c r="F448" s="1" t="str">
        <f>IFERROR(__xludf.DUMMYFUNCTION("CONCATENATE(GOOGLETRANSLATE(C448, ""en"", ""ja""))"),"メンズエスニック幾何学プリントパッチワークコントラストカンガルーポケットパーカー")</f>
        <v>メンズエスニック幾何学プリントパッチワークコントラストカンガルーポケットパーカー</v>
      </c>
    </row>
    <row r="449" ht="15.75" customHeight="1">
      <c r="A449" s="1">
        <v>1922.0</v>
      </c>
      <c r="B449" s="1" t="s">
        <v>381</v>
      </c>
      <c r="C449" s="1" t="s">
        <v>439</v>
      </c>
      <c r="D449" s="1" t="str">
        <f>IFERROR(__xludf.DUMMYFUNCTION("CONCATENATE(GOOGLETRANSLATE(C449, ""en"", ""zh-cn""))"),"男士报纸印花拼布圆领套头运动衫")</f>
        <v>男士报纸印花拼布圆领套头运动衫</v>
      </c>
      <c r="E449" s="1" t="str">
        <f>IFERROR(__xludf.DUMMYFUNCTION("CONCATENATE(GOOGLETRANSLATE(C449, ""en"", ""ko""))"),"남성용 신문 프린트 패치워크 크루넥 풀오버 스웨트셔츠")</f>
        <v>남성용 신문 프린트 패치워크 크루넥 풀오버 스웨트셔츠</v>
      </c>
      <c r="F449" s="1" t="str">
        <f>IFERROR(__xludf.DUMMYFUNCTION("CONCATENATE(GOOGLETRANSLATE(C449, ""en"", ""ja""))"),"メンズ新聞プリント パッチワーク クルーネック プルオーバー スウェットシャツ")</f>
        <v>メンズ新聞プリント パッチワーク クルーネック プルオーバー スウェットシャツ</v>
      </c>
    </row>
    <row r="450" ht="15.75" customHeight="1">
      <c r="A450" s="1">
        <v>1923.0</v>
      </c>
      <c r="B450" s="1" t="s">
        <v>381</v>
      </c>
      <c r="C450" s="1" t="s">
        <v>440</v>
      </c>
      <c r="D450" s="1" t="str">
        <f>IFERROR(__xludf.DUMMYFUNCTION("CONCATENATE(GOOGLETRANSLATE(C450, ""en"", ""zh-cn""))"),"男式彩色渐变条纹圆领套头运动衫")</f>
        <v>男式彩色渐变条纹圆领套头运动衫</v>
      </c>
      <c r="E450" s="1" t="str">
        <f>IFERROR(__xludf.DUMMYFUNCTION("CONCATENATE(GOOGLETRANSLATE(C450, ""en"", ""ko""))"),"남성용 컬러풀 옴브레 스트라이프 크루넥 풀오버 스웨트셔츠")</f>
        <v>남성용 컬러풀 옴브레 스트라이프 크루넥 풀오버 스웨트셔츠</v>
      </c>
      <c r="F450" s="1" t="str">
        <f>IFERROR(__xludf.DUMMYFUNCTION("CONCATENATE(GOOGLETRANSLATE(C450, ""en"", ""ja""))"),"メンズカラフルなオンブルストライプクルーネックプルオーバースウェットシャツ")</f>
        <v>メンズカラフルなオンブルストライプクルーネックプルオーバースウェットシャツ</v>
      </c>
    </row>
    <row r="451" ht="15.75" customHeight="1">
      <c r="A451" s="1">
        <v>1924.0</v>
      </c>
      <c r="B451" s="1" t="s">
        <v>381</v>
      </c>
      <c r="C451" s="1" t="s">
        <v>441</v>
      </c>
      <c r="D451" s="1" t="str">
        <f>IFERROR(__xludf.DUMMYFUNCTION("CONCATENATE(GOOGLETRANSLATE(C451, ""en"", ""zh-cn""))"),"男士微笑印花两色拼布套头运动衫")</f>
        <v>男士微笑印花两色拼布套头运动衫</v>
      </c>
      <c r="E451" s="1" t="str">
        <f>IFERROR(__xludf.DUMMYFUNCTION("CONCATENATE(GOOGLETRANSLATE(C451, ""en"", ""ko""))"),"남성용 스마일 프린트 투톤 패치워크 풀오버 스웨트셔츠")</f>
        <v>남성용 스마일 프린트 투톤 패치워크 풀오버 스웨트셔츠</v>
      </c>
      <c r="F451" s="1" t="str">
        <f>IFERROR(__xludf.DUMMYFUNCTION("CONCATENATE(GOOGLETRANSLATE(C451, ""en"", ""ja""))"),"メンズスマイルプリントツートーンパッチワークプルオーバースウェットシャツ")</f>
        <v>メンズスマイルプリントツートーンパッチワークプルオーバースウェットシャツ</v>
      </c>
    </row>
    <row r="452" ht="15.75" customHeight="1">
      <c r="A452" s="1">
        <v>1925.0</v>
      </c>
      <c r="B452" s="1" t="s">
        <v>381</v>
      </c>
      <c r="C452" s="1" t="s">
        <v>442</v>
      </c>
      <c r="D452" s="1" t="str">
        <f>IFERROR(__xludf.DUMMYFUNCTION("CONCATENATE(GOOGLETRANSLATE(C452, ""en"", ""zh-cn""))"),"男式笑脸刺绣拼布袋鼠口袋抽绳连帽衫")</f>
        <v>男式笑脸刺绣拼布袋鼠口袋抽绳连帽衫</v>
      </c>
      <c r="E452" s="1" t="str">
        <f>IFERROR(__xludf.DUMMYFUNCTION("CONCATENATE(GOOGLETRANSLATE(C452, ""en"", ""ko""))"),"남성용 스마일 페이스 자수 패치워크 캥거루 포켓 드로스트링 후드티")</f>
        <v>남성용 스마일 페이스 자수 패치워크 캥거루 포켓 드로스트링 후드티</v>
      </c>
      <c r="F452" s="1" t="str">
        <f>IFERROR(__xludf.DUMMYFUNCTION("CONCATENATE(GOOGLETRANSLATE(C452, ""en"", ""ja""))"),"メンズスマイルフェイス刺繍パッチワークカンガルーポケット巾着パーカー")</f>
        <v>メンズスマイルフェイス刺繍パッチワークカンガルーポケット巾着パーカー</v>
      </c>
    </row>
    <row r="453" ht="15.75" customHeight="1">
      <c r="A453" s="1">
        <v>1926.0</v>
      </c>
      <c r="B453" s="1" t="s">
        <v>381</v>
      </c>
      <c r="C453" s="1" t="s">
        <v>443</v>
      </c>
      <c r="D453" s="1" t="str">
        <f>IFERROR(__xludf.DUMMYFUNCTION("CONCATENATE(GOOGLETRANSLATE(C453, ""en"", ""zh-cn""))"),"男式微笑民族部落图案拼布套头运动衫")</f>
        <v>男式微笑民族部落图案拼布套头运动衫</v>
      </c>
      <c r="E453" s="1" t="str">
        <f>IFERROR(__xludf.DUMMYFUNCTION("CONCATENATE(GOOGLETRANSLATE(C453, ""en"", ""ko""))"),"남성용 스마일 에스닉 트라이벌 패턴 패치워크 풀오버 스웨트셔츠")</f>
        <v>남성용 스마일 에스닉 트라이벌 패턴 패치워크 풀오버 스웨트셔츠</v>
      </c>
      <c r="F453" s="1" t="str">
        <f>IFERROR(__xludf.DUMMYFUNCTION("CONCATENATE(GOOGLETRANSLATE(C453, ""en"", ""ja""))"),"メンズスマイルエスニックトライバルパターンパッチワークプルオーバースウェットシャツ")</f>
        <v>メンズスマイルエスニックトライバルパターンパッチワークプルオーバースウェットシャツ</v>
      </c>
    </row>
    <row r="454" ht="15.75" customHeight="1">
      <c r="A454" s="1">
        <v>1927.0</v>
      </c>
      <c r="B454" s="1" t="s">
        <v>381</v>
      </c>
      <c r="C454" s="1" t="s">
        <v>444</v>
      </c>
      <c r="D454" s="1" t="str">
        <f>IFERROR(__xludf.DUMMYFUNCTION("CONCATENATE(GOOGLETRANSLATE(C454, ""en"", ""zh-cn""))"),"男式侧条纹拼布半拉链灯芯绒套头运动衫")</f>
        <v>男式侧条纹拼布半拉链灯芯绒套头运动衫</v>
      </c>
      <c r="E454" s="1" t="str">
        <f>IFERROR(__xludf.DUMMYFUNCTION("CONCATENATE(GOOGLETRANSLATE(C454, ""en"", ""ko""))"),"남성용 사이드 스트라이프 패치워크 하프 지퍼 코듀로이 풀오버 스웨트셔츠")</f>
        <v>남성용 사이드 스트라이프 패치워크 하프 지퍼 코듀로이 풀오버 스웨트셔츠</v>
      </c>
      <c r="F454" s="1" t="str">
        <f>IFERROR(__xludf.DUMMYFUNCTION("CONCATENATE(GOOGLETRANSLATE(C454, ""en"", ""ja""))"),"メンズサイドストライプパッチワークハーフジップコーデュロイプルオーバースウェットシャツ")</f>
        <v>メンズサイドストライプパッチワークハーフジップコーデュロイプルオーバースウェットシャツ</v>
      </c>
    </row>
    <row r="455" ht="15.75" customHeight="1">
      <c r="A455" s="1">
        <v>1928.0</v>
      </c>
      <c r="B455" s="1" t="s">
        <v>381</v>
      </c>
      <c r="C455" s="1" t="s">
        <v>445</v>
      </c>
      <c r="D455" s="1" t="str">
        <f>IFERROR(__xludf.DUMMYFUNCTION("CONCATENATE(GOOGLETRANSLATE(C455, ""en"", ""zh-cn""))"),"男式中国书法竹子印花拼布抽绳连帽衫")</f>
        <v>男式中国书法竹子印花拼布抽绳连帽衫</v>
      </c>
      <c r="E455" s="1" t="str">
        <f>IFERROR(__xludf.DUMMYFUNCTION("CONCATENATE(GOOGLETRANSLATE(C455, ""en"", ""ko""))"),"남성용 중국 서예 대나무 프린트 패치워크 졸라매는 끈 후드티")</f>
        <v>남성용 중국 서예 대나무 프린트 패치워크 졸라매는 끈 후드티</v>
      </c>
      <c r="F455" s="1" t="str">
        <f>IFERROR(__xludf.DUMMYFUNCTION("CONCATENATE(GOOGLETRANSLATE(C455, ""en"", ""ja""))"),"メンズ中国書道竹プリントパッチワーク巾着パーカー")</f>
        <v>メンズ中国書道竹プリントパッチワーク巾着パーカー</v>
      </c>
    </row>
    <row r="456" ht="15.75" customHeight="1">
      <c r="A456" s="1">
        <v>1929.0</v>
      </c>
      <c r="B456" s="1" t="s">
        <v>381</v>
      </c>
      <c r="C456" s="1" t="s">
        <v>446</v>
      </c>
      <c r="D456" s="1" t="str">
        <f>IFERROR(__xludf.DUMMYFUNCTION("CONCATENATE(GOOGLETRANSLATE(C456, ""en"", ""zh-cn""))"),"男士撞色袋鼠口袋宽松休闲抽绳连帽衫")</f>
        <v>男士撞色袋鼠口袋宽松休闲抽绳连帽衫</v>
      </c>
      <c r="E456" s="1" t="str">
        <f>IFERROR(__xludf.DUMMYFUNCTION("CONCATENATE(GOOGLETRANSLATE(C456, ""en"", ""ko""))"),"남성용 대비 캥거루 포켓 루즈 캐주얼 드로스트링 후드티")</f>
        <v>남성용 대비 캥거루 포켓 루즈 캐주얼 드로스트링 후드티</v>
      </c>
      <c r="F456" s="1" t="str">
        <f>IFERROR(__xludf.DUMMYFUNCTION("CONCATENATE(GOOGLETRANSLATE(C456, ""en"", ""ja""))"),"メンズコントラストカンガルーポケットルーズカジュアル巾着パーカー")</f>
        <v>メンズコントラストカンガルーポケットルーズカジュアル巾着パーカー</v>
      </c>
    </row>
    <row r="457" ht="15.75" customHeight="1">
      <c r="A457" s="1">
        <v>1930.0</v>
      </c>
      <c r="B457" s="1" t="s">
        <v>381</v>
      </c>
      <c r="C457" s="1" t="s">
        <v>447</v>
      </c>
      <c r="D457" s="1" t="str">
        <f>IFERROR(__xludf.DUMMYFUNCTION("CONCATENATE(GOOGLETRANSLATE(C457, ""en"", ""zh-cn""))"),"男式日本人物印花拼布圆领套头运动衫")</f>
        <v>男式日本人物印花拼布圆领套头运动衫</v>
      </c>
      <c r="E457" s="1" t="str">
        <f>IFERROR(__xludf.DUMMYFUNCTION("CONCATENATE(GOOGLETRANSLATE(C457, ""en"", ""ko""))"),"남성용 일본어 캐릭터 프린트 패치워크 크루넥 풀오버 스웨트셔츠")</f>
        <v>남성용 일본어 캐릭터 프린트 패치워크 크루넥 풀오버 스웨트셔츠</v>
      </c>
      <c r="F457" s="1" t="str">
        <f>IFERROR(__xludf.DUMMYFUNCTION("CONCATENATE(GOOGLETRANSLATE(C457, ""en"", ""ja""))"),"メンズ日本語文字プリントパッチワーククルーネックプルオーバースウェットシャツ")</f>
        <v>メンズ日本語文字プリントパッチワーククルーネックプルオーバースウェットシャツ</v>
      </c>
    </row>
    <row r="458" ht="15.75" customHeight="1">
      <c r="A458" s="1">
        <v>1931.0</v>
      </c>
      <c r="B458" s="1" t="s">
        <v>381</v>
      </c>
      <c r="C458" s="1" t="s">
        <v>448</v>
      </c>
      <c r="D458" s="1" t="str">
        <f>IFERROR(__xludf.DUMMYFUNCTION("CONCATENATE(GOOGLETRANSLATE(C458, ""en"", ""zh-cn""))"),"男式日本印花色块拼布套头运动衫")</f>
        <v>男式日本印花色块拼布套头运动衫</v>
      </c>
      <c r="E458" s="1" t="str">
        <f>IFERROR(__xludf.DUMMYFUNCTION("CONCATENATE(GOOGLETRANSLATE(C458, ""en"", ""ko""))"),"남성용 일본식 프린트 컬러 블록 패치워크 풀오버 스웨트셔츠")</f>
        <v>남성용 일본식 프린트 컬러 블록 패치워크 풀오버 스웨트셔츠</v>
      </c>
      <c r="F458" s="1" t="str">
        <f>IFERROR(__xludf.DUMMYFUNCTION("CONCATENATE(GOOGLETRANSLATE(C458, ""en"", ""ja""))"),"メンズ日本のプリントカラーブロックパッチワークプルオーバースウェットシャツ")</f>
        <v>メンズ日本のプリントカラーブロックパッチワークプルオーバースウェットシャツ</v>
      </c>
    </row>
    <row r="459" ht="15.75" customHeight="1">
      <c r="A459" s="1">
        <v>1932.0</v>
      </c>
      <c r="B459" s="1" t="s">
        <v>381</v>
      </c>
      <c r="C459" s="1" t="s">
        <v>449</v>
      </c>
      <c r="D459" s="1" t="str">
        <f>IFERROR(__xludf.DUMMYFUNCTION("CONCATENATE(GOOGLETRANSLATE(C459, ""en"", ""zh-cn""))"),"男式拼色袋鼠口袋休闲抽绳连帽衫")</f>
        <v>男式拼色袋鼠口袋休闲抽绳连帽衫</v>
      </c>
      <c r="E459" s="1" t="str">
        <f>IFERROR(__xludf.DUMMYFUNCTION("CONCATENATE(GOOGLETRANSLATE(C459, ""en"", ""ko""))"),"남성용 컬러 블록 패치워크 캥거루 포켓 캐주얼 드로스트링 후드티")</f>
        <v>남성용 컬러 블록 패치워크 캥거루 포켓 캐주얼 드로스트링 후드티</v>
      </c>
      <c r="F459" s="1" t="str">
        <f>IFERROR(__xludf.DUMMYFUNCTION("CONCATENATE(GOOGLETRANSLATE(C459, ""en"", ""ja""))"),"メンズカラーブロックパッチワークカンガルーポケットカジュアル巾着パーカー")</f>
        <v>メンズカラーブロックパッチワークカンガルーポケットカジュアル巾着パーカー</v>
      </c>
    </row>
    <row r="460" ht="15.75" customHeight="1">
      <c r="A460" s="1">
        <v>1933.0</v>
      </c>
      <c r="B460" s="1" t="s">
        <v>381</v>
      </c>
      <c r="C460" s="1" t="s">
        <v>450</v>
      </c>
      <c r="D460" s="1" t="str">
        <f>IFERROR(__xludf.DUMMYFUNCTION("CONCATENATE(GOOGLETRANSLATE(C460, ""en"", ""zh-cn""))"),"男士中国风山水印花圆领套头卫衣")</f>
        <v>男士中国风山水印花圆领套头卫衣</v>
      </c>
      <c r="E460" s="1" t="str">
        <f>IFERROR(__xludf.DUMMYFUNCTION("CONCATENATE(GOOGLETRANSLATE(C460, ""en"", ""ko""))"),"남성용 중국 스타일 풍경 프린트 크루넥 풀오버 스웨트셔츠")</f>
        <v>남성용 중국 스타일 풍경 프린트 크루넥 풀오버 스웨트셔츠</v>
      </c>
      <c r="F460" s="1" t="str">
        <f>IFERROR(__xludf.DUMMYFUNCTION("CONCATENATE(GOOGLETRANSLATE(C460, ""en"", ""ja""))"),"メンズ中国風の風景プリントクルーネックプルオーバースウェットシャツ")</f>
        <v>メンズ中国風の風景プリントクルーネックプルオーバースウェットシャツ</v>
      </c>
    </row>
    <row r="461" ht="15.75" customHeight="1">
      <c r="A461" s="1">
        <v>1934.0</v>
      </c>
      <c r="B461" s="1" t="s">
        <v>381</v>
      </c>
      <c r="C461" s="1" t="s">
        <v>451</v>
      </c>
      <c r="D461" s="1" t="str">
        <f>IFERROR(__xludf.DUMMYFUNCTION("CONCATENATE(GOOGLETRANSLATE(C461, ""en"", ""zh-cn""))"),"男士水墨山水印花圆领套头运动衫")</f>
        <v>男士水墨山水印花圆领套头运动衫</v>
      </c>
      <c r="E461" s="1" t="str">
        <f>IFERROR(__xludf.DUMMYFUNCTION("CONCATENATE(GOOGLETRANSLATE(C461, ""en"", ""ko""))"),"남성용 중국어 잉크 풍경 프린트 크루넥 풀오버 스웨트셔츠")</f>
        <v>남성용 중국어 잉크 풍경 프린트 크루넥 풀오버 스웨트셔츠</v>
      </c>
      <c r="F461" s="1" t="str">
        <f>IFERROR(__xludf.DUMMYFUNCTION("CONCATENATE(GOOGLETRANSLATE(C461, ""en"", ""ja""))"),"メンズ中国水墨風景プリント クルーネック プルオーバー スウェットシャツ")</f>
        <v>メンズ中国水墨風景プリント クルーネック プルオーバー スウェットシャツ</v>
      </c>
    </row>
    <row r="462" ht="15.75" customHeight="1">
      <c r="A462" s="1">
        <v>1935.0</v>
      </c>
      <c r="B462" s="1" t="s">
        <v>381</v>
      </c>
      <c r="C462" s="1" t="s">
        <v>452</v>
      </c>
      <c r="D462" s="1" t="str">
        <f>IFERROR(__xludf.DUMMYFUNCTION("CONCATENATE(GOOGLETRANSLATE(C462, ""en"", ""zh-cn""))"),"男式纯色灯芯绒袋鼠口袋休闲抽绳连帽衫")</f>
        <v>男式纯色灯芯绒袋鼠口袋休闲抽绳连帽衫</v>
      </c>
      <c r="E462" s="1" t="str">
        <f>IFERROR(__xludf.DUMMYFUNCTION("CONCATENATE(GOOGLETRANSLATE(C462, ""en"", ""ko""))"),"남성용 솔리드 코듀로이 캥거루 포켓 캐주얼 드로스트링 후드티")</f>
        <v>남성용 솔리드 코듀로이 캥거루 포켓 캐주얼 드로스트링 후드티</v>
      </c>
      <c r="F462" s="1" t="str">
        <f>IFERROR(__xludf.DUMMYFUNCTION("CONCATENATE(GOOGLETRANSLATE(C462, ""en"", ""ja""))"),"メンズソリッドコーデュロイカンガルーポケットカジュアル巾着パーカー")</f>
        <v>メンズソリッドコーデュロイカンガルーポケットカジュアル巾着パーカー</v>
      </c>
    </row>
    <row r="463" ht="15.75" customHeight="1">
      <c r="A463" s="1">
        <v>1936.0</v>
      </c>
      <c r="B463" s="1" t="s">
        <v>381</v>
      </c>
      <c r="C463" s="1" t="s">
        <v>410</v>
      </c>
      <c r="D463" s="1" t="str">
        <f>IFERROR(__xludf.DUMMYFUNCTION("CONCATENATE(GOOGLETRANSLATE(C463, ""en"", ""zh-cn""))"),"男士拼色圆领宽松套头运动衫")</f>
        <v>男士拼色圆领宽松套头运动衫</v>
      </c>
      <c r="E463" s="1" t="str">
        <f>IFERROR(__xludf.DUMMYFUNCTION("CONCATENATE(GOOGLETRANSLATE(C463, ""en"", ""ko""))"),"남성용 컬러 블록 패치워크 크루넥 루즈 풀오버 스웨트셔츠")</f>
        <v>남성용 컬러 블록 패치워크 크루넥 루즈 풀오버 스웨트셔츠</v>
      </c>
      <c r="F463" s="1" t="str">
        <f>IFERROR(__xludf.DUMMYFUNCTION("CONCATENATE(GOOGLETRANSLATE(C463, ""en"", ""ja""))"),"メンズカラーブロックパッチワーククルーネックルーズプルオーバースウェットシャツ")</f>
        <v>メンズカラーブロックパッチワーククルーネックルーズプルオーバースウェットシャツ</v>
      </c>
    </row>
    <row r="464" ht="15.75" customHeight="1">
      <c r="A464" s="1">
        <v>1937.0</v>
      </c>
      <c r="B464" s="1" t="s">
        <v>381</v>
      </c>
      <c r="C464" s="1" t="s">
        <v>453</v>
      </c>
      <c r="D464" s="1" t="str">
        <f>IFERROR(__xludf.DUMMYFUNCTION("CONCATENATE(GOOGLETRANSLATE(C464, ""en"", ""zh-cn""))"),"男式日本波浪浮世绘印花圆领套头运动衫")</f>
        <v>男式日本波浪浮世绘印花圆领套头运动衫</v>
      </c>
      <c r="E464" s="1" t="str">
        <f>IFERROR(__xludf.DUMMYFUNCTION("CONCATENATE(GOOGLETRANSLATE(C464, ""en"", ""ko""))"),"남성용 일본식 웨이브 우키요에 프린트 크루넥 풀오버 스웨트셔츠")</f>
        <v>남성용 일본식 웨이브 우키요에 프린트 크루넥 풀오버 스웨트셔츠</v>
      </c>
      <c r="F464" s="1" t="str">
        <f>IFERROR(__xludf.DUMMYFUNCTION("CONCATENATE(GOOGLETRANSLATE(C464, ""en"", ""ja""))"),"メンズ日本の波浮世絵プリント クルーネック プルオーバー スウェットシャツ")</f>
        <v>メンズ日本の波浮世絵プリント クルーネック プルオーバー スウェットシャツ</v>
      </c>
    </row>
    <row r="465" ht="15.75" customHeight="1">
      <c r="A465" s="1">
        <v>1938.0</v>
      </c>
      <c r="B465" s="1" t="s">
        <v>381</v>
      </c>
      <c r="C465" s="1" t="s">
        <v>454</v>
      </c>
      <c r="D465" s="1" t="str">
        <f>IFERROR(__xludf.DUMMYFUNCTION("CONCATENATE(GOOGLETRANSLATE(C465, ""en"", ""zh-cn""))"),"男士纯色圆领休闲宽松套头运动衫")</f>
        <v>男士纯色圆领休闲宽松套头运动衫</v>
      </c>
      <c r="E465" s="1" t="str">
        <f>IFERROR(__xludf.DUMMYFUNCTION("CONCATENATE(GOOGLETRANSLATE(C465, ""en"", ""ko""))"),"남성용 솔리드 크루넥 캐주얼 루즈 풀오버 스웨트셔츠")</f>
        <v>남성용 솔리드 크루넥 캐주얼 루즈 풀오버 스웨트셔츠</v>
      </c>
      <c r="F465" s="1" t="str">
        <f>IFERROR(__xludf.DUMMYFUNCTION("CONCATENATE(GOOGLETRANSLATE(C465, ""en"", ""ja""))"),"メンズソリッドクルーネックカジュアルルーズプルオーバースウェットシャツ")</f>
        <v>メンズソリッドクルーネックカジュアルルーズプルオーバースウェットシャツ</v>
      </c>
    </row>
    <row r="466" ht="15.75" customHeight="1">
      <c r="A466" s="1">
        <v>1939.0</v>
      </c>
      <c r="B466" s="1" t="s">
        <v>381</v>
      </c>
      <c r="C466" s="1" t="s">
        <v>455</v>
      </c>
      <c r="D466" s="1" t="str">
        <f>IFERROR(__xludf.DUMMYFUNCTION("CONCATENATE(GOOGLETRANSLATE(C466, ""en"", ""zh-cn""))"),"男式日本猫印花撞色拼布抽绳连帽衫")</f>
        <v>男式日本猫印花撞色拼布抽绳连帽衫</v>
      </c>
      <c r="E466" s="1" t="str">
        <f>IFERROR(__xludf.DUMMYFUNCTION("CONCATENATE(GOOGLETRANSLATE(C466, ""en"", ""ko""))"),"남성용 일본 고양이 프린트 대비 패치워크 드로스트링 후드")</f>
        <v>남성용 일본 고양이 프린트 대비 패치워크 드로스트링 후드</v>
      </c>
      <c r="F466" s="1" t="str">
        <f>IFERROR(__xludf.DUMMYFUNCTION("CONCATENATE(GOOGLETRANSLATE(C466, ""en"", ""ja""))"),"メンズ日本の猫プリントコントラストパッチワーク巾着パーカー")</f>
        <v>メンズ日本の猫プリントコントラストパッチワーク巾着パーカー</v>
      </c>
    </row>
    <row r="467" ht="15.75" customHeight="1">
      <c r="A467" s="1">
        <v>1940.0</v>
      </c>
      <c r="B467" s="1" t="s">
        <v>381</v>
      </c>
      <c r="C467" s="1" t="s">
        <v>456</v>
      </c>
      <c r="D467" s="1" t="str">
        <f>IFERROR(__xludf.DUMMYFUNCTION("CONCATENATE(GOOGLETRANSLATE(C467, ""en"", ""zh-cn""))"),"男式卡通猫印花拼布宽松抽绳连帽衫")</f>
        <v>男式卡通猫印花拼布宽松抽绳连帽衫</v>
      </c>
      <c r="E467" s="1" t="str">
        <f>IFERROR(__xludf.DUMMYFUNCTION("CONCATENATE(GOOGLETRANSLATE(C467, ""en"", ""ko""))"),"남성용 카툰 고양이 프린트 패치워크 루즈한 드로스트링 후드티")</f>
        <v>남성용 카툰 고양이 프린트 패치워크 루즈한 드로스트링 후드티</v>
      </c>
      <c r="F467" s="1" t="str">
        <f>IFERROR(__xludf.DUMMYFUNCTION("CONCATENATE(GOOGLETRANSLATE(C467, ""en"", ""ja""))"),"メンズ漫画猫プリントパッチワークルーズ巾着パーカー")</f>
        <v>メンズ漫画猫プリントパッチワークルーズ巾着パーカー</v>
      </c>
    </row>
    <row r="468" ht="15.75" customHeight="1">
      <c r="A468" s="1">
        <v>1941.0</v>
      </c>
      <c r="B468" s="1" t="s">
        <v>381</v>
      </c>
      <c r="C468" s="1" t="s">
        <v>410</v>
      </c>
      <c r="D468" s="1" t="str">
        <f>IFERROR(__xludf.DUMMYFUNCTION("CONCATENATE(GOOGLETRANSLATE(C468, ""en"", ""zh-cn""))"),"男士拼色圆领宽松套头运动衫")</f>
        <v>男士拼色圆领宽松套头运动衫</v>
      </c>
      <c r="E468" s="1" t="str">
        <f>IFERROR(__xludf.DUMMYFUNCTION("CONCATENATE(GOOGLETRANSLATE(C468, ""en"", ""ko""))"),"남성용 컬러 블록 패치워크 크루넥 루즈 풀오버 스웨트셔츠")</f>
        <v>남성용 컬러 블록 패치워크 크루넥 루즈 풀오버 스웨트셔츠</v>
      </c>
      <c r="F468" s="1" t="str">
        <f>IFERROR(__xludf.DUMMYFUNCTION("CONCATENATE(GOOGLETRANSLATE(C468, ""en"", ""ja""))"),"メンズカラーブロックパッチワーククルーネックルーズプルオーバースウェットシャツ")</f>
        <v>メンズカラーブロックパッチワーククルーネックルーズプルオーバースウェットシャツ</v>
      </c>
    </row>
    <row r="469" ht="15.75" customHeight="1">
      <c r="A469" s="1">
        <v>1942.0</v>
      </c>
      <c r="B469" s="1" t="s">
        <v>381</v>
      </c>
      <c r="C469" s="1" t="s">
        <v>457</v>
      </c>
      <c r="D469" s="1" t="str">
        <f>IFERROR(__xludf.DUMMYFUNCTION("CONCATENATE(GOOGLETRANSLATE(C469, ""en"", ""zh-cn""))"),"男士笑脸印花拼接圆领套头运动衫")</f>
        <v>男士笑脸印花拼接圆领套头运动衫</v>
      </c>
      <c r="E469" s="1" t="str">
        <f>IFERROR(__xludf.DUMMYFUNCTION("CONCATENATE(GOOGLETRANSLATE(C469, ""en"", ""ko""))"),"남성용 스마일 페이스 프린트 패치워크 크루넥 풀오버 스웨트셔츠")</f>
        <v>남성용 스마일 페이스 프린트 패치워크 크루넥 풀오버 스웨트셔츠</v>
      </c>
      <c r="F469" s="1" t="str">
        <f>IFERROR(__xludf.DUMMYFUNCTION("CONCATENATE(GOOGLETRANSLATE(C469, ""en"", ""ja""))"),"メンズスマイルフェイスプリントパッチワーククルーネックプルオーバースウェットシャツ")</f>
        <v>メンズスマイルフェイスプリントパッチワーククルーネックプルオーバースウェットシャツ</v>
      </c>
    </row>
    <row r="470" ht="15.75" customHeight="1">
      <c r="A470" s="1">
        <v>1943.0</v>
      </c>
      <c r="B470" s="1" t="s">
        <v>381</v>
      </c>
      <c r="C470" s="1" t="s">
        <v>458</v>
      </c>
      <c r="D470" s="1" t="str">
        <f>IFERROR(__xludf.DUMMYFUNCTION("CONCATENATE(GOOGLETRANSLATE(C470, ""en"", ""zh-cn""))"),"男式拼色抓绒宽松抽绳连帽衫")</f>
        <v>男式拼色抓绒宽松抽绳连帽衫</v>
      </c>
      <c r="E470" s="1" t="str">
        <f>IFERROR(__xludf.DUMMYFUNCTION("CONCATENATE(GOOGLETRANSLATE(C470, ""en"", ""ko""))"),"남성용 컬러 블록 패치워크 플리스 루즈 드로스트링 후드티")</f>
        <v>남성용 컬러 블록 패치워크 플리스 루즈 드로스트링 후드티</v>
      </c>
      <c r="F470" s="1" t="str">
        <f>IFERROR(__xludf.DUMMYFUNCTION("CONCATENATE(GOOGLETRANSLATE(C470, ""en"", ""ja""))"),"メンズ カラーブロック パッチワーク フリース ルーズ ドローストリング パーカー")</f>
        <v>メンズ カラーブロック パッチワーク フリース ルーズ ドローストリング パーカー</v>
      </c>
    </row>
    <row r="471" ht="15.75" customHeight="1">
      <c r="A471" s="1">
        <v>1944.0</v>
      </c>
      <c r="B471" s="1" t="s">
        <v>381</v>
      </c>
      <c r="C471" s="1" t="s">
        <v>459</v>
      </c>
      <c r="D471" s="1" t="str">
        <f>IFERROR(__xludf.DUMMYFUNCTION("CONCATENATE(GOOGLETRANSLATE(C471, ""en"", ""zh-cn""))"),"男士笑脸印花拼色套头运动衫")</f>
        <v>男士笑脸印花拼色套头运动衫</v>
      </c>
      <c r="E471" s="1" t="str">
        <f>IFERROR(__xludf.DUMMYFUNCTION("CONCATENATE(GOOGLETRANSLATE(C471, ""en"", ""ko""))"),"남성용 스마일 페이스 프린트 컬러 블록 패치워크 풀오버 스웨트셔츠")</f>
        <v>남성용 스마일 페이스 프린트 컬러 블록 패치워크 풀오버 스웨트셔츠</v>
      </c>
      <c r="F471" s="1" t="str">
        <f>IFERROR(__xludf.DUMMYFUNCTION("CONCATENATE(GOOGLETRANSLATE(C471, ""en"", ""ja""))"),"メンズスマイルフェイスプリントカラーブロックパッチワークプルオーバースウェットシャツ")</f>
        <v>メンズスマイルフェイスプリントカラーブロックパッチワークプルオーバースウェットシャツ</v>
      </c>
    </row>
    <row r="472" ht="15.75" customHeight="1">
      <c r="A472" s="1">
        <v>1945.0</v>
      </c>
      <c r="B472" s="1" t="s">
        <v>381</v>
      </c>
      <c r="C472" s="1" t="s">
        <v>460</v>
      </c>
      <c r="D472" s="1" t="str">
        <f>IFERROR(__xludf.DUMMYFUNCTION("CONCATENATE(GOOGLETRANSLATE(C472, ""en"", ""zh-cn""))"),"男式笑脸印花拼接斜口袋抽绳连帽衫")</f>
        <v>男式笑脸印花拼接斜口袋抽绳连帽衫</v>
      </c>
      <c r="E472" s="1" t="str">
        <f>IFERROR(__xludf.DUMMYFUNCTION("CONCATENATE(GOOGLETRANSLATE(C472, ""en"", ""ko""))"),"남성용 스마일 페이스 프린트 패치워크 슬랜트 포켓 드로스트링 후드티")</f>
        <v>남성용 스마일 페이스 프린트 패치워크 슬랜트 포켓 드로스트링 후드티</v>
      </c>
      <c r="F472" s="1" t="str">
        <f>IFERROR(__xludf.DUMMYFUNCTION("CONCATENATE(GOOGLETRANSLATE(C472, ""en"", ""ja""))"),"メンズスマイルフェイスプリントパッチワークスラントポケット巾着パーカー")</f>
        <v>メンズスマイルフェイスプリントパッチワークスラントポケット巾着パーカー</v>
      </c>
    </row>
    <row r="473" ht="15.75" customHeight="1">
      <c r="A473" s="1">
        <v>1946.0</v>
      </c>
      <c r="B473" s="1" t="s">
        <v>381</v>
      </c>
      <c r="C473" s="1" t="s">
        <v>461</v>
      </c>
      <c r="D473" s="1" t="str">
        <f>IFERROR(__xludf.DUMMYFUNCTION("CONCATENATE(GOOGLETRANSLATE(C473, ""en"", ""zh-cn""))"),"男士字母刺绣纹理袋鼠口袋休闲连帽衫")</f>
        <v>男士字母刺绣纹理袋鼠口袋休闲连帽衫</v>
      </c>
      <c r="E473" s="1" t="str">
        <f>IFERROR(__xludf.DUMMYFUNCTION("CONCATENATE(GOOGLETRANSLATE(C473, ""en"", ""ko""))"),"남성용 편지 자수 질감 캥거루 포켓 캐주얼 후드티")</f>
        <v>남성용 편지 자수 질감 캥거루 포켓 캐주얼 후드티</v>
      </c>
      <c r="F473" s="1" t="str">
        <f>IFERROR(__xludf.DUMMYFUNCTION("CONCATENATE(GOOGLETRANSLATE(C473, ""en"", ""ja""))"),"メンズレター刺繍テクスチャーカンガルーポケットカジュアルパーカー")</f>
        <v>メンズレター刺繍テクスチャーカンガルーポケットカジュアルパーカー</v>
      </c>
    </row>
    <row r="474" ht="15.75" customHeight="1">
      <c r="A474" s="1">
        <v>1947.0</v>
      </c>
      <c r="B474" s="1" t="s">
        <v>381</v>
      </c>
      <c r="C474" s="1" t="s">
        <v>462</v>
      </c>
      <c r="D474" s="1" t="str">
        <f>IFERROR(__xludf.DUMMYFUNCTION("CONCATENATE(GOOGLETRANSLATE(C474, ""en"", ""zh-cn""))"),"男士字母印花拼色休闲套头运动衫")</f>
        <v>男士字母印花拼色休闲套头运动衫</v>
      </c>
      <c r="E474" s="1" t="str">
        <f>IFERROR(__xludf.DUMMYFUNCTION("CONCATENATE(GOOGLETRANSLATE(C474, ""en"", ""ko""))"),"남성용 레터 프린트 컬러 블록 패치워크 캐주얼 풀오버 스웨트셔츠")</f>
        <v>남성용 레터 프린트 컬러 블록 패치워크 캐주얼 풀오버 스웨트셔츠</v>
      </c>
      <c r="F474" s="1" t="str">
        <f>IFERROR(__xludf.DUMMYFUNCTION("CONCATENATE(GOOGLETRANSLATE(C474, ""en"", ""ja""))"),"メンズレタープリントカラーブロックパッチワークカジュアルプルオーバースウェットシャツ")</f>
        <v>メンズレタープリントカラーブロックパッチワークカジュアルプルオーバースウェットシャツ</v>
      </c>
    </row>
    <row r="475" ht="15.75" customHeight="1">
      <c r="A475" s="1">
        <v>1948.0</v>
      </c>
      <c r="B475" s="1" t="s">
        <v>381</v>
      </c>
      <c r="C475" s="1" t="s">
        <v>463</v>
      </c>
      <c r="D475" s="1" t="str">
        <f>IFERROR(__xludf.DUMMYFUNCTION("CONCATENATE(GOOGLETRANSLATE(C475, ""en"", ""zh-cn""))"),"男式日本玫瑰印花撞色拼布抽绳连帽衫")</f>
        <v>男式日本玫瑰印花撞色拼布抽绳连帽衫</v>
      </c>
      <c r="E475" s="1" t="str">
        <f>IFERROR(__xludf.DUMMYFUNCTION("CONCATENATE(GOOGLETRANSLATE(C475, ""en"", ""ko""))"),"남성용 일본식 로즈 프린트 대비 패치워크 드로스트링 후드티")</f>
        <v>남성용 일본식 로즈 프린트 대비 패치워크 드로스트링 후드티</v>
      </c>
      <c r="F475" s="1" t="str">
        <f>IFERROR(__xludf.DUMMYFUNCTION("CONCATENATE(GOOGLETRANSLATE(C475, ""en"", ""ja""))"),"メンズ日本のローズプリントコントラストパッチワーク巾着パーカー")</f>
        <v>メンズ日本のローズプリントコントラストパッチワーク巾着パーカー</v>
      </c>
    </row>
    <row r="476" ht="15.75" customHeight="1">
      <c r="A476" s="1">
        <v>1949.0</v>
      </c>
      <c r="B476" s="1" t="s">
        <v>381</v>
      </c>
      <c r="C476" s="1" t="s">
        <v>464</v>
      </c>
      <c r="D476" s="1" t="str">
        <f>IFERROR(__xludf.DUMMYFUNCTION("CONCATENATE(GOOGLETRANSLATE(C476, ""en"", ""zh-cn""))"),"男士日本玫瑰印花袋鼠口袋抽绳连帽衫")</f>
        <v>男士日本玫瑰印花袋鼠口袋抽绳连帽衫</v>
      </c>
      <c r="E476" s="1" t="str">
        <f>IFERROR(__xludf.DUMMYFUNCTION("CONCATENATE(GOOGLETRANSLATE(C476, ""en"", ""ko""))"),"남성용 일본식 로즈 프린트 캥거루 포켓 드로스트링 후드티")</f>
        <v>남성용 일본식 로즈 프린트 캥거루 포켓 드로스트링 후드티</v>
      </c>
      <c r="F476" s="1" t="str">
        <f>IFERROR(__xludf.DUMMYFUNCTION("CONCATENATE(GOOGLETRANSLATE(C476, ""en"", ""ja""))"),"メンズ日本のローズプリントカンガルーポケット巾着パーカー")</f>
        <v>メンズ日本のローズプリントカンガルーポケット巾着パーカー</v>
      </c>
    </row>
    <row r="477" ht="15.75" customHeight="1">
      <c r="A477" s="1">
        <v>1950.0</v>
      </c>
      <c r="B477" s="1" t="s">
        <v>381</v>
      </c>
      <c r="C477" s="1" t="s">
        <v>465</v>
      </c>
      <c r="D477" s="1" t="str">
        <f>IFERROR(__xludf.DUMMYFUNCTION("CONCATENATE(GOOGLETRANSLATE(C477, ""en"", ""zh-cn""))"),"男式日本复古图案拼布圆领套头运动衫")</f>
        <v>男式日本复古图案拼布圆领套头运动衫</v>
      </c>
      <c r="E477" s="1" t="str">
        <f>IFERROR(__xludf.DUMMYFUNCTION("CONCATENATE(GOOGLETRANSLATE(C477, ""en"", ""ko""))"),"남성용 일본식 빈티지 패턴 패치워크 크루넥 풀오버 스웨트셔츠")</f>
        <v>남성용 일본식 빈티지 패턴 패치워크 크루넥 풀오버 스웨트셔츠</v>
      </c>
      <c r="F477" s="1" t="str">
        <f>IFERROR(__xludf.DUMMYFUNCTION("CONCATENATE(GOOGLETRANSLATE(C477, ""en"", ""ja""))"),"メンズ日本のヴィンテージパターンパッチワーククルーネックプルオーバースウェットシャツ")</f>
        <v>メンズ日本のヴィンテージパターンパッチワーククルーネックプルオーバースウェットシャツ</v>
      </c>
    </row>
    <row r="478" ht="15.75" customHeight="1">
      <c r="A478" s="1">
        <v>1951.0</v>
      </c>
      <c r="B478" s="1" t="s">
        <v>381</v>
      </c>
      <c r="C478" s="1" t="s">
        <v>466</v>
      </c>
      <c r="D478" s="1" t="str">
        <f>IFERROR(__xludf.DUMMYFUNCTION("CONCATENATE(GOOGLETRANSLATE(C478, ""en"", ""zh-cn""))"),"男式卡通熊猫日式印花圆领套头运动衫")</f>
        <v>男式卡通熊猫日式印花圆领套头运动衫</v>
      </c>
      <c r="E478" s="1" t="str">
        <f>IFERROR(__xludf.DUMMYFUNCTION("CONCATENATE(GOOGLETRANSLATE(C478, ""en"", ""ko""))"),"남성용 카툰 팬더 일본 프린트 크루넥 풀오버 스웨트셔츠")</f>
        <v>남성용 카툰 팬더 일본 프린트 크루넥 풀오버 스웨트셔츠</v>
      </c>
      <c r="F478" s="1" t="str">
        <f>IFERROR(__xludf.DUMMYFUNCTION("CONCATENATE(GOOGLETRANSLATE(C478, ""en"", ""ja""))"),"メンズ漫画パンダ日本のプリントクルーネックプルオーバースウェットシャツ")</f>
        <v>メンズ漫画パンダ日本のプリントクルーネックプルオーバースウェットシャツ</v>
      </c>
    </row>
    <row r="479" ht="15.75" customHeight="1">
      <c r="A479" s="1">
        <v>1952.0</v>
      </c>
      <c r="B479" s="1" t="s">
        <v>381</v>
      </c>
      <c r="C479" s="1" t="s">
        <v>467</v>
      </c>
      <c r="D479" s="1" t="str">
        <f>IFERROR(__xludf.DUMMYFUNCTION("CONCATENATE(GOOGLETRANSLATE(C479, ""en"", ""zh-cn""))"),"男式纯色四分之一纽扣棉质休闲抽绳连帽衫")</f>
        <v>男式纯色四分之一纽扣棉质休闲抽绳连帽衫</v>
      </c>
      <c r="E479" s="1" t="str">
        <f>IFERROR(__xludf.DUMMYFUNCTION("CONCATENATE(GOOGLETRANSLATE(C479, ""en"", ""ko""))"),"남성용 솔리드 쿼터 버튼 코튼 캐주얼 드로스트링 후드티")</f>
        <v>남성용 솔리드 쿼터 버튼 코튼 캐주얼 드로스트링 후드티</v>
      </c>
      <c r="F479" s="1" t="str">
        <f>IFERROR(__xludf.DUMMYFUNCTION("CONCATENATE(GOOGLETRANSLATE(C479, ""en"", ""ja""))"),"メンズソリッドクォーターボタンコットンカジュアル巾着パーカー")</f>
        <v>メンズソリッドクォーターボタンコットンカジュアル巾着パーカー</v>
      </c>
    </row>
    <row r="480" ht="15.75" customHeight="1">
      <c r="A480" s="1">
        <v>1953.0</v>
      </c>
      <c r="B480" s="1" t="s">
        <v>381</v>
      </c>
      <c r="C480" s="1" t="s">
        <v>468</v>
      </c>
      <c r="D480" s="1" t="str">
        <f>IFERROR(__xludf.DUMMYFUNCTION("CONCATENATE(GOOGLETRANSLATE(C480, ""en"", ""zh-cn""))"),"男士纯色圆领休闲套头运动衫")</f>
        <v>男士纯色圆领休闲套头运动衫</v>
      </c>
      <c r="E480" s="1" t="str">
        <f>IFERROR(__xludf.DUMMYFUNCTION("CONCATENATE(GOOGLETRANSLATE(C480, ""en"", ""ko""))"),"남성용 솔리드 텍스처 크루넥 캐주얼 풀오버 스웨트셔츠")</f>
        <v>남성용 솔리드 텍스처 크루넥 캐주얼 풀오버 스웨트셔츠</v>
      </c>
      <c r="F480" s="1" t="str">
        <f>IFERROR(__xludf.DUMMYFUNCTION("CONCATENATE(GOOGLETRANSLATE(C480, ""en"", ""ja""))"),"メンズソリッドテクスチャークルーネックカジュアルプルオーバースウェットシャツ")</f>
        <v>メンズソリッドテクスチャークルーネックカジュアルプルオーバースウェットシャツ</v>
      </c>
    </row>
    <row r="481" ht="15.75" customHeight="1">
      <c r="A481" s="1">
        <v>1954.0</v>
      </c>
      <c r="B481" s="1" t="s">
        <v>381</v>
      </c>
      <c r="C481" s="1" t="s">
        <v>469</v>
      </c>
      <c r="D481" s="1" t="str">
        <f>IFERROR(__xludf.DUMMYFUNCTION("CONCATENATE(GOOGLETRANSLATE(C481, ""en"", ""zh-cn""))"),"男式撞色拼布半拉链翻盖口袋抓绒套头运动衫")</f>
        <v>男式撞色拼布半拉链翻盖口袋抓绒套头运动衫</v>
      </c>
      <c r="E481" s="1" t="str">
        <f>IFERROR(__xludf.DUMMYFUNCTION("CONCATENATE(GOOGLETRANSLATE(C481, ""en"", ""ko""))"),"남성용 대비 패치워크 하프 지퍼 플랩 포켓 플리스 풀오버 스웨트셔츠")</f>
        <v>남성용 대비 패치워크 하프 지퍼 플랩 포켓 플리스 풀오버 스웨트셔츠</v>
      </c>
      <c r="F481" s="1" t="str">
        <f>IFERROR(__xludf.DUMMYFUNCTION("CONCATENATE(GOOGLETRANSLATE(C481, ""en"", ""ja""))"),"メンズコントラストパッチワークハーフジップフラップポケットフリースプルオーバースウェットシャツ")</f>
        <v>メンズコントラストパッチワークハーフジップフラップポケットフリースプルオーバースウェットシャツ</v>
      </c>
    </row>
    <row r="482" ht="15.75" customHeight="1">
      <c r="A482" s="1">
        <v>1955.0</v>
      </c>
      <c r="B482" s="1" t="s">
        <v>381</v>
      </c>
      <c r="C482" s="1" t="s">
        <v>470</v>
      </c>
      <c r="D482" s="1" t="str">
        <f>IFERROR(__xludf.DUMMYFUNCTION("CONCATENATE(GOOGLETRANSLATE(C482, ""en"", ""zh-cn""))"),"男式民族图案拼布袋鼠口袋抽绳连帽衫")</f>
        <v>男式民族图案拼布袋鼠口袋抽绳连帽衫</v>
      </c>
      <c r="E482" s="1" t="str">
        <f>IFERROR(__xludf.DUMMYFUNCTION("CONCATENATE(GOOGLETRANSLATE(C482, ""en"", ""ko""))"),"남성용 에스닉 패턴 패치워크 캥거루 포켓 드로스트링 후드티")</f>
        <v>남성용 에스닉 패턴 패치워크 캥거루 포켓 드로스트링 후드티</v>
      </c>
      <c r="F482" s="1" t="str">
        <f>IFERROR(__xludf.DUMMYFUNCTION("CONCATENATE(GOOGLETRANSLATE(C482, ""en"", ""ja""))"),"メンズエスニックパターンパッチワークカンガルーポケット巾着パーカー")</f>
        <v>メンズエスニックパターンパッチワークカンガルーポケット巾着パーカー</v>
      </c>
    </row>
    <row r="483" ht="15.75" customHeight="1">
      <c r="A483" s="1">
        <v>1956.0</v>
      </c>
      <c r="B483" s="1" t="s">
        <v>381</v>
      </c>
      <c r="C483" s="1" t="s">
        <v>471</v>
      </c>
      <c r="D483" s="1" t="str">
        <f>IFERROR(__xludf.DUMMYFUNCTION("CONCATENATE(GOOGLETRANSLATE(C483, ""en"", ""zh-cn""))"),"男式民族几何图案拼布半拉链套头运动衫")</f>
        <v>男式民族几何图案拼布半拉链套头运动衫</v>
      </c>
      <c r="E483" s="1" t="str">
        <f>IFERROR(__xludf.DUMMYFUNCTION("CONCATENATE(GOOGLETRANSLATE(C483, ""en"", ""ko""))"),"남성용 에스닉 기하학적 패턴 패치워크 하프 지퍼 풀오버 ​​스웨트셔츠")</f>
        <v>남성용 에스닉 기하학적 패턴 패치워크 하프 지퍼 풀오버 ​​스웨트셔츠</v>
      </c>
      <c r="F483" s="1" t="str">
        <f>IFERROR(__xludf.DUMMYFUNCTION("CONCATENATE(GOOGLETRANSLATE(C483, ""en"", ""ja""))"),"メンズエスニック幾何学模様パッチワークハーフジッププルオーバースウェットシャツ")</f>
        <v>メンズエスニック幾何学模様パッチワークハーフジッププルオーバースウェットシャツ</v>
      </c>
    </row>
    <row r="484" ht="15.75" customHeight="1">
      <c r="A484" s="1">
        <v>1957.0</v>
      </c>
      <c r="B484" s="1" t="s">
        <v>381</v>
      </c>
      <c r="C484" s="1" t="s">
        <v>472</v>
      </c>
      <c r="D484" s="1" t="str">
        <f>IFERROR(__xludf.DUMMYFUNCTION("CONCATENATE(GOOGLETRANSLATE(C484, ""en"", ""zh-cn""))"),"男式微笑民族几何印花拼色连帽衫")</f>
        <v>男式微笑民族几何印花拼色连帽衫</v>
      </c>
      <c r="E484" s="1" t="str">
        <f>IFERROR(__xludf.DUMMYFUNCTION("CONCATENATE(GOOGLETRANSLATE(C484, ""en"", ""ko""))"),"남성용 스마일 에스닉 기하학 프린트 컬러 블록 패치워크 후드티")</f>
        <v>남성용 스마일 에스닉 기하학 프린트 컬러 블록 패치워크 후드티</v>
      </c>
      <c r="F484" s="1" t="str">
        <f>IFERROR(__xludf.DUMMYFUNCTION("CONCATENATE(GOOGLETRANSLATE(C484, ""en"", ""ja""))"),"メンズスマイルエスニック幾何学プリントカラーブロックパッチワークパーカー")</f>
        <v>メンズスマイルエスニック幾何学プリントカラーブロックパッチワークパーカー</v>
      </c>
    </row>
    <row r="485" ht="15.75" customHeight="1">
      <c r="A485" s="1">
        <v>1958.0</v>
      </c>
      <c r="B485" s="1" t="s">
        <v>381</v>
      </c>
      <c r="C485" s="1" t="s">
        <v>473</v>
      </c>
      <c r="D485" s="1" t="str">
        <f>IFERROR(__xludf.DUMMYFUNCTION("CONCATENATE(GOOGLETRANSLATE(C485, ""en"", ""zh-cn""))"),"男式通体民族几何印花圆领套头运动衫")</f>
        <v>男式通体民族几何印花圆领套头运动衫</v>
      </c>
      <c r="E485" s="1" t="str">
        <f>IFERROR(__xludf.DUMMYFUNCTION("CONCATENATE(GOOGLETRANSLATE(C485, ""en"", ""ko""))"),"남성용 올오버 에스닉 기하학 프린트 크루넥 풀오버 스웨트셔츠")</f>
        <v>남성용 올오버 에스닉 기하학 프린트 크루넥 풀오버 스웨트셔츠</v>
      </c>
      <c r="F485" s="1" t="str">
        <f>IFERROR(__xludf.DUMMYFUNCTION("CONCATENATE(GOOGLETRANSLATE(C485, ""en"", ""ja""))"),"メンズ総柄エスニック幾何学プリント クルーネック プルオーバー スウェットシャツ")</f>
        <v>メンズ総柄エスニック幾何学プリント クルーネック プルオーバー スウェットシャツ</v>
      </c>
    </row>
    <row r="486" ht="15.75" customHeight="1">
      <c r="A486" s="1">
        <v>1959.0</v>
      </c>
      <c r="B486" s="1" t="s">
        <v>381</v>
      </c>
      <c r="C486" s="1" t="s">
        <v>474</v>
      </c>
      <c r="D486" s="1" t="str">
        <f>IFERROR(__xludf.DUMMYFUNCTION("CONCATENATE(GOOGLETRANSLATE(C486, ""en"", ""zh-cn""))"),"男式中国花卉水墨印花拼布抽绳连帽衫")</f>
        <v>男式中国花卉水墨印花拼布抽绳连帽衫</v>
      </c>
      <c r="E486" s="1" t="str">
        <f>IFERROR(__xludf.DUMMYFUNCTION("CONCATENATE(GOOGLETRANSLATE(C486, ""en"", ""ko""))"),"남성용 중국 꽃무늬 잉크 프린트 패치워크 드로스트링 후드티")</f>
        <v>남성용 중국 꽃무늬 잉크 프린트 패치워크 드로스트링 후드티</v>
      </c>
      <c r="F486" s="1" t="str">
        <f>IFERROR(__xludf.DUMMYFUNCTION("CONCATENATE(GOOGLETRANSLATE(C486, ""en"", ""ja""))"),"メンズ中国花柄インクプリントパッチワーク巾着パーカー")</f>
        <v>メンズ中国花柄インクプリントパッチワーク巾着パーカー</v>
      </c>
    </row>
    <row r="487" ht="15.75" customHeight="1">
      <c r="A487" s="1">
        <v>1960.0</v>
      </c>
      <c r="B487" s="1" t="s">
        <v>381</v>
      </c>
      <c r="C487" s="1" t="s">
        <v>475</v>
      </c>
      <c r="D487" s="1" t="str">
        <f>IFERROR(__xludf.DUMMYFUNCTION("CONCATENATE(GOOGLETRANSLATE(C487, ""en"", ""zh-cn""))"),"男式日本波浪龙浮世绘长袖连帽衫")</f>
        <v>男式日本波浪龙浮世绘长袖连帽衫</v>
      </c>
      <c r="E487" s="1" t="str">
        <f>IFERROR(__xludf.DUMMYFUNCTION("CONCATENATE(GOOGLETRANSLATE(C487, ""en"", ""ko""))"),"남성용 일본식 웨이브 드래곤 우키요에 프린트 긴팔 후드티")</f>
        <v>남성용 일본식 웨이브 드래곤 우키요에 프린트 긴팔 후드티</v>
      </c>
      <c r="F487" s="1" t="str">
        <f>IFERROR(__xludf.DUMMYFUNCTION("CONCATENATE(GOOGLETRANSLATE(C487, ""en"", ""ja""))"),"メンズ和波ドラゴン浮世絵プリント長袖パーカー")</f>
        <v>メンズ和波ドラゴン浮世絵プリント長袖パーカー</v>
      </c>
    </row>
    <row r="488" ht="15.75" customHeight="1">
      <c r="A488" s="1">
        <v>1961.0</v>
      </c>
      <c r="B488" s="1" t="s">
        <v>381</v>
      </c>
      <c r="C488" s="1" t="s">
        <v>392</v>
      </c>
      <c r="D488" s="1" t="str">
        <f>IFERROR(__xludf.DUMMYFUNCTION("CONCATENATE(GOOGLETRANSLATE(C488, ""en"", ""zh-cn""))"),"男士拼色圆领休闲套头运动衫")</f>
        <v>男士拼色圆领休闲套头运动衫</v>
      </c>
      <c r="E488" s="1" t="str">
        <f>IFERROR(__xludf.DUMMYFUNCTION("CONCATENATE(GOOGLETRANSLATE(C488, ""en"", ""ko""))"),"남성용 컬러 블록 패치워크 크루넥 캐주얼 풀오버 스웨트셔츠")</f>
        <v>남성용 컬러 블록 패치워크 크루넥 캐주얼 풀오버 스웨트셔츠</v>
      </c>
      <c r="F488" s="1" t="str">
        <f>IFERROR(__xludf.DUMMYFUNCTION("CONCATENATE(GOOGLETRANSLATE(C488, ""en"", ""ja""))"),"メンズ カラーブロック パッチワーク クルーネック カジュアル プルオーバー スウェットシャツ")</f>
        <v>メンズ カラーブロック パッチワーク クルーネック カジュアル プルオーバー スウェットシャツ</v>
      </c>
    </row>
    <row r="489" ht="15.75" customHeight="1">
      <c r="A489" s="1">
        <v>1962.0</v>
      </c>
      <c r="B489" s="1" t="s">
        <v>381</v>
      </c>
      <c r="C489" s="1" t="s">
        <v>476</v>
      </c>
      <c r="D489" s="1" t="str">
        <f>IFERROR(__xludf.DUMMYFUNCTION("CONCATENATE(GOOGLETRANSLATE(C489, ""en"", ""zh-cn""))"),"男士纯色立领半拉链抓绒休闲套头运动衫")</f>
        <v>男士纯色立领半拉链抓绒休闲套头运动衫</v>
      </c>
      <c r="E489" s="1" t="str">
        <f>IFERROR(__xludf.DUMMYFUNCTION("CONCATENATE(GOOGLETRANSLATE(C489, ""en"", ""ko""))"),"남성용 솔리드 스탠드 칼라 하프 지퍼 플리스 캐주얼 풀오버 스웨트셔츠")</f>
        <v>남성용 솔리드 스탠드 칼라 하프 지퍼 플리스 캐주얼 풀오버 스웨트셔츠</v>
      </c>
      <c r="F489" s="1" t="str">
        <f>IFERROR(__xludf.DUMMYFUNCTION("CONCATENATE(GOOGLETRANSLATE(C489, ""en"", ""ja""))"),"メンズソリッドスタンドカラーハーフジップフリースカジュアルプルオーバースウェットシャツ")</f>
        <v>メンズソリッドスタンドカラーハーフジップフリースカジュアルプルオーバースウェットシャツ</v>
      </c>
    </row>
    <row r="490" ht="15.75" customHeight="1">
      <c r="A490" s="1">
        <v>1963.0</v>
      </c>
      <c r="B490" s="1" t="s">
        <v>381</v>
      </c>
      <c r="C490" s="1" t="s">
        <v>477</v>
      </c>
      <c r="D490" s="1" t="str">
        <f>IFERROR(__xludf.DUMMYFUNCTION("CONCATENATE(GOOGLETRANSLATE(C490, ""en"", ""zh-cn""))"),"男式日本卡通猫印花撞色拼布抽绳连帽衫")</f>
        <v>男式日本卡通猫印花撞色拼布抽绳连帽衫</v>
      </c>
      <c r="E490" s="1" t="str">
        <f>IFERROR(__xludf.DUMMYFUNCTION("CONCATENATE(GOOGLETRANSLATE(C490, ""en"", ""ko""))"),"남성용 일본 만화 고양이 프린트 대비 패치워크 드로스트링 후드티")</f>
        <v>남성용 일본 만화 고양이 프린트 대비 패치워크 드로스트링 후드티</v>
      </c>
      <c r="F490" s="1" t="str">
        <f>IFERROR(__xludf.DUMMYFUNCTION("CONCATENATE(GOOGLETRANSLATE(C490, ""en"", ""ja""))"),"メンズ日本の漫画猫プリントコントラストパッチワーク巾着パーカー")</f>
        <v>メンズ日本の漫画猫プリントコントラストパッチワーク巾着パーカー</v>
      </c>
    </row>
    <row r="491" ht="15.75" customHeight="1">
      <c r="A491" s="1">
        <v>1964.0</v>
      </c>
      <c r="B491" s="1" t="s">
        <v>381</v>
      </c>
      <c r="C491" s="1" t="s">
        <v>478</v>
      </c>
      <c r="D491" s="1" t="str">
        <f>IFERROR(__xludf.DUMMYFUNCTION("CONCATENATE(GOOGLETRANSLATE(C491, ""en"", ""zh-cn""))"),"男式日本樱花印花拼布抽绳连帽衫")</f>
        <v>男式日本樱花印花拼布抽绳连帽衫</v>
      </c>
      <c r="E491" s="1" t="str">
        <f>IFERROR(__xludf.DUMMYFUNCTION("CONCATENATE(GOOGLETRANSLATE(C491, ""en"", ""ko""))"),"남성용 일본 벚꽃 프린트 패치워크 드로스트링 후드티")</f>
        <v>남성용 일본 벚꽃 프린트 패치워크 드로스트링 후드티</v>
      </c>
      <c r="F491" s="1" t="str">
        <f>IFERROR(__xludf.DUMMYFUNCTION("CONCATENATE(GOOGLETRANSLATE(C491, ""en"", ""ja""))"),"メンズ日本の桜プリントパッチワーク巾着パーカー")</f>
        <v>メンズ日本の桜プリントパッチワーク巾着パーカー</v>
      </c>
    </row>
    <row r="492" ht="15.75" customHeight="1">
      <c r="A492" s="1">
        <v>1965.0</v>
      </c>
      <c r="B492" s="1" t="s">
        <v>381</v>
      </c>
      <c r="C492" s="1" t="s">
        <v>479</v>
      </c>
      <c r="D492" s="1" t="str">
        <f>IFERROR(__xludf.DUMMYFUNCTION("CONCATENATE(GOOGLETRANSLATE(C492, ""en"", ""zh-cn""))"),"男式日本樱花条纹印花拼布抽绳连帽衫")</f>
        <v>男式日本樱花条纹印花拼布抽绳连帽衫</v>
      </c>
      <c r="E492" s="1" t="str">
        <f>IFERROR(__xludf.DUMMYFUNCTION("CONCATENATE(GOOGLETRANSLATE(C492, ""en"", ""ko""))"),"남성용 일본 벚꽃 줄무늬 프린트 패치워크 드로스트링 후드티")</f>
        <v>남성용 일본 벚꽃 줄무늬 프린트 패치워크 드로스트링 후드티</v>
      </c>
      <c r="F492" s="1" t="str">
        <f>IFERROR(__xludf.DUMMYFUNCTION("CONCATENATE(GOOGLETRANSLATE(C492, ""en"", ""ja""))"),"メンズ日本の桜ストライププリントパッチワーク巾着パーカー")</f>
        <v>メンズ日本の桜ストライププリントパッチワーク巾着パーカー</v>
      </c>
    </row>
    <row r="493" ht="15.75" customHeight="1">
      <c r="A493" s="1">
        <v>1966.0</v>
      </c>
      <c r="B493" s="1" t="s">
        <v>381</v>
      </c>
      <c r="C493" s="1" t="s">
        <v>480</v>
      </c>
      <c r="D493" s="1" t="str">
        <f>IFERROR(__xludf.DUMMYFUNCTION("CONCATENATE(GOOGLETRANSLATE(C493, ""en"", ""zh-cn""))"),"男士玫瑰手写字母印花袋鼠口袋撞色抽绳连帽衫")</f>
        <v>男士玫瑰手写字母印花袋鼠口袋撞色抽绳连帽衫</v>
      </c>
      <c r="E493" s="1" t="str">
        <f>IFERROR(__xludf.DUMMYFUNCTION("CONCATENATE(GOOGLETRANSLATE(C493, ""en"", ""ko""))"),"남성용 로즈 핸드 레터 프린트 캥거루 포켓 대비 드로스트링 후드티")</f>
        <v>남성용 로즈 핸드 레터 프린트 캥거루 포켓 대비 드로스트링 후드티</v>
      </c>
      <c r="F493" s="1" t="str">
        <f>IFERROR(__xludf.DUMMYFUNCTION("CONCATENATE(GOOGLETRANSLATE(C493, ""en"", ""ja""))"),"メンズローズハンドレタープリントカンガルーポケットコントラスト巾着パーカー")</f>
        <v>メンズローズハンドレタープリントカンガルーポケットコントラスト巾着パーカー</v>
      </c>
    </row>
    <row r="494" ht="15.75" customHeight="1">
      <c r="A494" s="1">
        <v>1967.0</v>
      </c>
      <c r="B494" s="1" t="s">
        <v>381</v>
      </c>
      <c r="C494" s="1" t="s">
        <v>481</v>
      </c>
      <c r="D494" s="1" t="str">
        <f>IFERROR(__xludf.DUMMYFUNCTION("CONCATENATE(GOOGLETRANSLATE(C494, ""en"", ""zh-cn""))"),"男式单色日本猫印花长袖抽绳连帽衫")</f>
        <v>男式单色日本猫印花长袖抽绳连帽衫</v>
      </c>
      <c r="E494" s="1" t="str">
        <f>IFERROR(__xludf.DUMMYFUNCTION("CONCATENATE(GOOGLETRANSLATE(C494, ""en"", ""ko""))"),"남성용 단색 일본 고양이 프린트 긴 소매 드로스트링 후드티")</f>
        <v>남성용 단색 일본 고양이 프린트 긴 소매 드로스트링 후드티</v>
      </c>
      <c r="F494" s="1" t="str">
        <f>IFERROR(__xludf.DUMMYFUNCTION("CONCATENATE(GOOGLETRANSLATE(C494, ""en"", ""ja""))"),"メンズモノクロ日本の猫プリント長袖巾着パーカー")</f>
        <v>メンズモノクロ日本の猫プリント長袖巾着パーカー</v>
      </c>
    </row>
    <row r="495" ht="15.75" customHeight="1">
      <c r="A495" s="1">
        <v>1968.0</v>
      </c>
      <c r="B495" s="1" t="s">
        <v>381</v>
      </c>
      <c r="C495" s="1" t="s">
        <v>482</v>
      </c>
      <c r="D495" s="1" t="str">
        <f>IFERROR(__xludf.DUMMYFUNCTION("CONCATENATE(GOOGLETRANSLATE(C495, ""en"", ""zh-cn""))"),"男式卡通宇航员猫印花拼布抽绳连帽衫")</f>
        <v>男式卡通宇航员猫印花拼布抽绳连帽衫</v>
      </c>
      <c r="E495" s="1" t="str">
        <f>IFERROR(__xludf.DUMMYFUNCTION("CONCATENATE(GOOGLETRANSLATE(C495, ""en"", ""ko""))"),"남성용 만화 우주 비행사 고양이 프린트 패치워크 드로스트링 후드티")</f>
        <v>남성용 만화 우주 비행사 고양이 프린트 패치워크 드로스트링 후드티</v>
      </c>
      <c r="F495" s="1" t="str">
        <f>IFERROR(__xludf.DUMMYFUNCTION("CONCATENATE(GOOGLETRANSLATE(C495, ""en"", ""ja""))"),"メンズ漫画宇宙飛行士猫プリントパッチワーク巾着パーカー")</f>
        <v>メンズ漫画宇宙飛行士猫プリントパッチワーク巾着パーカー</v>
      </c>
    </row>
    <row r="496" ht="15.75" customHeight="1">
      <c r="A496" s="1">
        <v>1969.0</v>
      </c>
      <c r="B496" s="1" t="s">
        <v>381</v>
      </c>
      <c r="C496" s="1" t="s">
        <v>483</v>
      </c>
      <c r="D496" s="1" t="str">
        <f>IFERROR(__xludf.DUMMYFUNCTION("CONCATENATE(GOOGLETRANSLATE(C496, ""en"", ""zh-cn""))"),"男式撞色卡通动物印花拼布袋鼠口袋抽绳连帽衫")</f>
        <v>男式撞色卡通动物印花拼布袋鼠口袋抽绳连帽衫</v>
      </c>
      <c r="E496" s="1" t="str">
        <f>IFERROR(__xludf.DUMMYFUNCTION("CONCATENATE(GOOGLETRANSLATE(C496, ""en"", ""ko""))"),"남성용 대비 만화 동물 프린트 패치워크 캥거루 포켓 드로스트링 후드")</f>
        <v>남성용 대비 만화 동물 프린트 패치워크 캥거루 포켓 드로스트링 후드</v>
      </c>
      <c r="F496" s="1" t="str">
        <f>IFERROR(__xludf.DUMMYFUNCTION("CONCATENATE(GOOGLETRANSLATE(C496, ""en"", ""ja""))"),"メンズコントラスト漫画アニマルプリントパッチワークカンガルーポケット巾着パーカー")</f>
        <v>メンズコントラスト漫画アニマルプリントパッチワークカンガルーポケット巾着パーカー</v>
      </c>
    </row>
    <row r="497" ht="15.75" customHeight="1">
      <c r="A497" s="1">
        <v>1970.0</v>
      </c>
      <c r="B497" s="1" t="s">
        <v>381</v>
      </c>
      <c r="C497" s="1" t="s">
        <v>484</v>
      </c>
      <c r="D497" s="1" t="str">
        <f>IFERROR(__xludf.DUMMYFUNCTION("CONCATENATE(GOOGLETRANSLATE(C497, ""en"", ""zh-cn""))"),"男士渐变色块圆领休闲套头运动衫")</f>
        <v>男士渐变色块圆领休闲套头运动衫</v>
      </c>
      <c r="E497" s="1" t="str">
        <f>IFERROR(__xludf.DUMMYFUNCTION("CONCATENATE(GOOGLETRANSLATE(C497, ""en"", ""ko""))"),"남성용 옴브레 컬러 블록 크루넥 캐주얼 풀오버 스웨트셔츠")</f>
        <v>남성용 옴브레 컬러 블록 크루넥 캐주얼 풀오버 스웨트셔츠</v>
      </c>
      <c r="F497" s="1" t="str">
        <f>IFERROR(__xludf.DUMMYFUNCTION("CONCATENATE(GOOGLETRANSLATE(C497, ""en"", ""ja""))"),"メンズオンブルカラーブロッククルーネックカジュアルプルオーバースウェットシャツ")</f>
        <v>メンズオンブルカラーブロッククルーネックカジュアルプルオーバースウェットシャツ</v>
      </c>
    </row>
    <row r="498" ht="15.75" customHeight="1">
      <c r="A498" s="1">
        <v>1971.0</v>
      </c>
      <c r="B498" s="1" t="s">
        <v>381</v>
      </c>
      <c r="C498" s="1" t="s">
        <v>485</v>
      </c>
      <c r="D498" s="1" t="str">
        <f>IFERROR(__xludf.DUMMYFUNCTION("CONCATENATE(GOOGLETRANSLATE(C498, ""en"", ""zh-cn""))"),"男式水墨龙花卉印花长袖抽绳连帽衫")</f>
        <v>男式水墨龙花卉印花长袖抽绳连帽衫</v>
      </c>
      <c r="E498" s="1" t="str">
        <f>IFERROR(__xludf.DUMMYFUNCTION("CONCATENATE(GOOGLETRANSLATE(C498, ""en"", ""ko""))"),"남성용 중국어 잉크 드래곤 꽃무늬 긴 소매 졸라매는 끈 후드티")</f>
        <v>남성용 중국어 잉크 드래곤 꽃무늬 긴 소매 졸라매는 끈 후드티</v>
      </c>
      <c r="F498" s="1" t="str">
        <f>IFERROR(__xludf.DUMMYFUNCTION("CONCATENATE(GOOGLETRANSLATE(C498, ""en"", ""ja""))"),"メンズ墨龍花柄長袖巾着パーカー")</f>
        <v>メンズ墨龍花柄長袖巾着パーカー</v>
      </c>
    </row>
    <row r="499" ht="15.75" customHeight="1">
      <c r="A499" s="1">
        <v>1972.0</v>
      </c>
      <c r="B499" s="1" t="s">
        <v>381</v>
      </c>
      <c r="C499" s="1" t="s">
        <v>486</v>
      </c>
      <c r="D499" s="1" t="str">
        <f>IFERROR(__xludf.DUMMYFUNCTION("CONCATENATE(GOOGLETRANSLATE(C499, ""en"", ""zh-cn""))"),"男式水墨梅花印花撞色抽绳连帽衫")</f>
        <v>男式水墨梅花印花撞色抽绳连帽衫</v>
      </c>
      <c r="E499" s="1" t="str">
        <f>IFERROR(__xludf.DUMMYFUNCTION("CONCATENATE(GOOGLETRANSLATE(C499, ""en"", ""ko""))"),"남성용 중국 잉크 매화 보솜 프린트 대비 드로스트링 후드티")</f>
        <v>남성용 중국 잉크 매화 보솜 프린트 대비 드로스트링 후드티</v>
      </c>
      <c r="F499" s="1" t="str">
        <f>IFERROR(__xludf.DUMMYFUNCTION("CONCATENATE(GOOGLETRANSLATE(C499, ""en"", ""ja""))"),"メンズ中国墨梅ボッサムプリントコントラスト巾着パーカー")</f>
        <v>メンズ中国墨梅ボッサムプリントコントラスト巾着パーカー</v>
      </c>
    </row>
    <row r="500" ht="15.75" customHeight="1">
      <c r="A500" s="1">
        <v>1973.0</v>
      </c>
      <c r="B500" s="1" t="s">
        <v>381</v>
      </c>
      <c r="C500" s="1" t="s">
        <v>487</v>
      </c>
      <c r="D500" s="1" t="str">
        <f>IFERROR(__xludf.DUMMYFUNCTION("CONCATENATE(GOOGLETRANSLATE(C500, ""en"", ""zh-cn""))"),"男式微笑民族花卉印花拼布袋鼠口袋抽绳连帽衫")</f>
        <v>男式微笑民族花卉印花拼布袋鼠口袋抽绳连帽衫</v>
      </c>
      <c r="E500" s="1" t="str">
        <f>IFERROR(__xludf.DUMMYFUNCTION("CONCATENATE(GOOGLETRANSLATE(C500, ""en"", ""ko""))"),"남성용 스마일 에스닉 꽃무늬 패치워크 캥거루 포켓 드로스트링 후드티")</f>
        <v>남성용 스마일 에스닉 꽃무늬 패치워크 캥거루 포켓 드로스트링 후드티</v>
      </c>
      <c r="F500" s="1" t="str">
        <f>IFERROR(__xludf.DUMMYFUNCTION("CONCATENATE(GOOGLETRANSLATE(C500, ""en"", ""ja""))"),"メンズスマイルエスニックフローラルプリントパッチワークカンガルーポケット巾着パーカー")</f>
        <v>メンズスマイルエスニックフローラルプリントパッチワークカンガルーポケット巾着パーカー</v>
      </c>
    </row>
    <row r="501" ht="15.75" customHeight="1">
      <c r="A501" s="1">
        <v>1974.0</v>
      </c>
      <c r="B501" s="1" t="s">
        <v>381</v>
      </c>
      <c r="C501" s="1" t="s">
        <v>488</v>
      </c>
      <c r="D501" s="1" t="str">
        <f>IFERROR(__xludf.DUMMYFUNCTION("CONCATENATE(GOOGLETRANSLATE(C501, ""en"", ""zh-cn""))"),"男士微笑拼色拼布袋鼠口袋抽绳连帽衫")</f>
        <v>男士微笑拼色拼布袋鼠口袋抽绳连帽衫</v>
      </c>
      <c r="E501" s="1" t="str">
        <f>IFERROR(__xludf.DUMMYFUNCTION("CONCATENATE(GOOGLETRANSLATE(C501, ""en"", ""ko""))"),"남성용 스마일 컬러 블록 패치워크 캥거루 포켓 드로스트링 후드티")</f>
        <v>남성용 스마일 컬러 블록 패치워크 캥거루 포켓 드로스트링 후드티</v>
      </c>
      <c r="F501" s="1" t="str">
        <f>IFERROR(__xludf.DUMMYFUNCTION("CONCATENATE(GOOGLETRANSLATE(C501, ""en"", ""ja""))"),"メンズスマイルカラーブロックパッチワークカンガルーポケット巾着パーカー")</f>
        <v>メンズスマイルカラーブロックパッチワークカンガルーポケット巾着パーカー</v>
      </c>
    </row>
    <row r="502" ht="15.75" customHeight="1">
      <c r="A502" s="1">
        <v>1975.0</v>
      </c>
      <c r="B502" s="1" t="s">
        <v>381</v>
      </c>
      <c r="C502" s="1" t="s">
        <v>489</v>
      </c>
      <c r="D502" s="1" t="str">
        <f>IFERROR(__xludf.DUMMYFUNCTION("CONCATENATE(GOOGLETRANSLATE(C502, ""en"", ""zh-cn""))"),"男士心形字母印花情人节抽绳连帽衫")</f>
        <v>男士心形字母印花情人节抽绳连帽衫</v>
      </c>
      <c r="E502" s="1" t="str">
        <f>IFERROR(__xludf.DUMMYFUNCTION("CONCATENATE(GOOGLETRANSLATE(C502, ""en"", ""ko""))"),"남성용 하트 그림 문자 인쇄 발렌타인 데이 드로스트링 후드티")</f>
        <v>남성용 하트 그림 문자 인쇄 발렌타인 데이 드로스트링 후드티</v>
      </c>
      <c r="F502" s="1" t="str">
        <f>IFERROR(__xludf.DUMMYFUNCTION("CONCATENATE(GOOGLETRANSLATE(C502, ""en"", ""ja""))"),"メンズハートフィギュアレタープリントバレンタインデー巾着パーカー")</f>
        <v>メンズハートフィギュアレタープリントバレンタインデー巾着パーカー</v>
      </c>
    </row>
    <row r="503" ht="15.75" customHeight="1">
      <c r="A503" s="1">
        <v>1976.0</v>
      </c>
      <c r="B503" s="1" t="s">
        <v>381</v>
      </c>
      <c r="C503" s="1" t="s">
        <v>490</v>
      </c>
      <c r="D503" s="1" t="str">
        <f>IFERROR(__xludf.DUMMYFUNCTION("CONCATENATE(GOOGLETRANSLATE(C503, ""en"", ""zh-cn""))"),"男式中国阴阳拼布袋鼠口袋抽绳连帽衫")</f>
        <v>男式中国阴阳拼布袋鼠口袋抽绳连帽衫</v>
      </c>
      <c r="E503" s="1" t="str">
        <f>IFERROR(__xludf.DUMMYFUNCTION("CONCATENATE(GOOGLETRANSLATE(C503, ""en"", ""ko""))"),"남성용 중국 음양 패치워크 캥거루 포켓 드로스트링 후드티")</f>
        <v>남성용 중국 음양 패치워크 캥거루 포켓 드로스트링 후드티</v>
      </c>
      <c r="F503" s="1" t="str">
        <f>IFERROR(__xludf.DUMMYFUNCTION("CONCATENATE(GOOGLETRANSLATE(C503, ""en"", ""ja""))"),"メンズ中国陰陽パッチワークカンガルーポケット巾着パーカー")</f>
        <v>メンズ中国陰陽パッチワークカンガルーポケット巾着パーカー</v>
      </c>
    </row>
    <row r="504" ht="15.75" customHeight="1">
      <c r="A504" s="1">
        <v>1977.0</v>
      </c>
      <c r="B504" s="1" t="s">
        <v>381</v>
      </c>
      <c r="C504" s="1" t="s">
        <v>491</v>
      </c>
      <c r="D504" s="1" t="str">
        <f>IFERROR(__xludf.DUMMYFUNCTION("CONCATENATE(GOOGLETRANSLATE(C504, ""en"", ""zh-cn""))"),"男士花卉印花度假长袖抽绳连帽衫")</f>
        <v>男士花卉印花度假长袖抽绳连帽衫</v>
      </c>
      <c r="E504" s="1" t="str">
        <f>IFERROR(__xludf.DUMMYFUNCTION("CONCATENATE(GOOGLETRANSLATE(C504, ""en"", ""ko""))"),"남성용 꽃무늬 휴가 긴 소매 졸라매는 끈 후드티")</f>
        <v>남성용 꽃무늬 휴가 긴 소매 졸라매는 끈 후드티</v>
      </c>
      <c r="F504" s="1" t="str">
        <f>IFERROR(__xludf.DUMMYFUNCTION("CONCATENATE(GOOGLETRANSLATE(C504, ""en"", ""ja""))"),"メンズ花柄バケーション長袖巾着パーカー")</f>
        <v>メンズ花柄バケーション長袖巾着パーカー</v>
      </c>
    </row>
    <row r="505" ht="15.75" customHeight="1">
      <c r="A505" s="1">
        <v>1978.0</v>
      </c>
      <c r="B505" s="1" t="s">
        <v>381</v>
      </c>
      <c r="C505" s="1" t="s">
        <v>492</v>
      </c>
      <c r="D505" s="1" t="str">
        <f>IFERROR(__xludf.DUMMYFUNCTION("CONCATENATE(GOOGLETRANSLATE(C505, ""en"", ""zh-cn""))"),"男式日本武士猫花卉背面印花长袖连帽衫")</f>
        <v>男式日本武士猫花卉背面印花长袖连帽衫</v>
      </c>
      <c r="E505" s="1" t="str">
        <f>IFERROR(__xludf.DUMMYFUNCTION("CONCATENATE(GOOGLETRANSLATE(C505, ""en"", ""ko""))"),"남성용 일본 전사 고양이 꽃무늬 뒷면 프린트 긴 소매 후드티")</f>
        <v>남성용 일본 전사 고양이 꽃무늬 뒷면 프린트 긴 소매 후드티</v>
      </c>
      <c r="F505" s="1" t="str">
        <f>IFERROR(__xludf.DUMMYFUNCTION("CONCATENATE(GOOGLETRANSLATE(C505, ""en"", ""ja""))"),"メンズ日本戦士猫花柄バックプリント長袖パーカー")</f>
        <v>メンズ日本戦士猫花柄バックプリント長袖パーカー</v>
      </c>
    </row>
    <row r="506" ht="15.75" customHeight="1">
      <c r="A506" s="1">
        <v>1979.0</v>
      </c>
      <c r="B506" s="1" t="s">
        <v>381</v>
      </c>
      <c r="C506" s="1" t="s">
        <v>493</v>
      </c>
      <c r="D506" s="1" t="str">
        <f>IFERROR(__xludf.DUMMYFUNCTION("CONCATENATE(GOOGLETRANSLATE(C506, ""en"", ""zh-cn""))"),"男式中国新年龙印花圆领套头运动衫")</f>
        <v>男式中国新年龙印花圆领套头运动衫</v>
      </c>
      <c r="E506" s="1" t="str">
        <f>IFERROR(__xludf.DUMMYFUNCTION("CONCATENATE(GOOGLETRANSLATE(C506, ""en"", ""ko""))"),"남성용 구정 드래곤 프린트 크루넥 풀오버 스웨트셔츠")</f>
        <v>남성용 구정 드래곤 프린트 크루넥 풀오버 스웨트셔츠</v>
      </c>
      <c r="F506" s="1" t="str">
        <f>IFERROR(__xludf.DUMMYFUNCTION("CONCATENATE(GOOGLETRANSLATE(C506, ""en"", ""ja""))"),"メンズ旧正月ドラゴンプリントクルーネックプルオーバースウェットシャツ")</f>
        <v>メンズ旧正月ドラゴンプリントクルーネックプルオーバースウェットシャツ</v>
      </c>
    </row>
    <row r="507" ht="15.75" customHeight="1">
      <c r="A507" s="1">
        <v>1980.0</v>
      </c>
      <c r="B507" s="1" t="s">
        <v>381</v>
      </c>
      <c r="C507" s="1" t="s">
        <v>494</v>
      </c>
      <c r="D507" s="1" t="str">
        <f>IFERROR(__xludf.DUMMYFUNCTION("CONCATENATE(GOOGLETRANSLATE(C507, ""en"", ""zh-cn""))"),"男士中国风水墨印花袋鼠口袋抽绳连帽衫")</f>
        <v>男士中国风水墨印花袋鼠口袋抽绳连帽衫</v>
      </c>
      <c r="E507" s="1" t="str">
        <f>IFERROR(__xludf.DUMMYFUNCTION("CONCATENATE(GOOGLETRANSLATE(C507, ""en"", ""ko""))"),"남성용 중국 스타일 잉크 프린트 캥거루 포켓 졸라매는 끈 후드티")</f>
        <v>남성용 중국 스타일 잉크 프린트 캥거루 포켓 졸라매는 끈 후드티</v>
      </c>
      <c r="F507" s="1" t="str">
        <f>IFERROR(__xludf.DUMMYFUNCTION("CONCATENATE(GOOGLETRANSLATE(C507, ""en"", ""ja""))"),"メンズ中国風インクプリントカンガルーポケット巾着パーカー")</f>
        <v>メンズ中国風インクプリントカンガルーポケット巾着パーカー</v>
      </c>
    </row>
    <row r="508" ht="15.75" customHeight="1">
      <c r="A508" s="1">
        <v>1981.0</v>
      </c>
      <c r="B508" s="1" t="s">
        <v>381</v>
      </c>
      <c r="C508" s="1" t="s">
        <v>495</v>
      </c>
      <c r="D508" s="1" t="str">
        <f>IFERROR(__xludf.DUMMYFUNCTION("CONCATENATE(GOOGLETRANSLATE(C508, ""en"", ""zh-cn""))"),"男式民族几何印花拼色抽绳连帽衫")</f>
        <v>男式民族几何印花拼色抽绳连帽衫</v>
      </c>
      <c r="E508" s="1" t="str">
        <f>IFERROR(__xludf.DUMMYFUNCTION("CONCATENATE(GOOGLETRANSLATE(C508, ""en"", ""ko""))"),"남성용 에스닉 기하학적 프린트 컬러 블록 패치워크 드로스트링 후드티")</f>
        <v>남성용 에스닉 기하학적 프린트 컬러 블록 패치워크 드로스트링 후드티</v>
      </c>
      <c r="F508" s="1" t="str">
        <f>IFERROR(__xludf.DUMMYFUNCTION("CONCATENATE(GOOGLETRANSLATE(C508, ""en"", ""ja""))"),"メンズエスニック幾何学プリントカラーブロックパッチワーク巾着パーカー")</f>
        <v>メンズエスニック幾何学プリントカラーブロックパッチワーク巾着パーカー</v>
      </c>
    </row>
    <row r="509" ht="15.75" customHeight="1">
      <c r="A509" s="1">
        <v>1982.0</v>
      </c>
      <c r="B509" s="1" t="s">
        <v>381</v>
      </c>
      <c r="C509" s="1" t="s">
        <v>496</v>
      </c>
      <c r="D509" s="1" t="str">
        <f>IFERROR(__xludf.DUMMYFUNCTION("CONCATENATE(GOOGLETRANSLATE(C509, ""en"", ""zh-cn""))"),"男式卡通猫印花长袖宽松抽绳连帽衫")</f>
        <v>男式卡通猫印花长袖宽松抽绳连帽衫</v>
      </c>
      <c r="E509" s="1" t="str">
        <f>IFERROR(__xludf.DUMMYFUNCTION("CONCATENATE(GOOGLETRANSLATE(C509, ""en"", ""ko""))"),"남성용 만화 고양이 프린트 긴 소매 루즈한 드로스트링 후드티")</f>
        <v>남성용 만화 고양이 프린트 긴 소매 루즈한 드로스트링 후드티</v>
      </c>
      <c r="F509" s="1" t="str">
        <f>IFERROR(__xludf.DUMMYFUNCTION("CONCATENATE(GOOGLETRANSLATE(C509, ""en"", ""ja""))"),"メンズ漫画猫プリント長袖ルーズ巾着パーカー")</f>
        <v>メンズ漫画猫プリント長袖ルーズ巾着パーカー</v>
      </c>
    </row>
    <row r="510" ht="15.75" customHeight="1">
      <c r="A510" s="1">
        <v>1983.0</v>
      </c>
      <c r="B510" s="1" t="s">
        <v>381</v>
      </c>
      <c r="C510" s="1" t="s">
        <v>497</v>
      </c>
      <c r="D510" s="1" t="str">
        <f>IFERROR(__xludf.DUMMYFUNCTION("CONCATENATE(GOOGLETRANSLATE(C510, ""en"", ""zh-cn""))"),"男式民族部落图案拼布袋鼠口袋抽绳连帽衫")</f>
        <v>男式民族部落图案拼布袋鼠口袋抽绳连帽衫</v>
      </c>
      <c r="E510" s="1" t="str">
        <f>IFERROR(__xludf.DUMMYFUNCTION("CONCATENATE(GOOGLETRANSLATE(C510, ""en"", ""ko""))"),"남성용 민족 부족 패턴 패치워크 캥거루 포켓 졸라매는 끈 후드티")</f>
        <v>남성용 민족 부족 패턴 패치워크 캥거루 포켓 졸라매는 끈 후드티</v>
      </c>
      <c r="F510" s="1" t="str">
        <f>IFERROR(__xludf.DUMMYFUNCTION("CONCATENATE(GOOGLETRANSLATE(C510, ""en"", ""ja""))"),"メンズエスニックトライバルパターンパッチワークカンガルーポケット巾着パーカー")</f>
        <v>メンズエスニックトライバルパターンパッチワークカンガルーポケット巾着パーカー</v>
      </c>
    </row>
    <row r="511" ht="15.75" customHeight="1">
      <c r="A511" s="1">
        <v>1984.0</v>
      </c>
      <c r="B511" s="1" t="s">
        <v>381</v>
      </c>
      <c r="C511" s="1" t="s">
        <v>449</v>
      </c>
      <c r="D511" s="1" t="str">
        <f>IFERROR(__xludf.DUMMYFUNCTION("CONCATENATE(GOOGLETRANSLATE(C511, ""en"", ""zh-cn""))"),"男式拼色袋鼠口袋休闲抽绳连帽衫")</f>
        <v>男式拼色袋鼠口袋休闲抽绳连帽衫</v>
      </c>
      <c r="E511" s="1" t="str">
        <f>IFERROR(__xludf.DUMMYFUNCTION("CONCATENATE(GOOGLETRANSLATE(C511, ""en"", ""ko""))"),"남성용 컬러 블록 패치워크 캥거루 포켓 캐주얼 드로스트링 후드티")</f>
        <v>남성용 컬러 블록 패치워크 캥거루 포켓 캐주얼 드로스트링 후드티</v>
      </c>
      <c r="F511" s="1" t="str">
        <f>IFERROR(__xludf.DUMMYFUNCTION("CONCATENATE(GOOGLETRANSLATE(C511, ""en"", ""ja""))"),"メンズカラーブロックパッチワークカンガルーポケットカジュアル巾着パーカー")</f>
        <v>メンズカラーブロックパッチワークカンガルーポケットカジュアル巾着パーカー</v>
      </c>
    </row>
    <row r="512" ht="15.75" customHeight="1">
      <c r="A512" s="1">
        <v>1985.0</v>
      </c>
      <c r="B512" s="1" t="s">
        <v>381</v>
      </c>
      <c r="C512" s="1" t="s">
        <v>498</v>
      </c>
      <c r="D512" s="1" t="str">
        <f>IFERROR(__xludf.DUMMYFUNCTION("CONCATENATE(GOOGLETRANSLATE(C512, ""en"", ""zh-cn""))"),"男式复古色块拼布宽松抽绳连帽衫")</f>
        <v>男式复古色块拼布宽松抽绳连帽衫</v>
      </c>
      <c r="E512" s="1" t="str">
        <f>IFERROR(__xludf.DUMMYFUNCTION("CONCATENATE(GOOGLETRANSLATE(C512, ""en"", ""ko""))"),"남성용 빈티지 컬러 블록 패치워크 루즈한 드로스트링 후드티")</f>
        <v>남성용 빈티지 컬러 블록 패치워크 루즈한 드로스트링 후드티</v>
      </c>
      <c r="F512" s="1" t="str">
        <f>IFERROR(__xludf.DUMMYFUNCTION("CONCATENATE(GOOGLETRANSLATE(C512, ""en"", ""ja""))"),"メンズヴィンテージカラーブロックパッチワークルーズ巾着パーカー")</f>
        <v>メンズヴィンテージカラーブロックパッチワークルーズ巾着パーカー</v>
      </c>
    </row>
    <row r="513" ht="15.75" customHeight="1">
      <c r="A513" s="1">
        <v>1986.0</v>
      </c>
      <c r="B513" s="1" t="s">
        <v>381</v>
      </c>
      <c r="C513" s="1" t="s">
        <v>499</v>
      </c>
      <c r="D513" s="1" t="str">
        <f>IFERROR(__xludf.DUMMYFUNCTION("CONCATENATE(GOOGLETRANSLATE(C513, ""en"", ""zh-cn""))"),"男式日本武士猫印花拼布抽绳连帽衫")</f>
        <v>男式日本武士猫印花拼布抽绳连帽衫</v>
      </c>
      <c r="E513" s="1" t="str">
        <f>IFERROR(__xludf.DUMMYFUNCTION("CONCATENATE(GOOGLETRANSLATE(C513, ""en"", ""ko""))"),"남성용 일본 전사 고양이 프린트 패치워크 드로스트링 후드")</f>
        <v>남성용 일본 전사 고양이 프린트 패치워크 드로스트링 후드</v>
      </c>
      <c r="F513" s="1" t="str">
        <f>IFERROR(__xludf.DUMMYFUNCTION("CONCATENATE(GOOGLETRANSLATE(C513, ""en"", ""ja""))"),"メンズ日本の戦士猫プリントパッチワーク巾着パーカー")</f>
        <v>メンズ日本の戦士猫プリントパッチワーク巾着パーカー</v>
      </c>
    </row>
    <row r="514" ht="15.75" customHeight="1">
      <c r="A514" s="1">
        <v>1987.0</v>
      </c>
      <c r="B514" s="1" t="s">
        <v>381</v>
      </c>
      <c r="C514" s="1" t="s">
        <v>500</v>
      </c>
      <c r="D514" s="1" t="str">
        <f>IFERROR(__xludf.DUMMYFUNCTION("CONCATENATE(GOOGLETRANSLATE(C514, ""en"", ""zh-cn""))"),"男式卡通恐龙日式袖印花日常抽绳连帽衫")</f>
        <v>男式卡通恐龙日式袖印花日常抽绳连帽衫</v>
      </c>
      <c r="E514" s="1" t="str">
        <f>IFERROR(__xludf.DUMMYFUNCTION("CONCATENATE(GOOGLETRANSLATE(C514, ""en"", ""ko""))"),"남성용 만화 공룡 일본식 소매 프린트 일일 드로스트링 후드티")</f>
        <v>남성용 만화 공룡 일본식 소매 프린트 일일 드로스트링 후드티</v>
      </c>
      <c r="F514" s="1" t="str">
        <f>IFERROR(__xludf.DUMMYFUNCTION("CONCATENATE(GOOGLETRANSLATE(C514, ""en"", ""ja""))"),"メンズ漫画恐竜日本袖プリントデイリー巾着パーカー")</f>
        <v>メンズ漫画恐竜日本袖プリントデイリー巾着パーカー</v>
      </c>
    </row>
    <row r="515" ht="15.75" customHeight="1">
      <c r="A515" s="1">
        <v>1988.0</v>
      </c>
      <c r="B515" s="1" t="s">
        <v>381</v>
      </c>
      <c r="C515" s="1" t="s">
        <v>501</v>
      </c>
      <c r="D515" s="1" t="str">
        <f>IFERROR(__xludf.DUMMYFUNCTION("CONCATENATE(GOOGLETRANSLATE(C515, ""en"", ""zh-cn""))"),"男式民族几何印花袋鼠口袋抽绳连帽衫")</f>
        <v>男式民族几何印花袋鼠口袋抽绳连帽衫</v>
      </c>
      <c r="E515" s="1" t="str">
        <f>IFERROR(__xludf.DUMMYFUNCTION("CONCATENATE(GOOGLETRANSLATE(C515, ""en"", ""ko""))"),"남성용 에스닉 기하학 프린트 캥거루 포켓 드로스트링 후드티")</f>
        <v>남성용 에스닉 기하학 프린트 캥거루 포켓 드로스트링 후드티</v>
      </c>
      <c r="F515" s="1" t="str">
        <f>IFERROR(__xludf.DUMMYFUNCTION("CONCATENATE(GOOGLETRANSLATE(C515, ""en"", ""ja""))"),"メンズエスニック幾何学プリントカンガルーポケット巾着パーカー")</f>
        <v>メンズエスニック幾何学プリントカンガルーポケット巾着パーカー</v>
      </c>
    </row>
    <row r="516" ht="15.75" customHeight="1">
      <c r="A516" s="1">
        <v>1989.0</v>
      </c>
      <c r="B516" s="1" t="s">
        <v>381</v>
      </c>
      <c r="C516" s="1" t="s">
        <v>448</v>
      </c>
      <c r="D516" s="1" t="str">
        <f>IFERROR(__xludf.DUMMYFUNCTION("CONCATENATE(GOOGLETRANSLATE(C516, ""en"", ""zh-cn""))"),"男式日本印花色块拼布套头运动衫")</f>
        <v>男式日本印花色块拼布套头运动衫</v>
      </c>
      <c r="E516" s="1" t="str">
        <f>IFERROR(__xludf.DUMMYFUNCTION("CONCATENATE(GOOGLETRANSLATE(C516, ""en"", ""ko""))"),"남성용 일본식 프린트 컬러 블록 패치워크 풀오버 스웨트셔츠")</f>
        <v>남성용 일본식 프린트 컬러 블록 패치워크 풀오버 스웨트셔츠</v>
      </c>
      <c r="F516" s="1" t="str">
        <f>IFERROR(__xludf.DUMMYFUNCTION("CONCATENATE(GOOGLETRANSLATE(C516, ""en"", ""ja""))"),"メンズ日本のプリントカラーブロックパッチワークプルオーバースウェットシャツ")</f>
        <v>メンズ日本のプリントカラーブロックパッチワークプルオーバースウェットシャツ</v>
      </c>
    </row>
    <row r="517" ht="15.75" customHeight="1">
      <c r="A517" s="1">
        <v>1990.0</v>
      </c>
      <c r="B517" s="1" t="s">
        <v>381</v>
      </c>
      <c r="C517" s="1" t="s">
        <v>502</v>
      </c>
      <c r="D517" s="1" t="str">
        <f>IFERROR(__xludf.DUMMYFUNCTION("CONCATENATE(GOOGLETRANSLATE(C517, ""en"", ""zh-cn""))"),"男式微笑民族几何印花拼布抽绳连帽衫")</f>
        <v>男式微笑民族几何印花拼布抽绳连帽衫</v>
      </c>
      <c r="E517" s="1" t="str">
        <f>IFERROR(__xludf.DUMMYFUNCTION("CONCATENATE(GOOGLETRANSLATE(C517, ""en"", ""ko""))"),"남성용 스마일 에스닉 기하학 프린트 패치워크 드로스트링 후드티")</f>
        <v>남성용 스마일 에스닉 기하학 프린트 패치워크 드로스트링 후드티</v>
      </c>
      <c r="F517" s="1" t="str">
        <f>IFERROR(__xludf.DUMMYFUNCTION("CONCATENATE(GOOGLETRANSLATE(C517, ""en"", ""ja""))"),"メンズスマイルエスニック幾何学プリントパッチワーク巾着パーカー")</f>
        <v>メンズスマイルエスニック幾何学プリントパッチワーク巾着パーカー</v>
      </c>
    </row>
    <row r="518" ht="15.75" customHeight="1">
      <c r="A518" s="1">
        <v>1991.0</v>
      </c>
      <c r="B518" s="1" t="s">
        <v>381</v>
      </c>
      <c r="C518" s="1" t="s">
        <v>503</v>
      </c>
      <c r="D518" s="1" t="str">
        <f>IFERROR(__xludf.DUMMYFUNCTION("CONCATENATE(GOOGLETRANSLATE(C518, ""en"", ""zh-cn""))"),"男士玫瑰字母渐变印花圆领套头运动衫")</f>
        <v>男士玫瑰字母渐变印花圆领套头运动衫</v>
      </c>
      <c r="E518" s="1" t="str">
        <f>IFERROR(__xludf.DUMMYFUNCTION("CONCATENATE(GOOGLETRANSLATE(C518, ""en"", ""ko""))"),"남성용 로즈 레터 옴브레 프린트 크루넥 풀오버 스웨트셔츠")</f>
        <v>남성용 로즈 레터 옴브레 프린트 크루넥 풀오버 스웨트셔츠</v>
      </c>
      <c r="F518" s="1" t="str">
        <f>IFERROR(__xludf.DUMMYFUNCTION("CONCATENATE(GOOGLETRANSLATE(C518, ""en"", ""ja""))"),"メンズローズレターオンブルプリントクルーネックプルオーバースウェットシャツ")</f>
        <v>メンズローズレターオンブルプリントクルーネックプルオーバースウェットシャツ</v>
      </c>
    </row>
    <row r="519" ht="15.75" customHeight="1">
      <c r="A519" s="1">
        <v>1992.0</v>
      </c>
      <c r="B519" s="1" t="s">
        <v>381</v>
      </c>
      <c r="C519" s="1" t="s">
        <v>504</v>
      </c>
      <c r="D519" s="1" t="str">
        <f>IFERROR(__xludf.DUMMYFUNCTION("CONCATENATE(GOOGLETRANSLATE(C519, ""en"", ""zh-cn""))"),"男士不规则拼色拼布圆领套头运动衫")</f>
        <v>男士不规则拼色拼布圆领套头运动衫</v>
      </c>
      <c r="E519" s="1" t="str">
        <f>IFERROR(__xludf.DUMMYFUNCTION("CONCATENATE(GOOGLETRANSLATE(C519, ""en"", ""ko""))"),"남성용 불규칙 컬러 블록 패치워크 크루넥 풀오버 스웨트셔츠")</f>
        <v>남성용 불규칙 컬러 블록 패치워크 크루넥 풀오버 스웨트셔츠</v>
      </c>
      <c r="F519" s="1" t="str">
        <f>IFERROR(__xludf.DUMMYFUNCTION("CONCATENATE(GOOGLETRANSLATE(C519, ""en"", ""ja""))"),"メンズ不規則なカラーブロックパッチワーククルーネックプルオーバースウェットシャツ")</f>
        <v>メンズ不規則なカラーブロックパッチワーククルーネックプルオーバースウェットシャツ</v>
      </c>
    </row>
    <row r="520" ht="15.75" customHeight="1">
      <c r="A520" s="1">
        <v>1993.0</v>
      </c>
      <c r="B520" s="1" t="s">
        <v>381</v>
      </c>
      <c r="C520" s="1" t="s">
        <v>505</v>
      </c>
      <c r="D520" s="1" t="str">
        <f>IFERROR(__xludf.DUMMYFUNCTION("CONCATENATE(GOOGLETRANSLATE(C520, ""en"", ""zh-cn""))"),"男士字母民族不对称印花短袖 O 领 T 恤")</f>
        <v>男士字母民族不对称印花短袖 O 领 T 恤</v>
      </c>
      <c r="E520" s="1" t="str">
        <f>IFERROR(__xludf.DUMMYFUNCTION("CONCATENATE(GOOGLETRANSLATE(C520, ""en"", ""ko""))"),"남성용 레터 에스닉 비대칭 프린트 반소매 O 넥 티셔츠")</f>
        <v>남성용 레터 에스닉 비대칭 프린트 반소매 O 넥 티셔츠</v>
      </c>
      <c r="F520" s="1" t="str">
        <f>IFERROR(__xludf.DUMMYFUNCTION("CONCATENATE(GOOGLETRANSLATE(C520, ""en"", ""ja""))"),"メンズ レター エスニック 非対称プリント 半袖 O ネック T シャツ")</f>
        <v>メンズ レター エスニック 非対称プリント 半袖 O ネック T シャツ</v>
      </c>
    </row>
    <row r="521" ht="15.75" customHeight="1">
      <c r="A521" s="1">
        <v>1994.0</v>
      </c>
      <c r="B521" s="1" t="s">
        <v>381</v>
      </c>
      <c r="C521" s="1" t="s">
        <v>506</v>
      </c>
      <c r="D521" s="1" t="str">
        <f>IFERROR(__xludf.DUMMYFUNCTION("CONCATENATE(GOOGLETRANSLATE(C521, ""en"", ""zh-cn""))"),"男士微笑胸口印花 O 领休闲宽松短袖 T 恤")</f>
        <v>男士微笑胸口印花 O 领休闲宽松短袖 T 恤</v>
      </c>
      <c r="E521" s="1" t="str">
        <f>IFERROR(__xludf.DUMMYFUNCTION("CONCATENATE(GOOGLETRANSLATE(C521, ""en"", ""ko""))"),"남성 스마일 체스트 프린트 O 넥 캐주얼 루즈 반팔 티셔츠")</f>
        <v>남성 스마일 체스트 프린트 O 넥 캐주얼 루즈 반팔 티셔츠</v>
      </c>
      <c r="F521" s="1" t="str">
        <f>IFERROR(__xludf.DUMMYFUNCTION("CONCATENATE(GOOGLETRANSLATE(C521, ""en"", ""ja""))"),"メンズスマイル胸プリント O ネックカジュアルルーズ半袖 T シャツ")</f>
        <v>メンズスマイル胸プリント O ネックカジュアルルーズ半袖 T シャツ</v>
      </c>
    </row>
    <row r="522" ht="15.75" customHeight="1">
      <c r="A522" s="1">
        <v>1995.0</v>
      </c>
      <c r="B522" s="1" t="s">
        <v>381</v>
      </c>
      <c r="C522" s="1" t="s">
        <v>507</v>
      </c>
      <c r="D522" s="1" t="str">
        <f>IFERROR(__xludf.DUMMYFUNCTION("CONCATENATE(GOOGLETRANSLATE(C522, ""en"", ""zh-cn""))"),"男士拼色纹理圆领休闲 T 恤")</f>
        <v>男士拼色纹理圆领休闲 T 恤</v>
      </c>
      <c r="E522" s="1" t="str">
        <f>IFERROR(__xludf.DUMMYFUNCTION("CONCATENATE(GOOGLETRANSLATE(C522, ""en"", ""ko""))"),"남성용 컬러 블록 Veins 크루넥 캐주얼 티셔츠")</f>
        <v>남성용 컬러 블록 Veins 크루넥 캐주얼 티셔츠</v>
      </c>
      <c r="F522" s="1" t="str">
        <f>IFERROR(__xludf.DUMMYFUNCTION("CONCATENATE(GOOGLETRANSLATE(C522, ""en"", ""ja""))"),"メンズ カラーブロック ヴェインズ クルーネック カジュアル T シャツ")</f>
        <v>メンズ カラーブロック ヴェインズ クルーネック カジュアル T シャツ</v>
      </c>
    </row>
    <row r="523" ht="15.75" customHeight="1">
      <c r="A523" s="1">
        <v>1996.0</v>
      </c>
      <c r="B523" s="1" t="s">
        <v>381</v>
      </c>
      <c r="C523" s="1" t="s">
        <v>508</v>
      </c>
      <c r="D523" s="1" t="str">
        <f>IFERROR(__xludf.DUMMYFUNCTION("CONCATENATE(GOOGLETRANSLATE(C523, ""en"", ""zh-cn""))"),"100% 棉男式卡通宇航员星球印花短袖搞笑 T 恤")</f>
        <v>100% 棉男式卡通宇航员星球印花短袖搞笑 T 恤</v>
      </c>
      <c r="E523" s="1" t="str">
        <f>IFERROR(__xludf.DUMMYFUNCTION("CONCATENATE(GOOGLETRANSLATE(C523, ""en"", ""ko""))"),"100% 면 망 만화 우주 비행사 행성 인쇄 짧은 소매 재미 티셔츠")</f>
        <v>100% 면 망 만화 우주 비행사 행성 인쇄 짧은 소매 재미 티셔츠</v>
      </c>
      <c r="F523" s="1" t="str">
        <f>IFERROR(__xludf.DUMMYFUNCTION("CONCATENATE(GOOGLETRANSLATE(C523, ""en"", ""ja""))"),"綿 100% メンズ漫画宇宙飛行士惑星プリント半袖面白い T シャツ")</f>
        <v>綿 100% メンズ漫画宇宙飛行士惑星プリント半袖面白い T シャツ</v>
      </c>
    </row>
    <row r="524" ht="15.75" customHeight="1">
      <c r="A524" s="1">
        <v>1997.0</v>
      </c>
      <c r="B524" s="1" t="s">
        <v>381</v>
      </c>
      <c r="C524" s="1" t="s">
        <v>509</v>
      </c>
      <c r="D524" s="1" t="str">
        <f>IFERROR(__xludf.DUMMYFUNCTION("CONCATENATE(GOOGLETRANSLATE(C524, ""en"", ""zh-cn""))"),"可爱卡通宇航员印花短袖 100*棉质透气 T 恤")</f>
        <v>可爱卡通宇航员印花短袖 100*棉质透气 T 恤</v>
      </c>
      <c r="E524" s="1" t="str">
        <f>IFERROR(__xludf.DUMMYFUNCTION("CONCATENATE(GOOGLETRANSLATE(C524, ""en"", ""ko""))"),"귀여운 만화 우주 비행사 프린트 반팔 100*면 통기성 티셔츠")</f>
        <v>귀여운 만화 우주 비행사 프린트 반팔 100*면 통기성 티셔츠</v>
      </c>
      <c r="F524" s="1" t="str">
        <f>IFERROR(__xludf.DUMMYFUNCTION("CONCATENATE(GOOGLETRANSLATE(C524, ""en"", ""ja""))"),"かわいい漫画の宇宙飛行士プリント半袖綿 100 通気性 T シャツ")</f>
        <v>かわいい漫画の宇宙飛行士プリント半袖綿 100 通気性 T シャツ</v>
      </c>
    </row>
    <row r="525" ht="15.75" customHeight="1">
      <c r="A525" s="1">
        <v>1998.0</v>
      </c>
      <c r="B525" s="1" t="s">
        <v>381</v>
      </c>
      <c r="C525" s="1" t="s">
        <v>510</v>
      </c>
      <c r="D525" s="1" t="str">
        <f>IFERROR(__xludf.DUMMYFUNCTION("CONCATENATE(GOOGLETRANSLATE(C525, ""en"", ""zh-cn""))"),"男士纯色针织华夫格短袖 T 恤")</f>
        <v>男士纯色针织华夫格短袖 T 恤</v>
      </c>
      <c r="E525" s="1" t="str">
        <f>IFERROR(__xludf.DUMMYFUNCTION("CONCATENATE(GOOGLETRANSLATE(C525, ""en"", ""ko""))"),"남성 플레인 텍스처 니트 와플 반소매 티셔츠")</f>
        <v>남성 플레인 텍스처 니트 와플 반소매 티셔츠</v>
      </c>
      <c r="F525" s="1" t="str">
        <f>IFERROR(__xludf.DUMMYFUNCTION("CONCATENATE(GOOGLETRANSLATE(C525, ""en"", ""ja""))"),"メンズ プレーン テクスチャー ニット ワッフル 半袖 T シャツ")</f>
        <v>メンズ プレーン テクスチャー ニット ワッフル 半袖 T シャツ</v>
      </c>
    </row>
    <row r="526" ht="15.75" customHeight="1">
      <c r="A526" s="1">
        <v>1999.0</v>
      </c>
      <c r="B526" s="1" t="s">
        <v>381</v>
      </c>
      <c r="C526" s="1" t="s">
        <v>511</v>
      </c>
      <c r="D526" s="1" t="str">
        <f>IFERROR(__xludf.DUMMYFUNCTION("CONCATENATE(GOOGLETRANSLATE(C526, ""en"", ""zh-cn""))"),"男士民族图案圆领休闲短袖 T 恤")</f>
        <v>男士民族图案圆领休闲短袖 T 恤</v>
      </c>
      <c r="E526" s="1" t="str">
        <f>IFERROR(__xludf.DUMMYFUNCTION("CONCATENATE(GOOGLETRANSLATE(C526, ""en"", ""ko""))"),"남성용 에스닉 패턴 크루넥 캐주얼 반팔 티셔츠")</f>
        <v>남성용 에스닉 패턴 크루넥 캐주얼 반팔 티셔츠</v>
      </c>
      <c r="F526" s="1" t="str">
        <f>IFERROR(__xludf.DUMMYFUNCTION("CONCATENATE(GOOGLETRANSLATE(C526, ""en"", ""ja""))"),"メンズエスニック柄クルーネックカジュアル半袖Tシャツ")</f>
        <v>メンズエスニック柄クルーネックカジュアル半袖Tシャツ</v>
      </c>
    </row>
    <row r="527" ht="15.75" customHeight="1">
      <c r="A527" s="1">
        <v>2000.0</v>
      </c>
      <c r="B527" s="1" t="s">
        <v>381</v>
      </c>
      <c r="C527" s="1" t="s">
        <v>512</v>
      </c>
      <c r="D527" s="1" t="str">
        <f>IFERROR(__xludf.DUMMYFUNCTION("CONCATENATE(GOOGLETRANSLATE(C527, ""en"", ""zh-cn""))"),"男士日式猫咪印花圆领棉质短袖 T 恤")</f>
        <v>男士日式猫咪印花圆领棉质短袖 T 恤</v>
      </c>
      <c r="E527" s="1" t="str">
        <f>IFERROR(__xludf.DUMMYFUNCTION("CONCATENATE(GOOGLETRANSLATE(C527, ""en"", ""ko""))"),"남성 일본식 고양이 프린트 크루넥 코튼 반팔 티셔츠")</f>
        <v>남성 일본식 고양이 프린트 크루넥 코튼 반팔 티셔츠</v>
      </c>
      <c r="F527" s="1" t="str">
        <f>IFERROR(__xludf.DUMMYFUNCTION("CONCATENATE(GOOGLETRANSLATE(C527, ""en"", ""ja""))"),"メンズ和風猫プリントクルーネックコットン半袖 T シャツ")</f>
        <v>メンズ和風猫プリントクルーネックコットン半袖 T シャツ</v>
      </c>
    </row>
    <row r="528" ht="15.75" customHeight="1">
      <c r="A528" s="1">
        <v>2001.0</v>
      </c>
      <c r="B528" s="1" t="s">
        <v>381</v>
      </c>
      <c r="C528" s="1" t="s">
        <v>513</v>
      </c>
      <c r="D528" s="1" t="str">
        <f>IFERROR(__xludf.DUMMYFUNCTION("CONCATENATE(GOOGLETRANSLATE(C528, ""en"", ""zh-cn""))"),"男士撞色网布拼布圆领短袖 T 恤")</f>
        <v>男士撞色网布拼布圆领短袖 T 恤</v>
      </c>
      <c r="E528" s="1" t="str">
        <f>IFERROR(__xludf.DUMMYFUNCTION("CONCATENATE(GOOGLETRANSLATE(C528, ""en"", ""ko""))"),"남성 콘트라스트 메쉬 패치워크 크루넥 반팔 티셔츠")</f>
        <v>남성 콘트라스트 메쉬 패치워크 크루넥 반팔 티셔츠</v>
      </c>
      <c r="F528" s="1" t="str">
        <f>IFERROR(__xludf.DUMMYFUNCTION("CONCATENATE(GOOGLETRANSLATE(C528, ""en"", ""ja""))"),"メンズコントラストメッシュパッチワーククルーネック半袖Tシャツ")</f>
        <v>メンズコントラストメッシュパッチワーククルーネック半袖Tシャツ</v>
      </c>
    </row>
    <row r="529" ht="15.75" customHeight="1">
      <c r="A529" s="1">
        <v>2002.0</v>
      </c>
      <c r="B529" s="1" t="s">
        <v>381</v>
      </c>
      <c r="C529" s="1" t="s">
        <v>514</v>
      </c>
      <c r="D529" s="1" t="str">
        <f>IFERROR(__xludf.DUMMYFUNCTION("CONCATENATE(GOOGLETRANSLATE(C529, ""en"", ""zh-cn""))"),"男士钩针针织镂空透视针织圆领 T 恤")</f>
        <v>男士钩针针织镂空透视针织圆领 T 恤</v>
      </c>
      <c r="E529" s="1" t="str">
        <f>IFERROR(__xludf.DUMMYFUNCTION("CONCATENATE(GOOGLETRANSLATE(C529, ""en"", ""ko""))"),"남성 크로셰 니트 할로우 아웃 시스루 니트 라운드 넥 티셔츠")</f>
        <v>남성 크로셰 니트 할로우 아웃 시스루 니트 라운드 넥 티셔츠</v>
      </c>
      <c r="F529" s="1" t="str">
        <f>IFERROR(__xludf.DUMMYFUNCTION("CONCATENATE(GOOGLETRANSLATE(C529, ""en"", ""ja""))"),"メンズかぎ針編みニット中空シースルーニットラウンドネックTシャツ")</f>
        <v>メンズかぎ針編みニット中空シースルーニットラウンドネックTシャツ</v>
      </c>
    </row>
    <row r="530" ht="15.75" customHeight="1">
      <c r="A530" s="1">
        <v>2003.0</v>
      </c>
      <c r="B530" s="1" t="s">
        <v>381</v>
      </c>
      <c r="C530" s="1" t="s">
        <v>515</v>
      </c>
      <c r="D530" s="1" t="str">
        <f>IFERROR(__xludf.DUMMYFUNCTION("CONCATENATE(GOOGLETRANSLATE(C530, ""en"", ""zh-cn""))"),"男士蕾丝透视圆领短袖 T 恤")</f>
        <v>男士蕾丝透视圆领短袖 T 恤</v>
      </c>
      <c r="E530" s="1" t="str">
        <f>IFERROR(__xludf.DUMMYFUNCTION("CONCATENATE(GOOGLETRANSLATE(C530, ""en"", ""ko""))"),"남성 레이스 시스루 크루넥 반소매 티셔츠")</f>
        <v>남성 레이스 시스루 크루넥 반소매 티셔츠</v>
      </c>
      <c r="F530" s="1" t="str">
        <f>IFERROR(__xludf.DUMMYFUNCTION("CONCATENATE(GOOGLETRANSLATE(C530, ""en"", ""ja""))"),"メンズ レース シースルー クルーネック 半袖 T シャツ")</f>
        <v>メンズ レース シースルー クルーネック 半袖 T シャツ</v>
      </c>
    </row>
    <row r="531" ht="15.75" customHeight="1">
      <c r="A531" s="1">
        <v>2004.0</v>
      </c>
      <c r="B531" s="1" t="s">
        <v>381</v>
      </c>
      <c r="C531" s="1" t="s">
        <v>516</v>
      </c>
      <c r="D531" s="1" t="str">
        <f>IFERROR(__xludf.DUMMYFUNCTION("CONCATENATE(GOOGLETRANSLATE(C531, ""en"", ""zh-cn""))"),"男士透明网眼高领长袖 T 恤")</f>
        <v>男士透明网眼高领长袖 T 恤</v>
      </c>
      <c r="E531" s="1" t="str">
        <f>IFERROR(__xludf.DUMMYFUNCTION("CONCATENATE(GOOGLETRANSLATE(C531, ""en"", ""ko""))"),"남성용 시어 메쉬 시스루 하이넥 긴소매 티셔츠")</f>
        <v>남성용 시어 메쉬 시스루 하이넥 긴소매 티셔츠</v>
      </c>
      <c r="F531" s="1" t="str">
        <f>IFERROR(__xludf.DUMMYFUNCTION("CONCATENATE(GOOGLETRANSLATE(C531, ""en"", ""ja""))"),"メンズ シアー メッシュ シースルー ハイネック 長袖 T シャツ")</f>
        <v>メンズ シアー メッシュ シースルー ハイネック 長袖 T シャツ</v>
      </c>
    </row>
    <row r="532" ht="15.75" customHeight="1">
      <c r="A532" s="1">
        <v>2005.0</v>
      </c>
      <c r="B532" s="1" t="s">
        <v>381</v>
      </c>
      <c r="C532" s="1" t="s">
        <v>517</v>
      </c>
      <c r="D532" s="1" t="str">
        <f>IFERROR(__xludf.DUMMYFUNCTION("CONCATENATE(GOOGLETRANSLATE(C532, ""en"", ""zh-cn""))"),"男式几何印花拼布胸袋短袖连帽 T 恤")</f>
        <v>男式几何印花拼布胸袋短袖连帽 T 恤</v>
      </c>
      <c r="E532" s="1" t="str">
        <f>IFERROR(__xludf.DUMMYFUNCTION("CONCATENATE(GOOGLETRANSLATE(C532, ""en"", ""ko""))"),"남성용 기하학 프린트 패치워크 가슴 주머니 반소매 후드 티셔츠")</f>
        <v>남성용 기하학 프린트 패치워크 가슴 주머니 반소매 후드 티셔츠</v>
      </c>
      <c r="F532" s="1" t="str">
        <f>IFERROR(__xludf.DUMMYFUNCTION("CONCATENATE(GOOGLETRANSLATE(C532, ""en"", ""ja""))"),"メンズ幾何学プリント パッチワーク胸ポケット半袖フード付き T シャツ")</f>
        <v>メンズ幾何学プリント パッチワーク胸ポケット半袖フード付き T シャツ</v>
      </c>
    </row>
    <row r="533" ht="15.75" customHeight="1">
      <c r="A533" s="1">
        <v>2006.0</v>
      </c>
      <c r="B533" s="1" t="s">
        <v>381</v>
      </c>
      <c r="C533" s="1" t="s">
        <v>518</v>
      </c>
      <c r="D533" s="1" t="str">
        <f>IFERROR(__xludf.DUMMYFUNCTION("CONCATENATE(GOOGLETRANSLATE(C533, ""en"", ""zh-cn""))"),"男式纯色贴花圆领针织短袖 T 恤")</f>
        <v>男式纯色贴花圆领针织短袖 T 恤</v>
      </c>
      <c r="E533" s="1" t="str">
        <f>IFERROR(__xludf.DUMMYFUNCTION("CONCATENATE(GOOGLETRANSLATE(C533, ""en"", ""ko""))"),"남성 단색 아플리케 크루넥 니트 반소매 티셔츠")</f>
        <v>남성 단색 아플리케 크루넥 니트 반소매 티셔츠</v>
      </c>
      <c r="F533" s="1" t="str">
        <f>IFERROR(__xludf.DUMMYFUNCTION("CONCATENATE(GOOGLETRANSLATE(C533, ""en"", ""ja""))"),"メンズソリッドカラーアップリケクルーネックニット半袖Tシャツ")</f>
        <v>メンズソリッドカラーアップリケクルーネックニット半袖Tシャツ</v>
      </c>
    </row>
    <row r="534" ht="15.75" customHeight="1">
      <c r="A534" s="1">
        <v>2007.0</v>
      </c>
      <c r="B534" s="1" t="s">
        <v>381</v>
      </c>
      <c r="C534" s="1" t="s">
        <v>519</v>
      </c>
      <c r="D534" s="1" t="str">
        <f>IFERROR(__xludf.DUMMYFUNCTION("CONCATENATE(GOOGLETRANSLATE(C534, ""en"", ""zh-cn""))"),"男士鲤鱼武士猫印花日式短袖T恤")</f>
        <v>男士鲤鱼武士猫印花日式短袖T恤</v>
      </c>
      <c r="E534" s="1" t="str">
        <f>IFERROR(__xludf.DUMMYFUNCTION("CONCATENATE(GOOGLETRANSLATE(C534, ""en"", ""ko""))"),"Mens Carp Warrior Cat 프린트 일본식 반팔 티셔츠")</f>
        <v>Mens Carp Warrior Cat 프린트 일본식 반팔 티셔츠</v>
      </c>
      <c r="F534" s="1" t="str">
        <f>IFERROR(__xludf.DUMMYFUNCTION("CONCATENATE(GOOGLETRANSLATE(C534, ""en"", ""ja""))"),"メンズ鯉戦士猫プリント和風半袖 T シャツ")</f>
        <v>メンズ鯉戦士猫プリント和風半袖 T シャツ</v>
      </c>
    </row>
    <row r="535" ht="15.75" customHeight="1">
      <c r="A535" s="1">
        <v>2008.0</v>
      </c>
      <c r="B535" s="1" t="s">
        <v>381</v>
      </c>
      <c r="C535" s="1" t="s">
        <v>520</v>
      </c>
      <c r="D535" s="1" t="str">
        <f>IFERROR(__xludf.DUMMYFUNCTION("CONCATENATE(GOOGLETRANSLATE(C535, ""en"", ""zh-cn""))"),"男士透明网眼透视热图身体印花弹力 T 恤")</f>
        <v>男士透明网眼透视热图身体印花弹力 T 恤</v>
      </c>
      <c r="E535" s="1" t="str">
        <f>IFERROR(__xludf.DUMMYFUNCTION("CONCATENATE(GOOGLETRANSLATE(C535, ""en"", ""ko""))"),"남성용 시어 메쉬 시스루 히트 맵 바디 프린트 스트레치 티셔츠")</f>
        <v>남성용 시어 메쉬 시스루 히트 맵 바디 프린트 스트레치 티셔츠</v>
      </c>
      <c r="F535" s="1" t="str">
        <f>IFERROR(__xludf.DUMMYFUNCTION("CONCATENATE(GOOGLETRANSLATE(C535, ""en"", ""ja""))"),"メンズ シアー メッシュ シースルー ヒート マップ ボディ プリント ストレッチ T シャツ")</f>
        <v>メンズ シアー メッシュ シースルー ヒート マップ ボディ プリント ストレッチ T シャツ</v>
      </c>
    </row>
    <row r="536" ht="15.75" customHeight="1">
      <c r="A536" s="1">
        <v>2009.0</v>
      </c>
      <c r="B536" s="1" t="s">
        <v>381</v>
      </c>
      <c r="C536" s="1" t="s">
        <v>521</v>
      </c>
      <c r="D536" s="1" t="str">
        <f>IFERROR(__xludf.DUMMYFUNCTION("CONCATENATE(GOOGLETRANSLATE(C536, ""en"", ""zh-cn""))"),"男士纯色短袖半领 T 恤")</f>
        <v>男士纯色短袖半领 T 恤</v>
      </c>
      <c r="E536" s="1" t="str">
        <f>IFERROR(__xludf.DUMMYFUNCTION("CONCATENATE(GOOGLETRANSLATE(C536, ""en"", ""ko""))"),"남성용 솔리드 반소매 하프 칼라 티셔츠")</f>
        <v>남성용 솔리드 반소매 하프 칼라 티셔츠</v>
      </c>
      <c r="F536" s="1" t="str">
        <f>IFERROR(__xludf.DUMMYFUNCTION("CONCATENATE(GOOGLETRANSLATE(C536, ""en"", ""ja""))"),"メンズソリッド半袖半襟Tシャツ")</f>
        <v>メンズソリッド半袖半襟Tシャツ</v>
      </c>
    </row>
    <row r="537" ht="15.75" customHeight="1">
      <c r="A537" s="1">
        <v>2010.0</v>
      </c>
      <c r="B537" s="1" t="s">
        <v>381</v>
      </c>
      <c r="C537" s="1" t="s">
        <v>522</v>
      </c>
      <c r="D537" s="1" t="str">
        <f>IFERROR(__xludf.DUMMYFUNCTION("CONCATENATE(GOOGLETRANSLATE(C537, ""en"", ""zh-cn""))"),"男式复古菱形图案拼接圆领长袖 T 恤")</f>
        <v>男式复古菱形图案拼接圆领长袖 T 恤</v>
      </c>
      <c r="E537" s="1" t="str">
        <f>IFERROR(__xludf.DUMMYFUNCTION("CONCATENATE(GOOGLETRANSLATE(C537, ""en"", ""ko""))"),"남성 빈티지 아가일 패턴 스티치 크루넥 긴팔 티셔츠")</f>
        <v>남성 빈티지 아가일 패턴 스티치 크루넥 긴팔 티셔츠</v>
      </c>
      <c r="F537" s="1" t="str">
        <f>IFERROR(__xludf.DUMMYFUNCTION("CONCATENATE(GOOGLETRANSLATE(C537, ""en"", ""ja""))"),"メンズ ヴィンテージ アーガイル パターン ステッチ クルーネック 長袖 T シャツ")</f>
        <v>メンズ ヴィンテージ アーガイル パターン ステッチ クルーネック 長袖 T シャツ</v>
      </c>
    </row>
    <row r="538" ht="15.75" customHeight="1">
      <c r="A538" s="1">
        <v>2011.0</v>
      </c>
      <c r="B538" s="1" t="s">
        <v>381</v>
      </c>
      <c r="C538" s="1" t="s">
        <v>523</v>
      </c>
      <c r="D538" s="1" t="str">
        <f>IFERROR(__xludf.DUMMYFUNCTION("CONCATENATE(GOOGLETRANSLATE(C538, ""en"", ""zh-cn""))"),"男式民族佩斯利印花拼接纹理街头服饰短袖 T 恤")</f>
        <v>男式民族佩斯利印花拼接纹理街头服饰短袖 T 恤</v>
      </c>
      <c r="E538" s="1" t="str">
        <f>IFERROR(__xludf.DUMMYFUNCTION("CONCATENATE(GOOGLETRANSLATE(C538, ""en"", ""ko""))"),"남성용 에스닉 페이즐리 프린트 스티치 텍스처 스트리트웨어 반소매 티셔츠")</f>
        <v>남성용 에스닉 페이즐리 프린트 스티치 텍스처 스트리트웨어 반소매 티셔츠</v>
      </c>
      <c r="F538" s="1" t="str">
        <f>IFERROR(__xludf.DUMMYFUNCTION("CONCATENATE(GOOGLETRANSLATE(C538, ""en"", ""ja""))"),"メンズ エスニック ペイズリー プリント ステッチ テクスチャ ストリートウェア 半袖 T シャツ")</f>
        <v>メンズ エスニック ペイズリー プリント ステッチ テクスチャ ストリートウェア 半袖 T シャツ</v>
      </c>
    </row>
    <row r="539" ht="15.75" customHeight="1">
      <c r="A539" s="1">
        <v>2012.0</v>
      </c>
      <c r="B539" s="1" t="s">
        <v>381</v>
      </c>
      <c r="C539" s="1" t="s">
        <v>524</v>
      </c>
      <c r="D539" s="1" t="str">
        <f>IFERROR(__xludf.DUMMYFUNCTION("CONCATENATE(GOOGLETRANSLATE(C539, ""en"", ""zh-cn""))"),"男式几何搞笑脸印花拼布针织短袖 T 恤")</f>
        <v>男式几何搞笑脸印花拼布针织短袖 T 恤</v>
      </c>
      <c r="E539" s="1" t="str">
        <f>IFERROR(__xludf.DUMMYFUNCTION("CONCATENATE(GOOGLETRANSLATE(C539, ""en"", ""ko""))"),"남성용 기하학 퍼니 페이스 프린트 패치워크 니트 반소매 티셔츠")</f>
        <v>남성용 기하학 퍼니 페이스 프린트 패치워크 니트 반소매 티셔츠</v>
      </c>
      <c r="F539" s="1" t="str">
        <f>IFERROR(__xludf.DUMMYFUNCTION("CONCATENATE(GOOGLETRANSLATE(C539, ""en"", ""ja""))"),"メンズ幾何学的な面白い顔プリント パッチワーク ニット半袖 T シャツ")</f>
        <v>メンズ幾何学的な面白い顔プリント パッチワーク ニット半袖 T シャツ</v>
      </c>
    </row>
    <row r="540" ht="15.75" customHeight="1">
      <c r="A540" s="1">
        <v>2013.0</v>
      </c>
      <c r="B540" s="1" t="s">
        <v>381</v>
      </c>
      <c r="C540" s="1" t="s">
        <v>525</v>
      </c>
      <c r="D540" s="1" t="str">
        <f>IFERROR(__xludf.DUMMYFUNCTION("CONCATENATE(GOOGLETRANSLATE(C540, ""en"", ""zh-cn""))"),"男士字母花卉印花圆领短袖 T 恤")</f>
        <v>男士字母花卉印花圆领短袖 T 恤</v>
      </c>
      <c r="E540" s="1" t="str">
        <f>IFERROR(__xludf.DUMMYFUNCTION("CONCATENATE(GOOGLETRANSLATE(C540, ""en"", ""ko""))"),"남성용 레터 플로럴 프린트 크루넥 반소매 티셔츠")</f>
        <v>남성용 레터 플로럴 프린트 크루넥 반소매 티셔츠</v>
      </c>
      <c r="F540" s="1" t="str">
        <f>IFERROR(__xludf.DUMMYFUNCTION("CONCATENATE(GOOGLETRANSLATE(C540, ""en"", ""ja""))"),"メンズレターフローラルプリントクルーネック半袖Tシャツ")</f>
        <v>メンズレターフローラルプリントクルーネック半袖Tシャツ</v>
      </c>
    </row>
    <row r="541" ht="15.75" customHeight="1">
      <c r="A541" s="1">
        <v>2014.0</v>
      </c>
      <c r="B541" s="1" t="s">
        <v>381</v>
      </c>
      <c r="C541" s="1" t="s">
        <v>526</v>
      </c>
      <c r="D541" s="1" t="str">
        <f>IFERROR(__xludf.DUMMYFUNCTION("CONCATENATE(GOOGLETRANSLATE(C541, ""en"", ""zh-cn""))"),"男士几何字母印花拼布短袖 T 恤")</f>
        <v>男士几何字母印花拼布短袖 T 恤</v>
      </c>
      <c r="E541" s="1" t="str">
        <f>IFERROR(__xludf.DUMMYFUNCTION("CONCATENATE(GOOGLETRANSLATE(C541, ""en"", ""ko""))"),"남성용 기하학 문자 프린트 패치워크 반소매 티셔츠")</f>
        <v>남성용 기하학 문자 프린트 패치워크 반소매 티셔츠</v>
      </c>
      <c r="F541" s="1" t="str">
        <f>IFERROR(__xludf.DUMMYFUNCTION("CONCATENATE(GOOGLETRANSLATE(C541, ""en"", ""ja""))"),"メンズ幾何学レタープリントパッチワーク半袖Tシャツ")</f>
        <v>メンズ幾何学レタープリントパッチワーク半袖Tシャツ</v>
      </c>
    </row>
    <row r="542" ht="15.75" customHeight="1">
      <c r="A542" s="1">
        <v>2015.0</v>
      </c>
      <c r="B542" s="1" t="s">
        <v>381</v>
      </c>
      <c r="C542" s="1" t="s">
        <v>527</v>
      </c>
      <c r="D542" s="1" t="str">
        <f>IFERROR(__xludf.DUMMYFUNCTION("CONCATENATE(GOOGLETRANSLATE(C542, ""en"", ""zh-cn""))"),"男式刺绣撞色拼布下摆侧拉链短袖 T 恤")</f>
        <v>男式刺绣撞色拼布下摆侧拉链短袖 T 恤</v>
      </c>
      <c r="E542" s="1" t="str">
        <f>IFERROR(__xludf.DUMMYFUNCTION("CONCATENATE(GOOGLETRANSLATE(C542, ""en"", ""ko""))"),"남성용 자수 대비 패치워크 밑단 사이드 지퍼 반소매 티셔츠")</f>
        <v>남성용 자수 대비 패치워크 밑단 사이드 지퍼 반소매 티셔츠</v>
      </c>
      <c r="F542" s="1" t="str">
        <f>IFERROR(__xludf.DUMMYFUNCTION("CONCATENATE(GOOGLETRANSLATE(C542, ""en"", ""ja""))"),"メンズ刺繍コントラストパッチワークヘムサイドジップ半袖Tシャツ")</f>
        <v>メンズ刺繍コントラストパッチワークヘムサイドジップ半袖Tシャツ</v>
      </c>
    </row>
    <row r="543" ht="15.75" customHeight="1">
      <c r="A543" s="1">
        <v>2016.0</v>
      </c>
      <c r="B543" s="1" t="s">
        <v>381</v>
      </c>
      <c r="C543" s="1" t="s">
        <v>528</v>
      </c>
      <c r="D543" s="1" t="str">
        <f>IFERROR(__xludf.DUMMYFUNCTION("CONCATENATE(GOOGLETRANSLATE(C543, ""en"", ""zh-cn""))"),"男士纽扣丝带设计口袋休闲短袖 T 恤")</f>
        <v>男士纽扣丝带设计口袋休闲短袖 T 恤</v>
      </c>
      <c r="E543" s="1" t="str">
        <f>IFERROR(__xludf.DUMMYFUNCTION("CONCATENATE(GOOGLETRANSLATE(C543, ""en"", ""ko""))"),"남성용 버튼 리본 디자인 포켓 캐주얼 반소매 티셔츠")</f>
        <v>남성용 버튼 리본 디자인 포켓 캐주얼 반소매 티셔츠</v>
      </c>
      <c r="F543" s="1" t="str">
        <f>IFERROR(__xludf.DUMMYFUNCTION("CONCATENATE(GOOGLETRANSLATE(C543, ""en"", ""ja""))"),"メンズボタンリボンデザインポケットカジュアル半袖Tシャツ")</f>
        <v>メンズボタンリボンデザインポケットカジュアル半袖Tシャツ</v>
      </c>
    </row>
    <row r="544" ht="15.75" customHeight="1">
      <c r="A544" s="1">
        <v>2017.0</v>
      </c>
      <c r="B544" s="1" t="s">
        <v>381</v>
      </c>
      <c r="C544" s="1" t="s">
        <v>529</v>
      </c>
      <c r="D544" s="1" t="str">
        <f>IFERROR(__xludf.DUMMYFUNCTION("CONCATENATE(GOOGLETRANSLATE(C544, ""en"", ""zh-cn""))"),"男式日本卡通印花短袖连帽 T 恤")</f>
        <v>男式日本卡通印花短袖连帽 T 恤</v>
      </c>
      <c r="E544" s="1" t="str">
        <f>IFERROR(__xludf.DUMMYFUNCTION("CONCATENATE(GOOGLETRANSLATE(C544, ""en"", ""ko""))"),"남성용 일본 만화 프린트 반소매 후드 티셔츠")</f>
        <v>남성용 일본 만화 프린트 반소매 후드 티셔츠</v>
      </c>
      <c r="F544" s="1" t="str">
        <f>IFERROR(__xludf.DUMMYFUNCTION("CONCATENATE(GOOGLETRANSLATE(C544, ""en"", ""ja""))"),"メンズ日本の漫画プリント半袖フード付き T シャツ")</f>
        <v>メンズ日本の漫画プリント半袖フード付き T シャツ</v>
      </c>
    </row>
    <row r="545" ht="15.75" customHeight="1">
      <c r="A545" s="1">
        <v>2018.0</v>
      </c>
      <c r="B545" s="1" t="s">
        <v>381</v>
      </c>
      <c r="C545" s="1" t="s">
        <v>530</v>
      </c>
      <c r="D545" s="1" t="str">
        <f>IFERROR(__xludf.DUMMYFUNCTION("CONCATENATE(GOOGLETRANSLATE(C545, ""en"", ""zh-cn""))"),"男式几何和笑脸印花拼布短袖 T 恤")</f>
        <v>男式几何和笑脸印花拼布短袖 T 恤</v>
      </c>
      <c r="E545" s="1" t="str">
        <f>IFERROR(__xludf.DUMMYFUNCTION("CONCATENATE(GOOGLETRANSLATE(C545, ""en"", ""ko""))"),"남성용 기하학 &amp; 스마일 페이스 프린트 패치워크 반소매 티셔츠")</f>
        <v>남성용 기하학 &amp; 스마일 페이스 프린트 패치워크 반소매 티셔츠</v>
      </c>
      <c r="F545" s="1" t="str">
        <f>IFERROR(__xludf.DUMMYFUNCTION("CONCATENATE(GOOGLETRANSLATE(C545, ""en"", ""ja""))"),"メンズ幾何学模様 &amp; スマイル フェイス プリント パッチワーク 半袖 T シャツ")</f>
        <v>メンズ幾何学模様 &amp; スマイル フェイス プリント パッチワーク 半袖 T シャツ</v>
      </c>
    </row>
    <row r="546" ht="15.75" customHeight="1">
      <c r="A546" s="1">
        <v>2019.0</v>
      </c>
      <c r="B546" s="1" t="s">
        <v>381</v>
      </c>
      <c r="C546" s="1" t="s">
        <v>531</v>
      </c>
      <c r="D546" s="1" t="str">
        <f>IFERROR(__xludf.DUMMYFUNCTION("CONCATENATE(GOOGLETRANSLATE(C546, ""en"", ""zh-cn""))"),"男式民族几何印花拼接圆领短袖 T 恤")</f>
        <v>男式民族几何印花拼接圆领短袖 T 恤</v>
      </c>
      <c r="E546" s="1" t="str">
        <f>IFERROR(__xludf.DUMMYFUNCTION("CONCATENATE(GOOGLETRANSLATE(C546, ""en"", ""ko""))"),"남성용 에스닉 기하학 프린트 스티치 크루넥 반팔 티셔츠")</f>
        <v>남성용 에스닉 기하학 프린트 스티치 크루넥 반팔 티셔츠</v>
      </c>
      <c r="F546" s="1" t="str">
        <f>IFERROR(__xludf.DUMMYFUNCTION("CONCATENATE(GOOGLETRANSLATE(C546, ""en"", ""ja""))"),"メンズエスニック幾何学プリントステッチクルーネック半袖Tシャツ")</f>
        <v>メンズエスニック幾何学プリントステッチクルーネック半袖Tシャツ</v>
      </c>
    </row>
    <row r="547" ht="15.75" customHeight="1">
      <c r="A547" s="1">
        <v>2020.0</v>
      </c>
      <c r="B547" s="1" t="s">
        <v>381</v>
      </c>
      <c r="C547" s="1" t="s">
        <v>532</v>
      </c>
      <c r="D547" s="1" t="str">
        <f>IFERROR(__xludf.DUMMYFUNCTION("CONCATENATE(GOOGLETRANSLATE(C547, ""en"", ""zh-cn""))"),"男士字母字符背面印花弧形下摆短袖 T 恤")</f>
        <v>男士字母字符背面印花弧形下摆短袖 T 恤</v>
      </c>
      <c r="E547" s="1" t="str">
        <f>IFERROR(__xludf.DUMMYFUNCTION("CONCATENATE(GOOGLETRANSLATE(C547, ""en"", ""ko""))"),"남성용 문자 캐릭터 백 프린트 곡선 밑단 반팔 티셔츠")</f>
        <v>남성용 문자 캐릭터 백 프린트 곡선 밑단 반팔 티셔츠</v>
      </c>
      <c r="F547" s="1" t="str">
        <f>IFERROR(__xludf.DUMMYFUNCTION("CONCATENATE(GOOGLETRANSLATE(C547, ""en"", ""ja""))"),"メンズレターキャラクターバックプリントカーブヘム半袖Tシャツ")</f>
        <v>メンズレターキャラクターバックプリントカーブヘム半袖Tシャツ</v>
      </c>
    </row>
    <row r="548" ht="15.75" customHeight="1">
      <c r="A548" s="1">
        <v>2021.0</v>
      </c>
      <c r="B548" s="1" t="s">
        <v>381</v>
      </c>
      <c r="C548" s="1" t="s">
        <v>533</v>
      </c>
      <c r="D548" s="1" t="str">
        <f>IFERROR(__xludf.DUMMYFUNCTION("CONCATENATE(GOOGLETRANSLATE(C548, ""en"", ""zh-cn""))"),"男式日系花卉图案圆领针织短袖 T 恤")</f>
        <v>男式日系花卉图案圆领针织短袖 T 恤</v>
      </c>
      <c r="E548" s="1" t="str">
        <f>IFERROR(__xludf.DUMMYFUNCTION("CONCATENATE(GOOGLETRANSLATE(C548, ""en"", ""ko""))"),"남성용 일본식 꽃무늬 그래픽 크루넥 니트 반소매 티셔츠")</f>
        <v>남성용 일본식 꽃무늬 그래픽 크루넥 니트 반소매 티셔츠</v>
      </c>
      <c r="F548" s="1" t="str">
        <f>IFERROR(__xludf.DUMMYFUNCTION("CONCATENATE(GOOGLETRANSLATE(C548, ""en"", ""ja""))"),"メンズ日本の花柄グラフィック クルーネック ニット半袖 T シャツ")</f>
        <v>メンズ日本の花柄グラフィック クルーネック ニット半袖 T シャツ</v>
      </c>
    </row>
    <row r="549" ht="15.75" customHeight="1">
      <c r="A549" s="1">
        <v>2022.0</v>
      </c>
      <c r="B549" s="1" t="s">
        <v>381</v>
      </c>
      <c r="C549" s="1" t="s">
        <v>534</v>
      </c>
      <c r="D549" s="1" t="str">
        <f>IFERROR(__xludf.DUMMYFUNCTION("CONCATENATE(GOOGLETRANSLATE(C549, ""en"", ""zh-cn""))"),"男士字母几何图案拼布纹理短袖 T 恤")</f>
        <v>男士字母几何图案拼布纹理短袖 T 恤</v>
      </c>
      <c r="E549" s="1" t="str">
        <f>IFERROR(__xludf.DUMMYFUNCTION("CONCATENATE(GOOGLETRANSLATE(C549, ""en"", ""ko""))"),"남성용 문자 기하학적 패턴 패치워크 질감 반팔 티셔츠")</f>
        <v>남성용 문자 기하학적 패턴 패치워크 질감 반팔 티셔츠</v>
      </c>
      <c r="F549" s="1" t="str">
        <f>IFERROR(__xludf.DUMMYFUNCTION("CONCATENATE(GOOGLETRANSLATE(C549, ""en"", ""ja""))"),"メンズレター幾何学模様パッチワークテクスチャ半袖Tシャツ")</f>
        <v>メンズレター幾何学模様パッチワークテクスチャ半袖Tシャツ</v>
      </c>
    </row>
    <row r="550" ht="15.75" customHeight="1">
      <c r="A550" s="1">
        <v>2023.0</v>
      </c>
      <c r="B550" s="1" t="s">
        <v>381</v>
      </c>
      <c r="C550" s="1" t="s">
        <v>535</v>
      </c>
      <c r="D550" s="1" t="str">
        <f>IFERROR(__xludf.DUMMYFUNCTION("CONCATENATE(GOOGLETRANSLATE(C550, ""en"", ""zh-cn""))"),"男式日本樱花印花拼布针织短袖连帽 T 恤")</f>
        <v>男式日本樱花印花拼布针织短袖连帽 T 恤</v>
      </c>
      <c r="E550" s="1" t="str">
        <f>IFERROR(__xludf.DUMMYFUNCTION("CONCATENATE(GOOGLETRANSLATE(C550, ""en"", ""ko""))"),"남성용 일본 벚꽃 프린트 패치워크 니트 반소매 후드 티셔츠")</f>
        <v>남성용 일본 벚꽃 프린트 패치워크 니트 반소매 후드 티셔츠</v>
      </c>
      <c r="F550" s="1" t="str">
        <f>IFERROR(__xludf.DUMMYFUNCTION("CONCATENATE(GOOGLETRANSLATE(C550, ""en"", ""ja""))"),"メンズ日本の桜プリント パッチワーク ニット半袖フード付き T シャツ")</f>
        <v>メンズ日本の桜プリント パッチワーク ニット半袖フード付き T シャツ</v>
      </c>
    </row>
    <row r="551" ht="15.75" customHeight="1">
      <c r="A551" s="1">
        <v>2024.0</v>
      </c>
      <c r="B551" s="1" t="s">
        <v>381</v>
      </c>
      <c r="C551" s="1" t="s">
        <v>536</v>
      </c>
      <c r="D551" s="1" t="str">
        <f>IFERROR(__xludf.DUMMYFUNCTION("CONCATENATE(GOOGLETRANSLATE(C551, ""en"", ""zh-cn""))"),"男士几何图案拼色针织短袖 T 恤")</f>
        <v>男士几何图案拼色针织短袖 T 恤</v>
      </c>
      <c r="E551" s="1" t="str">
        <f>IFERROR(__xludf.DUMMYFUNCTION("CONCATENATE(GOOGLETRANSLATE(C551, ""en"", ""ko""))"),"남성 기하학 패턴 컬러 블록 패치워크 니트 반팔 티셔츠")</f>
        <v>남성 기하학 패턴 컬러 블록 패치워크 니트 반팔 티셔츠</v>
      </c>
      <c r="F551" s="1" t="str">
        <f>IFERROR(__xludf.DUMMYFUNCTION("CONCATENATE(GOOGLETRANSLATE(C551, ""en"", ""ja""))"),"メンズ幾何学模様カラーブロックパッチワークニット半袖Tシャツ")</f>
        <v>メンズ幾何学模様カラーブロックパッチワークニット半袖Tシャツ</v>
      </c>
    </row>
    <row r="552" ht="15.75" customHeight="1">
      <c r="A552" s="1">
        <v>2025.0</v>
      </c>
      <c r="B552" s="1" t="s">
        <v>381</v>
      </c>
      <c r="C552" s="1" t="s">
        <v>537</v>
      </c>
      <c r="D552" s="1" t="str">
        <f>IFERROR(__xludf.DUMMYFUNCTION("CONCATENATE(GOOGLETRANSLATE(C552, ""en"", ""zh-cn""))"),"男士部落图案拼布圆领短袖 T 恤")</f>
        <v>男士部落图案拼布圆领短袖 T 恤</v>
      </c>
      <c r="E552" s="1" t="str">
        <f>IFERROR(__xludf.DUMMYFUNCTION("CONCATENATE(GOOGLETRANSLATE(C552, ""en"", ""ko""))"),"남성 트라이벌 패턴 패치워크 크루넥 반팔 티셔츠")</f>
        <v>남성 트라이벌 패턴 패치워크 크루넥 반팔 티셔츠</v>
      </c>
      <c r="F552" s="1" t="str">
        <f>IFERROR(__xludf.DUMMYFUNCTION("CONCATENATE(GOOGLETRANSLATE(C552, ""en"", ""ja""))"),"メンズ トライバル パターン パッチワーク クルーネック 半袖 T シャツ")</f>
        <v>メンズ トライバル パターン パッチワーク クルーネック 半袖 T シャツ</v>
      </c>
    </row>
    <row r="553" ht="15.75" customHeight="1">
      <c r="A553" s="1">
        <v>2026.0</v>
      </c>
      <c r="B553" s="1" t="s">
        <v>381</v>
      </c>
      <c r="C553" s="1" t="s">
        <v>538</v>
      </c>
      <c r="D553" s="1" t="str">
        <f>IFERROR(__xludf.DUMMYFUNCTION("CONCATENATE(GOOGLETRANSLATE(C553, ""en"", ""zh-cn""))"),"男士字母刺绣圆领罗纹短袖 T 恤")</f>
        <v>男士字母刺绣圆领罗纹短袖 T 恤</v>
      </c>
      <c r="E553" s="1" t="str">
        <f>IFERROR(__xludf.DUMMYFUNCTION("CONCATENATE(GOOGLETRANSLATE(C553, ""en"", ""ko""))"),"남성용 레터 자수 크루넥 골지 반소매 티셔츠")</f>
        <v>남성용 레터 자수 크루넥 골지 반소매 티셔츠</v>
      </c>
      <c r="F553" s="1" t="str">
        <f>IFERROR(__xludf.DUMMYFUNCTION("CONCATENATE(GOOGLETRANSLATE(C553, ""en"", ""ja""))"),"メンズレター刺繍クルーネックリブ半袖Tシャツ")</f>
        <v>メンズレター刺繍クルーネックリブ半袖Tシャツ</v>
      </c>
    </row>
    <row r="554" ht="15.75" customHeight="1">
      <c r="A554" s="1">
        <v>2027.0</v>
      </c>
      <c r="B554" s="1" t="s">
        <v>381</v>
      </c>
      <c r="C554" s="1" t="s">
        <v>539</v>
      </c>
      <c r="D554" s="1" t="str">
        <f>IFERROR(__xludf.DUMMYFUNCTION("CONCATENATE(GOOGLETRANSLATE(C554, ""en"", ""zh-cn""))"),"男式民族风搭配胸袋弧形下摆短袖 T 恤")</f>
        <v>男式民族风搭配胸袋弧形下摆短袖 T 恤</v>
      </c>
      <c r="E554" s="1" t="str">
        <f>IFERROR(__xludf.DUMMYFUNCTION("CONCATENATE(GOOGLETRANSLATE(C554, ""en"", ""ko""))"),"남성 에스닉 매칭 가슴 포켓 곡선 밑단 반팔 티셔츠")</f>
        <v>남성 에스닉 매칭 가슴 포켓 곡선 밑단 반팔 티셔츠</v>
      </c>
      <c r="F554" s="1" t="str">
        <f>IFERROR(__xludf.DUMMYFUNCTION("CONCATENATE(GOOGLETRANSLATE(C554, ""en"", ""ja""))"),"メンズエスニックマッチング胸ポケットカーブヘム半袖Tシャツ")</f>
        <v>メンズエスニックマッチング胸ポケットカーブヘム半袖Tシャツ</v>
      </c>
    </row>
    <row r="555" ht="15.75" customHeight="1">
      <c r="A555" s="1">
        <v>2028.0</v>
      </c>
      <c r="B555" s="1" t="s">
        <v>381</v>
      </c>
      <c r="C555" s="1" t="s">
        <v>540</v>
      </c>
      <c r="D555" s="1" t="str">
        <f>IFERROR(__xludf.DUMMYFUNCTION("CONCATENATE(GOOGLETRANSLATE(C555, ""en"", ""zh-cn""))"),"男式纯色四分之一纽扣罗纹针织短袖 T 恤")</f>
        <v>男式纯色四分之一纽扣罗纹针织短袖 T 恤</v>
      </c>
      <c r="E555" s="1" t="str">
        <f>IFERROR(__xludf.DUMMYFUNCTION("CONCATENATE(GOOGLETRANSLATE(C555, ""en"", ""ko""))"),"남성용 솔리드 쿼터 버튼 리브 니트 반소매 티셔츠")</f>
        <v>남성용 솔리드 쿼터 버튼 리브 니트 반소매 티셔츠</v>
      </c>
      <c r="F555" s="1" t="str">
        <f>IFERROR(__xludf.DUMMYFUNCTION("CONCATENATE(GOOGLETRANSLATE(C555, ""en"", ""ja""))"),"メンズ ソリッド クォーター ボタン リブニット 半袖 T シャツ")</f>
        <v>メンズ ソリッド クォーター ボタン リブニット 半袖 T シャツ</v>
      </c>
    </row>
    <row r="556" ht="15.75" customHeight="1">
      <c r="A556" s="1">
        <v>2029.0</v>
      </c>
      <c r="B556" s="1" t="s">
        <v>381</v>
      </c>
      <c r="C556" s="1" t="s">
        <v>541</v>
      </c>
      <c r="D556" s="1" t="str">
        <f>IFERROR(__xludf.DUMMYFUNCTION("CONCATENATE(GOOGLETRANSLATE(C556, ""en"", ""zh-cn""))"),"男式两色民族笑脸短袖 T 恤")</f>
        <v>男式两色民族笑脸短袖 T 恤</v>
      </c>
      <c r="E556" s="1" t="str">
        <f>IFERROR(__xludf.DUMMYFUNCTION("CONCATENATE(GOOGLETRANSLATE(C556, ""en"", ""ko""))"),"남성용 투톤 에스닉 스마일 페이스 반소매 티셔츠")</f>
        <v>남성용 투톤 에스닉 스마일 페이스 반소매 티셔츠</v>
      </c>
      <c r="F556" s="1" t="str">
        <f>IFERROR(__xludf.DUMMYFUNCTION("CONCATENATE(GOOGLETRANSLATE(C556, ""en"", ""ja""))"),"メンズ ツートーン エスニック スマイリー フェイス 半袖 T シャツ")</f>
        <v>メンズ ツートーン エスニック スマイリー フェイス 半袖 T シャツ</v>
      </c>
    </row>
    <row r="557" ht="15.75" customHeight="1">
      <c r="A557" s="1">
        <v>2030.0</v>
      </c>
      <c r="B557" s="1" t="s">
        <v>381</v>
      </c>
      <c r="C557" s="1" t="s">
        <v>542</v>
      </c>
      <c r="D557" s="1" t="str">
        <f>IFERROR(__xludf.DUMMYFUNCTION("CONCATENATE(GOOGLETRANSLATE(C557, ""en"", ""zh-cn""))"),"男式复古几何字母图案拼布针织短袖 T 恤")</f>
        <v>男式复古几何字母图案拼布针织短袖 T 恤</v>
      </c>
      <c r="E557" s="1" t="str">
        <f>IFERROR(__xludf.DUMMYFUNCTION("CONCATENATE(GOOGLETRANSLATE(C557, ""en"", ""ko""))"),"남성용 빈티지 기하학 문자 패턴 패치워크 니트 반소매 티셔츠")</f>
        <v>남성용 빈티지 기하학 문자 패턴 패치워크 니트 반소매 티셔츠</v>
      </c>
      <c r="F557" s="1" t="str">
        <f>IFERROR(__xludf.DUMMYFUNCTION("CONCATENATE(GOOGLETRANSLATE(C557, ""en"", ""ja""))"),"メンズヴィンテージ幾何学模様のパッチワークニット半袖Tシャツ")</f>
        <v>メンズヴィンテージ幾何学模様のパッチワークニット半袖Tシャツ</v>
      </c>
    </row>
    <row r="558" ht="15.75" customHeight="1">
      <c r="A558" s="1">
        <v>2031.0</v>
      </c>
      <c r="B558" s="1" t="s">
        <v>381</v>
      </c>
      <c r="C558" s="1" t="s">
        <v>543</v>
      </c>
      <c r="D558" s="1" t="str">
        <f>IFERROR(__xludf.DUMMYFUNCTION("CONCATENATE(GOOGLETRANSLATE(C558, ""en"", ""zh-cn""))"),"男士日本条纹短袖针织 T 恤")</f>
        <v>男士日本条纹短袖针织 T 恤</v>
      </c>
      <c r="E558" s="1" t="str">
        <f>IFERROR(__xludf.DUMMYFUNCTION("CONCATENATE(GOOGLETRANSLATE(C558, ""en"", ""ko""))"),"남성용 일본 스트라이프 반소매 니트 티셔츠")</f>
        <v>남성용 일본 스트라이프 반소매 니트 티셔츠</v>
      </c>
      <c r="F558" s="1" t="str">
        <f>IFERROR(__xludf.DUMMYFUNCTION("CONCATENATE(GOOGLETRANSLATE(C558, ""en"", ""ja""))"),"メンズジャパンストライプ半袖ニットTシャツ")</f>
        <v>メンズジャパンストライプ半袖ニットTシャツ</v>
      </c>
    </row>
    <row r="559" ht="15.75" customHeight="1">
      <c r="A559" s="1">
        <v>2032.0</v>
      </c>
      <c r="B559" s="1" t="s">
        <v>381</v>
      </c>
      <c r="C559" s="1" t="s">
        <v>544</v>
      </c>
      <c r="D559" s="1" t="str">
        <f>IFERROR(__xludf.DUMMYFUNCTION("CONCATENATE(GOOGLETRANSLATE(C559, ""en"", ""zh-cn""))"),"男式日本几何印花拼布圆领短袖 T 恤")</f>
        <v>男式日本几何印花拼布圆领短袖 T 恤</v>
      </c>
      <c r="E559" s="1" t="str">
        <f>IFERROR(__xludf.DUMMYFUNCTION("CONCATENATE(GOOGLETRANSLATE(C559, ""en"", ""ko""))"),"남성용 일본 기하학 프린트 패치워크 크루넥 반소매 티셔츠")</f>
        <v>남성용 일본 기하학 프린트 패치워크 크루넥 반소매 티셔츠</v>
      </c>
      <c r="F559" s="1" t="str">
        <f>IFERROR(__xludf.DUMMYFUNCTION("CONCATENATE(GOOGLETRANSLATE(C559, ""en"", ""ja""))"),"メンズ日本の幾何学模様のプリント パッチワーク クルーネック半袖 T シャツ")</f>
        <v>メンズ日本の幾何学模様のプリント パッチワーク クルーネック半袖 T シャツ</v>
      </c>
    </row>
    <row r="560" ht="15.75" customHeight="1">
      <c r="A560" s="1">
        <v>2033.0</v>
      </c>
      <c r="B560" s="1" t="s">
        <v>381</v>
      </c>
      <c r="C560" s="1" t="s">
        <v>545</v>
      </c>
      <c r="D560" s="1" t="str">
        <f>IFERROR(__xludf.DUMMYFUNCTION("CONCATENATE(GOOGLETRANSLATE(C560, ""en"", ""zh-cn""))"),"男式日本猫几何印花圆领短袖 T 恤")</f>
        <v>男式日本猫几何印花圆领短袖 T 恤</v>
      </c>
      <c r="E560" s="1" t="str">
        <f>IFERROR(__xludf.DUMMYFUNCTION("CONCATENATE(GOOGLETRANSLATE(C560, ""en"", ""ko""))"),"남성용 일본 고양이 기하학 프린트 크루넥 반팔 티셔츠")</f>
        <v>남성용 일본 고양이 기하학 프린트 크루넥 반팔 티셔츠</v>
      </c>
      <c r="F560" s="1" t="str">
        <f>IFERROR(__xludf.DUMMYFUNCTION("CONCATENATE(GOOGLETRANSLATE(C560, ""en"", ""ja""))"),"メンズ日本猫幾何学プリント クルーネック半袖 T シャツ")</f>
        <v>メンズ日本猫幾何学プリント クルーネック半袖 T シャツ</v>
      </c>
    </row>
    <row r="561" ht="15.75" customHeight="1">
      <c r="A561" s="1">
        <v>2034.0</v>
      </c>
      <c r="B561" s="1" t="s">
        <v>381</v>
      </c>
      <c r="C561" s="1" t="s">
        <v>546</v>
      </c>
      <c r="D561" s="1" t="str">
        <f>IFERROR(__xludf.DUMMYFUNCTION("CONCATENATE(GOOGLETRANSLATE(C561, ""en"", ""zh-cn""))"),"男式彩色几何搞笑脸印花民族短袖 T 恤")</f>
        <v>男式彩色几何搞笑脸印花民族短袖 T 恤</v>
      </c>
      <c r="E561" s="1" t="str">
        <f>IFERROR(__xludf.DUMMYFUNCTION("CONCATENATE(GOOGLETRANSLATE(C561, ""en"", ""ko""))"),"망 다채로운 기하학적 재미 있은 얼굴 인쇄 민족 짧은 소매 티셔츠")</f>
        <v>망 다채로운 기하학적 재미 있은 얼굴 인쇄 민족 짧은 소매 티셔츠</v>
      </c>
      <c r="F561" s="1" t="str">
        <f>IFERROR(__xludf.DUMMYFUNCTION("CONCATENATE(GOOGLETRANSLATE(C561, ""en"", ""ja""))"),"メンズカラフルな幾何学的な面白い顔プリントエスニック半袖 T シャツ")</f>
        <v>メンズカラフルな幾何学的な面白い顔プリントエスニック半袖 T シャツ</v>
      </c>
    </row>
    <row r="562" ht="15.75" customHeight="1">
      <c r="A562" s="1">
        <v>2035.0</v>
      </c>
      <c r="B562" s="1" t="s">
        <v>381</v>
      </c>
      <c r="C562" s="1" t="s">
        <v>547</v>
      </c>
      <c r="D562" s="1" t="str">
        <f>IFERROR(__xludf.DUMMYFUNCTION("CONCATENATE(GOOGLETRANSLATE(C562, ""en"", ""zh-cn""))"),"男式几何图案丝带拼布短袖连帽 T 恤")</f>
        <v>男式几何图案丝带拼布短袖连帽 T 恤</v>
      </c>
      <c r="E562" s="1" t="str">
        <f>IFERROR(__xludf.DUMMYFUNCTION("CONCATENATE(GOOGLETRANSLATE(C562, ""en"", ""ko""))"),"남성용 기하학 무늬 리본 패치워크 반팔 후드 티셔츠")</f>
        <v>남성용 기하학 무늬 리본 패치워크 반팔 후드 티셔츠</v>
      </c>
      <c r="F562" s="1" t="str">
        <f>IFERROR(__xludf.DUMMYFUNCTION("CONCATENATE(GOOGLETRANSLATE(C562, ""en"", ""ja""))"),"メンズ幾何学模様リボンパッチワーク半袖フード付き T シャツ")</f>
        <v>メンズ幾何学模様リボンパッチワーク半袖フード付き T シャツ</v>
      </c>
    </row>
    <row r="563" ht="15.75" customHeight="1">
      <c r="A563" s="1">
        <v>2036.0</v>
      </c>
      <c r="B563" s="1" t="s">
        <v>381</v>
      </c>
      <c r="C563" s="1" t="s">
        <v>548</v>
      </c>
      <c r="D563" s="1" t="str">
        <f>IFERROR(__xludf.DUMMYFUNCTION("CONCATENATE(GOOGLETRANSLATE(C563, ""en"", ""zh-cn""))"),"男式撞色带盖圆领宽松短袖 T 恤")</f>
        <v>男式撞色带盖圆领宽松短袖 T 恤</v>
      </c>
      <c r="E563" s="1" t="str">
        <f>IFERROR(__xludf.DUMMYFUNCTION("CONCATENATE(GOOGLETRANSLATE(C563, ""en"", ""ko""))"),"남성용 대비 플랩 포켓 크루넥 루즈한 반소매 티셔츠")</f>
        <v>남성용 대비 플랩 포켓 크루넥 루즈한 반소매 티셔츠</v>
      </c>
      <c r="F563" s="1" t="str">
        <f>IFERROR(__xludf.DUMMYFUNCTION("CONCATENATE(GOOGLETRANSLATE(C563, ""en"", ""ja""))"),"メンズ コントラスト フラップ ポケット クルーネック ルーズ 半袖 T シャツ")</f>
        <v>メンズ コントラスト フラップ ポケット クルーネック ルーズ 半袖 T シャツ</v>
      </c>
    </row>
    <row r="564" ht="15.75" customHeight="1">
      <c r="A564" s="1">
        <v>2037.0</v>
      </c>
      <c r="B564" s="1" t="s">
        <v>381</v>
      </c>
      <c r="C564" s="1" t="s">
        <v>549</v>
      </c>
      <c r="D564" s="1" t="str">
        <f>IFERROR(__xludf.DUMMYFUNCTION("CONCATENATE(GOOGLETRANSLATE(C564, ""en"", ""zh-cn""))"),"男式字母刺绣撞色拼接短袖 T 恤")</f>
        <v>男式字母刺绣撞色拼接短袖 T 恤</v>
      </c>
      <c r="E564" s="1" t="str">
        <f>IFERROR(__xludf.DUMMYFUNCTION("CONCATENATE(GOOGLETRANSLATE(C564, ""en"", ""ko""))"),"남성용 문자 자수 대비 트림 스티치 반소매 티셔츠")</f>
        <v>남성용 문자 자수 대비 트림 스티치 반소매 티셔츠</v>
      </c>
      <c r="F564" s="1" t="str">
        <f>IFERROR(__xludf.DUMMYFUNCTION("CONCATENATE(GOOGLETRANSLATE(C564, ""en"", ""ja""))"),"メンズレター刺繍コントラストトリムステッチ半袖Tシャツ")</f>
        <v>メンズレター刺繍コントラストトリムステッチ半袖Tシャツ</v>
      </c>
    </row>
    <row r="565" ht="15.75" customHeight="1">
      <c r="A565" s="1">
        <v>2038.0</v>
      </c>
      <c r="B565" s="1" t="s">
        <v>381</v>
      </c>
      <c r="C565" s="1" t="s">
        <v>550</v>
      </c>
      <c r="D565" s="1" t="str">
        <f>IFERROR(__xludf.DUMMYFUNCTION("CONCATENATE(GOOGLETRANSLATE(C565, ""en"", ""zh-cn""))"),"男士字母图案圆领休闲短袖 T 恤")</f>
        <v>男士字母图案圆领休闲短袖 T 恤</v>
      </c>
      <c r="E565" s="1" t="str">
        <f>IFERROR(__xludf.DUMMYFUNCTION("CONCATENATE(GOOGLETRANSLATE(C565, ""en"", ""ko""))"),"남성용 레터 그래픽 크루넥 캐주얼 반소매 티셔츠")</f>
        <v>남성용 레터 그래픽 크루넥 캐주얼 반소매 티셔츠</v>
      </c>
      <c r="F565" s="1" t="str">
        <f>IFERROR(__xludf.DUMMYFUNCTION("CONCATENATE(GOOGLETRANSLATE(C565, ""en"", ""ja""))"),"メンズレターグラフィッククルーネックカジュアル半袖Tシャツ")</f>
        <v>メンズレターグラフィッククルーネックカジュアル半袖Tシャツ</v>
      </c>
    </row>
    <row r="566" ht="15.75" customHeight="1">
      <c r="A566" s="1">
        <v>2039.0</v>
      </c>
      <c r="B566" s="1" t="s">
        <v>381</v>
      </c>
      <c r="C566" s="1" t="s">
        <v>551</v>
      </c>
      <c r="D566" s="1" t="str">
        <f>IFERROR(__xludf.DUMMYFUNCTION("CONCATENATE(GOOGLETRANSLATE(C566, ""en"", ""zh-cn""))"),"男式民族拼布短袖连帽抽绳 T 恤")</f>
        <v>男式民族拼布短袖连帽抽绳 T 恤</v>
      </c>
      <c r="E566" s="1" t="str">
        <f>IFERROR(__xludf.DUMMYFUNCTION("CONCATENATE(GOOGLETRANSLATE(C566, ""en"", ""ko""))"),"남성용 에스닉 패치워크 반소매 후드 드로스트링 티셔츠")</f>
        <v>남성용 에스닉 패치워크 반소매 후드 드로스트링 티셔츠</v>
      </c>
      <c r="F566" s="1" t="str">
        <f>IFERROR(__xludf.DUMMYFUNCTION("CONCATENATE(GOOGLETRANSLATE(C566, ""en"", ""ja""))"),"メンズエスニックパッチワーク半袖フード付き巾着Tシャツ")</f>
        <v>メンズエスニックパッチワーク半袖フード付き巾着Tシャツ</v>
      </c>
    </row>
    <row r="567" ht="15.75" customHeight="1">
      <c r="A567" s="1">
        <v>2040.0</v>
      </c>
      <c r="B567" s="1" t="s">
        <v>381</v>
      </c>
      <c r="C567" s="1" t="s">
        <v>552</v>
      </c>
      <c r="D567" s="1" t="str">
        <f>IFERROR(__xludf.DUMMYFUNCTION("CONCATENATE(GOOGLETRANSLATE(C567, ""en"", ""zh-cn""))"),"男式民族几何图案拼接纹理短袖街头服饰 T 恤")</f>
        <v>男式民族几何图案拼接纹理短袖街头服饰 T 恤</v>
      </c>
      <c r="E567" s="1" t="str">
        <f>IFERROR(__xludf.DUMMYFUNCTION("CONCATENATE(GOOGLETRANSLATE(C567, ""en"", ""ko""))"),"남성용 에스닉 기하학적 패턴 스티치 텍스처 반소매 스트리트웨어 티셔츠")</f>
        <v>남성용 에스닉 기하학적 패턴 스티치 텍스처 반소매 스트리트웨어 티셔츠</v>
      </c>
      <c r="F567" s="1" t="str">
        <f>IFERROR(__xludf.DUMMYFUNCTION("CONCATENATE(GOOGLETRANSLATE(C567, ""en"", ""ja""))"),"メンズエスニック幾何学模様ステッチテクスチャ半袖ストリート Tシャツ")</f>
        <v>メンズエスニック幾何学模様ステッチテクスチャ半袖ストリート Tシャツ</v>
      </c>
    </row>
    <row r="568" ht="15.75" customHeight="1">
      <c r="A568" s="1">
        <v>2041.0</v>
      </c>
      <c r="B568" s="1" t="s">
        <v>381</v>
      </c>
      <c r="C568" s="1" t="s">
        <v>553</v>
      </c>
      <c r="D568" s="1" t="str">
        <f>IFERROR(__xludf.DUMMYFUNCTION("CONCATENATE(GOOGLETRANSLATE(C568, ""en"", ""zh-cn""))"),"男式部落几何图案拼布纹理短袖 T 恤")</f>
        <v>男式部落几何图案拼布纹理短袖 T 恤</v>
      </c>
      <c r="E568" s="1" t="str">
        <f>IFERROR(__xludf.DUMMYFUNCTION("CONCATENATE(GOOGLETRANSLATE(C568, ""en"", ""ko""))"),"남성용 부족 기하학적 패턴 패치워크 질감 반팔 티셔츠")</f>
        <v>남성용 부족 기하학적 패턴 패치워크 질감 반팔 티셔츠</v>
      </c>
      <c r="F568" s="1" t="str">
        <f>IFERROR(__xludf.DUMMYFUNCTION("CONCATENATE(GOOGLETRANSLATE(C568, ""en"", ""ja""))"),"メンズトライバル幾何学模様パッチワークテクスチャー半袖Tシャツ")</f>
        <v>メンズトライバル幾何学模様パッチワークテクスチャー半袖Tシャツ</v>
      </c>
    </row>
    <row r="569" ht="15.75" customHeight="1">
      <c r="A569" s="1">
        <v>2042.0</v>
      </c>
      <c r="B569" s="1" t="s">
        <v>381</v>
      </c>
      <c r="C569" s="1" t="s">
        <v>554</v>
      </c>
      <c r="D569" s="1" t="str">
        <f>IFERROR(__xludf.DUMMYFUNCTION("CONCATENATE(GOOGLETRANSLATE(C569, ""en"", ""zh-cn""))"),"男式彩色几何印花胸袋民族短袖 T 恤")</f>
        <v>男式彩色几何印花胸袋民族短袖 T 恤</v>
      </c>
      <c r="E569" s="1" t="str">
        <f>IFERROR(__xludf.DUMMYFUNCTION("CONCATENATE(GOOGLETRANSLATE(C569, ""en"", ""ko""))"),"남성용 컬러풀 기하학 프린트 가슴 주머니 에스닉 반소매 티셔츠")</f>
        <v>남성용 컬러풀 기하학 프린트 가슴 주머니 에스닉 반소매 티셔츠</v>
      </c>
      <c r="F569" s="1" t="str">
        <f>IFERROR(__xludf.DUMMYFUNCTION("CONCATENATE(GOOGLETRANSLATE(C569, ""en"", ""ja""))"),"メンズ カラフルな幾何学模様のプリント胸ポケット エスニック半袖 T シャツ")</f>
        <v>メンズ カラフルな幾何学模様のプリント胸ポケット エスニック半袖 T シャツ</v>
      </c>
    </row>
    <row r="570" ht="15.75" customHeight="1">
      <c r="A570" s="1">
        <v>2043.0</v>
      </c>
      <c r="B570" s="1" t="s">
        <v>381</v>
      </c>
      <c r="C570" s="1" t="s">
        <v>555</v>
      </c>
      <c r="D570" s="1" t="str">
        <f>IFERROR(__xludf.DUMMYFUNCTION("CONCATENATE(GOOGLETRANSLATE(C570, ""en"", ""zh-cn""))"),"男式复古几何印花拼布圆领短袖 T 恤")</f>
        <v>男式复古几何印花拼布圆领短袖 T 恤</v>
      </c>
      <c r="E570" s="1" t="str">
        <f>IFERROR(__xludf.DUMMYFUNCTION("CONCATENATE(GOOGLETRANSLATE(C570, ""en"", ""ko""))"),"남성 빈티지 기하학적 프린트 패치워크 크루넥 반소매 티셔츠")</f>
        <v>남성 빈티지 기하학적 프린트 패치워크 크루넥 반소매 티셔츠</v>
      </c>
      <c r="F570" s="1" t="str">
        <f>IFERROR(__xludf.DUMMYFUNCTION("CONCATENATE(GOOGLETRANSLATE(C570, ""en"", ""ja""))"),"メンズ ヴィンテージ 幾何学模様 プリント パッチワーク クルーネック 半袖 T シャツ")</f>
        <v>メンズ ヴィンテージ 幾何学模様 プリント パッチワーク クルーネック 半袖 T シャツ</v>
      </c>
    </row>
    <row r="571" ht="15.75" customHeight="1">
      <c r="A571" s="1">
        <v>2044.0</v>
      </c>
      <c r="B571" s="1" t="s">
        <v>381</v>
      </c>
      <c r="C571" s="1" t="s">
        <v>556</v>
      </c>
      <c r="D571" s="1" t="str">
        <f>IFERROR(__xludf.DUMMYFUNCTION("CONCATENATE(GOOGLETRANSLATE(C571, ""en"", ""zh-cn""))"),"男士民族图案胸袋圆领短袖 T 恤")</f>
        <v>男士民族图案胸袋圆领短袖 T 恤</v>
      </c>
      <c r="E571" s="1" t="str">
        <f>IFERROR(__xludf.DUMMYFUNCTION("CONCATENATE(GOOGLETRANSLATE(C571, ""en"", ""ko""))"),"남성용 에스닉 패턴 가슴 포켓 크루넥 반팔 티셔츠")</f>
        <v>남성용 에스닉 패턴 가슴 포켓 크루넥 반팔 티셔츠</v>
      </c>
      <c r="F571" s="1" t="str">
        <f>IFERROR(__xludf.DUMMYFUNCTION("CONCATENATE(GOOGLETRANSLATE(C571, ""en"", ""ja""))"),"メンズエスニック柄胸ポケットクルーネック半袖Tシャツ")</f>
        <v>メンズエスニック柄胸ポケットクルーネック半袖Tシャツ</v>
      </c>
    </row>
    <row r="572" ht="15.75" customHeight="1">
      <c r="A572" s="1">
        <v>2045.0</v>
      </c>
      <c r="B572" s="1" t="s">
        <v>381</v>
      </c>
      <c r="C572" s="1" t="s">
        <v>557</v>
      </c>
      <c r="D572" s="1" t="str">
        <f>IFERROR(__xludf.DUMMYFUNCTION("CONCATENATE(GOOGLETRANSLATE(C572, ""en"", ""zh-cn""))"),"男式纯色纽扣领口有盖口袋棉质长袖 T 恤")</f>
        <v>男式纯色纽扣领口有盖口袋棉质长袖 T 恤</v>
      </c>
      <c r="E572" s="1" t="str">
        <f>IFERROR(__xludf.DUMMYFUNCTION("CONCATENATE(GOOGLETRANSLATE(C572, ""en"", ""ko""))"),"남성 솔리드 컬러 버튼 넥 플랩 포켓 코튼 긴소매 티셔츠")</f>
        <v>남성 솔리드 컬러 버튼 넥 플랩 포켓 코튼 긴소매 티셔츠</v>
      </c>
      <c r="F572" s="1" t="str">
        <f>IFERROR(__xludf.DUMMYFUNCTION("CONCATENATE(GOOGLETRANSLATE(C572, ""en"", ""ja""))"),"メンズソリッドカラーボタンネックフラップポケットコットン長袖Tシャツ")</f>
        <v>メンズソリッドカラーボタンネックフラップポケットコットン長袖Tシャツ</v>
      </c>
    </row>
    <row r="573" ht="15.75" customHeight="1">
      <c r="A573" s="1">
        <v>2046.0</v>
      </c>
      <c r="B573" s="1" t="s">
        <v>381</v>
      </c>
      <c r="C573" s="1" t="s">
        <v>558</v>
      </c>
      <c r="D573" s="1" t="str">
        <f>IFERROR(__xludf.DUMMYFUNCTION("CONCATENATE(GOOGLETRANSLATE(C573, ""en"", ""zh-cn""))"),"男式纯色半拉链卷起袖棉质连帽 T 恤")</f>
        <v>男式纯色半拉链卷起袖棉质连帽 T 恤</v>
      </c>
      <c r="E573" s="1" t="str">
        <f>IFERROR(__xludf.DUMMYFUNCTION("CONCATENATE(GOOGLETRANSLATE(C573, ""en"", ""ko""))"),"남성용 솔리드 하프 지퍼 롤업 슬리브 코튼 후드 티셔츠")</f>
        <v>남성용 솔리드 하프 지퍼 롤업 슬리브 코튼 후드 티셔츠</v>
      </c>
      <c r="F573" s="1" t="str">
        <f>IFERROR(__xludf.DUMMYFUNCTION("CONCATENATE(GOOGLETRANSLATE(C573, ""en"", ""ja""))"),"メンズソリッドハーフジップロールアップスリーブコットンフード付きTシャツ")</f>
        <v>メンズソリッドハーフジップロールアップスリーブコットンフード付きTシャツ</v>
      </c>
    </row>
    <row r="574" ht="15.75" customHeight="1">
      <c r="A574" s="1">
        <v>2047.0</v>
      </c>
      <c r="B574" s="1" t="s">
        <v>381</v>
      </c>
      <c r="C574" s="1" t="s">
        <v>559</v>
      </c>
      <c r="D574" s="1" t="str">
        <f>IFERROR(__xludf.DUMMYFUNCTION("CONCATENATE(GOOGLETRANSLATE(C574, ""en"", ""zh-cn""))"),"男士纯色绷带 V 领棉质长袖 T 恤")</f>
        <v>男士纯色绷带 V 领棉质长袖 T 恤</v>
      </c>
      <c r="E574" s="1" t="str">
        <f>IFERROR(__xludf.DUMMYFUNCTION("CONCATENATE(GOOGLETRANSLATE(C574, ""en"", ""ko""))"),"남성 솔리드 컬러 붕대 V 넥 코튼 긴 소매 티셔츠")</f>
        <v>남성 솔리드 컬러 붕대 V 넥 코튼 긴 소매 티셔츠</v>
      </c>
      <c r="F574" s="1" t="str">
        <f>IFERROR(__xludf.DUMMYFUNCTION("CONCATENATE(GOOGLETRANSLATE(C574, ""en"", ""ja""))"),"メンズソリッドカラー包帯Vネックコットン長袖Tシャツ")</f>
        <v>メンズソリッドカラー包帯Vネックコットン長袖Tシャツ</v>
      </c>
    </row>
    <row r="575" ht="15.75" customHeight="1">
      <c r="A575" s="1">
        <v>2048.0</v>
      </c>
      <c r="B575" s="1" t="s">
        <v>381</v>
      </c>
      <c r="C575" s="1" t="s">
        <v>560</v>
      </c>
      <c r="D575" s="1" t="str">
        <f>IFERROR(__xludf.DUMMYFUNCTION("CONCATENATE(GOOGLETRANSLATE(C575, ""en"", ""zh-cn""))"),"男士复古几何图案短袖针织连帽 T 恤")</f>
        <v>男士复古几何图案短袖针织连帽 T 恤</v>
      </c>
      <c r="E575" s="1" t="str">
        <f>IFERROR(__xludf.DUMMYFUNCTION("CONCATENATE(GOOGLETRANSLATE(C575, ""en"", ""ko""))"),"남성 빈티지 기하학적 패턴 반소매 니트 후드 티셔츠")</f>
        <v>남성 빈티지 기하학적 패턴 반소매 니트 후드 티셔츠</v>
      </c>
      <c r="F575" s="1" t="str">
        <f>IFERROR(__xludf.DUMMYFUNCTION("CONCATENATE(GOOGLETRANSLATE(C575, ""en"", ""ja""))"),"メンズヴィンテージ幾何学模様半袖ニットフード付きTシャツ")</f>
        <v>メンズヴィンテージ幾何学模様半袖ニットフード付きTシャツ</v>
      </c>
    </row>
    <row r="576" ht="15.75" customHeight="1">
      <c r="A576" s="1">
        <v>2049.0</v>
      </c>
      <c r="B576" s="1" t="s">
        <v>381</v>
      </c>
      <c r="C576" s="1" t="s">
        <v>561</v>
      </c>
      <c r="D576" s="1" t="str">
        <f>IFERROR(__xludf.DUMMYFUNCTION("CONCATENATE(GOOGLETRANSLATE(C576, ""en"", ""zh-cn""))"),"男式热带植物印花带盖口袋度假短袖 T 恤")</f>
        <v>男式热带植物印花带盖口袋度假短袖 T 恤</v>
      </c>
      <c r="E576" s="1" t="str">
        <f>IFERROR(__xludf.DUMMYFUNCTION("CONCATENATE(GOOGLETRANSLATE(C576, ""en"", ""ko""))"),"남성용 열대 식물 프린트 플랩 포켓 홀리데이 반소매 티셔츠")</f>
        <v>남성용 열대 식물 프린트 플랩 포켓 홀리데이 반소매 티셔츠</v>
      </c>
      <c r="F576" s="1" t="str">
        <f>IFERROR(__xludf.DUMMYFUNCTION("CONCATENATE(GOOGLETRANSLATE(C576, ""en"", ""ja""))"),"メンズ熱帯植物プリント フラップ ポケット ホリデー半袖 T シャツ")</f>
        <v>メンズ熱帯植物プリント フラップ ポケット ホリデー半袖 T シャツ</v>
      </c>
    </row>
    <row r="577" ht="15.75" customHeight="1">
      <c r="A577" s="1">
        <v>2050.0</v>
      </c>
      <c r="B577" s="1" t="s">
        <v>381</v>
      </c>
      <c r="C577" s="1" t="s">
        <v>562</v>
      </c>
      <c r="D577" s="1" t="str">
        <f>IFERROR(__xludf.DUMMYFUNCTION("CONCATENATE(GOOGLETRANSLATE(C577, ""en"", ""zh-cn""))"),"男式条纹拼布有盖口袋休闲短袖 T 恤")</f>
        <v>男式条纹拼布有盖口袋休闲短袖 T 恤</v>
      </c>
      <c r="E577" s="1" t="str">
        <f>IFERROR(__xludf.DUMMYFUNCTION("CONCATENATE(GOOGLETRANSLATE(C577, ""en"", ""ko""))"),"남성 스트라이프 패치워크 플랩 포켓 캐주얼 반소매 티셔츠")</f>
        <v>남성 스트라이프 패치워크 플랩 포켓 캐주얼 반소매 티셔츠</v>
      </c>
      <c r="F577" s="1" t="str">
        <f>IFERROR(__xludf.DUMMYFUNCTION("CONCATENATE(GOOGLETRANSLATE(C577, ""en"", ""ja""))"),"メンズストライプパッチワークフラップポケットカジュアル半袖Tシャツ")</f>
        <v>メンズストライプパッチワークフラップポケットカジュアル半袖Tシャツ</v>
      </c>
    </row>
    <row r="578" ht="15.75" customHeight="1">
      <c r="A578" s="1">
        <v>2051.0</v>
      </c>
      <c r="B578" s="1" t="s">
        <v>381</v>
      </c>
      <c r="C578" s="1" t="s">
        <v>563</v>
      </c>
      <c r="D578" s="1" t="str">
        <f>IFERROR(__xludf.DUMMYFUNCTION("CONCATENATE(GOOGLETRANSLATE(C578, ""en"", ""zh-cn""))"),"男式民族几何口袋针织弧形下摆短袖 T 恤")</f>
        <v>男式民族几何口袋针织弧形下摆短袖 T 恤</v>
      </c>
      <c r="E578" s="1" t="str">
        <f>IFERROR(__xludf.DUMMYFUNCTION("CONCATENATE(GOOGLETRANSLATE(C578, ""en"", ""ko""))"),"남성용 에스닉 기하학 포켓 니트 곡선 밑단 반팔 티셔츠")</f>
        <v>남성용 에스닉 기하학 포켓 니트 곡선 밑단 반팔 티셔츠</v>
      </c>
      <c r="F578" s="1" t="str">
        <f>IFERROR(__xludf.DUMMYFUNCTION("CONCATENATE(GOOGLETRANSLATE(C578, ""en"", ""ja""))"),"メンズエスニック幾何学ポケットニットカーブヘム半袖Tシャツ")</f>
        <v>メンズエスニック幾何学ポケットニットカーブヘム半袖Tシャツ</v>
      </c>
    </row>
    <row r="579" ht="15.75" customHeight="1">
      <c r="A579" s="1">
        <v>2052.0</v>
      </c>
      <c r="B579" s="1" t="s">
        <v>381</v>
      </c>
      <c r="C579" s="1" t="s">
        <v>564</v>
      </c>
      <c r="D579" s="1" t="str">
        <f>IFERROR(__xludf.DUMMYFUNCTION("CONCATENATE(GOOGLETRANSLATE(C579, ""en"", ""zh-cn""))"),"男式笑脸佩斯利印花拼接纹理短袖 T 恤")</f>
        <v>男式笑脸佩斯利印花拼接纹理短袖 T 恤</v>
      </c>
      <c r="E579" s="1" t="str">
        <f>IFERROR(__xludf.DUMMYFUNCTION("CONCATENATE(GOOGLETRANSLATE(C579, ""en"", ""ko""))"),"남성용 스마일 페이스 페이즐리 프린트 스티치 텍스처 반소매 티셔츠")</f>
        <v>남성용 스마일 페이스 페이즐리 프린트 스티치 텍스처 반소매 티셔츠</v>
      </c>
      <c r="F579" s="1" t="str">
        <f>IFERROR(__xludf.DUMMYFUNCTION("CONCATENATE(GOOGLETRANSLATE(C579, ""en"", ""ja""))"),"メンズ スマイル フェイス ペイズリー プリント ステッチ テクスチャー 半袖 T シャツ")</f>
        <v>メンズ スマイル フェイス ペイズリー プリント ステッチ テクスチャー 半袖 T シャツ</v>
      </c>
    </row>
    <row r="580" ht="15.75" customHeight="1">
      <c r="A580" s="1">
        <v>2053.0</v>
      </c>
      <c r="B580" s="1" t="s">
        <v>381</v>
      </c>
      <c r="C580" s="1" t="s">
        <v>565</v>
      </c>
      <c r="D580" s="1" t="str">
        <f>IFERROR(__xludf.DUMMYFUNCTION("CONCATENATE(GOOGLETRANSLATE(C580, ""en"", ""zh-cn""))"),"男式中国竹熊猫印花口袋短袖 T 恤")</f>
        <v>男式中国竹熊猫印花口袋短袖 T 恤</v>
      </c>
      <c r="E580" s="1" t="str">
        <f>IFERROR(__xludf.DUMMYFUNCTION("CONCATENATE(GOOGLETRANSLATE(C580, ""en"", ""ko""))"),"남성용 중국 대나무 팬더 프린트 포켓 반팔 티셔츠")</f>
        <v>남성용 중국 대나무 팬더 프린트 포켓 반팔 티셔츠</v>
      </c>
      <c r="F580" s="1" t="str">
        <f>IFERROR(__xludf.DUMMYFUNCTION("CONCATENATE(GOOGLETRANSLATE(C580, ""en"", ""ja""))"),"メンズ中国竹パンダプリントポケット半袖 T シャツ")</f>
        <v>メンズ中国竹パンダプリントポケット半袖 T シャツ</v>
      </c>
    </row>
    <row r="581" ht="15.75" customHeight="1">
      <c r="A581" s="1">
        <v>2054.0</v>
      </c>
      <c r="B581" s="1" t="s">
        <v>381</v>
      </c>
      <c r="C581" s="1" t="s">
        <v>566</v>
      </c>
      <c r="D581" s="1" t="str">
        <f>IFERROR(__xludf.DUMMYFUNCTION("CONCATENATE(GOOGLETRANSLATE(C581, ""en"", ""zh-cn""))"),"男士中国山水水墨圆领短袖 T 恤")</f>
        <v>男士中国山水水墨圆领短袖 T 恤</v>
      </c>
      <c r="E581" s="1" t="str">
        <f>IFERROR(__xludf.DUMMYFUNCTION("CONCATENATE(GOOGLETRANSLATE(C581, ""en"", ""ko""))"),"남성용 중국 풍경 수묵화 크루넥 반팔 티셔츠")</f>
        <v>남성용 중국 풍경 수묵화 크루넥 반팔 티셔츠</v>
      </c>
      <c r="F581" s="1" t="str">
        <f>IFERROR(__xludf.DUMMYFUNCTION("CONCATENATE(GOOGLETRANSLATE(C581, ""en"", ""ja""))"),"メンズ中国風景水墨画クルーネック半袖 T シャツ")</f>
        <v>メンズ中国風景水墨画クルーネック半袖 T シャツ</v>
      </c>
    </row>
    <row r="582" ht="15.75" customHeight="1">
      <c r="A582" s="1">
        <v>2055.0</v>
      </c>
      <c r="B582" s="1" t="s">
        <v>381</v>
      </c>
      <c r="C582" s="1" t="s">
        <v>567</v>
      </c>
      <c r="D582" s="1" t="str">
        <f>IFERROR(__xludf.DUMMYFUNCTION("CONCATENATE(GOOGLETRANSLATE(C582, ""en"", ""zh-cn""))"),"男式梅花印花系带领短袖 T 恤")</f>
        <v>男式梅花印花系带领短袖 T 恤</v>
      </c>
      <c r="E582" s="1" t="str">
        <f>IFERROR(__xludf.DUMMYFUNCTION("CONCATENATE(GOOGLETRANSLATE(C582, ""en"", ""ko""))"),"남성용 중국 매화 보솜 프린트 레이스 업 넥 반팔 티셔츠")</f>
        <v>남성용 중국 매화 보솜 프린트 레이스 업 넥 반팔 티셔츠</v>
      </c>
      <c r="F582" s="1" t="str">
        <f>IFERROR(__xludf.DUMMYFUNCTION("CONCATENATE(GOOGLETRANSLATE(C582, ""en"", ""ja""))"),"メンズチャイニーズプラムボッサムプリントレースアップネック半袖Tシャツ")</f>
        <v>メンズチャイニーズプラムボッサムプリントレースアップネック半袖Tシャツ</v>
      </c>
    </row>
    <row r="583" ht="15.75" customHeight="1">
      <c r="A583" s="1">
        <v>2056.0</v>
      </c>
      <c r="B583" s="1" t="s">
        <v>381</v>
      </c>
      <c r="C583" s="1" t="s">
        <v>568</v>
      </c>
      <c r="D583" s="1" t="str">
        <f>IFERROR(__xludf.DUMMYFUNCTION("CONCATENATE(GOOGLETRANSLATE(C583, ""en"", ""zh-cn""))"),"男式民族花卉印花圆领针织短袖 T 恤")</f>
        <v>男式民族花卉印花圆领针织短袖 T 恤</v>
      </c>
      <c r="E583" s="1" t="str">
        <f>IFERROR(__xludf.DUMMYFUNCTION("CONCATENATE(GOOGLETRANSLATE(C583, ""en"", ""ko""))"),"남성용 에스닉 꽃무늬 크루넥 니트 반소매 티셔츠")</f>
        <v>남성용 에스닉 꽃무늬 크루넥 니트 반소매 티셔츠</v>
      </c>
      <c r="F583" s="1" t="str">
        <f>IFERROR(__xludf.DUMMYFUNCTION("CONCATENATE(GOOGLETRANSLATE(C583, ""en"", ""ja""))"),"メンズ エスニック フローラル プリント クルーネック ニット 半袖 T シャツ")</f>
        <v>メンズ エスニック フローラル プリント クルーネック ニット 半袖 T シャツ</v>
      </c>
    </row>
    <row r="584" ht="15.75" customHeight="1">
      <c r="A584" s="1">
        <v>2057.0</v>
      </c>
      <c r="B584" s="1" t="s">
        <v>381</v>
      </c>
      <c r="C584" s="1" t="s">
        <v>569</v>
      </c>
      <c r="D584" s="1" t="str">
        <f>IFERROR(__xludf.DUMMYFUNCTION("CONCATENATE(GOOGLETRANSLATE(C584, ""en"", ""zh-cn""))"),"男式日本佩斯利印花拼布圆领短袖 T 恤")</f>
        <v>男式日本佩斯利印花拼布圆领短袖 T 恤</v>
      </c>
      <c r="E584" s="1" t="str">
        <f>IFERROR(__xludf.DUMMYFUNCTION("CONCATENATE(GOOGLETRANSLATE(C584, ""en"", ""ko""))"),"남성 일본식 페이즐리 프린트 패치워크 크루넥 반소매 티셔츠")</f>
        <v>남성 일본식 페이즐리 프린트 패치워크 크루넥 반소매 티셔츠</v>
      </c>
      <c r="F584" s="1" t="str">
        <f>IFERROR(__xludf.DUMMYFUNCTION("CONCATENATE(GOOGLETRANSLATE(C584, ""en"", ""ja""))"),"メンズ日本製ペイズリープリントパッチワーククルーネック半袖Tシャツ")</f>
        <v>メンズ日本製ペイズリープリントパッチワーククルーネック半袖Tシャツ</v>
      </c>
    </row>
    <row r="585" ht="15.75" customHeight="1">
      <c r="A585" s="1">
        <v>2058.0</v>
      </c>
      <c r="B585" s="1" t="s">
        <v>381</v>
      </c>
      <c r="C585" s="1" t="s">
        <v>570</v>
      </c>
      <c r="D585" s="1" t="str">
        <f>IFERROR(__xludf.DUMMYFUNCTION("CONCATENATE(GOOGLETRANSLATE(C585, ""en"", ""zh-cn""))"),"男式日本复古印花拼布圆领短袖 T 恤")</f>
        <v>男式日本复古印花拼布圆领短袖 T 恤</v>
      </c>
      <c r="E585" s="1" t="str">
        <f>IFERROR(__xludf.DUMMYFUNCTION("CONCATENATE(GOOGLETRANSLATE(C585, ""en"", ""ko""))"),"남성용 일본식 빈티지 프린트 패치워크 크루넥 반소매 티셔츠")</f>
        <v>남성용 일본식 빈티지 프린트 패치워크 크루넥 반소매 티셔츠</v>
      </c>
      <c r="F585" s="1" t="str">
        <f>IFERROR(__xludf.DUMMYFUNCTION("CONCATENATE(GOOGLETRANSLATE(C585, ""en"", ""ja""))"),"メンズ日本のヴィンテージプリントパッチワーククルーネック半袖Tシャツ")</f>
        <v>メンズ日本のヴィンテージプリントパッチワーククルーネック半袖Tシャツ</v>
      </c>
    </row>
    <row r="586" ht="15.75" customHeight="1">
      <c r="A586" s="1">
        <v>2059.0</v>
      </c>
      <c r="B586" s="1" t="s">
        <v>381</v>
      </c>
      <c r="C586" s="1" t="s">
        <v>571</v>
      </c>
      <c r="D586" s="1" t="str">
        <f>IFERROR(__xludf.DUMMYFUNCTION("CONCATENATE(GOOGLETRANSLATE(C586, ""en"", ""zh-cn""))"),"男式民族图腾玫瑰日本印花拼布短袖 T 恤")</f>
        <v>男式民族图腾玫瑰日本印花拼布短袖 T 恤</v>
      </c>
      <c r="E586" s="1" t="str">
        <f>IFERROR(__xludf.DUMMYFUNCTION("CONCATENATE(GOOGLETRANSLATE(C586, ""en"", ""ko""))"),"남성용 에스닉 토템 로즈 일본식 프린트 패치워크 반소매 티셔츠")</f>
        <v>남성용 에스닉 토템 로즈 일본식 프린트 패치워크 반소매 티셔츠</v>
      </c>
      <c r="F586" s="1" t="str">
        <f>IFERROR(__xludf.DUMMYFUNCTION("CONCATENATE(GOOGLETRANSLATE(C586, ""en"", ""ja""))"),"メンズ エスニック トーテム ローズ 日本のプリント パッチワーク 半袖 T シャツ")</f>
        <v>メンズ エスニック トーテム ローズ 日本のプリント パッチワーク 半袖 T シャツ</v>
      </c>
    </row>
    <row r="587" ht="15.75" customHeight="1">
      <c r="A587" s="1">
        <v>2060.0</v>
      </c>
      <c r="B587" s="1" t="s">
        <v>381</v>
      </c>
      <c r="C587" s="1" t="s">
        <v>572</v>
      </c>
      <c r="D587" s="1" t="str">
        <f>IFERROR(__xludf.DUMMYFUNCTION("CONCATENATE(GOOGLETRANSLATE(C587, ""en"", ""zh-cn""))"),"男式复古民族图案拼布圆领短袖 T 恤")</f>
        <v>男式复古民族图案拼布圆领短袖 T 恤</v>
      </c>
      <c r="E587" s="1" t="str">
        <f>IFERROR(__xludf.DUMMYFUNCTION("CONCATENATE(GOOGLETRANSLATE(C587, ""en"", ""ko""))"),"남성 빈티지 에스닉 패턴 패치워크 크루넥 반팔 티셔츠")</f>
        <v>남성 빈티지 에스닉 패턴 패치워크 크루넥 반팔 티셔츠</v>
      </c>
      <c r="F587" s="1" t="str">
        <f>IFERROR(__xludf.DUMMYFUNCTION("CONCATENATE(GOOGLETRANSLATE(C587, ""en"", ""ja""))"),"メンズ ヴィンテージ エスニック パターン パッチワーク クルーネック 半袖 T シャツ")</f>
        <v>メンズ ヴィンテージ エスニック パターン パッチワーク クルーネック 半袖 T シャツ</v>
      </c>
    </row>
    <row r="588" ht="15.75" customHeight="1">
      <c r="A588" s="1">
        <v>2061.0</v>
      </c>
      <c r="B588" s="1" t="s">
        <v>381</v>
      </c>
      <c r="C588" s="1" t="s">
        <v>573</v>
      </c>
      <c r="D588" s="1" t="str">
        <f>IFERROR(__xludf.DUMMYFUNCTION("CONCATENATE(GOOGLETRANSLATE(C588, ""en"", ""zh-cn""))"),"男士几何条纹印花拼布民族短袖 T 恤")</f>
        <v>男士几何条纹印花拼布民族短袖 T 恤</v>
      </c>
      <c r="E588" s="1" t="str">
        <f>IFERROR(__xludf.DUMMYFUNCTION("CONCATENATE(GOOGLETRANSLATE(C588, ""en"", ""ko""))"),"남성용 기하학 스트라이프 프린트 패치워크 에스닉 반소매 티셔츠")</f>
        <v>남성용 기하학 스트라이프 프린트 패치워크 에스닉 반소매 티셔츠</v>
      </c>
      <c r="F588" s="1" t="str">
        <f>IFERROR(__xludf.DUMMYFUNCTION("CONCATENATE(GOOGLETRANSLATE(C588, ""en"", ""ja""))"),"メンズ幾何ストライププリントパッチワークエスニック半袖Tシャツ")</f>
        <v>メンズ幾何ストライププリントパッチワークエスニック半袖Tシャツ</v>
      </c>
    </row>
    <row r="589" ht="15.75" customHeight="1">
      <c r="A589" s="1">
        <v>2062.0</v>
      </c>
      <c r="B589" s="1" t="s">
        <v>381</v>
      </c>
      <c r="C589" s="1" t="s">
        <v>574</v>
      </c>
      <c r="D589" s="1" t="str">
        <f>IFERROR(__xludf.DUMMYFUNCTION("CONCATENATE(GOOGLETRANSLATE(C589, ""en"", ""zh-cn""))"),"男式笑脸几何印花拼布针织短袖 T 恤")</f>
        <v>男式笑脸几何印花拼布针织短袖 T 恤</v>
      </c>
      <c r="E589" s="1" t="str">
        <f>IFERROR(__xludf.DUMMYFUNCTION("CONCATENATE(GOOGLETRANSLATE(C589, ""en"", ""ko""))"),"남성용 스마일 페이스 기하학 프린트 패치워크 니트 반소매 티셔츠")</f>
        <v>남성용 스마일 페이스 기하학 프린트 패치워크 니트 반소매 티셔츠</v>
      </c>
      <c r="F589" s="1" t="str">
        <f>IFERROR(__xludf.DUMMYFUNCTION("CONCATENATE(GOOGLETRANSLATE(C589, ""en"", ""ja""))"),"メンズスマイルフェイス幾何学プリントパッチワークニット半袖Tシャツ")</f>
        <v>メンズスマイルフェイス幾何学プリントパッチワークニット半袖Tシャツ</v>
      </c>
    </row>
    <row r="590" ht="15.75" customHeight="1">
      <c r="A590" s="1">
        <v>2063.0</v>
      </c>
      <c r="B590" s="1" t="s">
        <v>381</v>
      </c>
      <c r="C590" s="1" t="s">
        <v>575</v>
      </c>
      <c r="D590" s="1" t="str">
        <f>IFERROR(__xludf.DUMMYFUNCTION("CONCATENATE(GOOGLETRANSLATE(C590, ""en"", ""zh-cn""))"),"男式复古几何印花拼布针织短袖 T 恤")</f>
        <v>男式复古几何印花拼布针织短袖 T 恤</v>
      </c>
      <c r="E590" s="1" t="str">
        <f>IFERROR(__xludf.DUMMYFUNCTION("CONCATENATE(GOOGLETRANSLATE(C590, ""en"", ""ko""))"),"남성용 빈티지 기하학적 프린트 패치워크 니트 반소매 티셔츠")</f>
        <v>남성용 빈티지 기하학적 프린트 패치워크 니트 반소매 티셔츠</v>
      </c>
      <c r="F590" s="1" t="str">
        <f>IFERROR(__xludf.DUMMYFUNCTION("CONCATENATE(GOOGLETRANSLATE(C590, ""en"", ""ja""))"),"メンズヴィンテージ幾何学プリントパッチワークニット半袖Tシャツ")</f>
        <v>メンズヴィンテージ幾何学プリントパッチワークニット半袖Tシャツ</v>
      </c>
    </row>
    <row r="591" ht="15.75" customHeight="1">
      <c r="A591" s="1">
        <v>2064.0</v>
      </c>
      <c r="B591" s="1" t="s">
        <v>381</v>
      </c>
      <c r="C591" s="1" t="s">
        <v>576</v>
      </c>
      <c r="D591" s="1" t="str">
        <f>IFERROR(__xludf.DUMMYFUNCTION("CONCATENATE(GOOGLETRANSLATE(C591, ""en"", ""zh-cn""))"),"男士梅花鸟印花短袖连帽 T 恤")</f>
        <v>男士梅花鸟印花短袖连帽 T 恤</v>
      </c>
      <c r="E591" s="1" t="str">
        <f>IFERROR(__xludf.DUMMYFUNCTION("CONCATENATE(GOOGLETRANSLATE(C591, ""en"", ""ko""))"),"Mens Chinese Plum Bossom Bird 프린트 반소매 후드 티셔츠")</f>
        <v>Mens Chinese Plum Bossom Bird 프린트 반소매 후드 티셔츠</v>
      </c>
      <c r="F591" s="1" t="str">
        <f>IFERROR(__xludf.DUMMYFUNCTION("CONCATENATE(GOOGLETRANSLATE(C591, ""en"", ""ja""))"),"メンズチャイニーズプラムボッサムバードプリント半袖フード付きTシャツ")</f>
        <v>メンズチャイニーズプラムボッサムバードプリント半袖フード付きTシャツ</v>
      </c>
    </row>
    <row r="592" ht="15.75" customHeight="1">
      <c r="A592" s="1">
        <v>2065.0</v>
      </c>
      <c r="B592" s="1" t="s">
        <v>381</v>
      </c>
      <c r="C592" s="1" t="s">
        <v>577</v>
      </c>
      <c r="D592" s="1" t="str">
        <f>IFERROR(__xludf.DUMMYFUNCTION("CONCATENATE(GOOGLETRANSLATE(C592, ""en"", ""zh-cn""))"),"男士日式字母印花弧形下摆短袖 T 恤")</f>
        <v>男士日式字母印花弧形下摆短袖 T 恤</v>
      </c>
      <c r="E592" s="1" t="str">
        <f>IFERROR(__xludf.DUMMYFUNCTION("CONCATENATE(GOOGLETRANSLATE(C592, ""en"", ""ko""))"),"남성용 일본 문자 프린트 곡선 밑단 반팔 티셔츠")</f>
        <v>남성용 일본 문자 프린트 곡선 밑단 반팔 티셔츠</v>
      </c>
      <c r="F592" s="1" t="str">
        <f>IFERROR(__xludf.DUMMYFUNCTION("CONCATENATE(GOOGLETRANSLATE(C592, ""en"", ""ja""))"),"メンズ日本語レタープリントカーブヘム半袖Tシャツ")</f>
        <v>メンズ日本語レタープリントカーブヘム半袖Tシャツ</v>
      </c>
    </row>
    <row r="593" ht="15.75" customHeight="1">
      <c r="A593" s="1">
        <v>2066.0</v>
      </c>
      <c r="B593" s="1" t="s">
        <v>381</v>
      </c>
      <c r="C593" s="1" t="s">
        <v>578</v>
      </c>
      <c r="D593" s="1" t="str">
        <f>IFERROR(__xludf.DUMMYFUNCTION("CONCATENATE(GOOGLETRANSLATE(C593, ""en"", ""zh-cn""))"),"男式民族几何图案拼布圆领短袖 T 恤")</f>
        <v>男式民族几何图案拼布圆领短袖 T 恤</v>
      </c>
      <c r="E593" s="1" t="str">
        <f>IFERROR(__xludf.DUMMYFUNCTION("CONCATENATE(GOOGLETRANSLATE(C593, ""en"", ""ko""))"),"남성용 에스닉 기하학 무늬 패치워크 크루넥 반팔 티셔츠")</f>
        <v>남성용 에스닉 기하학 무늬 패치워크 크루넥 반팔 티셔츠</v>
      </c>
      <c r="F593" s="1" t="str">
        <f>IFERROR(__xludf.DUMMYFUNCTION("CONCATENATE(GOOGLETRANSLATE(C593, ""en"", ""ja""))"),"メンズエスニック幾何学模様パッチワーククルーネック半袖Tシャツ")</f>
        <v>メンズエスニック幾何学模様パッチワーククルーネック半袖Tシャツ</v>
      </c>
    </row>
    <row r="594" ht="15.75" customHeight="1">
      <c r="A594" s="1">
        <v>2067.0</v>
      </c>
      <c r="B594" s="1" t="s">
        <v>381</v>
      </c>
      <c r="C594" s="1" t="s">
        <v>579</v>
      </c>
      <c r="D594" s="1" t="str">
        <f>IFERROR(__xludf.DUMMYFUNCTION("CONCATENATE(GOOGLETRANSLATE(C594, ""en"", ""zh-cn""))"),"男士针织撞色拼接短袖 T 恤")</f>
        <v>男士针织撞色拼接短袖 T 恤</v>
      </c>
      <c r="E594" s="1" t="str">
        <f>IFERROR(__xludf.DUMMYFUNCTION("CONCATENATE(GOOGLETRANSLATE(C594, ""en"", ""ko""))"),"남성 니트 대비 컬러 스티치 반팔 티셔츠")</f>
        <v>남성 니트 대비 컬러 스티치 반팔 티셔츠</v>
      </c>
      <c r="F594" s="1" t="str">
        <f>IFERROR(__xludf.DUMMYFUNCTION("CONCATENATE(GOOGLETRANSLATE(C594, ""en"", ""ja""))"),"メンズ ニット コントラスト カラー ステッチ 半袖 T シャツ")</f>
        <v>メンズ ニット コントラスト カラー ステッチ 半袖 T シャツ</v>
      </c>
    </row>
    <row r="595" ht="15.75" customHeight="1">
      <c r="A595" s="1">
        <v>2068.0</v>
      </c>
      <c r="B595" s="1" t="s">
        <v>381</v>
      </c>
      <c r="C595" s="1" t="s">
        <v>580</v>
      </c>
      <c r="D595" s="1" t="str">
        <f>IFERROR(__xludf.DUMMYFUNCTION("CONCATENATE(GOOGLETRANSLATE(C595, ""en"", ""zh-cn""))"),"男士块条纹拼接针织学院风短袖 T 恤")</f>
        <v>男士块条纹拼接针织学院风短袖 T 恤</v>
      </c>
      <c r="E595" s="1" t="str">
        <f>IFERROR(__xludf.DUMMYFUNCTION("CONCATENATE(GOOGLETRANSLATE(C595, ""en"", ""ko""))"),"남성 블록 스트라이프 스티치 니트 프레피 반소매 티셔츠")</f>
        <v>남성 블록 스트라이프 스티치 니트 프레피 반소매 티셔츠</v>
      </c>
      <c r="F595" s="1" t="str">
        <f>IFERROR(__xludf.DUMMYFUNCTION("CONCATENATE(GOOGLETRANSLATE(C595, ""en"", ""ja""))"),"メンズ ブロック ストライプ ステッチ ニット プレッピー 半袖 T シャツ")</f>
        <v>メンズ ブロック ストライプ ステッチ ニット プレッピー 半袖 T シャツ</v>
      </c>
    </row>
    <row r="596" ht="15.75" customHeight="1">
      <c r="A596" s="1">
        <v>2069.0</v>
      </c>
      <c r="B596" s="1" t="s">
        <v>381</v>
      </c>
      <c r="C596" s="1" t="s">
        <v>581</v>
      </c>
      <c r="D596" s="1" t="str">
        <f>IFERROR(__xludf.DUMMYFUNCTION("CONCATENATE(GOOGLETRANSLATE(C596, ""en"", ""zh-cn""))"),"男式民族几何印花胸袋绗缝弧形下摆 T 恤")</f>
        <v>男式民族几何印花胸袋绗缝弧形下摆 T 恤</v>
      </c>
      <c r="E596" s="1" t="str">
        <f>IFERROR(__xludf.DUMMYFUNCTION("CONCATENATE(GOOGLETRANSLATE(C596, ""en"", ""ko""))"),"남성용 에스닉 기하학 프린트 가슴 주머니 퀼트 곡선 밑단 티셔츠")</f>
        <v>남성용 에스닉 기하학 프린트 가슴 주머니 퀼트 곡선 밑단 티셔츠</v>
      </c>
      <c r="F596" s="1" t="str">
        <f>IFERROR(__xludf.DUMMYFUNCTION("CONCATENATE(GOOGLETRANSLATE(C596, ""en"", ""ja""))"),"メンズエスニック幾何学プリント胸ポケットキルティングカーブヘム T シャツ")</f>
        <v>メンズエスニック幾何学プリント胸ポケットキルティングカーブヘム T シャツ</v>
      </c>
    </row>
    <row r="597" ht="15.75" customHeight="1">
      <c r="A597" s="1">
        <v>2070.0</v>
      </c>
      <c r="B597" s="1" t="s">
        <v>381</v>
      </c>
      <c r="C597" s="1" t="s">
        <v>582</v>
      </c>
      <c r="D597" s="1" t="str">
        <f>IFERROR(__xludf.DUMMYFUNCTION("CONCATENATE(GOOGLETRANSLATE(C597, ""en"", ""zh-cn""))"),"男式骷髅南瓜印花万圣节短袖 T 恤")</f>
        <v>男式骷髅南瓜印花万圣节短袖 T 恤</v>
      </c>
      <c r="E597" s="1" t="str">
        <f>IFERROR(__xludf.DUMMYFUNCTION("CONCATENATE(GOOGLETRANSLATE(C597, ""en"", ""ko""))"),"남성 스켈레톤 호박 프린트 할로윈 반팔 티셔츠")</f>
        <v>남성 스켈레톤 호박 프린트 할로윈 반팔 티셔츠</v>
      </c>
      <c r="F597" s="1" t="str">
        <f>IFERROR(__xludf.DUMMYFUNCTION("CONCATENATE(GOOGLETRANSLATE(C597, ""en"", ""ja""))"),"メンズ スケルトン パンプキン プリント ハロウィン 半袖 T シャツ")</f>
        <v>メンズ スケルトン パンプキン プリント ハロウィン 半袖 T シャツ</v>
      </c>
    </row>
    <row r="598" ht="15.75" customHeight="1">
      <c r="A598" s="1">
        <v>2071.0</v>
      </c>
      <c r="B598" s="1" t="s">
        <v>381</v>
      </c>
      <c r="C598" s="1" t="s">
        <v>583</v>
      </c>
      <c r="D598" s="1" t="str">
        <f>IFERROR(__xludf.DUMMYFUNCTION("CONCATENATE(GOOGLETRANSLATE(C598, ""en"", ""zh-cn""))"),"男士字母标语背面印花弧形下摆长袖 T 恤")</f>
        <v>男士字母标语背面印花弧形下摆长袖 T 恤</v>
      </c>
      <c r="E598" s="1" t="str">
        <f>IFERROR(__xludf.DUMMYFUNCTION("CONCATENATE(GOOGLETRANSLATE(C598, ""en"", ""ko""))"),"남성용 레터 슬로건 백 프린트 곡선 밑단 긴팔 티셔츠")</f>
        <v>남성용 레터 슬로건 백 프린트 곡선 밑단 긴팔 티셔츠</v>
      </c>
      <c r="F598" s="1" t="str">
        <f>IFERROR(__xludf.DUMMYFUNCTION("CONCATENATE(GOOGLETRANSLATE(C598, ""en"", ""ja""))"),"メンズレタースローガンバックプリントカーブヘム長袖Tシャツ")</f>
        <v>メンズレタースローガンバックプリントカーブヘム長袖Tシャツ</v>
      </c>
    </row>
    <row r="599" ht="15.75" customHeight="1">
      <c r="A599" s="1">
        <v>2072.0</v>
      </c>
      <c r="B599" s="1" t="s">
        <v>381</v>
      </c>
      <c r="C599" s="1" t="s">
        <v>584</v>
      </c>
      <c r="D599" s="1" t="str">
        <f>IFERROR(__xludf.DUMMYFUNCTION("CONCATENATE(GOOGLETRANSLATE(C599, ""en"", ""zh-cn""))"),"男式日本印花拼布弧形下摆长袖 T 恤")</f>
        <v>男式日本印花拼布弧形下摆长袖 T 恤</v>
      </c>
      <c r="E599" s="1" t="str">
        <f>IFERROR(__xludf.DUMMYFUNCTION("CONCATENATE(GOOGLETRANSLATE(C599, ""en"", ""ko""))"),"남성용 일본식 프린트 패치워크 곡선 밑단 긴소매 티셔츠")</f>
        <v>남성용 일본식 프린트 패치워크 곡선 밑단 긴소매 티셔츠</v>
      </c>
      <c r="F599" s="1" t="str">
        <f>IFERROR(__xludf.DUMMYFUNCTION("CONCATENATE(GOOGLETRANSLATE(C599, ""en"", ""ja""))"),"メンズ日本のプリント パッチワーク カーブ ヘム長袖 T シャツ")</f>
        <v>メンズ日本のプリント パッチワーク カーブ ヘム長袖 T シャツ</v>
      </c>
    </row>
    <row r="600" ht="15.75" customHeight="1">
      <c r="A600" s="1">
        <v>2073.0</v>
      </c>
      <c r="B600" s="1" t="s">
        <v>381</v>
      </c>
      <c r="C600" s="1" t="s">
        <v>585</v>
      </c>
      <c r="D600" s="1" t="str">
        <f>IFERROR(__xludf.DUMMYFUNCTION("CONCATENATE(GOOGLETRANSLATE(C600, ""en"", ""zh-cn""))"),"男式纯色系带袋鼠口袋长袖连帽 T 恤")</f>
        <v>男式纯色系带袋鼠口袋长袖连帽 T 恤</v>
      </c>
      <c r="E600" s="1" t="str">
        <f>IFERROR(__xludf.DUMMYFUNCTION("CONCATENATE(GOOGLETRANSLATE(C600, ""en"", ""ko""))"),"남성용 솔리드 레이스업 캥거루 포켓 긴소매 후드 티셔츠")</f>
        <v>남성용 솔리드 레이스업 캥거루 포켓 긴소매 후드 티셔츠</v>
      </c>
      <c r="F600" s="1" t="str">
        <f>IFERROR(__xludf.DUMMYFUNCTION("CONCATENATE(GOOGLETRANSLATE(C600, ""en"", ""ja""))"),"メンズソリッドレースアップカンガルーポケット長袖フード付きTシャツ")</f>
        <v>メンズソリッドレースアップカンガルーポケット長袖フード付きTシャツ</v>
      </c>
    </row>
    <row r="601" ht="15.75" customHeight="1">
      <c r="A601" s="1">
        <v>2074.0</v>
      </c>
      <c r="B601" s="1" t="s">
        <v>381</v>
      </c>
      <c r="C601" s="1" t="s">
        <v>586</v>
      </c>
      <c r="D601" s="1" t="str">
        <f>IFERROR(__xludf.DUMMYFUNCTION("CONCATENATE(GOOGLETRANSLATE(C601, ""en"", ""zh-cn""))"),"男士撞色拼布华夫格针织休闲长袖 T 恤")</f>
        <v>男士撞色拼布华夫格针织休闲长袖 T 恤</v>
      </c>
      <c r="E601" s="1" t="str">
        <f>IFERROR(__xludf.DUMMYFUNCTION("CONCATENATE(GOOGLETRANSLATE(C601, ""en"", ""ko""))"),"남성 대비 패치워크 와플 니트 캐주얼 긴팔 티셔츠")</f>
        <v>남성 대비 패치워크 와플 니트 캐주얼 긴팔 티셔츠</v>
      </c>
      <c r="F601" s="1" t="str">
        <f>IFERROR(__xludf.DUMMYFUNCTION("CONCATENATE(GOOGLETRANSLATE(C601, ""en"", ""ja""))"),"メンズコントラストパッチワークワッフルニットカジュアル長袖Tシャツ")</f>
        <v>メンズコントラストパッチワークワッフルニットカジュアル長袖Tシャツ</v>
      </c>
    </row>
    <row r="602" ht="15.75" customHeight="1">
      <c r="A602" s="1">
        <v>2075.0</v>
      </c>
      <c r="B602" s="1" t="s">
        <v>381</v>
      </c>
      <c r="C602" s="1" t="s">
        <v>587</v>
      </c>
      <c r="D602" s="1" t="str">
        <f>IFERROR(__xludf.DUMMYFUNCTION("CONCATENATE(GOOGLETRANSLATE(C602, ""en"", ""zh-cn""))"),"男士水墨山水印花圆领短袖 T 恤")</f>
        <v>男士水墨山水印花圆领短袖 T 恤</v>
      </c>
      <c r="E602" s="1" t="str">
        <f>IFERROR(__xludf.DUMMYFUNCTION("CONCATENATE(GOOGLETRANSLATE(C602, ""en"", ""ko""))"),"남성용 중국어 잉크 풍경 프린트 크루넥 반팔 티셔츠")</f>
        <v>남성용 중국어 잉크 풍경 프린트 크루넥 반팔 티셔츠</v>
      </c>
      <c r="F602" s="1" t="str">
        <f>IFERROR(__xludf.DUMMYFUNCTION("CONCATENATE(GOOGLETRANSLATE(C602, ""en"", ""ja""))"),"メンズ中国水墨風景プリント クルーネック半袖 T シャツ")</f>
        <v>メンズ中国水墨風景プリント クルーネック半袖 T シャツ</v>
      </c>
    </row>
    <row r="603" ht="15.75" customHeight="1">
      <c r="A603" s="1">
        <v>2076.0</v>
      </c>
      <c r="B603" s="1" t="s">
        <v>381</v>
      </c>
      <c r="C603" s="1" t="s">
        <v>588</v>
      </c>
      <c r="D603" s="1" t="str">
        <f>IFERROR(__xludf.DUMMYFUNCTION("CONCATENATE(GOOGLETRANSLATE(C603, ""en"", ""zh-cn""))"),"男式趣味字母印花圆领短袖 T 恤")</f>
        <v>男式趣味字母印花圆领短袖 T 恤</v>
      </c>
      <c r="E603" s="1" t="str">
        <f>IFERROR(__xludf.DUMMYFUNCTION("CONCATENATE(GOOGLETRANSLATE(C603, ""en"", ""ko""))"),"남성용 퍼니 레터 프린트 크루넥 반소매 티셔츠")</f>
        <v>남성용 퍼니 레터 프린트 크루넥 반소매 티셔츠</v>
      </c>
      <c r="F603" s="1" t="str">
        <f>IFERROR(__xludf.DUMMYFUNCTION("CONCATENATE(GOOGLETRANSLATE(C603, ""en"", ""ja""))"),"メンズ ファニー レター プリント クルーネック 半袖 T シャツ")</f>
        <v>メンズ ファニー レター プリント クルーネック 半袖 T シャツ</v>
      </c>
    </row>
    <row r="604" ht="15.75" customHeight="1">
      <c r="A604" s="1">
        <v>2077.0</v>
      </c>
      <c r="B604" s="1" t="s">
        <v>381</v>
      </c>
      <c r="C604" s="1" t="s">
        <v>589</v>
      </c>
      <c r="D604" s="1" t="str">
        <f>IFERROR(__xludf.DUMMYFUNCTION("CONCATENATE(GOOGLETRANSLATE(C604, ""en"", ""zh-cn""))"),"男士中国竹子印花系带纹理高低下摆 T 恤")</f>
        <v>男士中国竹子印花系带纹理高低下摆 T 恤</v>
      </c>
      <c r="E604" s="1" t="str">
        <f>IFERROR(__xludf.DUMMYFUNCTION("CONCATENATE(GOOGLETRANSLATE(C604, ""en"", ""ko""))"),"남성용 중국 대나무 프린트 레이스 업 텍스처 하이 로우 밑단 티셔츠")</f>
        <v>남성용 중국 대나무 프린트 레이스 업 텍스처 하이 로우 밑단 티셔츠</v>
      </c>
      <c r="F604" s="1" t="str">
        <f>IFERROR(__xludf.DUMMYFUNCTION("CONCATENATE(GOOGLETRANSLATE(C604, ""en"", ""ja""))"),"メンズ中国竹プリントレースアップテクスチャ高低裾 T シャツ")</f>
        <v>メンズ中国竹プリントレースアップテクスチャ高低裾 T シャツ</v>
      </c>
    </row>
    <row r="605" ht="15.75" customHeight="1">
      <c r="A605" s="1">
        <v>2078.0</v>
      </c>
      <c r="B605" s="1" t="s">
        <v>381</v>
      </c>
      <c r="C605" s="1" t="s">
        <v>590</v>
      </c>
      <c r="D605" s="1" t="str">
        <f>IFERROR(__xludf.DUMMYFUNCTION("CONCATENATE(GOOGLETRANSLATE(C605, ""en"", ""zh-cn""))"),"男式可爱日本猫印花圆领短袖 T 恤")</f>
        <v>男式可爱日本猫印花圆领短袖 T 恤</v>
      </c>
      <c r="E605" s="1" t="str">
        <f>IFERROR(__xludf.DUMMYFUNCTION("CONCATENATE(GOOGLETRANSLATE(C605, ""en"", ""ko""))"),"남성용 귀여운 일본 고양이 프린트 크루넥 반팔 티셔츠")</f>
        <v>남성용 귀여운 일본 고양이 프린트 크루넥 반팔 티셔츠</v>
      </c>
      <c r="F605" s="1" t="str">
        <f>IFERROR(__xludf.DUMMYFUNCTION("CONCATENATE(GOOGLETRANSLATE(C605, ""en"", ""ja""))"),"メンズかわいい日本の猫プリント クルーネック半袖 T シャツ")</f>
        <v>メンズかわいい日本の猫プリント クルーネック半袖 T シャツ</v>
      </c>
    </row>
    <row r="606" ht="15.75" customHeight="1">
      <c r="A606" s="1">
        <v>2079.0</v>
      </c>
      <c r="B606" s="1" t="s">
        <v>381</v>
      </c>
      <c r="C606" s="1" t="s">
        <v>591</v>
      </c>
      <c r="D606" s="1" t="str">
        <f>IFERROR(__xludf.DUMMYFUNCTION("CONCATENATE(GOOGLETRANSLATE(C606, ""en"", ""zh-cn""))"),"男士纹理拼色休闲短袖 T 恤")</f>
        <v>男士纹理拼色休闲短袖 T 恤</v>
      </c>
      <c r="E606" s="1" t="str">
        <f>IFERROR(__xludf.DUMMYFUNCTION("CONCATENATE(GOOGLETRANSLATE(C606, ""en"", ""ko""))"),"남성용 텍스처 컬러 블록 패치워크 캐주얼 반소매 티셔츠")</f>
        <v>남성용 텍스처 컬러 블록 패치워크 캐주얼 반소매 티셔츠</v>
      </c>
      <c r="F606" s="1" t="str">
        <f>IFERROR(__xludf.DUMMYFUNCTION("CONCATENATE(GOOGLETRANSLATE(C606, ""en"", ""ja""))"),"メンズ テクスチャ カラー ブロック パッチワーク カジュアル半袖 T シャツ")</f>
        <v>メンズ テクスチャ カラー ブロック パッチワーク カジュアル半袖 T シャツ</v>
      </c>
    </row>
    <row r="607" ht="15.75" customHeight="1">
      <c r="A607" s="1">
        <v>2080.0</v>
      </c>
      <c r="B607" s="1" t="s">
        <v>381</v>
      </c>
      <c r="C607" s="1" t="s">
        <v>592</v>
      </c>
      <c r="D607" s="1" t="str">
        <f>IFERROR(__xludf.DUMMYFUNCTION("CONCATENATE(GOOGLETRANSLATE(C607, ""en"", ""zh-cn""))"),"男式日本樱花印花系带 T 恤")</f>
        <v>男式日本樱花印花系带 T 恤</v>
      </c>
      <c r="E607" s="1" t="str">
        <f>IFERROR(__xludf.DUMMYFUNCTION("CONCATENATE(GOOGLETRANSLATE(C607, ""en"", ""ko""))"),"남성용 일본 벚꽃 프린트 타이 넥 티셔츠")</f>
        <v>남성용 일본 벚꽃 프린트 타이 넥 티셔츠</v>
      </c>
      <c r="F607" s="1" t="str">
        <f>IFERROR(__xludf.DUMMYFUNCTION("CONCATENATE(GOOGLETRANSLATE(C607, ""en"", ""ja""))"),"メンズ日本の桜プリント ネクタイ ネック T シャツ")</f>
        <v>メンズ日本の桜プリント ネクタイ ネック T シャツ</v>
      </c>
    </row>
    <row r="608" ht="15.75" customHeight="1">
      <c r="A608" s="1">
        <v>2081.0</v>
      </c>
      <c r="B608" s="1" t="s">
        <v>381</v>
      </c>
      <c r="C608" s="1" t="s">
        <v>593</v>
      </c>
      <c r="D608" s="1" t="str">
        <f>IFERROR(__xludf.DUMMYFUNCTION("CONCATENATE(GOOGLETRANSLATE(C608, ""en"", ""zh-cn""))"),"男式日本风景印花系带领口侧开叉纹理 T 恤")</f>
        <v>男式日本风景印花系带领口侧开叉纹理 T 恤</v>
      </c>
      <c r="E608" s="1" t="str">
        <f>IFERROR(__xludf.DUMMYFUNCTION("CONCATENATE(GOOGLETRANSLATE(C608, ""en"", ""ko""))"),"남성용 일본 풍경 프린트 레이스 업 넥 사이드 스플릿 텍스처 티셔츠")</f>
        <v>남성용 일본 풍경 프린트 레이스 업 넥 사이드 스플릿 텍스처 티셔츠</v>
      </c>
      <c r="F608" s="1" t="str">
        <f>IFERROR(__xludf.DUMMYFUNCTION("CONCATENATE(GOOGLETRANSLATE(C608, ""en"", ""ja""))"),"メンズ日本の風景プリント レースアップ ネック サイド スプリット テクスチャ T シャツ")</f>
        <v>メンズ日本の風景プリント レースアップ ネック サイド スプリット テクスチャ T シャツ</v>
      </c>
    </row>
    <row r="609" ht="15.75" customHeight="1">
      <c r="A609" s="1">
        <v>2082.0</v>
      </c>
      <c r="B609" s="1" t="s">
        <v>381</v>
      </c>
      <c r="C609" s="1" t="s">
        <v>594</v>
      </c>
      <c r="D609" s="1" t="str">
        <f>IFERROR(__xludf.DUMMYFUNCTION("CONCATENATE(GOOGLETRANSLATE(C609, ""en"", ""zh-cn""))"),"男式玫瑰印花拼色棉质短袖 T 恤")</f>
        <v>男式玫瑰印花拼色棉质短袖 T 恤</v>
      </c>
      <c r="E609" s="1" t="str">
        <f>IFERROR(__xludf.DUMMYFUNCTION("CONCATENATE(GOOGLETRANSLATE(C609, ""en"", ""ko""))"),"남성용 로즈 프린트 컬러 블록 패치워크 코튼 반소매 티셔츠")</f>
        <v>남성용 로즈 프린트 컬러 블록 패치워크 코튼 반소매 티셔츠</v>
      </c>
      <c r="F609" s="1" t="str">
        <f>IFERROR(__xludf.DUMMYFUNCTION("CONCATENATE(GOOGLETRANSLATE(C609, ""en"", ""ja""))"),"メンズローズプリントカラーブロックパッチワークコットン半袖Tシャツ")</f>
        <v>メンズローズプリントカラーブロックパッチワークコットン半袖Tシャツ</v>
      </c>
    </row>
    <row r="610" ht="15.75" customHeight="1">
      <c r="A610" s="1">
        <v>2083.0</v>
      </c>
      <c r="B610" s="1" t="s">
        <v>381</v>
      </c>
      <c r="C610" s="1" t="s">
        <v>595</v>
      </c>
      <c r="D610" s="1" t="str">
        <f>IFERROR(__xludf.DUMMYFUNCTION("CONCATENATE(GOOGLETRANSLATE(C610, ""en"", ""zh-cn""))"),"男式日本刺绣拼布针织短袖 T 恤")</f>
        <v>男式日本刺绣拼布针织短袖 T 恤</v>
      </c>
      <c r="E610" s="1" t="str">
        <f>IFERROR(__xludf.DUMMYFUNCTION("CONCATENATE(GOOGLETRANSLATE(C610, ""en"", ""ko""))"),"남성용 일본 자수 패치워크 니트 반소매 티셔츠")</f>
        <v>남성용 일본 자수 패치워크 니트 반소매 티셔츠</v>
      </c>
      <c r="F610" s="1" t="str">
        <f>IFERROR(__xludf.DUMMYFUNCTION("CONCATENATE(GOOGLETRANSLATE(C610, ""en"", ""ja""))"),"メンズ日本製刺繍パッチワークニット半袖Tシャツ")</f>
        <v>メンズ日本製刺繍パッチワークニット半袖Tシャツ</v>
      </c>
    </row>
    <row r="611" ht="15.75" customHeight="1">
      <c r="A611" s="1">
        <v>2084.0</v>
      </c>
      <c r="B611" s="1" t="s">
        <v>381</v>
      </c>
      <c r="C611" s="1" t="s">
        <v>596</v>
      </c>
      <c r="D611" s="1" t="str">
        <f>IFERROR(__xludf.DUMMYFUNCTION("CONCATENATE(GOOGLETRANSLATE(C611, ""en"", ""zh-cn""))"),"男士中国阴阳水墨印花系带领纹理 T 恤")</f>
        <v>男士中国阴阳水墨印花系带领纹理 T 恤</v>
      </c>
      <c r="E611" s="1" t="str">
        <f>IFERROR(__xludf.DUMMYFUNCTION("CONCATENATE(GOOGLETRANSLATE(C611, ""en"", ""ko""))"),"남성용 중국 음양 잉크 프린트 레이스 업 넥 텍스처 티셔츠")</f>
        <v>남성용 중국 음양 잉크 프린트 레이스 업 넥 텍스처 티셔츠</v>
      </c>
      <c r="F611" s="1" t="str">
        <f>IFERROR(__xludf.DUMMYFUNCTION("CONCATENATE(GOOGLETRANSLATE(C611, ""en"", ""ja""))"),"メンズ中国陰陽インクプリントレースアップネックテクスチャTシャツ")</f>
        <v>メンズ中国陰陽インクプリントレースアップネックテクスチャTシャツ</v>
      </c>
    </row>
    <row r="612" ht="15.75" customHeight="1">
      <c r="A612" s="1">
        <v>2085.0</v>
      </c>
      <c r="B612" s="1" t="s">
        <v>381</v>
      </c>
      <c r="C612" s="1" t="s">
        <v>597</v>
      </c>
      <c r="D612" s="1" t="str">
        <f>IFERROR(__xludf.DUMMYFUNCTION("CONCATENATE(GOOGLETRANSLATE(C612, ""en"", ""zh-cn""))"),"男式民族几何图案拼布日本刺绣短袖 T 恤")</f>
        <v>男式民族几何图案拼布日本刺绣短袖 T 恤</v>
      </c>
      <c r="E612" s="1" t="str">
        <f>IFERROR(__xludf.DUMMYFUNCTION("CONCATENATE(GOOGLETRANSLATE(C612, ""en"", ""ko""))"),"남성용 에스닉 기하학 무늬 패치워크 일본식 자수 반소매 티셔츠")</f>
        <v>남성용 에스닉 기하학 무늬 패치워크 일본식 자수 반소매 티셔츠</v>
      </c>
      <c r="F612" s="1" t="str">
        <f>IFERROR(__xludf.DUMMYFUNCTION("CONCATENATE(GOOGLETRANSLATE(C612, ""en"", ""ja""))"),"メンズエスニック幾何学模様パッチワーク日本の刺繍半袖Tシャツ")</f>
        <v>メンズエスニック幾何学模様パッチワーク日本の刺繍半袖Tシャツ</v>
      </c>
    </row>
    <row r="613" ht="15.75" customHeight="1">
      <c r="A613" s="1">
        <v>2086.0</v>
      </c>
      <c r="B613" s="1" t="s">
        <v>381</v>
      </c>
      <c r="C613" s="1" t="s">
        <v>598</v>
      </c>
      <c r="D613" s="1" t="str">
        <f>IFERROR(__xludf.DUMMYFUNCTION("CONCATENATE(GOOGLETRANSLATE(C613, ""en"", ""zh-cn""))"),"男式微笑标语印花拼布民族短袖 T 恤")</f>
        <v>男式微笑标语印花拼布民族短袖 T 恤</v>
      </c>
      <c r="E613" s="1" t="str">
        <f>IFERROR(__xludf.DUMMYFUNCTION("CONCATENATE(GOOGLETRANSLATE(C613, ""en"", ""ko""))"),"남성 스마일 슬로건 프린트 패치워크 에스닉 반팔 티셔츠")</f>
        <v>남성 스마일 슬로건 프린트 패치워크 에스닉 반팔 티셔츠</v>
      </c>
      <c r="F613" s="1" t="str">
        <f>IFERROR(__xludf.DUMMYFUNCTION("CONCATENATE(GOOGLETRANSLATE(C613, ""en"", ""ja""))"),"メンズ スマイル スローガン プリント パッチワーク エスニック 半袖 T シャツ")</f>
        <v>メンズ スマイル スローガン プリント パッチワーク エスニック 半袖 T シャツ</v>
      </c>
    </row>
    <row r="614" ht="15.75" customHeight="1">
      <c r="A614" s="1">
        <v>2087.0</v>
      </c>
      <c r="B614" s="1" t="s">
        <v>381</v>
      </c>
      <c r="C614" s="1" t="s">
        <v>599</v>
      </c>
      <c r="D614" s="1" t="str">
        <f>IFERROR(__xludf.DUMMYFUNCTION("CONCATENATE(GOOGLETRANSLATE(C614, ""en"", ""zh-cn""))"),"男式民族建筑印花圆领短袖 T 恤")</f>
        <v>男式民族建筑印花圆领短袖 T 恤</v>
      </c>
      <c r="E614" s="1" t="str">
        <f>IFERROR(__xludf.DUMMYFUNCTION("CONCATENATE(GOOGLETRANSLATE(C614, ""en"", ""ko""))"),"남성용 에스닉 아키텍처 프린트 크루넥 반팔 티셔츠")</f>
        <v>남성용 에스닉 아키텍처 프린트 크루넥 반팔 티셔츠</v>
      </c>
      <c r="F614" s="1" t="str">
        <f>IFERROR(__xludf.DUMMYFUNCTION("CONCATENATE(GOOGLETRANSLATE(C614, ""en"", ""ja""))"),"メンズエスニックアーキテクチャプリントクルーネック半袖Tシャツ")</f>
        <v>メンズエスニックアーキテクチャプリントクルーネック半袖Tシャツ</v>
      </c>
    </row>
    <row r="615" ht="15.75" customHeight="1">
      <c r="A615" s="1">
        <v>2088.0</v>
      </c>
      <c r="B615" s="1" t="s">
        <v>381</v>
      </c>
      <c r="C615" s="1" t="s">
        <v>600</v>
      </c>
      <c r="D615" s="1" t="str">
        <f>IFERROR(__xludf.DUMMYFUNCTION("CONCATENATE(GOOGLETRANSLATE(C615, ""en"", ""zh-cn""))"),"男式民族几何日本印花拼布短袖 T 恤")</f>
        <v>男式民族几何日本印花拼布短袖 T 恤</v>
      </c>
      <c r="E615" s="1" t="str">
        <f>IFERROR(__xludf.DUMMYFUNCTION("CONCATENATE(GOOGLETRANSLATE(C615, ""en"", ""ko""))"),"남성용 에스닉 기하학 일본식 프린트 패치워크 반소매 티셔츠")</f>
        <v>남성용 에스닉 기하학 일본식 프린트 패치워크 반소매 티셔츠</v>
      </c>
      <c r="F615" s="1" t="str">
        <f>IFERROR(__xludf.DUMMYFUNCTION("CONCATENATE(GOOGLETRANSLATE(C615, ""en"", ""ja""))"),"メンズ エスニック 幾何学模様 日本のプリント パッチワーク 半袖 T シャツ")</f>
        <v>メンズ エスニック 幾何学模様 日本のプリント パッチワーク 半袖 T シャツ</v>
      </c>
    </row>
    <row r="616" ht="15.75" customHeight="1">
      <c r="A616" s="1">
        <v>2089.0</v>
      </c>
      <c r="B616" s="1" t="s">
        <v>381</v>
      </c>
      <c r="C616" s="1" t="s">
        <v>601</v>
      </c>
      <c r="D616" s="1" t="str">
        <f>IFERROR(__xludf.DUMMYFUNCTION("CONCATENATE(GOOGLETRANSLATE(C616, ""en"", ""zh-cn""))"),"男式民族图腾印花圆领短袖 T 恤")</f>
        <v>男式民族图腾印花圆领短袖 T 恤</v>
      </c>
      <c r="E616" s="1" t="str">
        <f>IFERROR(__xludf.DUMMYFUNCTION("CONCATENATE(GOOGLETRANSLATE(C616, ""en"", ""ko""))"),"남성용 에스닉 토템 프린트 크루넥 반팔 티셔츠")</f>
        <v>남성용 에스닉 토템 프린트 크루넥 반팔 티셔츠</v>
      </c>
      <c r="F616" s="1" t="str">
        <f>IFERROR(__xludf.DUMMYFUNCTION("CONCATENATE(GOOGLETRANSLATE(C616, ""en"", ""ja""))"),"メンズ エスニック トーテム プリント クルーネック 半袖 T シャツ")</f>
        <v>メンズ エスニック トーテム プリント クルーネック 半袖 T シャツ</v>
      </c>
    </row>
    <row r="617" ht="15.75" customHeight="1">
      <c r="A617" s="1">
        <v>2090.0</v>
      </c>
      <c r="B617" s="1" t="s">
        <v>381</v>
      </c>
      <c r="C617" s="1" t="s">
        <v>602</v>
      </c>
      <c r="D617" s="1" t="str">
        <f>IFERROR(__xludf.DUMMYFUNCTION("CONCATENATE(GOOGLETRANSLATE(C617, ""en"", ""zh-cn""))"),"男式熊猫竹日本印花缺口领短袖 T 恤")</f>
        <v>男式熊猫竹日本印花缺口领短袖 T 恤</v>
      </c>
      <c r="E617" s="1" t="str">
        <f>IFERROR(__xludf.DUMMYFUNCTION("CONCATENATE(GOOGLETRANSLATE(C617, ""en"", ""ko""))"),"남성용 팬더 대나무 일본식 프린트 노치 넥 반소매 티셔츠")</f>
        <v>남성용 팬더 대나무 일본식 프린트 노치 넥 반소매 티셔츠</v>
      </c>
      <c r="F617" s="1" t="str">
        <f>IFERROR(__xludf.DUMMYFUNCTION("CONCATENATE(GOOGLETRANSLATE(C617, ""en"", ""ja""))"),"メンズパンダ竹日本語プリントノッチネック半袖 T シャツ")</f>
        <v>メンズパンダ竹日本語プリントノッチネック半袖 T シャツ</v>
      </c>
    </row>
    <row r="618" ht="15.75" customHeight="1">
      <c r="A618" s="1">
        <v>2091.0</v>
      </c>
      <c r="B618" s="1" t="s">
        <v>381</v>
      </c>
      <c r="C618" s="1" t="s">
        <v>603</v>
      </c>
      <c r="D618" s="1" t="str">
        <f>IFERROR(__xludf.DUMMYFUNCTION("CONCATENATE(GOOGLETRANSLATE(C618, ""en"", ""zh-cn""))"),"男式民族图腾印花拼布短袖连帽 T 恤")</f>
        <v>男式民族图腾印花拼布短袖连帽 T 恤</v>
      </c>
      <c r="E618" s="1" t="str">
        <f>IFERROR(__xludf.DUMMYFUNCTION("CONCATENATE(GOOGLETRANSLATE(C618, ""en"", ""ko""))"),"남성용 에스닉 토템 프린트 패치워크 반소매 후드 티셔츠")</f>
        <v>남성용 에스닉 토템 프린트 패치워크 반소매 후드 티셔츠</v>
      </c>
      <c r="F618" s="1" t="str">
        <f>IFERROR(__xludf.DUMMYFUNCTION("CONCATENATE(GOOGLETRANSLATE(C618, ""en"", ""ja""))"),"メンズエスニックトーテムプリントパッチワーク半袖フード付きTシャツ")</f>
        <v>メンズエスニックトーテムプリントパッチワーク半袖フード付きTシャツ</v>
      </c>
    </row>
    <row r="619" ht="15.75" customHeight="1">
      <c r="A619" s="1">
        <v>2092.0</v>
      </c>
      <c r="B619" s="1" t="s">
        <v>381</v>
      </c>
      <c r="C619" s="1" t="s">
        <v>604</v>
      </c>
      <c r="D619" s="1" t="str">
        <f>IFERROR(__xludf.DUMMYFUNCTION("CONCATENATE(GOOGLETRANSLATE(C619, ""en"", ""zh-cn""))"),"男士罗纹针织半领纯色 T 恤")</f>
        <v>男士罗纹针织半领纯色 T 恤</v>
      </c>
      <c r="E619" s="1" t="str">
        <f>IFERROR(__xludf.DUMMYFUNCTION("CONCATENATE(GOOGLETRANSLATE(C619, ""en"", ""ko""))"),"남성용 리브 니트 하프 칼라 솔리드 티셔츠")</f>
        <v>남성용 리브 니트 하프 칼라 솔리드 티셔츠</v>
      </c>
      <c r="F619" s="1" t="str">
        <f>IFERROR(__xludf.DUMMYFUNCTION("CONCATENATE(GOOGLETRANSLATE(C619, ""en"", ""ja""))"),"メンズ リブニット ハーフカラー ソリッド T シャツ")</f>
        <v>メンズ リブニット ハーフカラー ソリッド T シャツ</v>
      </c>
    </row>
    <row r="620" ht="15.75" customHeight="1">
      <c r="A620" s="1">
        <v>2093.0</v>
      </c>
      <c r="B620" s="1" t="s">
        <v>381</v>
      </c>
      <c r="C620" s="1" t="s">
        <v>605</v>
      </c>
      <c r="D620" s="1" t="str">
        <f>IFERROR(__xludf.DUMMYFUNCTION("CONCATENATE(GOOGLETRANSLATE(C620, ""en"", ""zh-cn""))"),"男士樱花印花日式棉质短袖 T 恤")</f>
        <v>男士樱花印花日式棉质短袖 T 恤</v>
      </c>
      <c r="E620" s="1" t="str">
        <f>IFERROR(__xludf.DUMMYFUNCTION("CONCATENATE(GOOGLETRANSLATE(C620, ""en"", ""ko""))"),"남성용 벚꽃 프린트 일본식 코튼 반팔 티셔츠")</f>
        <v>남성용 벚꽃 프린트 일본식 코튼 반팔 티셔츠</v>
      </c>
      <c r="F620" s="1" t="str">
        <f>IFERROR(__xludf.DUMMYFUNCTION("CONCATENATE(GOOGLETRANSLATE(C620, ""en"", ""ja""))"),"メンズ桜プリント和風コットン半袖 T シャツ")</f>
        <v>メンズ桜プリント和風コットン半袖 T シャツ</v>
      </c>
    </row>
    <row r="621" ht="15.75" customHeight="1">
      <c r="A621" s="1">
        <v>2094.0</v>
      </c>
      <c r="B621" s="1" t="s">
        <v>381</v>
      </c>
      <c r="C621" s="1" t="s">
        <v>606</v>
      </c>
      <c r="D621" s="1" t="str">
        <f>IFERROR(__xludf.DUMMYFUNCTION("CONCATENATE(GOOGLETRANSLATE(C621, ""en"", ""zh-cn""))"),"男士日式印花拼布短袖连帽 T 恤")</f>
        <v>男士日式印花拼布短袖连帽 T 恤</v>
      </c>
      <c r="E621" s="1" t="str">
        <f>IFERROR(__xludf.DUMMYFUNCTION("CONCATENATE(GOOGLETRANSLATE(C621, ""en"", ""ko""))"),"남성용 일본식 프린트 패치워크 반소매 후드 티셔츠")</f>
        <v>남성용 일본식 프린트 패치워크 반소매 후드 티셔츠</v>
      </c>
      <c r="F621" s="1" t="str">
        <f>IFERROR(__xludf.DUMMYFUNCTION("CONCATENATE(GOOGLETRANSLATE(C621, ""en"", ""ja""))"),"メンズ日本プリント パッチワーク半袖フード付き T シャツ")</f>
        <v>メンズ日本プリント パッチワーク半袖フード付き T シャツ</v>
      </c>
    </row>
    <row r="622" ht="15.75" customHeight="1">
      <c r="A622" s="1">
        <v>2095.0</v>
      </c>
      <c r="B622" s="1" t="s">
        <v>381</v>
      </c>
      <c r="C622" s="1" t="s">
        <v>607</v>
      </c>
      <c r="D622" s="1" t="str">
        <f>IFERROR(__xludf.DUMMYFUNCTION("CONCATENATE(GOOGLETRANSLATE(C622, ""en"", ""zh-cn""))"),"男式卡通宇航员印花圆领短袖 T 恤")</f>
        <v>男式卡通宇航员印花圆领短袖 T 恤</v>
      </c>
      <c r="E622" s="1" t="str">
        <f>IFERROR(__xludf.DUMMYFUNCTION("CONCATENATE(GOOGLETRANSLATE(C622, ""en"", ""ko""))"),"남성용 만화 우주 비행사 프린트 크루넥 반팔 티셔츠")</f>
        <v>남성용 만화 우주 비행사 프린트 크루넥 반팔 티셔츠</v>
      </c>
      <c r="F622" s="1" t="str">
        <f>IFERROR(__xludf.DUMMYFUNCTION("CONCATENATE(GOOGLETRANSLATE(C622, ""en"", ""ja""))"),"メンズ漫画宇宙飛行士プリントクルーネック半袖 T シャツ")</f>
        <v>メンズ漫画宇宙飛行士プリントクルーネック半袖 T シャツ</v>
      </c>
    </row>
    <row r="623" ht="15.75" customHeight="1">
      <c r="A623" s="1">
        <v>2096.0</v>
      </c>
      <c r="B623" s="1" t="s">
        <v>381</v>
      </c>
      <c r="C623" s="1" t="s">
        <v>608</v>
      </c>
      <c r="D623" s="1" t="str">
        <f>IFERROR(__xludf.DUMMYFUNCTION("CONCATENATE(GOOGLETRANSLATE(C623, ""en"", ""zh-cn""))"),"男士字母印花圆领休闲短袖 T 恤")</f>
        <v>男士字母印花圆领休闲短袖 T 恤</v>
      </c>
      <c r="E623" s="1" t="str">
        <f>IFERROR(__xludf.DUMMYFUNCTION("CONCATENATE(GOOGLETRANSLATE(C623, ""en"", ""ko""))"),"남성용 레터 프린트 크루넥 캐주얼 반소매 티셔츠")</f>
        <v>남성용 레터 프린트 크루넥 캐주얼 반소매 티셔츠</v>
      </c>
      <c r="F623" s="1" t="str">
        <f>IFERROR(__xludf.DUMMYFUNCTION("CONCATENATE(GOOGLETRANSLATE(C623, ""en"", ""ja""))"),"メンズレタープリントクルーネックカジュアル半袖Tシャツ")</f>
        <v>メンズレタープリントクルーネックカジュアル半袖Tシャツ</v>
      </c>
    </row>
    <row r="624" ht="15.75" customHeight="1">
      <c r="A624" s="1">
        <v>2097.0</v>
      </c>
      <c r="B624" s="1" t="s">
        <v>381</v>
      </c>
      <c r="C624" s="1" t="s">
        <v>609</v>
      </c>
      <c r="D624" s="1" t="str">
        <f>IFERROR(__xludf.DUMMYFUNCTION("CONCATENATE(GOOGLETRANSLATE(C624, ""en"", ""zh-cn""))"),"男士时尚花卉印花圆领透气短袖休闲 T 恤")</f>
        <v>男士时尚花卉印花圆领透气短袖休闲 T 恤</v>
      </c>
      <c r="E624" s="1" t="str">
        <f>IFERROR(__xludf.DUMMYFUNCTION("CONCATENATE(GOOGLETRANSLATE(C624, ""en"", ""ko""))"),"남성 패션 꽃무늬 크루넥 통기성 짧은 소매 캐주얼 티셔츠")</f>
        <v>남성 패션 꽃무늬 크루넥 통기성 짧은 소매 캐주얼 티셔츠</v>
      </c>
      <c r="F624" s="1" t="str">
        <f>IFERROR(__xludf.DUMMYFUNCTION("CONCATENATE(GOOGLETRANSLATE(C624, ""en"", ""ja""))"),"メンズファッション花柄プリントクルーネック通気性半袖カジュアル Tシャツ")</f>
        <v>メンズファッション花柄プリントクルーネック通気性半袖カジュアル Tシャツ</v>
      </c>
    </row>
    <row r="625" ht="15.75" customHeight="1">
      <c r="A625" s="1">
        <v>2098.0</v>
      </c>
      <c r="B625" s="1" t="s">
        <v>381</v>
      </c>
      <c r="C625" s="1" t="s">
        <v>610</v>
      </c>
      <c r="D625" s="1" t="str">
        <f>IFERROR(__xludf.DUMMYFUNCTION("CONCATENATE(GOOGLETRANSLATE(C625, ""en"", ""zh-cn""))"),"男式民族几何色块拼布刺绣短袖 T 恤")</f>
        <v>男式民族几何色块拼布刺绣短袖 T 恤</v>
      </c>
      <c r="E625" s="1" t="str">
        <f>IFERROR(__xludf.DUMMYFUNCTION("CONCATENATE(GOOGLETRANSLATE(C625, ""en"", ""ko""))"),"남성용 에스닉 기하학 컬러 블록 패치워크 자수 반소매 티셔츠")</f>
        <v>남성용 에스닉 기하학 컬러 블록 패치워크 자수 반소매 티셔츠</v>
      </c>
      <c r="F625" s="1" t="str">
        <f>IFERROR(__xludf.DUMMYFUNCTION("CONCATENATE(GOOGLETRANSLATE(C625, ""en"", ""ja""))"),"メンズエスニック幾何学カラーブロックパッチワーク刺繍半袖Tシャツ")</f>
        <v>メンズエスニック幾何学カラーブロックパッチワーク刺繍半袖Tシャツ</v>
      </c>
    </row>
    <row r="626" ht="15.75" customHeight="1">
      <c r="A626" s="1">
        <v>2099.0</v>
      </c>
      <c r="B626" s="1" t="s">
        <v>381</v>
      </c>
      <c r="C626" s="1" t="s">
        <v>611</v>
      </c>
      <c r="D626" s="1" t="str">
        <f>IFERROR(__xludf.DUMMYFUNCTION("CONCATENATE(GOOGLETRANSLATE(C626, ""en"", ""zh-cn""))"),"男式几何图案拼布有盖口袋短袖 T 恤")</f>
        <v>男式几何图案拼布有盖口袋短袖 T 恤</v>
      </c>
      <c r="E626" s="1" t="str">
        <f>IFERROR(__xludf.DUMMYFUNCTION("CONCATENATE(GOOGLETRANSLATE(C626, ""en"", ""ko""))"),"남성용 기하학 무늬 패치워크 플랩 포켓 반팔 티셔츠")</f>
        <v>남성용 기하학 무늬 패치워크 플랩 포켓 반팔 티셔츠</v>
      </c>
      <c r="F626" s="1" t="str">
        <f>IFERROR(__xludf.DUMMYFUNCTION("CONCATENATE(GOOGLETRANSLATE(C626, ""en"", ""ja""))"),"メンズ幾何学模様パッチワーク フラップ ポケット半袖 T シャツ")</f>
        <v>メンズ幾何学模様パッチワーク フラップ ポケット半袖 T シャツ</v>
      </c>
    </row>
    <row r="627" ht="15.75" customHeight="1">
      <c r="A627" s="1">
        <v>2100.0</v>
      </c>
      <c r="B627" s="1" t="s">
        <v>381</v>
      </c>
      <c r="C627" s="1" t="s">
        <v>612</v>
      </c>
      <c r="D627" s="1" t="str">
        <f>IFERROR(__xludf.DUMMYFUNCTION("CONCATENATE(GOOGLETRANSLATE(C627, ""en"", ""zh-cn""))"),"男式 100% 棉椰子树胸印花假日短袖 T 恤")</f>
        <v>男式 100% 棉椰子树胸印花假日短袖 T 恤</v>
      </c>
      <c r="E627" s="1" t="str">
        <f>IFERROR(__xludf.DUMMYFUNCTION("CONCATENATE(GOOGLETRANSLATE(C627, ""en"", ""ko""))"),"남성용 100% 면 코코넛 나무 가슴 프린트 홀리데이 반소매 티셔츠")</f>
        <v>남성용 100% 면 코코넛 나무 가슴 프린트 홀리데이 반소매 티셔츠</v>
      </c>
      <c r="F627" s="1" t="str">
        <f>IFERROR(__xludf.DUMMYFUNCTION("CONCATENATE(GOOGLETRANSLATE(C627, ""en"", ""ja""))"),"メンズ 100% コットン ココナッツ ツリー チェスト プリント ホリデー 半袖 T シャツ")</f>
        <v>メンズ 100% コットン ココナッツ ツリー チェスト プリント ホリデー 半袖 T シャツ</v>
      </c>
    </row>
    <row r="628" ht="15.75" customHeight="1">
      <c r="A628" s="1">
        <v>2101.0</v>
      </c>
      <c r="B628" s="1" t="s">
        <v>381</v>
      </c>
      <c r="C628" s="1" t="s">
        <v>613</v>
      </c>
      <c r="D628" s="1" t="str">
        <f>IFERROR(__xludf.DUMMYFUNCTION("CONCATENATE(GOOGLETRANSLATE(C628, ""en"", ""zh-cn""))"),"男式复古几何印花圆领长袖 T 恤")</f>
        <v>男式复古几何印花圆领长袖 T 恤</v>
      </c>
      <c r="E628" s="1" t="str">
        <f>IFERROR(__xludf.DUMMYFUNCTION("CONCATENATE(GOOGLETRANSLATE(C628, ""en"", ""ko""))"),"남성용 빈티지 기하학 프린트 크루넥 긴소매 티셔츠")</f>
        <v>남성용 빈티지 기하학 프린트 크루넥 긴소매 티셔츠</v>
      </c>
      <c r="F628" s="1" t="str">
        <f>IFERROR(__xludf.DUMMYFUNCTION("CONCATENATE(GOOGLETRANSLATE(C628, ""en"", ""ja""))"),"メンズ ヴィンテージ 幾何学プリント クルーネック 長袖 T シャツ")</f>
        <v>メンズ ヴィンテージ 幾何学プリント クルーネック 長袖 T シャツ</v>
      </c>
    </row>
    <row r="629" ht="15.75" customHeight="1">
      <c r="A629" s="1">
        <v>2102.0</v>
      </c>
      <c r="B629" s="1" t="s">
        <v>381</v>
      </c>
      <c r="C629" s="1" t="s">
        <v>614</v>
      </c>
      <c r="D629" s="1" t="str">
        <f>IFERROR(__xludf.DUMMYFUNCTION("CONCATENATE(GOOGLETRANSLATE(C629, ""en"", ""zh-cn""))"),"男式玫瑰刺绣撞色拼布弧形下摆短袖 T 恤")</f>
        <v>男式玫瑰刺绣撞色拼布弧形下摆短袖 T 恤</v>
      </c>
      <c r="E629" s="1" t="str">
        <f>IFERROR(__xludf.DUMMYFUNCTION("CONCATENATE(GOOGLETRANSLATE(C629, ""en"", ""ko""))"),"남성용 로즈 자수 대비 패치워크 곡선형 밑단 반소매 티셔츠")</f>
        <v>남성용 로즈 자수 대비 패치워크 곡선형 밑단 반소매 티셔츠</v>
      </c>
      <c r="F629" s="1" t="str">
        <f>IFERROR(__xludf.DUMMYFUNCTION("CONCATENATE(GOOGLETRANSLATE(C629, ""en"", ""ja""))"),"メンズローズ刺繍コントラストパッチワークカーブヘム半袖Tシャツ")</f>
        <v>メンズローズ刺繍コントラストパッチワークカーブヘム半袖Tシャツ</v>
      </c>
    </row>
    <row r="630" ht="15.75" customHeight="1">
      <c r="A630" s="1">
        <v>2103.0</v>
      </c>
      <c r="B630" s="1" t="s">
        <v>381</v>
      </c>
      <c r="C630" s="1" t="s">
        <v>615</v>
      </c>
      <c r="D630" s="1" t="str">
        <f>IFERROR(__xludf.DUMMYFUNCTION("CONCATENATE(GOOGLETRANSLATE(C630, ""en"", ""zh-cn""))"),"男士拼色圆领休闲短袖 T 恤")</f>
        <v>男士拼色圆领休闲短袖 T 恤</v>
      </c>
      <c r="E630" s="1" t="str">
        <f>IFERROR(__xludf.DUMMYFUNCTION("CONCATENATE(GOOGLETRANSLATE(C630, ""en"", ""ko""))"),"남성용 컬러 블록 패치워크 크루넥 캐주얼 반소매 티셔츠")</f>
        <v>남성용 컬러 블록 패치워크 크루넥 캐주얼 반소매 티셔츠</v>
      </c>
      <c r="F630" s="1" t="str">
        <f>IFERROR(__xludf.DUMMYFUNCTION("CONCATENATE(GOOGLETRANSLATE(C630, ""en"", ""ja""))"),"メンズ カラーブロック パッチワーク クルーネック カジュアル 半袖 T シャツ")</f>
        <v>メンズ カラーブロック パッチワーク クルーネック カジュアル 半袖 T シャツ</v>
      </c>
    </row>
    <row r="631" ht="15.75" customHeight="1">
      <c r="A631" s="1">
        <v>2104.0</v>
      </c>
      <c r="B631" s="1" t="s">
        <v>381</v>
      </c>
      <c r="C631" s="1" t="s">
        <v>616</v>
      </c>
      <c r="D631" s="1" t="str">
        <f>IFERROR(__xludf.DUMMYFUNCTION("CONCATENATE(GOOGLETRANSLATE(C631, ""en"", ""zh-cn""))"),"男士椰子树日式印花夏威夷度假短袖 T 恤")</f>
        <v>男士椰子树日式印花夏威夷度假短袖 T 恤</v>
      </c>
      <c r="E631" s="1" t="str">
        <f>IFERROR(__xludf.DUMMYFUNCTION("CONCATENATE(GOOGLETRANSLATE(C631, ""en"", ""ko""))"),"남성용 코코넛 나무 일본식 프린트 하와이 휴가 반팔 티셔츠")</f>
        <v>남성용 코코넛 나무 일본식 프린트 하와이 휴가 반팔 티셔츠</v>
      </c>
      <c r="F631" s="1" t="str">
        <f>IFERROR(__xludf.DUMMYFUNCTION("CONCATENATE(GOOGLETRANSLATE(C631, ""en"", ""ja""))"),"メンズ ココナッツ ツリー 日本語プリント ハワイアン バケーション 半袖 T シャツ")</f>
        <v>メンズ ココナッツ ツリー 日本語プリント ハワイアン バケーション 半袖 T シャツ</v>
      </c>
    </row>
    <row r="632" ht="15.75" customHeight="1">
      <c r="A632" s="1">
        <v>2105.0</v>
      </c>
      <c r="B632" s="1" t="s">
        <v>381</v>
      </c>
      <c r="C632" s="1" t="s">
        <v>617</v>
      </c>
      <c r="D632" s="1" t="str">
        <f>IFERROR(__xludf.DUMMYFUNCTION("CONCATENATE(GOOGLETRANSLATE(C632, ""en"", ""zh-cn""))"),"男士不对称部落印花短袖 O 领 T 恤")</f>
        <v>男士不对称部落印花短袖 O 领 T 恤</v>
      </c>
      <c r="E632" s="1" t="str">
        <f>IFERROR(__xludf.DUMMYFUNCTION("CONCATENATE(GOOGLETRANSLATE(C632, ""en"", ""ko""))"),"남성용 비대칭 부족 프린트 반소매 O 넥 티셔츠")</f>
        <v>남성용 비대칭 부족 프린트 반소매 O 넥 티셔츠</v>
      </c>
      <c r="F632" s="1" t="str">
        <f>IFERROR(__xludf.DUMMYFUNCTION("CONCATENATE(GOOGLETRANSLATE(C632, ""en"", ""ja""))"),"メンズ非対称トライバルプリント半袖 O ネック T シャツ")</f>
        <v>メンズ非対称トライバルプリント半袖 O ネック T シャツ</v>
      </c>
    </row>
    <row r="633" ht="15.75" customHeight="1">
      <c r="A633" s="1">
        <v>2106.0</v>
      </c>
      <c r="B633" s="1" t="s">
        <v>381</v>
      </c>
      <c r="C633" s="1" t="s">
        <v>618</v>
      </c>
      <c r="D633" s="1" t="str">
        <f>IFERROR(__xludf.DUMMYFUNCTION("CONCATENATE(GOOGLETRANSLATE(C633, ""en"", ""zh-cn""))"),"男士部落拼布印花短袖连帽 T 恤")</f>
        <v>男士部落拼布印花短袖连帽 T 恤</v>
      </c>
      <c r="E633" s="1" t="str">
        <f>IFERROR(__xludf.DUMMYFUNCTION("CONCATENATE(GOOGLETRANSLATE(C633, ""en"", ""ko""))"),"남성 부족 패치워크 프린트 반소매 후드 티셔츠")</f>
        <v>남성 부족 패치워크 프린트 반소매 후드 티셔츠</v>
      </c>
      <c r="F633" s="1" t="str">
        <f>IFERROR(__xludf.DUMMYFUNCTION("CONCATENATE(GOOGLETRANSLATE(C633, ""en"", ""ja""))"),"メンズトライバルパッチワークプリント半袖フード付きTシャツ")</f>
        <v>メンズトライバルパッチワークプリント半袖フード付きTシャツ</v>
      </c>
    </row>
    <row r="634" ht="15.75" customHeight="1">
      <c r="A634" s="1">
        <v>2107.0</v>
      </c>
      <c r="B634" s="1" t="s">
        <v>381</v>
      </c>
      <c r="C634" s="1" t="s">
        <v>619</v>
      </c>
      <c r="D634" s="1" t="str">
        <f>IFERROR(__xludf.DUMMYFUNCTION("CONCATENATE(GOOGLETRANSLATE(C634, ""en"", ""zh-cn""))"),"男士字母几何印花拼布小高领短袖 T 恤")</f>
        <v>男士字母几何印花拼布小高领短袖 T 恤</v>
      </c>
      <c r="E634" s="1" t="str">
        <f>IFERROR(__xludf.DUMMYFUNCTION("CONCATENATE(GOOGLETRANSLATE(C634, ""en"", ""ko""))"),"남성용 문자 기하학적 프린트 패치워크 모의 넥 반팔 티셔츠")</f>
        <v>남성용 문자 기하학적 프린트 패치워크 모의 넥 반팔 티셔츠</v>
      </c>
      <c r="F634" s="1" t="str">
        <f>IFERROR(__xludf.DUMMYFUNCTION("CONCATENATE(GOOGLETRANSLATE(C634, ""en"", ""ja""))"),"メンズレター幾何学プリントパッチワークモックネック半袖Tシャツ")</f>
        <v>メンズレター幾何学プリントパッチワークモックネック半袖Tシャツ</v>
      </c>
    </row>
    <row r="635" ht="15.75" customHeight="1">
      <c r="A635" s="1">
        <v>2108.0</v>
      </c>
      <c r="B635" s="1" t="s">
        <v>381</v>
      </c>
      <c r="C635" s="1" t="s">
        <v>620</v>
      </c>
      <c r="D635" s="1" t="str">
        <f>IFERROR(__xludf.DUMMYFUNCTION("CONCATENATE(GOOGLETRANSLATE(C635, ""en"", ""zh-cn""))"),"男式复古几何图案拼布小高领短袖 T 恤")</f>
        <v>男式复古几何图案拼布小高领短袖 T 恤</v>
      </c>
      <c r="E635" s="1" t="str">
        <f>IFERROR(__xludf.DUMMYFUNCTION("CONCATENATE(GOOGLETRANSLATE(C635, ""en"", ""ko""))"),"남성 빈티지 기하학적 패턴 패치워크 모크 넥 반팔 티셔츠")</f>
        <v>남성 빈티지 기하학적 패턴 패치워크 모크 넥 반팔 티셔츠</v>
      </c>
      <c r="F635" s="1" t="str">
        <f>IFERROR(__xludf.DUMMYFUNCTION("CONCATENATE(GOOGLETRANSLATE(C635, ""en"", ""ja""))"),"メンズヴィンテージ幾何学模様パッチワークモックネック半袖Tシャツ")</f>
        <v>メンズヴィンテージ幾何学模様パッチワークモックネック半袖Tシャツ</v>
      </c>
    </row>
    <row r="636" ht="15.75" customHeight="1">
      <c r="A636" s="1">
        <v>2109.0</v>
      </c>
      <c r="B636" s="1" t="s">
        <v>381</v>
      </c>
      <c r="C636" s="1" t="s">
        <v>621</v>
      </c>
      <c r="D636" s="1" t="str">
        <f>IFERROR(__xludf.DUMMYFUNCTION("CONCATENATE(GOOGLETRANSLATE(C636, ""en"", ""zh-cn""))"),"男士几何胸袋小高领短袖 T 恤")</f>
        <v>男士几何胸袋小高领短袖 T 恤</v>
      </c>
      <c r="E636" s="1" t="str">
        <f>IFERROR(__xludf.DUMMYFUNCTION("CONCATENATE(GOOGLETRANSLATE(C636, ""en"", ""ko""))"),"남성용 기하학 가슴 포켓 모크 넥 반팔 티셔츠")</f>
        <v>남성용 기하학 가슴 포켓 모크 넥 반팔 티셔츠</v>
      </c>
      <c r="F636" s="1" t="str">
        <f>IFERROR(__xludf.DUMMYFUNCTION("CONCATENATE(GOOGLETRANSLATE(C636, ""en"", ""ja""))"),"メンズ幾何学胸ポケットモックネック半袖 T シャツ")</f>
        <v>メンズ幾何学胸ポケットモックネック半袖 T シャツ</v>
      </c>
    </row>
    <row r="637" ht="15.75" customHeight="1">
      <c r="A637" s="1">
        <v>2110.0</v>
      </c>
      <c r="B637" s="1" t="s">
        <v>381</v>
      </c>
      <c r="C637" s="1" t="s">
        <v>622</v>
      </c>
      <c r="D637" s="1" t="str">
        <f>IFERROR(__xludf.DUMMYFUNCTION("CONCATENATE(GOOGLETRANSLATE(C637, ""en"", ""zh-cn""))"),"男士纯色高领休闲长袖 T 恤")</f>
        <v>男士纯色高领休闲长袖 T 恤</v>
      </c>
      <c r="E637" s="1" t="str">
        <f>IFERROR(__xludf.DUMMYFUNCTION("CONCATENATE(GOOGLETRANSLATE(C637, ""en"", ""ko""))"),"남성 솔리드 텍스쳐 하이넥 캐주얼 긴팔 티셔츠")</f>
        <v>남성 솔리드 텍스쳐 하이넥 캐주얼 긴팔 티셔츠</v>
      </c>
      <c r="F637" s="1" t="str">
        <f>IFERROR(__xludf.DUMMYFUNCTION("CONCATENATE(GOOGLETRANSLATE(C637, ""en"", ""ja""))"),"メンズソリッドテクスチャーハイネックカジュアル長袖Tシャツ")</f>
        <v>メンズソリッドテクスチャーハイネックカジュアル長袖Tシャツ</v>
      </c>
    </row>
    <row r="638" ht="15.75" customHeight="1">
      <c r="A638" s="1">
        <v>2111.0</v>
      </c>
      <c r="B638" s="1" t="s">
        <v>381</v>
      </c>
      <c r="C638" s="1" t="s">
        <v>623</v>
      </c>
      <c r="D638" s="1" t="str">
        <f>IFERROR(__xludf.DUMMYFUNCTION("CONCATENATE(GOOGLETRANSLATE(C638, ""en"", ""zh-cn""))"),"男式不规则几何印花弧形下摆纹理长袖 T 恤")</f>
        <v>男式不规则几何印花弧形下摆纹理长袖 T 恤</v>
      </c>
      <c r="E638" s="1" t="str">
        <f>IFERROR(__xludf.DUMMYFUNCTION("CONCATENATE(GOOGLETRANSLATE(C638, ""en"", ""ko""))"),"남성용 불규칙한 기하학적 프린트 곡선 밑단 텍스처 긴소매 티셔츠")</f>
        <v>남성용 불규칙한 기하학적 프린트 곡선 밑단 텍스처 긴소매 티셔츠</v>
      </c>
      <c r="F638" s="1" t="str">
        <f>IFERROR(__xludf.DUMMYFUNCTION("CONCATENATE(GOOGLETRANSLATE(C638, ""en"", ""ja""))"),"メンズ不規則な幾何学模様のプリント湾曲した裾のテクスチャ長袖 T シャツ")</f>
        <v>メンズ不規則な幾何学模様のプリント湾曲した裾のテクスチャ長袖 T シャツ</v>
      </c>
    </row>
    <row r="639" ht="15.75" customHeight="1">
      <c r="A639" s="1">
        <v>2112.0</v>
      </c>
      <c r="B639" s="1" t="s">
        <v>381</v>
      </c>
      <c r="C639" s="1" t="s">
        <v>624</v>
      </c>
      <c r="D639" s="1" t="str">
        <f>IFERROR(__xludf.DUMMYFUNCTION("CONCATENATE(GOOGLETRANSLATE(C639, ""en"", ""zh-cn""))"),"男式搞笑微笑字母印花圆领短袖 T 恤")</f>
        <v>男式搞笑微笑字母印花圆领短袖 T 恤</v>
      </c>
      <c r="E639" s="1" t="str">
        <f>IFERROR(__xludf.DUMMYFUNCTION("CONCATENATE(GOOGLETRANSLATE(C639, ""en"", ""ko""))"),"남성 퍼니 스마일 레터 프린트 크루넥 반팔 티셔츠")</f>
        <v>남성 퍼니 스마일 레터 프린트 크루넥 반팔 티셔츠</v>
      </c>
      <c r="F639" s="1" t="str">
        <f>IFERROR(__xludf.DUMMYFUNCTION("CONCATENATE(GOOGLETRANSLATE(C639, ""en"", ""ja""))"),"メンズ ファニー スマイル レター プリント クルーネック 半袖 T シャツ")</f>
        <v>メンズ ファニー スマイル レター プリント クルーネック 半袖 T シャツ</v>
      </c>
    </row>
    <row r="640" ht="15.75" customHeight="1">
      <c r="A640" s="1">
        <v>2113.0</v>
      </c>
      <c r="B640" s="1" t="s">
        <v>381</v>
      </c>
      <c r="C640" s="1" t="s">
        <v>625</v>
      </c>
      <c r="D640" s="1" t="str">
        <f>IFERROR(__xludf.DUMMYFUNCTION("CONCATENATE(GOOGLETRANSLATE(C640, ""en"", ""zh-cn""))"),"男士微笑民族几何印花圆领短袖 T 恤")</f>
        <v>男士微笑民族几何印花圆领短袖 T 恤</v>
      </c>
      <c r="E640" s="1" t="str">
        <f>IFERROR(__xludf.DUMMYFUNCTION("CONCATENATE(GOOGLETRANSLATE(C640, ""en"", ""ko""))"),"남성용 스마일 에스닉 기하학 프린트 크루넥 반팔 티셔츠")</f>
        <v>남성용 스마일 에스닉 기하학 프린트 크루넥 반팔 티셔츠</v>
      </c>
      <c r="F640" s="1" t="str">
        <f>IFERROR(__xludf.DUMMYFUNCTION("CONCATENATE(GOOGLETRANSLATE(C640, ""en"", ""ja""))"),"メンズスマイルエスニック幾何学プリントクルーネック半袖Tシャツ")</f>
        <v>メンズスマイルエスニック幾何学プリントクルーネック半袖Tシャツ</v>
      </c>
    </row>
    <row r="641" ht="15.75" customHeight="1">
      <c r="A641" s="1">
        <v>2114.0</v>
      </c>
      <c r="B641" s="1" t="s">
        <v>381</v>
      </c>
      <c r="C641" s="1" t="s">
        <v>626</v>
      </c>
      <c r="D641" s="1" t="str">
        <f>IFERROR(__xludf.DUMMYFUNCTION("CONCATENATE(GOOGLETRANSLATE(C641, ""en"", ""zh-cn""))"),"男式卡通猫和鱼印花圆领短袖 T 恤")</f>
        <v>男式卡通猫和鱼印花圆领短袖 T 恤</v>
      </c>
      <c r="E641" s="1" t="str">
        <f>IFERROR(__xludf.DUMMYFUNCTION("CONCATENATE(GOOGLETRANSLATE(C641, ""en"", ""ko""))"),"남성용 카툰 캣 &amp; 피시 프린트 크루넥 반소매 티셔츠")</f>
        <v>남성용 카툰 캣 &amp; 피시 프린트 크루넥 반소매 티셔츠</v>
      </c>
      <c r="F641" s="1" t="str">
        <f>IFERROR(__xludf.DUMMYFUNCTION("CONCATENATE(GOOGLETRANSLATE(C641, ""en"", ""ja""))"),"メンズ漫画猫と魚プリント クルーネック半袖 T シャツ")</f>
        <v>メンズ漫画猫と魚プリント クルーネック半袖 T シャツ</v>
      </c>
    </row>
    <row r="642" ht="15.75" customHeight="1">
      <c r="A642" s="1">
        <v>2115.0</v>
      </c>
      <c r="B642" s="1" t="s">
        <v>381</v>
      </c>
      <c r="C642" s="1" t="s">
        <v>627</v>
      </c>
      <c r="D642" s="1" t="str">
        <f>IFERROR(__xludf.DUMMYFUNCTION("CONCATENATE(GOOGLETRANSLATE(C642, ""en"", ""zh-cn""))"),"男士微笑标语印花圆领休闲短袖 T 恤")</f>
        <v>男士微笑标语印花圆领休闲短袖 T 恤</v>
      </c>
      <c r="E642" s="1" t="str">
        <f>IFERROR(__xludf.DUMMYFUNCTION("CONCATENATE(GOOGLETRANSLATE(C642, ""en"", ""ko""))"),"남성 스마일 슬로건 프린트 크루넥 캐주얼 반소매 티셔츠")</f>
        <v>남성 스마일 슬로건 프린트 크루넥 캐주얼 반소매 티셔츠</v>
      </c>
      <c r="F642" s="1" t="str">
        <f>IFERROR(__xludf.DUMMYFUNCTION("CONCATENATE(GOOGLETRANSLATE(C642, ""en"", ""ja""))"),"メンズスマイルスローガンプリントクルーネックカジュアル半袖Tシャツ")</f>
        <v>メンズスマイルスローガンプリントクルーネックカジュアル半袖Tシャツ</v>
      </c>
    </row>
    <row r="643" ht="15.75" customHeight="1">
      <c r="A643" s="1">
        <v>2116.0</v>
      </c>
      <c r="B643" s="1" t="s">
        <v>381</v>
      </c>
      <c r="C643" s="1" t="s">
        <v>628</v>
      </c>
      <c r="D643" s="1" t="str">
        <f>IFERROR(__xludf.DUMMYFUNCTION("CONCATENATE(GOOGLETRANSLATE(C643, ""en"", ""zh-cn""))"),"男式搞笑微笑印花圆领短袖 T 恤")</f>
        <v>男式搞笑微笑印花圆领短袖 T 恤</v>
      </c>
      <c r="E643" s="1" t="str">
        <f>IFERROR(__xludf.DUMMYFUNCTION("CONCATENATE(GOOGLETRANSLATE(C643, ""en"", ""ko""))"),"남성 퍼니 스마일 프린트 크루넥 반팔 티셔츠")</f>
        <v>남성 퍼니 스마일 프린트 크루넥 반팔 티셔츠</v>
      </c>
      <c r="F643" s="1" t="str">
        <f>IFERROR(__xludf.DUMMYFUNCTION("CONCATENATE(GOOGLETRANSLATE(C643, ""en"", ""ja""))"),"メンズ ファニー スマイル プリント クルーネック 半袖 T シャツ")</f>
        <v>メンズ ファニー スマイル プリント クルーネック 半袖 T シャツ</v>
      </c>
    </row>
    <row r="644" ht="15.75" customHeight="1">
      <c r="A644" s="1">
        <v>2117.0</v>
      </c>
      <c r="B644" s="1" t="s">
        <v>381</v>
      </c>
      <c r="C644" s="1" t="s">
        <v>629</v>
      </c>
      <c r="D644" s="1" t="str">
        <f>IFERROR(__xludf.DUMMYFUNCTION("CONCATENATE(GOOGLETRANSLATE(C644, ""en"", ""zh-cn""))"),"男士日本鹤花卉背面印花短袖 T 恤")</f>
        <v>男士日本鹤花卉背面印花短袖 T 恤</v>
      </c>
      <c r="E644" s="1" t="str">
        <f>IFERROR(__xludf.DUMMYFUNCTION("CONCATENATE(GOOGLETRANSLATE(C644, ""en"", ""ko""))"),"남성용 두루미 꽃무늬 백 프린트 반소매 티셔츠")</f>
        <v>남성용 두루미 꽃무늬 백 프린트 반소매 티셔츠</v>
      </c>
      <c r="F644" s="1" t="str">
        <f>IFERROR(__xludf.DUMMYFUNCTION("CONCATENATE(GOOGLETRANSLATE(C644, ""en"", ""ja""))"),"メンズタンチョウ花柄バックプリント半袖 T シャツ")</f>
        <v>メンズタンチョウ花柄バックプリント半袖 T シャツ</v>
      </c>
    </row>
    <row r="645" ht="15.75" customHeight="1">
      <c r="A645" s="1">
        <v>2118.0</v>
      </c>
      <c r="B645" s="1" t="s">
        <v>381</v>
      </c>
      <c r="C645" s="1" t="s">
        <v>630</v>
      </c>
      <c r="D645" s="1" t="str">
        <f>IFERROR(__xludf.DUMMYFUNCTION("CONCATENATE(GOOGLETRANSLATE(C645, ""en"", ""zh-cn""))"),"男式卡通线条猫印花圆领短袖 T 恤")</f>
        <v>男式卡通线条猫印花圆领短袖 T 恤</v>
      </c>
      <c r="E645" s="1" t="str">
        <f>IFERROR(__xludf.DUMMYFUNCTION("CONCATENATE(GOOGLETRANSLATE(C645, ""en"", ""ko""))"),"남성용 카툰 라인 캣 프린트 크루넥 반팔 티셔츠")</f>
        <v>남성용 카툰 라인 캣 프린트 크루넥 반팔 티셔츠</v>
      </c>
      <c r="F645" s="1" t="str">
        <f>IFERROR(__xludf.DUMMYFUNCTION("CONCATENATE(GOOGLETRANSLATE(C645, ""en"", ""ja""))"),"メンズ漫画ライン猫プリント クルーネック半袖 T シャツ")</f>
        <v>メンズ漫画ライン猫プリント クルーネック半袖 T シャツ</v>
      </c>
    </row>
    <row r="646" ht="15.75" customHeight="1">
      <c r="A646" s="1">
        <v>2119.0</v>
      </c>
      <c r="B646" s="1" t="s">
        <v>381</v>
      </c>
      <c r="C646" s="1" t="s">
        <v>631</v>
      </c>
      <c r="D646" s="1" t="str">
        <f>IFERROR(__xludf.DUMMYFUNCTION("CONCATENATE(GOOGLETRANSLATE(C646, ""en"", ""zh-cn""))"),"男式卡通猫爪印花圆领短袖 T 恤")</f>
        <v>男式卡通猫爪印花圆领短袖 T 恤</v>
      </c>
      <c r="E646" s="1" t="str">
        <f>IFERROR(__xludf.DUMMYFUNCTION("CONCATENATE(GOOGLETRANSLATE(C646, ""en"", ""ko""))"),"남성용 카툰 고양이 발톱 프린트 크루넥 반소매 티셔츠")</f>
        <v>남성용 카툰 고양이 발톱 프린트 크루넥 반소매 티셔츠</v>
      </c>
      <c r="F646" s="1" t="str">
        <f>IFERROR(__xludf.DUMMYFUNCTION("CONCATENATE(GOOGLETRANSLATE(C646, ""en"", ""ja""))"),"メンズ漫画猫の爪プリント クルーネック半袖 T シャツ")</f>
        <v>メンズ漫画猫の爪プリント クルーネック半袖 T シャツ</v>
      </c>
    </row>
    <row r="647" ht="15.75" customHeight="1">
      <c r="A647" s="1">
        <v>2120.0</v>
      </c>
      <c r="B647" s="1" t="s">
        <v>381</v>
      </c>
      <c r="C647" s="1" t="s">
        <v>632</v>
      </c>
      <c r="D647" s="1" t="str">
        <f>IFERROR(__xludf.DUMMYFUNCTION("CONCATENATE(GOOGLETRANSLATE(C647, ""en"", ""zh-cn""))"),"男士拼色短袖抽绳连帽 T 恤")</f>
        <v>男士拼色短袖抽绳连帽 T 恤</v>
      </c>
      <c r="E647" s="1" t="str">
        <f>IFERROR(__xludf.DUMMYFUNCTION("CONCATENATE(GOOGLETRANSLATE(C647, ""en"", ""ko""))"),"남성용 컬러 블록 패치워크 반소매 드로스트링 후드 티셔츠")</f>
        <v>남성용 컬러 블록 패치워크 반소매 드로스트링 후드 티셔츠</v>
      </c>
      <c r="F647" s="1" t="str">
        <f>IFERROR(__xludf.DUMMYFUNCTION("CONCATENATE(GOOGLETRANSLATE(C647, ""en"", ""ja""))"),"メンズカラーブロックパッチワーク半袖巾着フード付きTシャツ")</f>
        <v>メンズカラーブロックパッチワーク半袖巾着フード付きTシャツ</v>
      </c>
    </row>
    <row r="648" ht="15.75" customHeight="1">
      <c r="A648" s="1">
        <v>2121.0</v>
      </c>
      <c r="B648" s="1" t="s">
        <v>381</v>
      </c>
      <c r="C648" s="1" t="s">
        <v>633</v>
      </c>
      <c r="D648" s="1" t="str">
        <f>IFERROR(__xludf.DUMMYFUNCTION("CONCATENATE(GOOGLETRANSLATE(C648, ""en"", ""zh-cn""))"),"男式锦鲤荷花印花圆领短袖 T 恤")</f>
        <v>男式锦鲤荷花印花圆领短袖 T 恤</v>
      </c>
      <c r="E648" s="1" t="str">
        <f>IFERROR(__xludf.DUMMYFUNCTION("CONCATENATE(GOOGLETRANSLATE(C648, ""en"", ""ko""))"),"남성용 중국 잉어 연꽃 프린트 크루넥 반팔 티셔츠")</f>
        <v>남성용 중국 잉어 연꽃 프린트 크루넥 반팔 티셔츠</v>
      </c>
      <c r="F648" s="1" t="str">
        <f>IFERROR(__xludf.DUMMYFUNCTION("CONCATENATE(GOOGLETRANSLATE(C648, ""en"", ""ja""))"),"メンズ中国鯉蓮プリント クルーネック半袖 T シャツ")</f>
        <v>メンズ中国鯉蓮プリント クルーネック半袖 T シャツ</v>
      </c>
    </row>
    <row r="649" ht="15.75" customHeight="1">
      <c r="A649" s="1">
        <v>2122.0</v>
      </c>
      <c r="B649" s="1" t="s">
        <v>381</v>
      </c>
      <c r="C649" s="1" t="s">
        <v>634</v>
      </c>
      <c r="D649" s="1" t="str">
        <f>IFERROR(__xludf.DUMMYFUNCTION("CONCATENATE(GOOGLETRANSLATE(C649, ""en"", ""zh-cn""))"),"男士中国阴阳鲤鱼印花圆领短袖 T 恤")</f>
        <v>男士中国阴阳鲤鱼印花圆领短袖 T 恤</v>
      </c>
      <c r="E649" s="1" t="str">
        <f>IFERROR(__xludf.DUMMYFUNCTION("CONCATENATE(GOOGLETRANSLATE(C649, ""en"", ""ko""))"),"남성용 중국 음양 잉어 프린트 크루넥 반팔 티셔츠")</f>
        <v>남성용 중국 음양 잉어 프린트 크루넥 반팔 티셔츠</v>
      </c>
      <c r="F649" s="1" t="str">
        <f>IFERROR(__xludf.DUMMYFUNCTION("CONCATENATE(GOOGLETRANSLATE(C649, ""en"", ""ja""))"),"メンズ中国陰陽鯉プリント クルーネック半袖 T シャツ")</f>
        <v>メンズ中国陰陽鯉プリント クルーネック半袖 T シャツ</v>
      </c>
    </row>
    <row r="650" ht="15.75" customHeight="1">
      <c r="A650" s="1">
        <v>2123.0</v>
      </c>
      <c r="B650" s="1" t="s">
        <v>381</v>
      </c>
      <c r="C650" s="1" t="s">
        <v>635</v>
      </c>
      <c r="D650" s="1" t="str">
        <f>IFERROR(__xludf.DUMMYFUNCTION("CONCATENATE(GOOGLETRANSLATE(C650, ""en"", ""zh-cn""))"),"男式民族几何印花拼布短袖 T 恤")</f>
        <v>男式民族几何印花拼布短袖 T 恤</v>
      </c>
      <c r="E650" s="1" t="str">
        <f>IFERROR(__xludf.DUMMYFUNCTION("CONCATENATE(GOOGLETRANSLATE(C650, ""en"", ""ko""))"),"남성용 에스닉 기하학 프린트 패치워크 반소매 티셔츠")</f>
        <v>남성용 에스닉 기하학 프린트 패치워크 반소매 티셔츠</v>
      </c>
      <c r="F650" s="1" t="str">
        <f>IFERROR(__xludf.DUMMYFUNCTION("CONCATENATE(GOOGLETRANSLATE(C650, ""en"", ""ja""))"),"メンズエスニック幾何学プリントパッチワーク半袖Tシャツ")</f>
        <v>メンズエスニック幾何学プリントパッチワーク半袖Tシャツ</v>
      </c>
    </row>
    <row r="651" ht="15.75" customHeight="1">
      <c r="A651" s="1">
        <v>2124.0</v>
      </c>
      <c r="B651" s="1" t="s">
        <v>381</v>
      </c>
      <c r="C651" s="1" t="s">
        <v>636</v>
      </c>
      <c r="D651" s="1" t="str">
        <f>IFERROR(__xludf.DUMMYFUNCTION("CONCATENATE(GOOGLETRANSLATE(C651, ""en"", ""zh-cn""))"),"男式民族几何印花拼色短袖 T 恤")</f>
        <v>男式民族几何印花拼色短袖 T 恤</v>
      </c>
      <c r="E651" s="1" t="str">
        <f>IFERROR(__xludf.DUMMYFUNCTION("CONCATENATE(GOOGLETRANSLATE(C651, ""en"", ""ko""))"),"남성용 에스닉 기하학 프린트 컬러 블록 패치워크 반소매 티셔츠")</f>
        <v>남성용 에스닉 기하학 프린트 컬러 블록 패치워크 반소매 티셔츠</v>
      </c>
      <c r="F651" s="1" t="str">
        <f>IFERROR(__xludf.DUMMYFUNCTION("CONCATENATE(GOOGLETRANSLATE(C651, ""en"", ""ja""))"),"メンズエスニック幾何学プリントカラーブロックパッチワーク半袖Tシャツ")</f>
        <v>メンズエスニック幾何学プリントカラーブロックパッチワーク半袖Tシャツ</v>
      </c>
    </row>
    <row r="652" ht="15.75" customHeight="1">
      <c r="A652" s="1">
        <v>2125.0</v>
      </c>
      <c r="B652" s="1" t="s">
        <v>381</v>
      </c>
      <c r="C652" s="1" t="s">
        <v>637</v>
      </c>
      <c r="D652" s="1" t="str">
        <f>IFERROR(__xludf.DUMMYFUNCTION("CONCATENATE(GOOGLETRANSLATE(C652, ""en"", ""zh-cn""))"),"男式文字民族几何印花拼布短袖 T 恤")</f>
        <v>男式文字民族几何印花拼布短袖 T 恤</v>
      </c>
      <c r="E652" s="1" t="str">
        <f>IFERROR(__xludf.DUMMYFUNCTION("CONCATENATE(GOOGLETRANSLATE(C652, ""en"", ""ko""))"),"남성 스크립트 에스닉 기하학 프린트 패치워크 반소매 티셔츠")</f>
        <v>남성 스크립트 에스닉 기하학 프린트 패치워크 반소매 티셔츠</v>
      </c>
      <c r="F652" s="1" t="str">
        <f>IFERROR(__xludf.DUMMYFUNCTION("CONCATENATE(GOOGLETRANSLATE(C652, ""en"", ""ja""))"),"メンズ スクリプト エスニック 幾何学プリント パッチワーク 半袖 T シャツ")</f>
        <v>メンズ スクリプト エスニック 幾何学プリント パッチワーク 半袖 T シャツ</v>
      </c>
    </row>
    <row r="653" ht="15.75" customHeight="1">
      <c r="A653" s="1">
        <v>2126.0</v>
      </c>
      <c r="B653" s="1" t="s">
        <v>381</v>
      </c>
      <c r="C653" s="1" t="s">
        <v>638</v>
      </c>
      <c r="D653" s="1" t="str">
        <f>IFERROR(__xludf.DUMMYFUNCTION("CONCATENATE(GOOGLETRANSLATE(C653, ""en"", ""zh-cn""))"),"男式民族彩色几何印花拼布短袖 T 恤")</f>
        <v>男式民族彩色几何印花拼布短袖 T 恤</v>
      </c>
      <c r="E653" s="1" t="str">
        <f>IFERROR(__xludf.DUMMYFUNCTION("CONCATENATE(GOOGLETRANSLATE(C653, ""en"", ""ko""))"),"남성용 에스닉 컬러풀 기하학 프린트 패치워크 반소매 티셔츠")</f>
        <v>남성용 에스닉 컬러풀 기하학 프린트 패치워크 반소매 티셔츠</v>
      </c>
      <c r="F653" s="1" t="str">
        <f>IFERROR(__xludf.DUMMYFUNCTION("CONCATENATE(GOOGLETRANSLATE(C653, ""en"", ""ja""))"),"メンズエスニックカラフルな幾何学プリントパッチワーク半袖Tシャツ")</f>
        <v>メンズエスニックカラフルな幾何学プリントパッチワーク半袖Tシャツ</v>
      </c>
    </row>
    <row r="654" ht="15.75" customHeight="1">
      <c r="A654" s="1">
        <v>2127.0</v>
      </c>
      <c r="B654" s="1" t="s">
        <v>381</v>
      </c>
      <c r="C654" s="1" t="s">
        <v>639</v>
      </c>
      <c r="D654" s="1" t="str">
        <f>IFERROR(__xludf.DUMMYFUNCTION("CONCATENATE(GOOGLETRANSLATE(C654, ""en"", ""zh-cn""))"),"男式日本卡通猫印花圆领短袖 T 恤")</f>
        <v>男式日本卡通猫印花圆领短袖 T 恤</v>
      </c>
      <c r="E654" s="1" t="str">
        <f>IFERROR(__xludf.DUMMYFUNCTION("CONCATENATE(GOOGLETRANSLATE(C654, ""en"", ""ko""))"),"남성용 일본 만화 고양이 프린트 크루넥 반팔 티셔츠")</f>
        <v>남성용 일본 만화 고양이 프린트 크루넥 반팔 티셔츠</v>
      </c>
      <c r="F654" s="1" t="str">
        <f>IFERROR(__xludf.DUMMYFUNCTION("CONCATENATE(GOOGLETRANSLATE(C654, ""en"", ""ja""))"),"メンズ日本の漫画猫プリントクルーネック半袖 T シャツ")</f>
        <v>メンズ日本の漫画猫プリントクルーネック半袖 T シャツ</v>
      </c>
    </row>
    <row r="655" ht="15.75" customHeight="1">
      <c r="A655" s="1">
        <v>2128.0</v>
      </c>
      <c r="B655" s="1" t="s">
        <v>381</v>
      </c>
      <c r="C655" s="1" t="s">
        <v>640</v>
      </c>
      <c r="D655" s="1" t="str">
        <f>IFERROR(__xludf.DUMMYFUNCTION("CONCATENATE(GOOGLETRANSLATE(C655, ""en"", ""zh-cn""))"),"男式日本猫吉他印花圆领短袖 T 恤")</f>
        <v>男式日本猫吉他印花圆领短袖 T 恤</v>
      </c>
      <c r="E655" s="1" t="str">
        <f>IFERROR(__xludf.DUMMYFUNCTION("CONCATENATE(GOOGLETRANSLATE(C655, ""en"", ""ko""))"),"남성용 일본 고양이 기타 프린트 크루넥 반소매 티셔츠")</f>
        <v>남성용 일본 고양이 기타 프린트 크루넥 반소매 티셔츠</v>
      </c>
      <c r="F655" s="1" t="str">
        <f>IFERROR(__xludf.DUMMYFUNCTION("CONCATENATE(GOOGLETRANSLATE(C655, ""en"", ""ja""))"),"メンズ日本の猫ギター プリント クルーネック半袖 T シャツ")</f>
        <v>メンズ日本の猫ギター プリント クルーネック半袖 T シャツ</v>
      </c>
    </row>
    <row r="656" ht="15.75" customHeight="1">
      <c r="A656" s="1">
        <v>2129.0</v>
      </c>
      <c r="B656" s="1" t="s">
        <v>381</v>
      </c>
      <c r="C656" s="1" t="s">
        <v>641</v>
      </c>
      <c r="D656" s="1" t="str">
        <f>IFERROR(__xludf.DUMMYFUNCTION("CONCATENATE(GOOGLETRANSLATE(C656, ""en"", ""zh-cn""))"),"男式日本可爱猫咪印花圆领短袖 T 恤")</f>
        <v>男式日本可爱猫咪印花圆领短袖 T 恤</v>
      </c>
      <c r="E656" s="1" t="str">
        <f>IFERROR(__xludf.DUMMYFUNCTION("CONCATENATE(GOOGLETRANSLATE(C656, ""en"", ""ko""))"),"남성용 일본 귀여운 고양이 프린트 크루넥 반팔 티셔츠")</f>
        <v>남성용 일본 귀여운 고양이 프린트 크루넥 반팔 티셔츠</v>
      </c>
      <c r="F656" s="1" t="str">
        <f>IFERROR(__xludf.DUMMYFUNCTION("CONCATENATE(GOOGLETRANSLATE(C656, ""en"", ""ja""))"),"メンズ日本のかわいい猫プリント クルーネック半袖 T シャツ")</f>
        <v>メンズ日本のかわいい猫プリント クルーネック半袖 T シャツ</v>
      </c>
    </row>
    <row r="657" ht="15.75" customHeight="1">
      <c r="A657" s="1">
        <v>2130.0</v>
      </c>
      <c r="B657" s="1" t="s">
        <v>381</v>
      </c>
      <c r="C657" s="1" t="s">
        <v>639</v>
      </c>
      <c r="D657" s="1" t="str">
        <f>IFERROR(__xludf.DUMMYFUNCTION("CONCATENATE(GOOGLETRANSLATE(C657, ""en"", ""zh-cn""))"),"男式日本卡通猫印花圆领短袖 T 恤")</f>
        <v>男式日本卡通猫印花圆领短袖 T 恤</v>
      </c>
      <c r="E657" s="1" t="str">
        <f>IFERROR(__xludf.DUMMYFUNCTION("CONCATENATE(GOOGLETRANSLATE(C657, ""en"", ""ko""))"),"남성용 일본 만화 고양이 프린트 크루넥 반팔 티셔츠")</f>
        <v>남성용 일본 만화 고양이 프린트 크루넥 반팔 티셔츠</v>
      </c>
      <c r="F657" s="1" t="str">
        <f>IFERROR(__xludf.DUMMYFUNCTION("CONCATENATE(GOOGLETRANSLATE(C657, ""en"", ""ja""))"),"メンズ日本の漫画猫プリントクルーネック半袖 T シャツ")</f>
        <v>メンズ日本の漫画猫プリントクルーネック半袖 T シャツ</v>
      </c>
    </row>
    <row r="658" ht="15.75" customHeight="1">
      <c r="A658" s="1">
        <v>2131.0</v>
      </c>
      <c r="B658" s="1" t="s">
        <v>381</v>
      </c>
      <c r="C658" s="1" t="s">
        <v>642</v>
      </c>
      <c r="D658" s="1" t="str">
        <f>IFERROR(__xludf.DUMMYFUNCTION("CONCATENATE(GOOGLETRANSLATE(C658, ""en"", ""zh-cn""))"),"男式卡通猫日系印花圆领短袖 T 恤")</f>
        <v>男式卡通猫日系印花圆领短袖 T 恤</v>
      </c>
      <c r="E658" s="1" t="str">
        <f>IFERROR(__xludf.DUMMYFUNCTION("CONCATENATE(GOOGLETRANSLATE(C658, ""en"", ""ko""))"),"남성 만화 고양이 일본 프린트 크루넥 반팔 티셔츠")</f>
        <v>남성 만화 고양이 일본 프린트 크루넥 반팔 티셔츠</v>
      </c>
      <c r="F658" s="1" t="str">
        <f>IFERROR(__xludf.DUMMYFUNCTION("CONCATENATE(GOOGLETRANSLATE(C658, ""en"", ""ja""))"),"メンズ漫画猫日本語プリントクルーネック半袖 T シャツ")</f>
        <v>メンズ漫画猫日本語プリントクルーネック半袖 T シャツ</v>
      </c>
    </row>
    <row r="659" ht="15.75" customHeight="1">
      <c r="A659" s="1">
        <v>2132.0</v>
      </c>
      <c r="B659" s="1" t="s">
        <v>381</v>
      </c>
      <c r="C659" s="1" t="s">
        <v>643</v>
      </c>
      <c r="D659" s="1" t="str">
        <f>IFERROR(__xludf.DUMMYFUNCTION("CONCATENATE(GOOGLETRANSLATE(C659, ""en"", ""zh-cn""))"),"男士微笑条纹印花圆领短袖 T 恤")</f>
        <v>男士微笑条纹印花圆领短袖 T 恤</v>
      </c>
      <c r="E659" s="1" t="str">
        <f>IFERROR(__xludf.DUMMYFUNCTION("CONCATENATE(GOOGLETRANSLATE(C659, ""en"", ""ko""))"),"남성용 스마일 스트라이프 프린트 크루넥 반소매 티셔츠")</f>
        <v>남성용 스마일 스트라이프 프린트 크루넥 반소매 티셔츠</v>
      </c>
      <c r="F659" s="1" t="str">
        <f>IFERROR(__xludf.DUMMYFUNCTION("CONCATENATE(GOOGLETRANSLATE(C659, ""en"", ""ja""))"),"メンズスマイルストライププリントクルーネック半袖Tシャツ")</f>
        <v>メンズスマイルストライププリントクルーネック半袖Tシャツ</v>
      </c>
    </row>
    <row r="660" ht="15.75" customHeight="1">
      <c r="A660" s="1">
        <v>2133.0</v>
      </c>
      <c r="B660" s="1" t="s">
        <v>381</v>
      </c>
      <c r="C660" s="1" t="s">
        <v>644</v>
      </c>
      <c r="D660" s="1" t="str">
        <f>IFERROR(__xludf.DUMMYFUNCTION("CONCATENATE(GOOGLETRANSLATE(C660, ""en"", ""zh-cn""))"),"男士字母胸印花圆领休闲短袖 T 恤")</f>
        <v>男士字母胸印花圆领休闲短袖 T 恤</v>
      </c>
      <c r="E660" s="1" t="str">
        <f>IFERROR(__xludf.DUMMYFUNCTION("CONCATENATE(GOOGLETRANSLATE(C660, ""en"", ""ko""))"),"남성용 레터 체스트 프린트 크루넥 캐주얼 반소매 티셔츠")</f>
        <v>남성용 레터 체스트 프린트 크루넥 캐주얼 반소매 티셔츠</v>
      </c>
      <c r="F660" s="1" t="str">
        <f>IFERROR(__xludf.DUMMYFUNCTION("CONCATENATE(GOOGLETRANSLATE(C660, ""en"", ""ja""))"),"メンズレター胸プリントクルーネックカジュアル半袖Tシャツ")</f>
        <v>メンズレター胸プリントクルーネックカジュアル半袖Tシャツ</v>
      </c>
    </row>
    <row r="661" ht="15.75" customHeight="1">
      <c r="A661" s="1">
        <v>2134.0</v>
      </c>
      <c r="B661" s="1" t="s">
        <v>381</v>
      </c>
      <c r="C661" s="1" t="s">
        <v>645</v>
      </c>
      <c r="D661" s="1" t="str">
        <f>IFERROR(__xludf.DUMMYFUNCTION("CONCATENATE(GOOGLETRANSLATE(C661, ""en"", ""zh-cn""))"),"男士字母标语印花圆领休闲短袖 T 恤")</f>
        <v>男士字母标语印花圆领休闲短袖 T 恤</v>
      </c>
      <c r="E661" s="1" t="str">
        <f>IFERROR(__xludf.DUMMYFUNCTION("CONCATENATE(GOOGLETRANSLATE(C661, ""en"", ""ko""))"),"남성 레터 슬로건 프린트 크루넥 캐주얼 반소매 티셔츠")</f>
        <v>남성 레터 슬로건 프린트 크루넥 캐주얼 반소매 티셔츠</v>
      </c>
      <c r="F661" s="1" t="str">
        <f>IFERROR(__xludf.DUMMYFUNCTION("CONCATENATE(GOOGLETRANSLATE(C661, ""en"", ""ja""))"),"メンズレタースローガンプリントクルーネックカジュアル半袖Tシャツ")</f>
        <v>メンズレタースローガンプリントクルーネックカジュアル半袖Tシャツ</v>
      </c>
    </row>
    <row r="662" ht="15.75" customHeight="1">
      <c r="A662" s="1">
        <v>2135.0</v>
      </c>
      <c r="B662" s="1" t="s">
        <v>381</v>
      </c>
      <c r="C662" s="1" t="s">
        <v>646</v>
      </c>
      <c r="D662" s="1" t="str">
        <f>IFERROR(__xludf.DUMMYFUNCTION("CONCATENATE(GOOGLETRANSLATE(C662, ""en"", ""zh-cn""))"),"男式镂空网眼透视纯色长袖 T 恤")</f>
        <v>男式镂空网眼透视纯色长袖 T 恤</v>
      </c>
      <c r="E662" s="1" t="str">
        <f>IFERROR(__xludf.DUMMYFUNCTION("CONCATENATE(GOOGLETRANSLATE(C662, ""en"", ""ko""))"),"남성용 컷아웃 메쉬 시스루 솔리드 긴소매 티셔츠")</f>
        <v>남성용 컷아웃 메쉬 시스루 솔리드 긴소매 티셔츠</v>
      </c>
      <c r="F662" s="1" t="str">
        <f>IFERROR(__xludf.DUMMYFUNCTION("CONCATENATE(GOOGLETRANSLATE(C662, ""en"", ""ja""))"),"メンズカットアウトメッシュシースルーソリッド長袖Tシャツ")</f>
        <v>メンズカットアウトメッシュシースルーソリッド長袖Tシャツ</v>
      </c>
    </row>
    <row r="663" ht="15.75" customHeight="1">
      <c r="A663" s="1">
        <v>2136.0</v>
      </c>
      <c r="B663" s="1" t="s">
        <v>381</v>
      </c>
      <c r="C663" s="1" t="s">
        <v>647</v>
      </c>
      <c r="D663" s="1" t="str">
        <f>IFERROR(__xludf.DUMMYFUNCTION("CONCATENATE(GOOGLETRANSLATE(C663, ""en"", ""zh-cn""))"),"100% 棉设计日落印花圆领短袖宽松 T 恤")</f>
        <v>100% 棉设计日落印花圆领短袖宽松 T 恤</v>
      </c>
      <c r="E663" s="1" t="str">
        <f>IFERROR(__xludf.DUMMYFUNCTION("CONCATENATE(GOOGLETRANSLATE(C663, ""en"", ""ko""))"),"100% 코튼 디자인 선셋 프린트 라운드 넥 반팔 루즈 티셔츠")</f>
        <v>100% 코튼 디자인 선셋 프린트 라운드 넥 반팔 루즈 티셔츠</v>
      </c>
      <c r="F663" s="1" t="str">
        <f>IFERROR(__xludf.DUMMYFUNCTION("CONCATENATE(GOOGLETRANSLATE(C663, ""en"", ""ja""))"),"綿100%デザインサンセットプリントラウンドネック半袖ルーズTシャツ")</f>
        <v>綿100%デザインサンセットプリントラウンドネック半袖ルーズTシャツ</v>
      </c>
    </row>
    <row r="664" ht="15.75" customHeight="1">
      <c r="A664" s="1">
        <v>2137.0</v>
      </c>
      <c r="B664" s="1" t="s">
        <v>381</v>
      </c>
      <c r="C664" s="1" t="s">
        <v>648</v>
      </c>
      <c r="D664" s="1" t="str">
        <f>IFERROR(__xludf.DUMMYFUNCTION("CONCATENATE(GOOGLETRANSLATE(C664, ""en"", ""zh-cn""))"),"男士纯色半领短袖 T 恤")</f>
        <v>男士纯色半领短袖 T 恤</v>
      </c>
      <c r="E664" s="1" t="str">
        <f>IFERROR(__xludf.DUMMYFUNCTION("CONCATENATE(GOOGLETRANSLATE(C664, ""en"", ""ko""))"),"남성용 솔리드 하프 칼라 반팔 티셔츠")</f>
        <v>남성용 솔리드 하프 칼라 반팔 티셔츠</v>
      </c>
      <c r="F664" s="1" t="str">
        <f>IFERROR(__xludf.DUMMYFUNCTION("CONCATENATE(GOOGLETRANSLATE(C664, ""en"", ""ja""))"),"メンズ ソリッド ハーフカラー 半袖 T シャツ")</f>
        <v>メンズ ソリッド ハーフカラー 半袖 T シャツ</v>
      </c>
    </row>
    <row r="665" ht="15.75" customHeight="1">
      <c r="A665" s="1">
        <v>2138.0</v>
      </c>
      <c r="B665" s="1" t="s">
        <v>381</v>
      </c>
      <c r="C665" s="1" t="s">
        <v>649</v>
      </c>
      <c r="D665" s="1" t="str">
        <f>IFERROR(__xludf.DUMMYFUNCTION("CONCATENATE(GOOGLETRANSLATE(C665, ""en"", ""zh-cn""))"),"男式民族花卉拼布日本印花针织短袖 T 恤")</f>
        <v>男式民族花卉拼布日本印花针织短袖 T 恤</v>
      </c>
      <c r="E665" s="1" t="str">
        <f>IFERROR(__xludf.DUMMYFUNCTION("CONCATENATE(GOOGLETRANSLATE(C665, ""en"", ""ko""))"),"남성 에스닉 꽃무늬 패치워크 일본식 프린트 니트 반소매 티셔츠")</f>
        <v>남성 에스닉 꽃무늬 패치워크 일본식 프린트 니트 반소매 티셔츠</v>
      </c>
      <c r="F665" s="1" t="str">
        <f>IFERROR(__xludf.DUMMYFUNCTION("CONCATENATE(GOOGLETRANSLATE(C665, ""en"", ""ja""))"),"メンズエスニックフローラルパッチワーク日本のプリントニット半袖Tシャツ")</f>
        <v>メンズエスニックフローラルパッチワーク日本のプリントニット半袖Tシャツ</v>
      </c>
    </row>
    <row r="666" ht="15.75" customHeight="1">
      <c r="A666" s="1">
        <v>2139.0</v>
      </c>
      <c r="B666" s="1" t="s">
        <v>381</v>
      </c>
      <c r="C666" s="1" t="s">
        <v>650</v>
      </c>
      <c r="D666" s="1" t="str">
        <f>IFERROR(__xludf.DUMMYFUNCTION("CONCATENATE(GOOGLETRANSLATE(C666, ""en"", ""zh-cn""))"),"男士纯色圆领短袖 T 恤")</f>
        <v>男士纯色圆领短袖 T 恤</v>
      </c>
      <c r="E666" s="1" t="str">
        <f>IFERROR(__xludf.DUMMYFUNCTION("CONCATENATE(GOOGLETRANSLATE(C666, ""en"", ""ko""))"),"남성용 솔리드 크루넥 반팔 티셔츠")</f>
        <v>남성용 솔리드 크루넥 반팔 티셔츠</v>
      </c>
      <c r="F666" s="1" t="str">
        <f>IFERROR(__xludf.DUMMYFUNCTION("CONCATENATE(GOOGLETRANSLATE(C666, ""en"", ""ja""))"),"メンズソリッドクルーネック半袖Tシャツ")</f>
        <v>メンズソリッドクルーネック半袖Tシャツ</v>
      </c>
    </row>
    <row r="667" ht="15.75" customHeight="1">
      <c r="A667" s="1">
        <v>2140.0</v>
      </c>
      <c r="B667" s="1" t="s">
        <v>381</v>
      </c>
      <c r="C667" s="1" t="s">
        <v>651</v>
      </c>
      <c r="D667" s="1" t="str">
        <f>IFERROR(__xludf.DUMMYFUNCTION("CONCATENATE(GOOGLETRANSLATE(C667, ""en"", ""zh-cn""))"),"男式民族几何图案口袋针织短袖 T 恤")</f>
        <v>男式民族几何图案口袋针织短袖 T 恤</v>
      </c>
      <c r="E667" s="1" t="str">
        <f>IFERROR(__xludf.DUMMYFUNCTION("CONCATENATE(GOOGLETRANSLATE(C667, ""en"", ""ko""))"),"남성용 에스닉 기하학 패턴 포켓 니트 반팔 티셔츠")</f>
        <v>남성용 에스닉 기하학 패턴 포켓 니트 반팔 티셔츠</v>
      </c>
      <c r="F667" s="1" t="str">
        <f>IFERROR(__xludf.DUMMYFUNCTION("CONCATENATE(GOOGLETRANSLATE(C667, ""en"", ""ja""))"),"メンズエスニック幾何学模様ポケットニット半袖Tシャツ")</f>
        <v>メンズエスニック幾何学模様ポケットニット半袖Tシャツ</v>
      </c>
    </row>
    <row r="668" ht="15.75" customHeight="1">
      <c r="A668" s="1">
        <v>2141.0</v>
      </c>
      <c r="B668" s="1" t="s">
        <v>381</v>
      </c>
      <c r="C668" s="1" t="s">
        <v>625</v>
      </c>
      <c r="D668" s="1" t="str">
        <f>IFERROR(__xludf.DUMMYFUNCTION("CONCATENATE(GOOGLETRANSLATE(C668, ""en"", ""zh-cn""))"),"男士微笑民族几何印花圆领短袖 T 恤")</f>
        <v>男士微笑民族几何印花圆领短袖 T 恤</v>
      </c>
      <c r="E668" s="1" t="str">
        <f>IFERROR(__xludf.DUMMYFUNCTION("CONCATENATE(GOOGLETRANSLATE(C668, ""en"", ""ko""))"),"남성용 스마일 에스닉 기하학 프린트 크루넥 반팔 티셔츠")</f>
        <v>남성용 스마일 에스닉 기하학 프린트 크루넥 반팔 티셔츠</v>
      </c>
      <c r="F668" s="1" t="str">
        <f>IFERROR(__xludf.DUMMYFUNCTION("CONCATENATE(GOOGLETRANSLATE(C668, ""en"", ""ja""))"),"メンズスマイルエスニック幾何学プリントクルーネック半袖Tシャツ")</f>
        <v>メンズスマイルエスニック幾何学プリントクルーネック半袖Tシャツ</v>
      </c>
    </row>
    <row r="669" ht="15.75" customHeight="1">
      <c r="A669" s="1">
        <v>2142.0</v>
      </c>
      <c r="B669" s="1" t="s">
        <v>381</v>
      </c>
      <c r="C669" s="1" t="s">
        <v>652</v>
      </c>
      <c r="D669" s="1" t="str">
        <f>IFERROR(__xludf.DUMMYFUNCTION("CONCATENATE(GOOGLETRANSLATE(C669, ""en"", ""zh-cn""))"),"男式微笑复古几何印花拼布弧形下摆 T 恤")</f>
        <v>男式微笑复古几何印花拼布弧形下摆 T 恤</v>
      </c>
      <c r="E669" s="1" t="str">
        <f>IFERROR(__xludf.DUMMYFUNCTION("CONCATENATE(GOOGLETRANSLATE(C669, ""en"", ""ko""))"),"남성용 스마일 빈티지 기하학 프린트 패치워크 곡선 밑단 티셔츠")</f>
        <v>남성용 스마일 빈티지 기하학 프린트 패치워크 곡선 밑단 티셔츠</v>
      </c>
      <c r="F669" s="1" t="str">
        <f>IFERROR(__xludf.DUMMYFUNCTION("CONCATENATE(GOOGLETRANSLATE(C669, ""en"", ""ja""))"),"メンズスマイルヴィンテージ幾何学プリントパッチワークカーブヘムTシャツ")</f>
        <v>メンズスマイルヴィンテージ幾何学プリントパッチワークカーブヘムTシャツ</v>
      </c>
    </row>
    <row r="670" ht="15.75" customHeight="1">
      <c r="A670" s="1">
        <v>2143.0</v>
      </c>
      <c r="B670" s="1" t="s">
        <v>381</v>
      </c>
      <c r="C670" s="1" t="s">
        <v>653</v>
      </c>
      <c r="D670" s="1" t="str">
        <f>IFERROR(__xludf.DUMMYFUNCTION("CONCATENATE(GOOGLETRANSLATE(C670, ""en"", ""zh-cn""))"),"男式卡通中国龙印花圆领短袖 T 恤")</f>
        <v>男式卡通中国龙印花圆领短袖 T 恤</v>
      </c>
      <c r="E670" s="1" t="str">
        <f>IFERROR(__xludf.DUMMYFUNCTION("CONCATENATE(GOOGLETRANSLATE(C670, ""en"", ""ko""))"),"남성 만화 중국 용 프린트 크루넥 반팔 티셔츠")</f>
        <v>남성 만화 중국 용 프린트 크루넥 반팔 티셔츠</v>
      </c>
      <c r="F670" s="1" t="str">
        <f>IFERROR(__xludf.DUMMYFUNCTION("CONCATENATE(GOOGLETRANSLATE(C670, ""en"", ""ja""))"),"メンズ漫画中国のドラゴンプリントクルーネック半袖Tシャツ")</f>
        <v>メンズ漫画中国のドラゴンプリントクルーネック半袖Tシャツ</v>
      </c>
    </row>
    <row r="671" ht="15.75" customHeight="1">
      <c r="A671" s="1">
        <v>2144.0</v>
      </c>
      <c r="B671" s="1" t="s">
        <v>381</v>
      </c>
      <c r="C671" s="1" t="s">
        <v>654</v>
      </c>
      <c r="D671" s="1" t="str">
        <f>IFERROR(__xludf.DUMMYFUNCTION("CONCATENATE(GOOGLETRANSLATE(C671, ""en"", ""zh-cn""))"),"男式元宵花卉背面印花短袖 T 恤")</f>
        <v>男式元宵花卉背面印花短袖 T 恤</v>
      </c>
      <c r="E671" s="1" t="str">
        <f>IFERROR(__xludf.DUMMYFUNCTION("CONCATENATE(GOOGLETRANSLATE(C671, ""en"", ""ko""))"),"남성용 중국식 랜턴 꽃무늬 백 프린트 반소매 티셔츠")</f>
        <v>남성용 중국식 랜턴 꽃무늬 백 프린트 반소매 티셔츠</v>
      </c>
      <c r="F671" s="1" t="str">
        <f>IFERROR(__xludf.DUMMYFUNCTION("CONCATENATE(GOOGLETRANSLATE(C671, ""en"", ""ja""))"),"メンズチャイナランタン花柄バックプリント半袖Tシャツ")</f>
        <v>メンズチャイナランタン花柄バックプリント半袖Tシャツ</v>
      </c>
    </row>
    <row r="672" ht="15.75" customHeight="1">
      <c r="A672" s="1">
        <v>2145.0</v>
      </c>
      <c r="B672" s="1" t="s">
        <v>381</v>
      </c>
      <c r="C672" s="1" t="s">
        <v>655</v>
      </c>
      <c r="D672" s="1" t="str">
        <f>IFERROR(__xludf.DUMMYFUNCTION("CONCATENATE(GOOGLETRANSLATE(C672, ""en"", ""zh-cn""))"),"男式彩色民族几何印花弧形下摆短袖 T 恤")</f>
        <v>男式彩色民族几何印花弧形下摆短袖 T 恤</v>
      </c>
      <c r="E672" s="1" t="str">
        <f>IFERROR(__xludf.DUMMYFUNCTION("CONCATENATE(GOOGLETRANSLATE(C672, ""en"", ""ko""))"),"남성용 다채로운 에스닉 기하학적 프린트 곡선 밑단 반팔 티셔츠")</f>
        <v>남성용 다채로운 에스닉 기하학적 프린트 곡선 밑단 반팔 티셔츠</v>
      </c>
      <c r="F672" s="1" t="str">
        <f>IFERROR(__xludf.DUMMYFUNCTION("CONCATENATE(GOOGLETRANSLATE(C672, ""en"", ""ja""))"),"メンズカラフルなエスニック幾何学プリントカーブヘム半袖 T シャツ")</f>
        <v>メンズカラフルなエスニック幾何学プリントカーブヘム半袖 T シャツ</v>
      </c>
    </row>
    <row r="673" ht="15.75" customHeight="1">
      <c r="A673" s="1">
        <v>2146.0</v>
      </c>
      <c r="B673" s="1" t="s">
        <v>381</v>
      </c>
      <c r="C673" s="1" t="s">
        <v>656</v>
      </c>
      <c r="D673" s="1" t="str">
        <f>IFERROR(__xludf.DUMMYFUNCTION("CONCATENATE(GOOGLETRANSLATE(C673, ""en"", ""zh-cn""))"),"男式线条标语背面印花弧形下摆短袖 T 恤")</f>
        <v>男式线条标语背面印花弧形下摆短袖 T 恤</v>
      </c>
      <c r="E673" s="1" t="str">
        <f>IFERROR(__xludf.DUMMYFUNCTION("CONCATENATE(GOOGLETRANSLATE(C673, ""en"", ""ko""))"),"남성 라인 슬로건 백 프린트 곡선 밑단 반팔 티셔츠")</f>
        <v>남성 라인 슬로건 백 프린트 곡선 밑단 반팔 티셔츠</v>
      </c>
      <c r="F673" s="1" t="str">
        <f>IFERROR(__xludf.DUMMYFUNCTION("CONCATENATE(GOOGLETRANSLATE(C673, ""en"", ""ja""))"),"メンズラインスローガンバックプリントカーブヘム半袖Tシャツ")</f>
        <v>メンズラインスローガンバックプリントカーブヘム半袖Tシャツ</v>
      </c>
    </row>
    <row r="674" ht="15.75" customHeight="1">
      <c r="A674" s="1">
        <v>2147.0</v>
      </c>
      <c r="B674" s="1" t="s">
        <v>381</v>
      </c>
      <c r="C674" s="1" t="s">
        <v>657</v>
      </c>
      <c r="D674" s="1" t="str">
        <f>IFERROR(__xludf.DUMMYFUNCTION("CONCATENATE(GOOGLETRANSLATE(C674, ""en"", ""zh-cn""))"),"男士镂空圆领短袖 T 恤")</f>
        <v>男士镂空圆领短袖 T 恤</v>
      </c>
      <c r="E674" s="1" t="str">
        <f>IFERROR(__xludf.DUMMYFUNCTION("CONCATENATE(GOOGLETRANSLATE(C674, ""en"", ""ko""))"),"남성용 중공 라운드 넥 반팔 티셔츠")</f>
        <v>남성용 중공 라운드 넥 반팔 티셔츠</v>
      </c>
      <c r="F674" s="1" t="str">
        <f>IFERROR(__xludf.DUMMYFUNCTION("CONCATENATE(GOOGLETRANSLATE(C674, ""en"", ""ja""))"),"メンズ中空ラウンドネック半袖 T シャツ")</f>
        <v>メンズ中空ラウンドネック半袖 T シャツ</v>
      </c>
    </row>
    <row r="675" ht="15.75" customHeight="1">
      <c r="A675" s="1">
        <v>2148.0</v>
      </c>
      <c r="B675" s="1" t="s">
        <v>381</v>
      </c>
      <c r="C675" s="1" t="s">
        <v>658</v>
      </c>
      <c r="D675" s="1" t="str">
        <f>IFERROR(__xludf.DUMMYFUNCTION("CONCATENATE(GOOGLETRANSLATE(C675, ""en"", ""zh-cn""))"),"男士条纹修身休闲基本款短袖夏季 T 恤")</f>
        <v>男士条纹修身休闲基本款短袖夏季 T 恤</v>
      </c>
      <c r="E675" s="1" t="str">
        <f>IFERROR(__xludf.DUMMYFUNCTION("CONCATENATE(GOOGLETRANSLATE(C675, ""en"", ""ko""))"),"남성 스트라이프 슬림 캐주얼 기본 디자인 반소매 여름 티셔츠")</f>
        <v>남성 스트라이프 슬림 캐주얼 기본 디자인 반소매 여름 티셔츠</v>
      </c>
      <c r="F675" s="1" t="str">
        <f>IFERROR(__xludf.DUMMYFUNCTION("CONCATENATE(GOOGLETRANSLATE(C675, ""en"", ""ja""))"),"メンズストライプスリムカジュアルベーシックデザイン半袖サマーTシャツ")</f>
        <v>メンズストライプスリムカジュアルベーシックデザイン半袖サマーTシャツ</v>
      </c>
    </row>
    <row r="676" ht="15.75" customHeight="1">
      <c r="A676" s="1">
        <v>2149.0</v>
      </c>
      <c r="B676" s="1" t="s">
        <v>381</v>
      </c>
      <c r="C676" s="1" t="s">
        <v>659</v>
      </c>
      <c r="D676" s="1" t="str">
        <f>IFERROR(__xludf.DUMMYFUNCTION("CONCATENATE(GOOGLETRANSLATE(C676, ""en"", ""zh-cn""))"),"男式卡通鲨鱼猫日式印花短袖 T 恤")</f>
        <v>男式卡通鲨鱼猫日式印花短袖 T 恤</v>
      </c>
      <c r="E676" s="1" t="str">
        <f>IFERROR(__xludf.DUMMYFUNCTION("CONCATENATE(GOOGLETRANSLATE(C676, ""en"", ""ko""))"),"남성용 만화 상어 고양이 일본식 프린트 반소매 티셔츠")</f>
        <v>남성용 만화 상어 고양이 일본식 프린트 반소매 티셔츠</v>
      </c>
      <c r="F676" s="1" t="str">
        <f>IFERROR(__xludf.DUMMYFUNCTION("CONCATENATE(GOOGLETRANSLATE(C676, ""en"", ""ja""))"),"メンズ漫画サメ猫日本語プリント半袖 T シャツ")</f>
        <v>メンズ漫画サメ猫日本語プリント半袖 T シャツ</v>
      </c>
    </row>
    <row r="677" ht="15.75" customHeight="1">
      <c r="A677" s="1">
        <v>2150.0</v>
      </c>
      <c r="B677" s="1" t="s">
        <v>381</v>
      </c>
      <c r="C677" s="1" t="s">
        <v>660</v>
      </c>
      <c r="D677" s="1" t="str">
        <f>IFERROR(__xludf.DUMMYFUNCTION("CONCATENATE(GOOGLETRANSLATE(C677, ""en"", ""zh-cn""))"),"男士休闲长袖上衣圆领宽松基本款 T 恤")</f>
        <v>男士休闲长袖上衣圆领宽松基本款 T 恤</v>
      </c>
      <c r="E677" s="1" t="str">
        <f>IFERROR(__xludf.DUMMYFUNCTION("CONCATENATE(GOOGLETRANSLATE(C677, ""en"", ""ko""))"),"남성 캐주얼 긴팔 탑 크루넥 루즈 기본 티셔츠")</f>
        <v>남성 캐주얼 긴팔 탑 크루넥 루즈 기본 티셔츠</v>
      </c>
      <c r="F677" s="1" t="str">
        <f>IFERROR(__xludf.DUMMYFUNCTION("CONCATENATE(GOOGLETRANSLATE(C677, ""en"", ""ja""))"),"メンズカジュアル長袖トップスクルーネックルーズベーシックTシャツ")</f>
        <v>メンズカジュアル長袖トップスクルーネックルーズベーシックTシャツ</v>
      </c>
    </row>
    <row r="678" ht="15.75" customHeight="1">
      <c r="A678" s="1">
        <v>2151.0</v>
      </c>
      <c r="B678" s="1" t="s">
        <v>381</v>
      </c>
      <c r="C678" s="1" t="s">
        <v>661</v>
      </c>
      <c r="D678" s="1" t="str">
        <f>IFERROR(__xludf.DUMMYFUNCTION("CONCATENATE(GOOGLETRANSLATE(C678, ""en"", ""zh-cn""))"),"男士玫瑰印花圆领 100% 棉休闲短袖 T 恤")</f>
        <v>男士玫瑰印花圆领 100% 棉休闲短袖 T 恤</v>
      </c>
      <c r="E678" s="1" t="str">
        <f>IFERROR(__xludf.DUMMYFUNCTION("CONCATENATE(GOOGLETRANSLATE(C678, ""en"", ""ko""))"),"남성용 로즈 프린트 크루넥 100% 코튼 캐주얼 반소매 티셔츠")</f>
        <v>남성용 로즈 프린트 크루넥 100% 코튼 캐주얼 반소매 티셔츠</v>
      </c>
      <c r="F678" s="1" t="str">
        <f>IFERROR(__xludf.DUMMYFUNCTION("CONCATENATE(GOOGLETRANSLATE(C678, ""en"", ""ja""))"),"メンズローズプリントクルーネック綿100%カジュアル半袖Tシャツ")</f>
        <v>メンズローズプリントクルーネック綿100%カジュアル半袖Tシャツ</v>
      </c>
    </row>
    <row r="679" ht="15.75" customHeight="1">
      <c r="A679" s="1">
        <v>2152.0</v>
      </c>
      <c r="B679" s="1" t="s">
        <v>381</v>
      </c>
      <c r="C679" s="1" t="s">
        <v>662</v>
      </c>
      <c r="D679" s="1" t="str">
        <f>IFERROR(__xludf.DUMMYFUNCTION("CONCATENATE(GOOGLETRANSLATE(C679, ""en"", ""zh-cn""))"),"男式纯色系带 100% 棉长袖 T 恤")</f>
        <v>男式纯色系带 100% 棉长袖 T 恤</v>
      </c>
      <c r="E679" s="1" t="str">
        <f>IFERROR(__xludf.DUMMYFUNCTION("CONCATENATE(GOOGLETRANSLATE(C679, ""en"", ""ko""))"),"남성용 솔리드 레이스업 넥 100% 면 긴소매 티셔츠")</f>
        <v>남성용 솔리드 레이스업 넥 100% 면 긴소매 티셔츠</v>
      </c>
      <c r="F679" s="1" t="str">
        <f>IFERROR(__xludf.DUMMYFUNCTION("CONCATENATE(GOOGLETRANSLATE(C679, ""en"", ""ja""))"),"メンズソリッドレースアップネックコットン100%長袖Tシャツ")</f>
        <v>メンズソリッドレースアップネックコットン100%長袖Tシャツ</v>
      </c>
    </row>
    <row r="680" ht="15.75" customHeight="1">
      <c r="A680" s="1">
        <v>2153.0</v>
      </c>
      <c r="B680" s="1" t="s">
        <v>381</v>
      </c>
      <c r="C680" s="1" t="s">
        <v>663</v>
      </c>
      <c r="D680" s="1" t="str">
        <f>IFERROR(__xludf.DUMMYFUNCTION("CONCATENATE(GOOGLETRANSLATE(C680, ""en"", ""zh-cn""))"),"男士纯色缺角针织休闲长袖 T 恤")</f>
        <v>男士纯色缺角针织休闲长袖 T 恤</v>
      </c>
      <c r="E680" s="1" t="str">
        <f>IFERROR(__xludf.DUMMYFUNCTION("CONCATENATE(GOOGLETRANSLATE(C680, ""en"", ""ko""))"),"남성 솔리드 노치 넥 니트 캐주얼 긴팔 티셔츠")</f>
        <v>남성 솔리드 노치 넥 니트 캐주얼 긴팔 티셔츠</v>
      </c>
      <c r="F680" s="1" t="str">
        <f>IFERROR(__xludf.DUMMYFUNCTION("CONCATENATE(GOOGLETRANSLATE(C680, ""en"", ""ja""))"),"メンズソリッドノッチネックニットカジュアル長袖Tシャツ")</f>
        <v>メンズソリッドノッチネックニットカジュアル長袖Tシャツ</v>
      </c>
    </row>
    <row r="681" ht="15.75" customHeight="1">
      <c r="A681" s="1">
        <v>2154.0</v>
      </c>
      <c r="B681" s="1" t="s">
        <v>381</v>
      </c>
      <c r="C681" s="1" t="s">
        <v>664</v>
      </c>
      <c r="D681" s="1" t="str">
        <f>IFERROR(__xludf.DUMMYFUNCTION("CONCATENATE(GOOGLETRANSLATE(C681, ""en"", ""zh-cn""))"),"男士闪亮微光透明网眼短袖 T 恤")</f>
        <v>男士闪亮微光透明网眼短袖 T 恤</v>
      </c>
      <c r="E681" s="1" t="str">
        <f>IFERROR(__xludf.DUMMYFUNCTION("CONCATENATE(GOOGLETRANSLATE(C681, ""en"", ""ko""))"),"남성용 샤이니 쉬머 쉬어 메쉬 시스루 반소매 티셔츠")</f>
        <v>남성용 샤이니 쉬머 쉬어 메쉬 시스루 반소매 티셔츠</v>
      </c>
      <c r="F681" s="1" t="str">
        <f>IFERROR(__xludf.DUMMYFUNCTION("CONCATENATE(GOOGLETRANSLATE(C681, ""en"", ""ja""))"),"メンズシャイニーシマーシアーメッシュシースルー半袖Tシャツ")</f>
        <v>メンズシャイニーシマーシアーメッシュシースルー半袖Tシャツ</v>
      </c>
    </row>
    <row r="682" ht="15.75" customHeight="1">
      <c r="A682" s="1">
        <v>2155.0</v>
      </c>
      <c r="B682" s="1" t="s">
        <v>381</v>
      </c>
      <c r="C682" s="1" t="s">
        <v>665</v>
      </c>
      <c r="D682" s="1" t="str">
        <f>IFERROR(__xludf.DUMMYFUNCTION("CONCATENATE(GOOGLETRANSLATE(C682, ""en"", ""zh-cn""))"),"男士高领修身肌肉锻炼夏季休闲 T 恤")</f>
        <v>男士高领修身肌肉锻炼夏季休闲 T 恤</v>
      </c>
      <c r="E682" s="1" t="str">
        <f>IFERROR(__xludf.DUMMYFUNCTION("CONCATENATE(GOOGLETRANSLATE(C682, ""en"", ""ko""))"),"남성 하이 넥 슬림핏 근육 운동 여름 캐주얼 티셔츠")</f>
        <v>남성 하이 넥 슬림핏 근육 운동 여름 캐주얼 티셔츠</v>
      </c>
      <c r="F682" s="1" t="str">
        <f>IFERROR(__xludf.DUMMYFUNCTION("CONCATENATE(GOOGLETRANSLATE(C682, ""en"", ""ja""))"),"メンズ ハイネック スリムフィット 筋トレ 夏 カジュアル Tシャツ")</f>
        <v>メンズ ハイネック スリムフィット 筋トレ 夏 カジュアル Tシャツ</v>
      </c>
    </row>
    <row r="683" ht="15.75" customHeight="1">
      <c r="A683" s="1">
        <v>2156.0</v>
      </c>
      <c r="B683" s="1" t="s">
        <v>381</v>
      </c>
      <c r="C683" s="1" t="s">
        <v>666</v>
      </c>
      <c r="D683" s="1" t="str">
        <f>IFERROR(__xludf.DUMMYFUNCTION("CONCATENATE(GOOGLETRANSLATE(C683, ""en"", ""zh-cn""))"),"男士纯色高领天鹅绒长袖 T 恤")</f>
        <v>男士纯色高领天鹅绒长袖 T 恤</v>
      </c>
      <c r="E683" s="1" t="str">
        <f>IFERROR(__xludf.DUMMYFUNCTION("CONCATENATE(GOOGLETRANSLATE(C683, ""en"", ""ko""))"),"남성 솔리드 하이 넥 벨벳 긴팔 티셔츠")</f>
        <v>남성 솔리드 하이 넥 벨벳 긴팔 티셔츠</v>
      </c>
      <c r="F683" s="1" t="str">
        <f>IFERROR(__xludf.DUMMYFUNCTION("CONCATENATE(GOOGLETRANSLATE(C683, ""en"", ""ja""))"),"メンズソリッドハイネックベルベット長袖Tシャツ")</f>
        <v>メンズソリッドハイネックベルベット長袖Tシャツ</v>
      </c>
    </row>
    <row r="684" ht="15.75" customHeight="1">
      <c r="A684" s="1">
        <v>2157.0</v>
      </c>
      <c r="B684" s="1" t="s">
        <v>381</v>
      </c>
      <c r="C684" s="1" t="s">
        <v>667</v>
      </c>
      <c r="D684" s="1" t="str">
        <f>IFERROR(__xludf.DUMMYFUNCTION("CONCATENATE(GOOGLETRANSLATE(C684, ""en"", ""zh-cn""))"),"男士纯色抽绳 V 领棉质短袖 T 恤")</f>
        <v>男士纯色抽绳 V 领棉质短袖 T 恤</v>
      </c>
      <c r="E684" s="1" t="str">
        <f>IFERROR(__xludf.DUMMYFUNCTION("CONCATENATE(GOOGLETRANSLATE(C684, ""en"", ""ko""))"),"남성용 솔리드 드로스트링 V넥 코튼 반팔 티셔츠")</f>
        <v>남성용 솔리드 드로스트링 V넥 코튼 반팔 티셔츠</v>
      </c>
      <c r="F684" s="1" t="str">
        <f>IFERROR(__xludf.DUMMYFUNCTION("CONCATENATE(GOOGLETRANSLATE(C684, ""en"", ""ja""))"),"メンズソリッドドローストリングVネックコットン半袖Tシャツ")</f>
        <v>メンズソリッドドローストリングVネックコットン半袖Tシャツ</v>
      </c>
    </row>
    <row r="685" ht="15.75" customHeight="1">
      <c r="A685" s="1">
        <v>2158.0</v>
      </c>
      <c r="B685" s="1" t="s">
        <v>381</v>
      </c>
      <c r="C685" s="1" t="s">
        <v>668</v>
      </c>
      <c r="D685" s="1" t="str">
        <f>IFERROR(__xludf.DUMMYFUNCTION("CONCATENATE(GOOGLETRANSLATE(C685, ""en"", ""zh-cn""))"),"男士字母日式印花高低弧形下摆短袖 T 恤")</f>
        <v>男士字母日式印花高低弧形下摆短袖 T 恤</v>
      </c>
      <c r="E685" s="1" t="str">
        <f>IFERROR(__xludf.DUMMYFUNCTION("CONCATENATE(GOOGLETRANSLATE(C685, ""en"", ""ko""))"),"남성용 레터 일본어 프린트 하이 로우 곡선 밑단 반팔 티셔츠")</f>
        <v>남성용 레터 일본어 프린트 하이 로우 곡선 밑단 반팔 티셔츠</v>
      </c>
      <c r="F685" s="1" t="str">
        <f>IFERROR(__xludf.DUMMYFUNCTION("CONCATENATE(GOOGLETRANSLATE(C685, ""en"", ""ja""))"),"メンズレター日本語プリント高低カーブヘム半袖 T シャツ")</f>
        <v>メンズレター日本語プリント高低カーブヘム半袖 T シャツ</v>
      </c>
    </row>
    <row r="686" ht="15.75" customHeight="1">
      <c r="A686" s="1">
        <v>2159.0</v>
      </c>
      <c r="B686" s="1" t="s">
        <v>381</v>
      </c>
      <c r="C686" s="1" t="s">
        <v>669</v>
      </c>
      <c r="D686" s="1" t="str">
        <f>IFERROR(__xludf.DUMMYFUNCTION("CONCATENATE(GOOGLETRANSLATE(C686, ""en"", ""zh-cn""))"),"男士玫瑰日式印花弧形下摆短袖 T 恤")</f>
        <v>男士玫瑰日式印花弧形下摆短袖 T 恤</v>
      </c>
      <c r="E686" s="1" t="str">
        <f>IFERROR(__xludf.DUMMYFUNCTION("CONCATENATE(GOOGLETRANSLATE(C686, ""en"", ""ko""))"),"남성용 로즈 일본식 프린트 곡선형 밑단 반소매 티셔츠")</f>
        <v>남성용 로즈 일본식 프린트 곡선형 밑단 반소매 티셔츠</v>
      </c>
      <c r="F686" s="1" t="str">
        <f>IFERROR(__xludf.DUMMYFUNCTION("CONCATENATE(GOOGLETRANSLATE(C686, ""en"", ""ja""))"),"メンズローズ日本語プリントカーブヘム半袖 T シャツ")</f>
        <v>メンズローズ日本語プリントカーブヘム半袖 T シャツ</v>
      </c>
    </row>
    <row r="687" ht="15.75" customHeight="1">
      <c r="A687" s="1">
        <v>2160.0</v>
      </c>
      <c r="B687" s="1" t="s">
        <v>381</v>
      </c>
      <c r="C687" s="1" t="s">
        <v>670</v>
      </c>
      <c r="D687" s="1" t="str">
        <f>IFERROR(__xludf.DUMMYFUNCTION("CONCATENATE(GOOGLETRANSLATE(C687, ""en"", ""zh-cn""))"),"男士单色几何印花拼接纹理短袖连帽 T 恤")</f>
        <v>男士单色几何印花拼接纹理短袖连帽 T 恤</v>
      </c>
      <c r="E687" s="1" t="str">
        <f>IFERROR(__xludf.DUMMYFUNCTION("CONCATENATE(GOOGLETRANSLATE(C687, ""en"", ""ko""))"),"남성용 단색 기하학 프린트 스플라이스 텍스처 반소매 후드 티셔츠")</f>
        <v>남성용 단색 기하학 프린트 스플라이스 텍스처 반소매 후드 티셔츠</v>
      </c>
      <c r="F687" s="1" t="str">
        <f>IFERROR(__xludf.DUMMYFUNCTION("CONCATENATE(GOOGLETRANSLATE(C687, ""en"", ""ja""))"),"メンズモノクロ幾何学プリントスプライステクスチャ半袖フード付きTシャツ")</f>
        <v>メンズモノクロ幾何学プリントスプライステクスチャ半袖フード付きTシャツ</v>
      </c>
    </row>
    <row r="688" ht="15.75" customHeight="1">
      <c r="A688" s="1">
        <v>2161.0</v>
      </c>
      <c r="B688" s="1" t="s">
        <v>381</v>
      </c>
      <c r="C688" s="1" t="s">
        <v>671</v>
      </c>
      <c r="D688" s="1" t="str">
        <f>IFERROR(__xludf.DUMMYFUNCTION("CONCATENATE(GOOGLETRANSLATE(C688, ""en"", ""zh-cn""))"),"男式玫瑰日式印花拼布圆领短袖 T 恤")</f>
        <v>男式玫瑰日式印花拼布圆领短袖 T 恤</v>
      </c>
      <c r="E688" s="1" t="str">
        <f>IFERROR(__xludf.DUMMYFUNCTION("CONCATENATE(GOOGLETRANSLATE(C688, ""en"", ""ko""))"),"남성 로즈 일본식 프린트 패치워크 크루넥 반팔 티셔츠")</f>
        <v>남성 로즈 일본식 프린트 패치워크 크루넥 반팔 티셔츠</v>
      </c>
      <c r="F688" s="1" t="str">
        <f>IFERROR(__xludf.DUMMYFUNCTION("CONCATENATE(GOOGLETRANSLATE(C688, ""en"", ""ja""))"),"メンズローズ和柄パッチワーククルーネック半袖Tシャツ")</f>
        <v>メンズローズ和柄パッチワーククルーネック半袖Tシャツ</v>
      </c>
    </row>
    <row r="689" ht="15.75" customHeight="1">
      <c r="A689" s="1">
        <v>2162.0</v>
      </c>
      <c r="B689" s="1" t="s">
        <v>381</v>
      </c>
      <c r="C689" s="1" t="s">
        <v>672</v>
      </c>
      <c r="D689" s="1" t="str">
        <f>IFERROR(__xludf.DUMMYFUNCTION("CONCATENATE(GOOGLETRANSLATE(C689, ""en"", ""zh-cn""))"),"男士日式字母印花弧形下摆休闲短袖 T 恤")</f>
        <v>男士日式字母印花弧形下摆休闲短袖 T 恤</v>
      </c>
      <c r="E689" s="1" t="str">
        <f>IFERROR(__xludf.DUMMYFUNCTION("CONCATENATE(GOOGLETRANSLATE(C689, ""en"", ""ko""))"),"남성용 일본 문자 프린트 곡선 밑단 캐주얼 반소매 티셔츠")</f>
        <v>남성용 일본 문자 프린트 곡선 밑단 캐주얼 반소매 티셔츠</v>
      </c>
      <c r="F689" s="1" t="str">
        <f>IFERROR(__xludf.DUMMYFUNCTION("CONCATENATE(GOOGLETRANSLATE(C689, ""en"", ""ja""))"),"メンズ日本語レタープリントカーブヘムカジュアル半袖Tシャツ")</f>
        <v>メンズ日本語レタープリントカーブヘムカジュアル半袖Tシャツ</v>
      </c>
    </row>
    <row r="690" ht="15.75" customHeight="1">
      <c r="A690" s="1">
        <v>2163.0</v>
      </c>
      <c r="B690" s="1" t="s">
        <v>381</v>
      </c>
      <c r="C690" s="1" t="s">
        <v>673</v>
      </c>
      <c r="D690" s="1" t="str">
        <f>IFERROR(__xludf.DUMMYFUNCTION("CONCATENATE(GOOGLETRANSLATE(C690, ""en"", ""zh-cn""))"),"男式猫图案圆领弧形下摆长袖 T 恤")</f>
        <v>男式猫图案圆领弧形下摆长袖 T 恤</v>
      </c>
      <c r="E690" s="1" t="str">
        <f>IFERROR(__xludf.DUMMYFUNCTION("CONCATENATE(GOOGLETRANSLATE(C690, ""en"", ""ko""))"),"남성용 캣 그래픽 크루넥 곡선 밑단 긴소매 티셔츠")</f>
        <v>남성용 캣 그래픽 크루넥 곡선 밑단 긴소매 티셔츠</v>
      </c>
      <c r="F690" s="1" t="str">
        <f>IFERROR(__xludf.DUMMYFUNCTION("CONCATENATE(GOOGLETRANSLATE(C690, ""en"", ""ja""))"),"メンズ キャット グラフィック クルーネック カーブヘム 長袖 T シャツ")</f>
        <v>メンズ キャット グラフィック クルーネック カーブヘム 長袖 T シャツ</v>
      </c>
    </row>
    <row r="691" ht="15.75" customHeight="1">
      <c r="A691" s="1">
        <v>2164.0</v>
      </c>
      <c r="B691" s="1" t="s">
        <v>381</v>
      </c>
      <c r="C691" s="1" t="s">
        <v>674</v>
      </c>
      <c r="D691" s="1" t="str">
        <f>IFERROR(__xludf.DUMMYFUNCTION("CONCATENATE(GOOGLETRANSLATE(C691, ""en"", ""zh-cn""))"),"男士罗纹针织圆领 T 恤")</f>
        <v>男士罗纹针织圆领 T 恤</v>
      </c>
      <c r="E691" s="1" t="str">
        <f>IFERROR(__xludf.DUMMYFUNCTION("CONCATENATE(GOOGLETRANSLATE(C691, ""en"", ""ko""))"),"남성용 리브 니트 크루넥 티셔츠")</f>
        <v>남성용 리브 니트 크루넥 티셔츠</v>
      </c>
      <c r="F691" s="1" t="str">
        <f>IFERROR(__xludf.DUMMYFUNCTION("CONCATENATE(GOOGLETRANSLATE(C691, ""en"", ""ja""))"),"メンズ リブ ニット クルーネック T シャツ")</f>
        <v>メンズ リブ ニット クルーネック T シャツ</v>
      </c>
    </row>
    <row r="692" ht="15.75" customHeight="1">
      <c r="A692" s="1">
        <v>2165.0</v>
      </c>
      <c r="B692" s="1" t="s">
        <v>381</v>
      </c>
      <c r="C692" s="1" t="s">
        <v>675</v>
      </c>
      <c r="D692" s="1" t="str">
        <f>IFERROR(__xludf.DUMMYFUNCTION("CONCATENATE(GOOGLETRANSLATE(C692, ""en"", ""zh-cn""))"),"男士纯色短袖针织 T 恤")</f>
        <v>男士纯色短袖针织 T 恤</v>
      </c>
      <c r="E692" s="1" t="str">
        <f>IFERROR(__xludf.DUMMYFUNCTION("CONCATENATE(GOOGLETRANSLATE(C692, ""en"", ""ko""))"),"남성용 솔리드 반소매 니트 티셔츠")</f>
        <v>남성용 솔리드 반소매 니트 티셔츠</v>
      </c>
      <c r="F692" s="1" t="str">
        <f>IFERROR(__xludf.DUMMYFUNCTION("CONCATENATE(GOOGLETRANSLATE(C692, ""en"", ""ja""))"),"メンズソリッド半袖ニットTシャツ")</f>
        <v>メンズソリッド半袖ニットTシャツ</v>
      </c>
    </row>
    <row r="693" ht="15.75" customHeight="1">
      <c r="A693" s="1">
        <v>2166.0</v>
      </c>
      <c r="B693" s="1" t="s">
        <v>381</v>
      </c>
      <c r="C693" s="1" t="s">
        <v>676</v>
      </c>
      <c r="D693" s="1" t="str">
        <f>IFERROR(__xludf.DUMMYFUNCTION("CONCATENATE(GOOGLETRANSLATE(C693, ""en"", ""zh-cn""))"),"男式阿盖尔玫瑰印花圆领民族短袖 T 恤")</f>
        <v>男式阿盖尔玫瑰印花圆领民族短袖 T 恤</v>
      </c>
      <c r="E693" s="1" t="str">
        <f>IFERROR(__xludf.DUMMYFUNCTION("CONCATENATE(GOOGLETRANSLATE(C693, ""en"", ""ko""))"),"남성 아가일 로즈 프린트 크루넥 에스닉 반소매 티셔츠")</f>
        <v>남성 아가일 로즈 프린트 크루넥 에스닉 반소매 티셔츠</v>
      </c>
      <c r="F693" s="1" t="str">
        <f>IFERROR(__xludf.DUMMYFUNCTION("CONCATENATE(GOOGLETRANSLATE(C693, ""en"", ""ja""))"),"メンズ アーガイル ローズ プリント クルーネック エスニック 半袖 T シャツ")</f>
        <v>メンズ アーガイル ローズ プリント クルーネック エスニック 半袖 T シャツ</v>
      </c>
    </row>
    <row r="694" ht="15.75" customHeight="1">
      <c r="A694" s="1">
        <v>2167.0</v>
      </c>
      <c r="B694" s="1" t="s">
        <v>381</v>
      </c>
      <c r="C694" s="1" t="s">
        <v>677</v>
      </c>
      <c r="D694" s="1" t="str">
        <f>IFERROR(__xludf.DUMMYFUNCTION("CONCATENATE(GOOGLETRANSLATE(C694, ""en"", ""zh-cn""))"),"男士心形手势印花情人节休闲短袖 T 恤")</f>
        <v>男士心形手势印花情人节休闲短袖 T 恤</v>
      </c>
      <c r="E694" s="1" t="str">
        <f>IFERROR(__xludf.DUMMYFUNCTION("CONCATENATE(GOOGLETRANSLATE(C694, ""en"", ""ko""))"),"남성 하트 제스처 프린트 발렌타인 데이 캐주얼 반소매 티셔츠")</f>
        <v>남성 하트 제스처 프린트 발렌타인 데이 캐주얼 반소매 티셔츠</v>
      </c>
      <c r="F694" s="1" t="str">
        <f>IFERROR(__xludf.DUMMYFUNCTION("CONCATENATE(GOOGLETRANSLATE(C694, ""en"", ""ja""))"),"メンズハートジェスチャープリントバレンタインデーカジュアル半袖Tシャツ")</f>
        <v>メンズハートジェスチャープリントバレンタインデーカジュアル半袖Tシャツ</v>
      </c>
    </row>
    <row r="695" ht="15.75" customHeight="1">
      <c r="A695" s="1">
        <v>2168.0</v>
      </c>
      <c r="B695" s="1" t="s">
        <v>381</v>
      </c>
      <c r="C695" s="1" t="s">
        <v>678</v>
      </c>
      <c r="D695" s="1" t="str">
        <f>IFERROR(__xludf.DUMMYFUNCTION("CONCATENATE(GOOGLETRANSLATE(C695, ""en"", ""zh-cn""))"),"男式东京人物刺绣小高领短袖 T 恤")</f>
        <v>男式东京人物刺绣小高领短袖 T 恤</v>
      </c>
      <c r="E695" s="1" t="str">
        <f>IFERROR(__xludf.DUMMYFUNCTION("CONCATENATE(GOOGLETRANSLATE(C695, ""en"", ""ko""))"),"남성용 도쿄 캐릭터 자수 모크 넥 반소매 티셔츠")</f>
        <v>남성용 도쿄 캐릭터 자수 모크 넥 반소매 티셔츠</v>
      </c>
      <c r="F695" s="1" t="str">
        <f>IFERROR(__xludf.DUMMYFUNCTION("CONCATENATE(GOOGLETRANSLATE(C695, ""en"", ""ja""))"),"メンズ東京キャラクター刺繍モックネック半袖 T シャツ")</f>
        <v>メンズ東京キャラクター刺繍モックネック半袖 T シャツ</v>
      </c>
    </row>
    <row r="696" ht="15.75" customHeight="1">
      <c r="A696" s="1">
        <v>2169.0</v>
      </c>
      <c r="B696" s="1" t="s">
        <v>381</v>
      </c>
      <c r="C696" s="1" t="s">
        <v>679</v>
      </c>
      <c r="D696" s="1" t="str">
        <f>IFERROR(__xludf.DUMMYFUNCTION("CONCATENATE(GOOGLETRANSLATE(C696, ""en"", ""zh-cn""))"),"男式日本波浪猫印花圆领短袖 T 恤")</f>
        <v>男式日本波浪猫印花圆领短袖 T 恤</v>
      </c>
      <c r="E696" s="1" t="str">
        <f>IFERROR(__xludf.DUMMYFUNCTION("CONCATENATE(GOOGLETRANSLATE(C696, ""en"", ""ko""))"),"남성용 일류 고양이 프린트 크루넥 반팔 티셔츠")</f>
        <v>남성용 일류 고양이 프린트 크루넥 반팔 티셔츠</v>
      </c>
      <c r="F696" s="1" t="str">
        <f>IFERROR(__xludf.DUMMYFUNCTION("CONCATENATE(GOOGLETRANSLATE(C696, ""en"", ""ja""))"),"メンズ ジャパニーズ ウェーブ キャット プリント クルーネック 半袖 T シャツ")</f>
        <v>メンズ ジャパニーズ ウェーブ キャット プリント クルーネック 半袖 T シャツ</v>
      </c>
    </row>
    <row r="697" ht="15.75" customHeight="1">
      <c r="A697" s="1">
        <v>2170.0</v>
      </c>
      <c r="B697" s="1" t="s">
        <v>381</v>
      </c>
      <c r="C697" s="1" t="s">
        <v>680</v>
      </c>
      <c r="D697" s="1" t="str">
        <f>IFERROR(__xludf.DUMMYFUNCTION("CONCATENATE(GOOGLETRANSLATE(C697, ""en"", ""zh-cn""))"),"男士纯色长袖 V 领 T 恤")</f>
        <v>男士纯色长袖 V 领 T 恤</v>
      </c>
      <c r="E697" s="1" t="str">
        <f>IFERROR(__xludf.DUMMYFUNCTION("CONCATENATE(GOOGLETRANSLATE(C697, ""en"", ""ko""))"),"남성용 솔리드 긴팔 브이넥 티셔츠")</f>
        <v>남성용 솔리드 긴팔 브이넥 티셔츠</v>
      </c>
      <c r="F697" s="1" t="str">
        <f>IFERROR(__xludf.DUMMYFUNCTION("CONCATENATE(GOOGLETRANSLATE(C697, ""en"", ""ja""))"),"メンズソリッド長袖VネックTシャツ")</f>
        <v>メンズソリッド長袖VネックTシャツ</v>
      </c>
    </row>
    <row r="698" ht="15.75" customHeight="1">
      <c r="A698" s="1">
        <v>2171.0</v>
      </c>
      <c r="B698" s="1" t="s">
        <v>381</v>
      </c>
      <c r="C698" s="1" t="s">
        <v>681</v>
      </c>
      <c r="D698" s="1" t="str">
        <f>IFERROR(__xludf.DUMMYFUNCTION("CONCATENATE(GOOGLETRANSLATE(C698, ""en"", ""zh-cn""))"),"男士日本半领纯色短袖T恤")</f>
        <v>男士日本半领纯色短袖T恤</v>
      </c>
      <c r="E698" s="1" t="str">
        <f>IFERROR(__xludf.DUMMYFUNCTION("CONCATENATE(GOOGLETRANSLATE(C698, ""en"", ""ko""))"),"남성용 일본 하프 칼라 솔리드 반소매 티셔츠")</f>
        <v>남성용 일본 하프 칼라 솔리드 반소매 티셔츠</v>
      </c>
      <c r="F698" s="1" t="str">
        <f>IFERROR(__xludf.DUMMYFUNCTION("CONCATENATE(GOOGLETRANSLATE(C698, ""en"", ""ja""))"),"メンズジャパン半衿無地半袖Tシャツ")</f>
        <v>メンズジャパン半衿無地半袖Tシャツ</v>
      </c>
    </row>
    <row r="699" ht="15.75" customHeight="1">
      <c r="A699" s="1">
        <v>2172.0</v>
      </c>
      <c r="B699" s="1" t="s">
        <v>381</v>
      </c>
      <c r="C699" s="1" t="s">
        <v>682</v>
      </c>
      <c r="D699" s="1" t="str">
        <f>IFERROR(__xludf.DUMMYFUNCTION("CONCATENATE(GOOGLETRANSLATE(C699, ""en"", ""zh-cn""))"),"男士水墨梅花印花圆领短袖 T 恤")</f>
        <v>男士水墨梅花印花圆领短袖 T 恤</v>
      </c>
      <c r="E699" s="1" t="str">
        <f>IFERROR(__xludf.DUMMYFUNCTION("CONCATENATE(GOOGLETRANSLATE(C699, ""en"", ""ko""))"),"남성용 중국어 잉크 매화 보솜 프린트 크루넥 반팔 티셔츠")</f>
        <v>남성용 중국어 잉크 매화 보솜 프린트 크루넥 반팔 티셔츠</v>
      </c>
      <c r="F699" s="1" t="str">
        <f>IFERROR(__xludf.DUMMYFUNCTION("CONCATENATE(GOOGLETRANSLATE(C699, ""en"", ""ja""))"),"メンズ中国墨梅ボッサム プリント クルーネック半袖 T シャツ")</f>
        <v>メンズ中国墨梅ボッサム プリント クルーネック半袖 T シャツ</v>
      </c>
    </row>
    <row r="700" ht="15.75" customHeight="1">
      <c r="A700" s="1">
        <v>2173.0</v>
      </c>
      <c r="B700" s="1" t="s">
        <v>381</v>
      </c>
      <c r="C700" s="1" t="s">
        <v>683</v>
      </c>
      <c r="D700" s="1" t="str">
        <f>IFERROR(__xludf.DUMMYFUNCTION("CONCATENATE(GOOGLETRANSLATE(C700, ""en"", ""zh-cn""))"),"男式纯色纽扣翻领口袋两件套套装")</f>
        <v>男式纯色纽扣翻领口袋两件套套装</v>
      </c>
      <c r="E700" s="1" t="str">
        <f>IFERROR(__xludf.DUMMYFUNCTION("CONCATENATE(GOOGLETRANSLATE(C700, ""en"", ""ko""))"),"남성용 솔리드 버튼 라펠 포켓 2피스 슈트")</f>
        <v>남성용 솔리드 버튼 라펠 포켓 2피스 슈트</v>
      </c>
      <c r="F700" s="1" t="str">
        <f>IFERROR(__xludf.DUMMYFUNCTION("CONCATENATE(GOOGLETRANSLATE(C700, ""en"", ""ja""))"),"メンズソリッドボタンラペルポケットツーピーススーツ")</f>
        <v>メンズソリッドボタンラペルポケットツーピーススーツ</v>
      </c>
    </row>
    <row r="701" ht="15.75" customHeight="1">
      <c r="A701" s="1">
        <v>2174.0</v>
      </c>
      <c r="B701" s="1" t="s">
        <v>381</v>
      </c>
      <c r="C701" s="1" t="s">
        <v>684</v>
      </c>
      <c r="D701" s="1" t="str">
        <f>IFERROR(__xludf.DUMMYFUNCTION("CONCATENATE(GOOGLETRANSLATE(C701, ""en"", ""zh-cn""))"),"男式纯色按扣插肩袖休闲夹克")</f>
        <v>男式纯色按扣插肩袖休闲夹克</v>
      </c>
      <c r="E701" s="1" t="str">
        <f>IFERROR(__xludf.DUMMYFUNCTION("CONCATENATE(GOOGLETRANSLATE(C701, ""en"", ""ko""))"),"남성용 솔리드 스냅 버튼 라글란 슬리브 캐주얼 재킷")</f>
        <v>남성용 솔리드 스냅 버튼 라글란 슬리브 캐주얼 재킷</v>
      </c>
      <c r="F701" s="1" t="str">
        <f>IFERROR(__xludf.DUMMYFUNCTION("CONCATENATE(GOOGLETRANSLATE(C701, ""en"", ""ja""))"),"メンズソリッドスナップボタンラグランスリーブカジュアルジャケット")</f>
        <v>メンズソリッドスナップボタンラグランスリーブカジュアルジャケット</v>
      </c>
    </row>
    <row r="702" ht="15.75" customHeight="1">
      <c r="A702" s="1">
        <v>2175.0</v>
      </c>
      <c r="B702" s="1" t="s">
        <v>381</v>
      </c>
      <c r="C702" s="1" t="s">
        <v>685</v>
      </c>
      <c r="D702" s="1" t="str">
        <f>IFERROR(__xludf.DUMMYFUNCTION("CONCATENATE(GOOGLETRANSLATE(C702, ""en"", ""zh-cn""))"),"男式笑脸刺绣按扣毛绒内衬连帽夹克")</f>
        <v>男式笑脸刺绣按扣毛绒内衬连帽夹克</v>
      </c>
      <c r="E702" s="1" t="str">
        <f>IFERROR(__xludf.DUMMYFUNCTION("CONCATENATE(GOOGLETRANSLATE(C702, ""en"", ""ko""))"),"남성용 스마일 페이스 자수 스냅 버튼 플러시 라이닝 후드 재킷")</f>
        <v>남성용 스마일 페이스 자수 스냅 버튼 플러시 라이닝 후드 재킷</v>
      </c>
      <c r="F702" s="1" t="str">
        <f>IFERROR(__xludf.DUMMYFUNCTION("CONCATENATE(GOOGLETRANSLATE(C702, ""en"", ""ja""))"),"メンズスマイルフェイス刺繍スナップボタンプラッシュ裏地付きフード付きジャケット")</f>
        <v>メンズスマイルフェイス刺繍スナップボタンプラッシュ裏地付きフード付きジャケット</v>
      </c>
    </row>
    <row r="703" ht="15.75" customHeight="1">
      <c r="A703" s="1">
        <v>2176.0</v>
      </c>
      <c r="B703" s="1" t="s">
        <v>381</v>
      </c>
      <c r="C703" s="1" t="s">
        <v>686</v>
      </c>
      <c r="D703" s="1" t="str">
        <f>IFERROR(__xludf.DUMMYFUNCTION("CONCATENATE(GOOGLETRANSLATE(C703, ""en"", ""zh-cn""))"),"男式植物印花拼布翻领宽松夹克")</f>
        <v>男式植物印花拼布翻领宽松夹克</v>
      </c>
      <c r="E703" s="1" t="str">
        <f>IFERROR(__xludf.DUMMYFUNCTION("CONCATENATE(GOOGLETRANSLATE(C703, ""en"", ""ko""))"),"남성 플랜트 프린트 패치워크 플랩 포켓 라펠 루즈 재킷")</f>
        <v>남성 플랜트 프린트 패치워크 플랩 포켓 라펠 루즈 재킷</v>
      </c>
      <c r="F703" s="1" t="str">
        <f>IFERROR(__xludf.DUMMYFUNCTION("CONCATENATE(GOOGLETRANSLATE(C703, ""en"", ""ja""))"),"メンズ植物プリント パッチワーク フラップ ポケット ラペル ルーズ ジャケット")</f>
        <v>メンズ植物プリント パッチワーク フラップ ポケット ラペル ルーズ ジャケット</v>
      </c>
    </row>
    <row r="704" ht="15.75" customHeight="1">
      <c r="A704" s="1">
        <v>2177.0</v>
      </c>
      <c r="B704" s="1" t="s">
        <v>381</v>
      </c>
      <c r="C704" s="1" t="s">
        <v>687</v>
      </c>
      <c r="D704" s="1" t="str">
        <f>IFERROR(__xludf.DUMMYFUNCTION("CONCATENATE(GOOGLETRANSLATE(C704, ""en"", ""zh-cn""))"),"男士笑脸刺绣灯芯绒抽绳连帽衬衫夹克")</f>
        <v>男士笑脸刺绣灯芯绒抽绳连帽衬衫夹克</v>
      </c>
      <c r="E704" s="1" t="str">
        <f>IFERROR(__xludf.DUMMYFUNCTION("CONCATENATE(GOOGLETRANSLATE(C704, ""en"", ""ko""))"),"남성용 스마일 페이스 자수 코듀로이 드로스트링 후드 셔츠 재킷")</f>
        <v>남성용 스마일 페이스 자수 코듀로이 드로스트링 후드 셔츠 재킷</v>
      </c>
      <c r="F704" s="1" t="str">
        <f>IFERROR(__xludf.DUMMYFUNCTION("CONCATENATE(GOOGLETRANSLATE(C704, ""en"", ""ja""))"),"メンズスマイルフェイス刺繍コーデュロイ巾着フード付きシャツジャケット")</f>
        <v>メンズスマイルフェイス刺繍コーデュロイ巾着フード付きシャツジャケット</v>
      </c>
    </row>
    <row r="705" ht="15.75" customHeight="1">
      <c r="A705" s="1">
        <v>2178.0</v>
      </c>
      <c r="B705" s="1" t="s">
        <v>381</v>
      </c>
      <c r="C705" s="1" t="s">
        <v>688</v>
      </c>
      <c r="D705" s="1" t="str">
        <f>IFERROR(__xludf.DUMMYFUNCTION("CONCATENATE(GOOGLETRANSLATE(C705, ""en"", ""zh-cn""))"),"男式民族部落图案拼布灯芯绒连帽衬衫夹克")</f>
        <v>男式民族部落图案拼布灯芯绒连帽衬衫夹克</v>
      </c>
      <c r="E705" s="1" t="str">
        <f>IFERROR(__xludf.DUMMYFUNCTION("CONCATENATE(GOOGLETRANSLATE(C705, ""en"", ""ko""))"),"남성용 에스닉 트라이벌 패턴 패치워크 코듀로이 후드 셔츠 재킷")</f>
        <v>남성용 에스닉 트라이벌 패턴 패치워크 코듀로이 후드 셔츠 재킷</v>
      </c>
      <c r="F705" s="1" t="str">
        <f>IFERROR(__xludf.DUMMYFUNCTION("CONCATENATE(GOOGLETRANSLATE(C705, ""en"", ""ja""))"),"メンズエスニックトライバルパターンパッチワークコーデュロイフード付きシャツジャケット")</f>
        <v>メンズエスニックトライバルパターンパッチワークコーデュロイフード付きシャツジャケット</v>
      </c>
    </row>
    <row r="706" ht="15.75" customHeight="1">
      <c r="A706" s="1">
        <v>2179.0</v>
      </c>
      <c r="B706" s="1" t="s">
        <v>381</v>
      </c>
      <c r="C706" s="1" t="s">
        <v>689</v>
      </c>
      <c r="D706" s="1" t="str">
        <f>IFERROR(__xludf.DUMMYFUNCTION("CONCATENATE(GOOGLETRANSLATE(C706, ""en"", ""zh-cn""))"),"男式拼色拼布翻盖灯芯绒衬衫夹克")</f>
        <v>男式拼色拼布翻盖灯芯绒衬衫夹克</v>
      </c>
      <c r="E706" s="1" t="str">
        <f>IFERROR(__xludf.DUMMYFUNCTION("CONCATENATE(GOOGLETRANSLATE(C706, ""en"", ""ko""))"),"남성용 컬러 블록 패치워크 플랩 포켓 코듀로이 셔츠 재킷")</f>
        <v>남성용 컬러 블록 패치워크 플랩 포켓 코듀로이 셔츠 재킷</v>
      </c>
      <c r="F706" s="1" t="str">
        <f>IFERROR(__xludf.DUMMYFUNCTION("CONCATENATE(GOOGLETRANSLATE(C706, ""en"", ""ja""))"),"メンズ カラーブロック パッチワーク フラップ ポケット コーデュロイ シャツ ジャケット")</f>
        <v>メンズ カラーブロック パッチワーク フラップ ポケット コーデュロイ シャツ ジャケット</v>
      </c>
    </row>
    <row r="707" ht="15.75" customHeight="1">
      <c r="A707" s="1">
        <v>2180.0</v>
      </c>
      <c r="B707" s="1" t="s">
        <v>381</v>
      </c>
      <c r="C707" s="1" t="s">
        <v>690</v>
      </c>
      <c r="D707" s="1" t="str">
        <f>IFERROR(__xludf.DUMMYFUNCTION("CONCATENATE(GOOGLETRANSLATE(C707, ""en"", ""zh-cn""))"),"男式拼色前拉链连帽风衣夹克")</f>
        <v>男式拼色前拉链连帽风衣夹克</v>
      </c>
      <c r="E707" s="1" t="str">
        <f>IFERROR(__xludf.DUMMYFUNCTION("CONCATENATE(GOOGLETRANSLATE(C707, ""en"", ""ko""))"),"남성용 컬러 블록 패치워크 지퍼 프론트 후드 윈드브레이커 재킷")</f>
        <v>남성용 컬러 블록 패치워크 지퍼 프론트 후드 윈드브레이커 재킷</v>
      </c>
      <c r="F707" s="1" t="str">
        <f>IFERROR(__xludf.DUMMYFUNCTION("CONCATENATE(GOOGLETRANSLATE(C707, ""en"", ""ja""))"),"メンズ カラーブロック パッチワーク ジップ フロント フード付き ウインドブレーカー ジャケット")</f>
        <v>メンズ カラーブロック パッチワーク ジップ フロント フード付き ウインドブレーカー ジャケット</v>
      </c>
    </row>
    <row r="708" ht="15.75" customHeight="1">
      <c r="A708" s="1">
        <v>2181.0</v>
      </c>
      <c r="B708" s="1" t="s">
        <v>381</v>
      </c>
      <c r="C708" s="1" t="s">
        <v>691</v>
      </c>
      <c r="D708" s="1" t="str">
        <f>IFERROR(__xludf.DUMMYFUNCTION("CONCATENATE(GOOGLETRANSLATE(C708, ""en"", ""zh-cn""))"),"男式两色拼接立领拉链前抓绒夹克")</f>
        <v>男式两色拼接立领拉链前抓绒夹克</v>
      </c>
      <c r="E708" s="1" t="str">
        <f>IFERROR(__xludf.DUMMYFUNCTION("CONCATENATE(GOOGLETRANSLATE(C708, ""en"", ""ko""))"),"남성 투톤 패치워크 스탠드 칼라 지퍼 프론트 플리스 재킷")</f>
        <v>남성 투톤 패치워크 스탠드 칼라 지퍼 프론트 플리스 재킷</v>
      </c>
      <c r="F708" s="1" t="str">
        <f>IFERROR(__xludf.DUMMYFUNCTION("CONCATENATE(GOOGLETRANSLATE(C708, ""en"", ""ja""))"),"メンズ ツートーン パッチワーク スタンド カラー ジップ フロント フリース ジャケット")</f>
        <v>メンズ ツートーン パッチワーク スタンド カラー ジップ フロント フリース ジャケット</v>
      </c>
    </row>
    <row r="709" ht="15.75" customHeight="1">
      <c r="A709" s="1">
        <v>2182.0</v>
      </c>
      <c r="B709" s="1" t="s">
        <v>381</v>
      </c>
      <c r="C709" s="1" t="s">
        <v>692</v>
      </c>
      <c r="D709" s="1" t="str">
        <f>IFERROR(__xludf.DUMMYFUNCTION("CONCATENATE(GOOGLETRANSLATE(C709, ""en"", ""zh-cn""))"),"男士民族几何印花毛绒领宽松夹克")</f>
        <v>男士民族几何印花毛绒领宽松夹克</v>
      </c>
      <c r="E709" s="1" t="str">
        <f>IFERROR(__xludf.DUMMYFUNCTION("CONCATENATE(GOOGLETRANSLATE(C709, ""en"", ""ko""))"),"남성용 에스닉 기하학 프린트 플러시 칼라 루즈 재킷")</f>
        <v>남성용 에스닉 기하학 프린트 플러시 칼라 루즈 재킷</v>
      </c>
      <c r="F709" s="1" t="str">
        <f>IFERROR(__xludf.DUMMYFUNCTION("CONCATENATE(GOOGLETRANSLATE(C709, ""en"", ""ja""))"),"メンズエスニック幾何学プリントぬいぐるみ襟ルーズジャケット")</f>
        <v>メンズエスニック幾何学プリントぬいぐるみ襟ルーズジャケット</v>
      </c>
    </row>
    <row r="710" ht="15.75" customHeight="1">
      <c r="A710" s="1">
        <v>2183.0</v>
      </c>
      <c r="B710" s="1" t="s">
        <v>381</v>
      </c>
      <c r="C710" s="1" t="s">
        <v>693</v>
      </c>
      <c r="D710" s="1" t="str">
        <f>IFERROR(__xludf.DUMMYFUNCTION("CONCATENATE(GOOGLETRANSLATE(C710, ""en"", ""zh-cn""))"),"男式民族部落图案拼布有盖口袋花呢夹克")</f>
        <v>男式民族部落图案拼布有盖口袋花呢夹克</v>
      </c>
      <c r="E710" s="1" t="str">
        <f>IFERROR(__xludf.DUMMYFUNCTION("CONCATENATE(GOOGLETRANSLATE(C710, ""en"", ""ko""))"),"남성용 에스닉 트라이벌 패턴 패치워크 플랩 포켓 트위드 재킷")</f>
        <v>남성용 에스닉 트라이벌 패턴 패치워크 플랩 포켓 트위드 재킷</v>
      </c>
      <c r="F710" s="1" t="str">
        <f>IFERROR(__xludf.DUMMYFUNCTION("CONCATENATE(GOOGLETRANSLATE(C710, ""en"", ""ja""))"),"メンズエスニックトライバルパターンパッチワークフラップポケットツイードジャケット")</f>
        <v>メンズエスニックトライバルパターンパッチワークフラップポケットツイードジャケット</v>
      </c>
    </row>
    <row r="711" ht="15.75" customHeight="1">
      <c r="A711" s="1">
        <v>2184.0</v>
      </c>
      <c r="B711" s="1" t="s">
        <v>381</v>
      </c>
      <c r="C711" s="1" t="s">
        <v>694</v>
      </c>
      <c r="D711" s="1" t="str">
        <f>IFERROR(__xludf.DUMMYFUNCTION("CONCATENATE(GOOGLETRANSLATE(C711, ""en"", ""zh-cn""))"),"男式拼色翻领前拉链抓绒夹克")</f>
        <v>男式拼色翻领前拉链抓绒夹克</v>
      </c>
      <c r="E711" s="1" t="str">
        <f>IFERROR(__xludf.DUMMYFUNCTION("CONCATENATE(GOOGLETRANSLATE(C711, ""en"", ""ko""))"),"남성용 컬러 블록 패치워크 라펠 지퍼 프론트 플리스 재킷")</f>
        <v>남성용 컬러 블록 패치워크 라펠 지퍼 프론트 플리스 재킷</v>
      </c>
      <c r="F711" s="1" t="str">
        <f>IFERROR(__xludf.DUMMYFUNCTION("CONCATENATE(GOOGLETRANSLATE(C711, ""en"", ""ja""))"),"メンズ カラーブロック パッチワーク ラペル ジップ フロント フリース ジャケット")</f>
        <v>メンズ カラーブロック パッチワーク ラペル ジップ フロント フリース ジャケット</v>
      </c>
    </row>
    <row r="712" ht="15.75" customHeight="1">
      <c r="A712" s="1">
        <v>2185.0</v>
      </c>
      <c r="B712" s="1" t="s">
        <v>381</v>
      </c>
      <c r="C712" s="1" t="s">
        <v>695</v>
      </c>
      <c r="D712" s="1" t="str">
        <f>IFERROR(__xludf.DUMMYFUNCTION("CONCATENATE(GOOGLETRANSLATE(C712, ""en"", ""zh-cn""))"),"男士格子拼布多口袋休闲连帽夹克")</f>
        <v>男士格子拼布多口袋休闲连帽夹克</v>
      </c>
      <c r="E712" s="1" t="str">
        <f>IFERROR(__xludf.DUMMYFUNCTION("CONCATENATE(GOOGLETRANSLATE(C712, ""en"", ""ko""))"),"남성 체크 무늬 패치워크 멀티 포켓 캐주얼 후드 재킷")</f>
        <v>남성 체크 무늬 패치워크 멀티 포켓 캐주얼 후드 재킷</v>
      </c>
      <c r="F712" s="1" t="str">
        <f>IFERROR(__xludf.DUMMYFUNCTION("CONCATENATE(GOOGLETRANSLATE(C712, ""en"", ""ja""))"),"メンズチェック柄パッチワークマルチポケットカジュアルフード付きジャケット")</f>
        <v>メンズチェック柄パッチワークマルチポケットカジュアルフード付きジャケット</v>
      </c>
    </row>
    <row r="713" ht="15.75" customHeight="1">
      <c r="A713" s="1">
        <v>2186.0</v>
      </c>
      <c r="B713" s="1" t="s">
        <v>381</v>
      </c>
      <c r="C713" s="1" t="s">
        <v>696</v>
      </c>
      <c r="D713" s="1" t="str">
        <f>IFERROR(__xludf.DUMMYFUNCTION("CONCATENATE(GOOGLETRANSLATE(C713, ""en"", ""zh-cn""))"),"男式佩斯利围巾日式印花开襟和服两件套")</f>
        <v>男式佩斯利围巾日式印花开襟和服两件套</v>
      </c>
      <c r="E713" s="1" t="str">
        <f>IFERROR(__xludf.DUMMYFUNCTION("CONCATENATE(GOOGLETRANSLATE(C713, ""en"", ""ko""))"),"남성 페이즐리 스카프 일본식 프린트 오픈 프론트 기모노 2피스 수트")</f>
        <v>남성 페이즐리 스카프 일본식 프린트 오픈 프론트 기모노 2피스 수트</v>
      </c>
      <c r="F713" s="1" t="str">
        <f>IFERROR(__xludf.DUMMYFUNCTION("CONCATENATE(GOOGLETRANSLATE(C713, ""en"", ""ja""))"),"メンズペイズリースカーフ日本のプリントオープンフロント着物ツーピーススーツ")</f>
        <v>メンズペイズリースカーフ日本のプリントオープンフロント着物ツーピーススーツ</v>
      </c>
    </row>
    <row r="714" ht="15.75" customHeight="1">
      <c r="A714" s="1">
        <v>2187.0</v>
      </c>
      <c r="B714" s="1" t="s">
        <v>381</v>
      </c>
      <c r="C714" s="1" t="s">
        <v>697</v>
      </c>
      <c r="D714" s="1" t="str">
        <f>IFERROR(__xludf.DUMMYFUNCTION("CONCATENATE(GOOGLETRANSLATE(C714, ""en"", ""zh-cn""))"),"男式拼色前拉链抽绳连帽夹克")</f>
        <v>男式拼色前拉链抽绳连帽夹克</v>
      </c>
      <c r="E714" s="1" t="str">
        <f>IFERROR(__xludf.DUMMYFUNCTION("CONCATENATE(GOOGLETRANSLATE(C714, ""en"", ""ko""))"),"남성용 컬러 블록 패치워크 지퍼 앞면 드로스트링 후드 재킷")</f>
        <v>남성용 컬러 블록 패치워크 지퍼 앞면 드로스트링 후드 재킷</v>
      </c>
      <c r="F714" s="1" t="str">
        <f>IFERROR(__xludf.DUMMYFUNCTION("CONCATENATE(GOOGLETRANSLATE(C714, ""en"", ""ja""))"),"メンズ カラーブロック パッチワーク ジップ フロント ドローストリング フード付きジャケット")</f>
        <v>メンズ カラーブロック パッチワーク ジップ フロント ドローストリング フード付きジャケット</v>
      </c>
    </row>
    <row r="715" ht="15.75" customHeight="1">
      <c r="A715" s="1">
        <v>2188.0</v>
      </c>
      <c r="B715" s="1" t="s">
        <v>381</v>
      </c>
      <c r="C715" s="1" t="s">
        <v>698</v>
      </c>
      <c r="D715" s="1" t="str">
        <f>IFERROR(__xludf.DUMMYFUNCTION("CONCATENATE(GOOGLETRANSLATE(C715, ""en"", ""zh-cn""))"),"男式拼色刺绣前拉链灯芯绒夹克")</f>
        <v>男式拼色刺绣前拉链灯芯绒夹克</v>
      </c>
      <c r="E715" s="1" t="str">
        <f>IFERROR(__xludf.DUMMYFUNCTION("CONCATENATE(GOOGLETRANSLATE(C715, ""en"", ""ko""))"),"남성용 컬러 블록 패치워크 자수 지퍼 프론트 코듀로이 재킷")</f>
        <v>남성용 컬러 블록 패치워크 자수 지퍼 프론트 코듀로이 재킷</v>
      </c>
      <c r="F715" s="1" t="str">
        <f>IFERROR(__xludf.DUMMYFUNCTION("CONCATENATE(GOOGLETRANSLATE(C715, ""en"", ""ja""))"),"メンズ カラーブロック パッチワーク 刺繍 ジップ フロント コーデュロイ ジャケット")</f>
        <v>メンズ カラーブロック パッチワーク 刺繍 ジップ フロント コーデュロイ ジャケット</v>
      </c>
    </row>
    <row r="716" ht="15.75" customHeight="1">
      <c r="A716" s="1">
        <v>2189.0</v>
      </c>
      <c r="B716" s="1" t="s">
        <v>381</v>
      </c>
      <c r="C716" s="1" t="s">
        <v>699</v>
      </c>
      <c r="D716" s="1" t="str">
        <f>IFERROR(__xludf.DUMMYFUNCTION("CONCATENATE(GOOGLETRANSLATE(C716, ""en"", ""zh-cn""))"),"男式色块拼布翻盖口袋正面纽扣夹克")</f>
        <v>男式色块拼布翻盖口袋正面纽扣夹克</v>
      </c>
      <c r="E716" s="1" t="str">
        <f>IFERROR(__xludf.DUMMYFUNCTION("CONCATENATE(GOOGLETRANSLATE(C716, ""en"", ""ko""))"),"남성용 컬러 블록 패치워크 플랩 포켓 버튼 프론트 재킷")</f>
        <v>남성용 컬러 블록 패치워크 플랩 포켓 버튼 프론트 재킷</v>
      </c>
      <c r="F716" s="1" t="str">
        <f>IFERROR(__xludf.DUMMYFUNCTION("CONCATENATE(GOOGLETRANSLATE(C716, ""en"", ""ja""))"),"メンズ カラーブロック パッチワーク フラップ ポケット ボタン フロント ジャケット")</f>
        <v>メンズ カラーブロック パッチワーク フラップ ポケット ボタン フロント ジャケット</v>
      </c>
    </row>
    <row r="717" ht="15.75" customHeight="1">
      <c r="A717" s="1">
        <v>2190.0</v>
      </c>
      <c r="B717" s="1" t="s">
        <v>381</v>
      </c>
      <c r="C717" s="1" t="s">
        <v>700</v>
      </c>
      <c r="D717" s="1" t="str">
        <f>IFERROR(__xludf.DUMMYFUNCTION("CONCATENATE(GOOGLETRANSLATE(C717, ""en"", ""zh-cn""))"),"男式民族几何印花拼接纽扣前连帽夹克")</f>
        <v>男式民族几何印花拼接纽扣前连帽夹克</v>
      </c>
      <c r="E717" s="1" t="str">
        <f>IFERROR(__xludf.DUMMYFUNCTION("CONCATENATE(GOOGLETRANSLATE(C717, ""en"", ""ko""))"),"남성용 에스닉 기하학 프린트 패치워크 버튼 프론트 후드 재킷")</f>
        <v>남성용 에스닉 기하학 프린트 패치워크 버튼 프론트 후드 재킷</v>
      </c>
      <c r="F717" s="1" t="str">
        <f>IFERROR(__xludf.DUMMYFUNCTION("CONCATENATE(GOOGLETRANSLATE(C717, ""en"", ""ja""))"),"メンズエスニック幾何学プリントパッチワークボタンフロントフード付きジャケット")</f>
        <v>メンズエスニック幾何学プリントパッチワークボタンフロントフード付きジャケット</v>
      </c>
    </row>
    <row r="718" ht="15.75" customHeight="1">
      <c r="A718" s="1">
        <v>2191.0</v>
      </c>
      <c r="B718" s="1" t="s">
        <v>381</v>
      </c>
      <c r="C718" s="1" t="s">
        <v>701</v>
      </c>
      <c r="D718" s="1" t="str">
        <f>IFERROR(__xludf.DUMMYFUNCTION("CONCATENATE(GOOGLETRANSLATE(C718, ""en"", ""zh-cn""))"),"男士纯色立领前拉链抓绒休闲夹克")</f>
        <v>男士纯色立领前拉链抓绒休闲夹克</v>
      </c>
      <c r="E718" s="1" t="str">
        <f>IFERROR(__xludf.DUMMYFUNCTION("CONCATENATE(GOOGLETRANSLATE(C718, ""en"", ""ko""))"),"남성용 솔리드 스탠드 칼라 지퍼 프론트 플리스 캐주얼 재킷")</f>
        <v>남성용 솔리드 스탠드 칼라 지퍼 프론트 플리스 캐주얼 재킷</v>
      </c>
      <c r="F718" s="1" t="str">
        <f>IFERROR(__xludf.DUMMYFUNCTION("CONCATENATE(GOOGLETRANSLATE(C718, ""en"", ""ja""))"),"メンズソリッドスタンドカラージップフロントフリースカジュアルジャケット")</f>
        <v>メンズソリッドスタンドカラージップフロントフリースカジュアルジャケット</v>
      </c>
    </row>
    <row r="719" ht="15.75" customHeight="1">
      <c r="A719" s="1">
        <v>2192.0</v>
      </c>
      <c r="B719" s="1" t="s">
        <v>381</v>
      </c>
      <c r="C719" s="1" t="s">
        <v>702</v>
      </c>
      <c r="D719" s="1" t="str">
        <f>IFERROR(__xludf.DUMMYFUNCTION("CONCATENATE(GOOGLETRANSLATE(C719, ""en"", ""zh-cn""))"),"男式格纹纽扣前抓绒抽绳连帽夹克")</f>
        <v>男式格纹纽扣前抓绒抽绳连帽夹克</v>
      </c>
      <c r="E719" s="1" t="str">
        <f>IFERROR(__xludf.DUMMYFUNCTION("CONCATENATE(GOOGLETRANSLATE(C719, ""en"", ""ko""))"),"남성 체크 체크 무늬 버튼 프론트 플리스 드로스트링 후드 재킷")</f>
        <v>남성 체크 체크 무늬 버튼 프론트 플리스 드로스트링 후드 재킷</v>
      </c>
      <c r="F719" s="1" t="str">
        <f>IFERROR(__xludf.DUMMYFUNCTION("CONCATENATE(GOOGLETRANSLATE(C719, ""en"", ""ja""))"),"メンズチェックチェック柄ボタンフロントフリース巾着フード付きジャケット")</f>
        <v>メンズチェックチェック柄ボタンフロントフリース巾着フード付きジャケット</v>
      </c>
    </row>
    <row r="720" ht="15.75" customHeight="1">
      <c r="A720" s="1">
        <v>2193.0</v>
      </c>
      <c r="B720" s="1" t="s">
        <v>381</v>
      </c>
      <c r="C720" s="1" t="s">
        <v>703</v>
      </c>
      <c r="D720" s="1" t="str">
        <f>IFERROR(__xludf.DUMMYFUNCTION("CONCATENATE(GOOGLETRANSLATE(C720, ""en"", ""zh-cn""))"),"男式民族几何印花拼布前拉链连帽夹克")</f>
        <v>男式民族几何印花拼布前拉链连帽夹克</v>
      </c>
      <c r="E720" s="1" t="str">
        <f>IFERROR(__xludf.DUMMYFUNCTION("CONCATENATE(GOOGLETRANSLATE(C720, ""en"", ""ko""))"),"남성용 에스닉 기하학 프린트 패치워크 지퍼 프론트 후드 재킷")</f>
        <v>남성용 에스닉 기하학 프린트 패치워크 지퍼 프론트 후드 재킷</v>
      </c>
      <c r="F720" s="1" t="str">
        <f>IFERROR(__xludf.DUMMYFUNCTION("CONCATENATE(GOOGLETRANSLATE(C720, ""en"", ""ja""))"),"メンズエスニック幾何学プリントパッチワークジップフロントフード付きジャケット")</f>
        <v>メンズエスニック幾何学プリントパッチワークジップフロントフード付きジャケット</v>
      </c>
    </row>
    <row r="721" ht="15.75" customHeight="1">
      <c r="A721" s="1">
        <v>2194.0</v>
      </c>
      <c r="B721" s="1" t="s">
        <v>381</v>
      </c>
      <c r="C721" s="1" t="s">
        <v>700</v>
      </c>
      <c r="D721" s="1" t="str">
        <f>IFERROR(__xludf.DUMMYFUNCTION("CONCATENATE(GOOGLETRANSLATE(C721, ""en"", ""zh-cn""))"),"男式民族几何印花拼接纽扣前连帽夹克")</f>
        <v>男式民族几何印花拼接纽扣前连帽夹克</v>
      </c>
      <c r="E721" s="1" t="str">
        <f>IFERROR(__xludf.DUMMYFUNCTION("CONCATENATE(GOOGLETRANSLATE(C721, ""en"", ""ko""))"),"남성용 에스닉 기하학 프린트 패치워크 버튼 프론트 후드 재킷")</f>
        <v>남성용 에스닉 기하학 프린트 패치워크 버튼 프론트 후드 재킷</v>
      </c>
      <c r="F721" s="1" t="str">
        <f>IFERROR(__xludf.DUMMYFUNCTION("CONCATENATE(GOOGLETRANSLATE(C721, ""en"", ""ja""))"),"メンズエスニック幾何学プリントパッチワークボタンフロントフード付きジャケット")</f>
        <v>メンズエスニック幾何学プリントパッチワークボタンフロントフード付きジャケット</v>
      </c>
    </row>
    <row r="722" ht="15.75" customHeight="1">
      <c r="A722" s="1">
        <v>2195.0</v>
      </c>
      <c r="B722" s="1" t="s">
        <v>381</v>
      </c>
      <c r="C722" s="1" t="s">
        <v>704</v>
      </c>
      <c r="D722" s="1" t="str">
        <f>IFERROR(__xludf.DUMMYFUNCTION("CONCATENATE(GOOGLETRANSLATE(C722, ""en"", ""zh-cn""))"),"男式纯色棒球领拉链休闲夹克")</f>
        <v>男式纯色棒球领拉链休闲夹克</v>
      </c>
      <c r="E722" s="1" t="str">
        <f>IFERROR(__xludf.DUMMYFUNCTION("CONCATENATE(GOOGLETRANSLATE(C722, ""en"", ""ko""))"),"남성용 솔리드 텍스처 야구 ​​칼라 지퍼 프론트 캐주얼 재킷")</f>
        <v>남성용 솔리드 텍스처 야구 ​​칼라 지퍼 프론트 캐주얼 재킷</v>
      </c>
      <c r="F722" s="1" t="str">
        <f>IFERROR(__xludf.DUMMYFUNCTION("CONCATENATE(GOOGLETRANSLATE(C722, ""en"", ""ja""))"),"メンズソリッドテクスチャ野球襟ジップフロントカジュアルジャケット")</f>
        <v>メンズソリッドテクスチャ野球襟ジップフロントカジュアルジャケット</v>
      </c>
    </row>
    <row r="723" ht="15.75" customHeight="1">
      <c r="A723" s="1">
        <v>2196.0</v>
      </c>
      <c r="B723" s="1" t="s">
        <v>381</v>
      </c>
      <c r="C723" s="1" t="s">
        <v>705</v>
      </c>
      <c r="D723" s="1" t="str">
        <f>IFERROR(__xludf.DUMMYFUNCTION("CONCATENATE(GOOGLETRANSLATE(C723, ""en"", ""zh-cn""))"),"男士流苏下摆半袖开衫")</f>
        <v>男士流苏下摆半袖开衫</v>
      </c>
      <c r="E723" s="1" t="str">
        <f>IFERROR(__xludf.DUMMYFUNCTION("CONCATENATE(GOOGLETRANSLATE(C723, ""en"", ""ko""))"),"남성용 프린지 밑단 하프 슬리브 카디건")</f>
        <v>남성용 프린지 밑단 하프 슬리브 카디건</v>
      </c>
      <c r="F723" s="1" t="str">
        <f>IFERROR(__xludf.DUMMYFUNCTION("CONCATENATE(GOOGLETRANSLATE(C723, ""en"", ""ja""))"),"メンズ フリンジヘム ハーフスリーブ カーディガン")</f>
        <v>メンズ フリンジヘム ハーフスリーブ カーディガン</v>
      </c>
    </row>
    <row r="724" ht="15.75" customHeight="1">
      <c r="A724" s="1">
        <v>2197.0</v>
      </c>
      <c r="B724" s="1" t="s">
        <v>381</v>
      </c>
      <c r="C724" s="1" t="s">
        <v>706</v>
      </c>
      <c r="D724" s="1" t="str">
        <f>IFERROR(__xludf.DUMMYFUNCTION("CONCATENATE(GOOGLETRANSLATE(C724, ""en"", ""zh-cn""))"),"男士纯色翻领 3/4 袖休闲西装外套")</f>
        <v>男士纯色翻领 3/4 袖休闲西装外套</v>
      </c>
      <c r="E724" s="1" t="str">
        <f>IFERROR(__xludf.DUMMYFUNCTION("CONCATENATE(GOOGLETRANSLATE(C724, ""en"", ""ko""))"),"남성 솔리드 라펠 3/4 슬리브 캐주얼 블레이저")</f>
        <v>남성 솔리드 라펠 3/4 슬리브 캐주얼 블레이저</v>
      </c>
      <c r="F724" s="1" t="str">
        <f>IFERROR(__xludf.DUMMYFUNCTION("CONCATENATE(GOOGLETRANSLATE(C724, ""en"", ""ja""))"),"メンズソリッドラペル3/4スリーブカジュアルブレザー")</f>
        <v>メンズソリッドラペル3/4スリーブカジュアルブレザー</v>
      </c>
    </row>
    <row r="725" ht="15.75" customHeight="1">
      <c r="A725" s="1">
        <v>2198.0</v>
      </c>
      <c r="B725" s="1" t="s">
        <v>381</v>
      </c>
      <c r="C725" s="1" t="s">
        <v>707</v>
      </c>
      <c r="D725" s="1" t="str">
        <f>IFERROR(__xludf.DUMMYFUNCTION("CONCATENATE(GOOGLETRANSLATE(C725, ""en"", ""zh-cn""))"),"男士纯色无领休闲长袖西装外套")</f>
        <v>男士纯色无领休闲长袖西装外套</v>
      </c>
      <c r="E725" s="1" t="str">
        <f>IFERROR(__xludf.DUMMYFUNCTION("CONCATENATE(GOOGLETRANSLATE(C725, ""en"", ""ko""))"),"남성용 솔리드 노칼라 캐주얼 긴소매 블레이저")</f>
        <v>남성용 솔리드 노칼라 캐주얼 긴소매 블레이저</v>
      </c>
      <c r="F725" s="1" t="str">
        <f>IFERROR(__xludf.DUMMYFUNCTION("CONCATENATE(GOOGLETRANSLATE(C725, ""en"", ""ja""))"),"メンズソリッドノーカラーカジュアル長袖ブレザー")</f>
        <v>メンズソリッドノーカラーカジュアル長袖ブレザー</v>
      </c>
    </row>
    <row r="726" ht="15.75" customHeight="1">
      <c r="A726" s="1">
        <v>2199.0</v>
      </c>
      <c r="B726" s="1" t="s">
        <v>381</v>
      </c>
      <c r="C726" s="1" t="s">
        <v>708</v>
      </c>
      <c r="D726" s="1" t="str">
        <f>IFERROR(__xludf.DUMMYFUNCTION("CONCATENATE(GOOGLETRANSLATE(C726, ""en"", ""zh-cn""))"),"男士不规则拼布系带休闲长袖西装外套")</f>
        <v>男士不规则拼布系带休闲长袖西装外套</v>
      </c>
      <c r="E726" s="1" t="str">
        <f>IFERROR(__xludf.DUMMYFUNCTION("CONCATENATE(GOOGLETRANSLATE(C726, ""en"", ""ko""))"),"남성 불규칙한 패치워크 벨트 캐주얼 긴팔 블레이저")</f>
        <v>남성 불규칙한 패치워크 벨트 캐주얼 긴팔 블레이저</v>
      </c>
      <c r="F726" s="1" t="str">
        <f>IFERROR(__xludf.DUMMYFUNCTION("CONCATENATE(GOOGLETRANSLATE(C726, ""en"", ""ja""))"),"メンズ不規則なパッチワークベルト付きカジュアル長袖ブレザー")</f>
        <v>メンズ不規則なパッチワークベルト付きカジュアル長袖ブレザー</v>
      </c>
    </row>
    <row r="727" ht="15.75" customHeight="1">
      <c r="A727" s="1">
        <v>2200.0</v>
      </c>
      <c r="B727" s="1" t="s">
        <v>381</v>
      </c>
      <c r="C727" s="1" t="s">
        <v>709</v>
      </c>
      <c r="D727" s="1" t="str">
        <f>IFERROR(__xludf.DUMMYFUNCTION("CONCATENATE(GOOGLETRANSLATE(C727, ""en"", ""zh-cn""))"),"女式 100% 棉经典条纹印花翻领纽扣前系带休闲衬衫连衣裙")</f>
        <v>女式 100% 棉经典条纹印花翻领纽扣前系带休闲衬衫连衣裙</v>
      </c>
      <c r="E727" s="1" t="str">
        <f>IFERROR(__xludf.DUMMYFUNCTION("CONCATENATE(GOOGLETRANSLATE(C727, ""en"", ""ko""))"),"여성 100% 코튼 클래식 스트라이프 프린트 옷깃 버튼 프론트 레이스업 캐주얼 셔츠 드레스")</f>
        <v>여성 100% 코튼 클래식 스트라이프 프린트 옷깃 버튼 프론트 레이스업 캐주얼 셔츠 드레스</v>
      </c>
      <c r="F727" s="1" t="str">
        <f>IFERROR(__xludf.DUMMYFUNCTION("CONCATENATE(GOOGLETRANSLATE(C727, ""en"", ""ja""))"),"女性 100% コットンクラシックストライププリントラペルボタンフロントレースアップカジュアルシャツドレス")</f>
        <v>女性 100% コットンクラシックストライププリントラペルボタンフロントレースアップカジュアルシャツドレス</v>
      </c>
    </row>
    <row r="728" ht="15.75" customHeight="1">
      <c r="A728" s="1">
        <v>2201.0</v>
      </c>
      <c r="B728" s="1" t="s">
        <v>381</v>
      </c>
      <c r="C728" s="1" t="s">
        <v>710</v>
      </c>
      <c r="D728" s="1" t="str">
        <f>IFERROR(__xludf.DUMMYFUNCTION("CONCATENATE(GOOGLETRANSLATE(C728, ""en"", ""zh-cn""))"),"女式复古格子印花前纽扣 O 领短袖宽松休闲衬衫连衣裙（带口袋）")</f>
        <v>女式复古格子印花前纽扣 O 领短袖宽松休闲衬衫连衣裙（带口袋）</v>
      </c>
      <c r="E728" s="1" t="str">
        <f>IFERROR(__xludf.DUMMYFUNCTION("CONCATENATE(GOOGLETRANSLATE(C728, ""en"", ""ko""))"),"여성 빈티지 격자 무늬 인쇄 단추 전면 o-넥 짧은 소매 느슨한 캐주얼 셔츠 드레스와 포켓")</f>
        <v>여성 빈티지 격자 무늬 인쇄 단추 전면 o-넥 짧은 소매 느슨한 캐주얼 셔츠 드레스와 포켓</v>
      </c>
      <c r="F728" s="1" t="str">
        <f>IFERROR(__xludf.DUMMYFUNCTION("CONCATENATE(GOOGLETRANSLATE(C728, ""en"", ""ja""))"),"女性ヴィンテージチェック柄プリントボタンフロント O ネック半袖ルーズカジュアルシャツドレスポケット付き")</f>
        <v>女性ヴィンテージチェック柄プリントボタンフロント O ネック半袖ルーズカジュアルシャツドレスポケット付き</v>
      </c>
    </row>
    <row r="729" ht="15.75" customHeight="1">
      <c r="A729" s="1">
        <v>2202.0</v>
      </c>
      <c r="B729" s="1" t="s">
        <v>381</v>
      </c>
      <c r="C729" s="1" t="s">
        <v>711</v>
      </c>
      <c r="D729" s="1" t="str">
        <f>IFERROR(__xludf.DUMMYFUNCTION("CONCATENATE(GOOGLETRANSLATE(C729, ""en"", ""zh-cn""))"),"休闲纯色装饰口袋半袖宽松中长连衣裙")</f>
        <v>休闲纯色装饰口袋半袖宽松中长连衣裙</v>
      </c>
      <c r="E729" s="1" t="str">
        <f>IFERROR(__xludf.DUMMYFUNCTION("CONCATENATE(GOOGLETRANSLATE(C729, ""en"", ""ko""))"),"캐주얼 솔리드 컬러 장식 포켓 하프 슬리브 루즈 미디 드레스")</f>
        <v>캐주얼 솔리드 컬러 장식 포켓 하프 슬리브 루즈 미디 드레스</v>
      </c>
      <c r="F729" s="1" t="str">
        <f>IFERROR(__xludf.DUMMYFUNCTION("CONCATENATE(GOOGLETRANSLATE(C729, ""en"", ""ja""))"),"カジュアルソリッドカラー装飾ポケット半袖ルーズミディドレス")</f>
        <v>カジュアルソリッドカラー装飾ポケット半袖ルーズミディドレス</v>
      </c>
    </row>
    <row r="730" ht="15.75" customHeight="1">
      <c r="A730" s="1">
        <v>2203.0</v>
      </c>
      <c r="B730" s="1" t="s">
        <v>381</v>
      </c>
      <c r="C730" s="1" t="s">
        <v>712</v>
      </c>
      <c r="D730" s="1" t="str">
        <f>IFERROR(__xludf.DUMMYFUNCTION("CONCATENATE(GOOGLETRANSLATE(C730, ""en"", ""zh-cn""))"),"女式复古棉质花卉植物印花圆领半袖开叉休闲连衣裙")</f>
        <v>女式复古棉质花卉植物印花圆领半袖开叉休闲连衣裙</v>
      </c>
      <c r="E730" s="1" t="str">
        <f>IFERROR(__xludf.DUMMYFUNCTION("CONCATENATE(GOOGLETRANSLATE(C730, ""en"", ""ko""))"),"여성 빈티지 코튼 꽃 식물 프린트 오 넥 하프 슬리브 스플릿 캐주얼 드레스")</f>
        <v>여성 빈티지 코튼 꽃 식물 프린트 오 넥 하프 슬리브 스플릿 캐주얼 드레스</v>
      </c>
      <c r="F730" s="1" t="str">
        <f>IFERROR(__xludf.DUMMYFUNCTION("CONCATENATE(GOOGLETRANSLATE(C730, ""en"", ""ja""))"),"女性ヴィンテージコットン花植物プリント O ネック半袖スプリットカジュアルドレス")</f>
        <v>女性ヴィンテージコットン花植物プリント O ネック半袖スプリットカジュアルドレス</v>
      </c>
    </row>
    <row r="731" ht="15.75" customHeight="1">
      <c r="A731" s="1">
        <v>2204.0</v>
      </c>
      <c r="B731" s="1" t="s">
        <v>381</v>
      </c>
      <c r="C731" s="1" t="s">
        <v>713</v>
      </c>
      <c r="D731" s="1" t="str">
        <f>IFERROR(__xludf.DUMMYFUNCTION("CONCATENATE(GOOGLETRANSLATE(C731, ""en"", ""zh-cn""))"),"女式 100% 纯棉纯色宽松口袋夏季长连衣裙")</f>
        <v>女式 100% 纯棉纯色宽松口袋夏季长连衣裙</v>
      </c>
      <c r="E731" s="1" t="str">
        <f>IFERROR(__xludf.DUMMYFUNCTION("CONCATENATE(GOOGLETRANSLATE(C731, ""en"", ""ko""))"),"여성 100% 면 솔리드 헐렁한 주머니 여름 맥시 드레스")</f>
        <v>여성 100% 면 솔리드 헐렁한 주머니 여름 맥시 드레스</v>
      </c>
      <c r="F731" s="1" t="str">
        <f>IFERROR(__xludf.DUMMYFUNCTION("CONCATENATE(GOOGLETRANSLATE(C731, ""en"", ""ja""))"),"女性 100% コットン固体だぶだぶのポケットサマーマキシドレス")</f>
        <v>女性 100% コットン固体だぶだぶのポケットサマーマキシドレス</v>
      </c>
    </row>
    <row r="732" ht="15.75" customHeight="1">
      <c r="A732" s="1">
        <v>2205.0</v>
      </c>
      <c r="B732" s="1" t="s">
        <v>381</v>
      </c>
      <c r="C732" s="1" t="s">
        <v>714</v>
      </c>
      <c r="D732" s="1" t="str">
        <f>IFERROR(__xludf.DUMMYFUNCTION("CONCATENATE(GOOGLETRANSLATE(C732, ""en"", ""zh-cn""))"),"女式复古纯色翻领宽松休闲衬衫连衣裙（带口袋）")</f>
        <v>女式复古纯色翻领宽松休闲衬衫连衣裙（带口袋）</v>
      </c>
      <c r="E732" s="1" t="str">
        <f>IFERROR(__xludf.DUMMYFUNCTION("CONCATENATE(GOOGLETRANSLATE(C732, ""en"", ""ko""))"),"여성 레트로 솔리드 컬러 턴 다운 칼라 루즈 캐주얼 셔츠 드레스 (포켓 포함)")</f>
        <v>여성 레트로 솔리드 컬러 턴 다운 칼라 루즈 캐주얼 셔츠 드레스 (포켓 포함)</v>
      </c>
      <c r="F732" s="1" t="str">
        <f>IFERROR(__xludf.DUMMYFUNCTION("CONCATENATE(GOOGLETRANSLATE(C732, ""en"", ""ja""))"),"女性レトロソリッドカラーターンダウンカラールーズカジュアルシャツドレスポケット付き")</f>
        <v>女性レトロソリッドカラーターンダウンカラールーズカジュアルシャツドレスポケット付き</v>
      </c>
    </row>
    <row r="733" ht="15.75" customHeight="1">
      <c r="A733" s="1">
        <v>2206.0</v>
      </c>
      <c r="B733" s="1" t="s">
        <v>381</v>
      </c>
      <c r="C733" s="1" t="s">
        <v>715</v>
      </c>
      <c r="D733" s="1" t="str">
        <f>IFERROR(__xludf.DUMMYFUNCTION("CONCATENATE(GOOGLETRANSLATE(C733, ""en"", ""zh-cn""))"),"女式露肩泡泡袖褶裥拼布优雅纯色长连衣裙")</f>
        <v>女式露肩泡泡袖褶裥拼布优雅纯色长连衣裙</v>
      </c>
      <c r="E733" s="1" t="str">
        <f>IFERROR(__xludf.DUMMYFUNCTION("CONCATENATE(GOOGLETRANSLATE(C733, ""en"", ""ko""))"),"여성 오프 숄더 퍼프 슬리브 주름 패치 워크 우아한 솔리드 컬러 맥시 드레스")</f>
        <v>여성 오프 숄더 퍼프 슬리브 주름 패치 워크 우아한 솔리드 컬러 맥시 드레스</v>
      </c>
      <c r="F733" s="1" t="str">
        <f>IFERROR(__xludf.DUMMYFUNCTION("CONCATENATE(GOOGLETRANSLATE(C733, ""en"", ""ja""))"),"女性オフショルダーパフスリーブプリーツパッチワークエレガントなソリッドカラーマキシドレス")</f>
        <v>女性オフショルダーパフスリーブプリーツパッチワークエレガントなソリッドカラーマキシドレス</v>
      </c>
    </row>
    <row r="734" ht="15.75" customHeight="1">
      <c r="A734" s="1">
        <v>2207.0</v>
      </c>
      <c r="B734" s="1" t="s">
        <v>381</v>
      </c>
      <c r="C734" s="1" t="s">
        <v>716</v>
      </c>
      <c r="D734" s="1" t="str">
        <f>IFERROR(__xludf.DUMMYFUNCTION("CONCATENATE(GOOGLETRANSLATE(C734, ""en"", ""zh-cn""))"),"民族风女式 V 领长袖花卉印花假日波西米亚褶皱超长连衣裙")</f>
        <v>民族风女式 V 领长袖花卉印花假日波西米亚褶皱超长连衣裙</v>
      </c>
      <c r="E734" s="1" t="str">
        <f>IFERROR(__xludf.DUMMYFUNCTION("CONCATENATE(GOOGLETRANSLATE(C734, ""en"", ""ko""))"),"민족 여성 V 넥 긴 소매 꽃 프린트 휴일 보헤미안 주름 맥시 드레스")</f>
        <v>민족 여성 V 넥 긴 소매 꽃 프린트 휴일 보헤미안 주름 맥시 드레스</v>
      </c>
      <c r="F734" s="1" t="str">
        <f>IFERROR(__xludf.DUMMYFUNCTION("CONCATENATE(GOOGLETRANSLATE(C734, ""en"", ""ja""))"),"エスニック女性 V ネック長袖花柄ホリデー ボヘミアン プリーツ マキシ ドレス")</f>
        <v>エスニック女性 V ネック長袖花柄ホリデー ボヘミアン プリーツ マキシ ドレス</v>
      </c>
    </row>
    <row r="735" ht="15.75" customHeight="1">
      <c r="A735" s="1">
        <v>2208.0</v>
      </c>
      <c r="B735" s="1" t="s">
        <v>381</v>
      </c>
      <c r="C735" s="1" t="s">
        <v>717</v>
      </c>
      <c r="D735" s="1" t="str">
        <f>IFERROR(__xludf.DUMMYFUNCTION("CONCATENATE(GOOGLETRANSLATE(C735, ""en"", ""zh-cn""))"),"波西米亚花卉印花 V 领喇叭半袖海滩超长连衣裙")</f>
        <v>波西米亚花卉印花 V 领喇叭半袖海滩超长连衣裙</v>
      </c>
      <c r="E735" s="1" t="str">
        <f>IFERROR(__xludf.DUMMYFUNCTION("CONCATENATE(GOOGLETRANSLATE(C735, ""en"", ""ko""))"),"보헤미안 플로럴 프린트 브이넥 플레어 하프 슬리브 비치 맥시 드레스")</f>
        <v>보헤미안 플로럴 프린트 브이넥 플레어 하프 슬리브 비치 맥시 드레스</v>
      </c>
      <c r="F735" s="1" t="str">
        <f>IFERROR(__xludf.DUMMYFUNCTION("CONCATENATE(GOOGLETRANSLATE(C735, ""en"", ""ja""))"),"ボヘミアン花柄 V ネック フレア ハーフスリーブ ビーチ マキシ ドレス")</f>
        <v>ボヘミアン花柄 V ネック フレア ハーフスリーブ ビーチ マキシ ドレス</v>
      </c>
    </row>
    <row r="736" ht="15.75" customHeight="1">
      <c r="A736" s="1">
        <v>2209.0</v>
      </c>
      <c r="B736" s="1" t="s">
        <v>381</v>
      </c>
      <c r="C736" s="1" t="s">
        <v>718</v>
      </c>
      <c r="D736" s="1" t="str">
        <f>IFERROR(__xludf.DUMMYFUNCTION("CONCATENATE(GOOGLETRANSLATE(C736, ""en"", ""zh-cn""))"),"女式复古花卉印花两袋宽松休闲连衣裙")</f>
        <v>女式复古花卉印花两袋宽松休闲连衣裙</v>
      </c>
      <c r="E736" s="1" t="str">
        <f>IFERROR(__xludf.DUMMYFUNCTION("CONCATENATE(GOOGLETRANSLATE(C736, ""en"", ""ko""))"),"여성을 위한 복고풍 꽃무늬 2개의 주머니 루즈한 캐주얼 드레스")</f>
        <v>여성을 위한 복고풍 꽃무늬 2개의 주머니 루즈한 캐주얼 드레스</v>
      </c>
      <c r="F736" s="1" t="str">
        <f>IFERROR(__xludf.DUMMYFUNCTION("CONCATENATE(GOOGLETRANSLATE(C736, ""en"", ""ja""))"),"女性のためのレトロな花柄の 2 つのポケットのルーズ カジュアル ドレス")</f>
        <v>女性のためのレトロな花柄の 2 つのポケットのルーズ カジュアル ドレス</v>
      </c>
    </row>
    <row r="737" ht="15.75" customHeight="1">
      <c r="A737" s="1">
        <v>2210.0</v>
      </c>
      <c r="B737" s="1" t="s">
        <v>381</v>
      </c>
      <c r="C737" s="1" t="s">
        <v>719</v>
      </c>
      <c r="D737" s="1" t="str">
        <f>IFERROR(__xludf.DUMMYFUNCTION("CONCATENATE(GOOGLETRANSLATE(C737, ""en"", ""zh-cn""))"),"女式基本款前翻领纯色长袖衬衫连衣裙")</f>
        <v>女式基本款前翻领纯色长袖衬衫连衣裙</v>
      </c>
      <c r="E737" s="1" t="str">
        <f>IFERROR(__xludf.DUMMYFUNCTION("CONCATENATE(GOOGLETRANSLATE(C737, ""en"", ""ko""))"),"여성 기본 버튼 다운 프론트 라펠 솔리드 컬러 긴 소매 셔츠 드레스")</f>
        <v>여성 기본 버튼 다운 프론트 라펠 솔리드 컬러 긴 소매 셔츠 드레스</v>
      </c>
      <c r="F737" s="1" t="str">
        <f>IFERROR(__xludf.DUMMYFUNCTION("CONCATENATE(GOOGLETRANSLATE(C737, ""en"", ""ja""))"),"女性のベーシックボタンダウンフロントラペルソリッドカラー長袖シャツドレス")</f>
        <v>女性のベーシックボタンダウンフロントラペルソリッドカラー長袖シャツドレス</v>
      </c>
    </row>
    <row r="738" ht="15.75" customHeight="1">
      <c r="A738" s="1">
        <v>2211.0</v>
      </c>
      <c r="B738" s="1" t="s">
        <v>381</v>
      </c>
      <c r="C738" s="1" t="s">
        <v>720</v>
      </c>
      <c r="D738" s="1" t="str">
        <f>IFERROR(__xludf.DUMMYFUNCTION("CONCATENATE(GOOGLETRANSLATE(C738, ""en"", ""zh-cn""))"),"女式纯色翻领长袖纽扣休闲衬衫连衣裙（带口袋）")</f>
        <v>女式纯色翻领长袖纽扣休闲衬衫连衣裙（带口袋）</v>
      </c>
      <c r="E738" s="1" t="str">
        <f>IFERROR(__xludf.DUMMYFUNCTION("CONCATENATE(GOOGLETRANSLATE(C738, ""en"", ""ko""))"),"여성 솔리드 컬러 턴 다운 칼라 긴 소매 단추 캐주얼 셔츠 드레스 포켓 포함")</f>
        <v>여성 솔리드 컬러 턴 다운 칼라 긴 소매 단추 캐주얼 셔츠 드레스 포켓 포함</v>
      </c>
      <c r="F738" s="1" t="str">
        <f>IFERROR(__xludf.DUMMYFUNCTION("CONCATENATE(GOOGLETRANSLATE(C738, ""en"", ""ja""))"),"女性ソリッドカラーのターンダウンカラー長袖ボタンカジュアルシャツドレスポケット付き")</f>
        <v>女性ソリッドカラーのターンダウンカラー長袖ボタンカジュアルシャツドレスポケット付き</v>
      </c>
    </row>
    <row r="739" ht="15.75" customHeight="1">
      <c r="A739" s="1">
        <v>2212.0</v>
      </c>
      <c r="B739" s="1" t="s">
        <v>381</v>
      </c>
      <c r="C739" s="1" t="s">
        <v>721</v>
      </c>
      <c r="D739" s="1" t="str">
        <f>IFERROR(__xludf.DUMMYFUNCTION("CONCATENATE(GOOGLETRANSLATE(C739, ""en"", ""zh-cn""))"),"复古花卉印花短袖宽松休闲长连衣裙")</f>
        <v>复古花卉印花短袖宽松休闲长连衣裙</v>
      </c>
      <c r="E739" s="1" t="str">
        <f>IFERROR(__xludf.DUMMYFUNCTION("CONCATENATE(GOOGLETRANSLATE(C739, ""en"", ""ko""))"),"빈티지 꽃무늬 반소매 루즈 캐주얼 맥시 드레스")</f>
        <v>빈티지 꽃무늬 반소매 루즈 캐주얼 맥시 드레스</v>
      </c>
      <c r="F739" s="1" t="str">
        <f>IFERROR(__xludf.DUMMYFUNCTION("CONCATENATE(GOOGLETRANSLATE(C739, ""en"", ""ja""))"),"ヴィンテージ花柄半袖ルーズカジュアルマキシドレス")</f>
        <v>ヴィンテージ花柄半袖ルーズカジュアルマキシドレス</v>
      </c>
    </row>
    <row r="740" ht="15.75" customHeight="1">
      <c r="A740" s="1">
        <v>2213.0</v>
      </c>
      <c r="B740" s="1" t="s">
        <v>381</v>
      </c>
      <c r="C740" s="1" t="s">
        <v>722</v>
      </c>
      <c r="D740" s="1" t="str">
        <f>IFERROR(__xludf.DUMMYFUNCTION("CONCATENATE(GOOGLETRANSLATE(C740, ""en"", ""zh-cn""))"),"女式碎花荷叶边下摆长罩衫裙配腰带")</f>
        <v>女式碎花荷叶边下摆长罩衫裙配腰带</v>
      </c>
      <c r="E740" s="1" t="str">
        <f>IFERROR(__xludf.DUMMYFUNCTION("CONCATENATE(GOOGLETRANSLATE(C740, ""en"", ""ko""))"),"여성 Ditsy 꽃 프린트 프릴 밑단 스윙 Kaftan 맥시 드레스(벨트 포함)")</f>
        <v>여성 Ditsy 꽃 프린트 프릴 밑단 스윙 Kaftan 맥시 드레스(벨트 포함)</v>
      </c>
      <c r="F740" s="1" t="str">
        <f>IFERROR(__xludf.DUMMYFUNCTION("CONCATENATE(GOOGLETRANSLATE(C740, ""en"", ""ja""))"),"女性の頭が変な花柄フリル裾スイングカフタンマキシドレスベルト付き")</f>
        <v>女性の頭が変な花柄フリル裾スイングカフタンマキシドレスベルト付き</v>
      </c>
    </row>
    <row r="741" ht="15.75" customHeight="1">
      <c r="A741" s="1">
        <v>2214.0</v>
      </c>
      <c r="B741" s="1" t="s">
        <v>381</v>
      </c>
      <c r="C741" s="1" t="s">
        <v>723</v>
      </c>
      <c r="D741" s="1" t="str">
        <f>IFERROR(__xludf.DUMMYFUNCTION("CONCATENATE(GOOGLETRANSLATE(C741, ""en"", ""zh-cn""))"),"树印花侧袋 O 领 3/4 袖棉质连衣裙")</f>
        <v>树印花侧袋 O 领 3/4 袖棉质连衣裙</v>
      </c>
      <c r="E741" s="1" t="str">
        <f>IFERROR(__xludf.DUMMYFUNCTION("CONCATENATE(GOOGLETRANSLATE(C741, ""en"", ""ko""))"),"트리 프린트 사이드 포켓 ​​O-넥 3/4 슬리브 코튼 드레스")</f>
        <v>트리 프린트 사이드 포켓 ​​O-넥 3/4 슬리브 코튼 드레스</v>
      </c>
      <c r="F741" s="1" t="str">
        <f>IFERROR(__xludf.DUMMYFUNCTION("CONCATENATE(GOOGLETRANSLATE(C741, ""en"", ""ja""))"),"ツリープリント サイドポケット Oネック 7/4 スリーブ コットンドレス")</f>
        <v>ツリープリント サイドポケット Oネック 7/4 スリーブ コットンドレス</v>
      </c>
    </row>
    <row r="742" ht="15.75" customHeight="1">
      <c r="A742" s="1">
        <v>2215.0</v>
      </c>
      <c r="B742" s="1" t="s">
        <v>381</v>
      </c>
      <c r="C742" s="1" t="s">
        <v>724</v>
      </c>
      <c r="D742" s="1" t="str">
        <f>IFERROR(__xludf.DUMMYFUNCTION("CONCATENATE(GOOGLETRANSLATE(C742, ""en"", ""zh-cn""))")," 女式复古 3/4 袖 V 领系带印花波西米亚迷你连衣裙")</f>
        <v> 女式复古 3/4 袖 V 领系带印花波西米亚迷你连衣裙</v>
      </c>
      <c r="E742" s="1" t="str">
        <f>IFERROR(__xludf.DUMMYFUNCTION("CONCATENATE(GOOGLETRANSLATE(C742, ""en"", ""ko""))")," 여성 레트로 3/4 슬리브 V 넥 레이스 업 프린트 Boho 미니 드레스")</f>
        <v> 여성 레트로 3/4 슬리브 V 넥 레이스 업 프린트 Boho 미니 드레스</v>
      </c>
      <c r="F742" s="1" t="str">
        <f>IFERROR(__xludf.DUMMYFUNCTION("CONCATENATE(GOOGLETRANSLATE(C742, ""en"", ""ja""))")," 女性レトロ 3/4 スリーブ V ネックレースアッププリントボヘミアンミニドレス")</f>
        <v> 女性レトロ 3/4 スリーブ V ネックレースアッププリントボヘミアンミニドレス</v>
      </c>
    </row>
    <row r="743" ht="15.75" customHeight="1">
      <c r="A743" s="1">
        <v>2216.0</v>
      </c>
      <c r="B743" s="1" t="s">
        <v>381</v>
      </c>
      <c r="C743" s="1" t="s">
        <v>725</v>
      </c>
      <c r="D743" s="1" t="str">
        <f>IFERROR(__xludf.DUMMYFUNCTION("CONCATENATE(GOOGLETRANSLATE(C743, ""en"", ""zh-cn""))"),"撞色不规则纽扣翻领3/4袖衬衫连衣裙")</f>
        <v>撞色不规则纽扣翻领3/4袖衬衫连衣裙</v>
      </c>
      <c r="E743" s="1" t="str">
        <f>IFERROR(__xludf.DUMMYFUNCTION("CONCATENATE(GOOGLETRANSLATE(C743, ""en"", ""ko""))"),"배색 불규칙 버튼 라펠 3/4슬리브 셔츠 드레스")</f>
        <v>배색 불규칙 버튼 라펠 3/4슬리브 셔츠 드레스</v>
      </c>
      <c r="F743" s="1" t="str">
        <f>IFERROR(__xludf.DUMMYFUNCTION("CONCATENATE(GOOGLETRANSLATE(C743, ""en"", ""ja""))"),"コントラストカラーイレギュラーボタンラペル七分袖シャツワンピース")</f>
        <v>コントラストカラーイレギュラーボタンラペル七分袖シャツワンピース</v>
      </c>
    </row>
    <row r="744" ht="15.75" customHeight="1">
      <c r="A744" s="1">
        <v>2217.0</v>
      </c>
      <c r="B744" s="1" t="s">
        <v>381</v>
      </c>
      <c r="C744" s="1" t="s">
        <v>726</v>
      </c>
      <c r="D744" s="1" t="str">
        <f>IFERROR(__xludf.DUMMYFUNCTION("CONCATENATE(GOOGLETRANSLATE(C744, ""en"", ""zh-cn""))"),"纯色纽扣口袋短袖休闲棉质中长连衣裙")</f>
        <v>纯色纽扣口袋短袖休闲棉质中长连衣裙</v>
      </c>
      <c r="E744" s="1" t="str">
        <f>IFERROR(__xludf.DUMMYFUNCTION("CONCATENATE(GOOGLETRANSLATE(C744, ""en"", ""ko""))"),"솔리드 버튼 포켓 반팔 캐주얼 코튼 미디 드레스")</f>
        <v>솔리드 버튼 포켓 반팔 캐주얼 코튼 미디 드레스</v>
      </c>
      <c r="F744" s="1" t="str">
        <f>IFERROR(__xludf.DUMMYFUNCTION("CONCATENATE(GOOGLETRANSLATE(C744, ""en"", ""ja""))"),"ソリッド ボタン ポケット 半袖 カジュアル コットン ミディ ドレス")</f>
        <v>ソリッド ボタン ポケット 半袖 カジュアル コットン ミディ ドレス</v>
      </c>
    </row>
    <row r="745" ht="15.75" customHeight="1">
      <c r="A745" s="1">
        <v>2218.0</v>
      </c>
      <c r="B745" s="1" t="s">
        <v>381</v>
      </c>
      <c r="C745" s="1" t="s">
        <v>727</v>
      </c>
      <c r="D745" s="1" t="str">
        <f>IFERROR(__xludf.DUMMYFUNCTION("CONCATENATE(GOOGLETRANSLATE(C745, ""en"", ""zh-cn""))"),"多色拼布 V 领纽扣超长连衣裙")</f>
        <v>多色拼布 V 领纽扣超长连衣裙</v>
      </c>
      <c r="E745" s="1" t="str">
        <f>IFERROR(__xludf.DUMMYFUNCTION("CONCATENATE(GOOGLETRANSLATE(C745, ""en"", ""ko""))"),"멀티컬러 패치워크 V넥 버튼 맥시 드레스")</f>
        <v>멀티컬러 패치워크 V넥 버튼 맥시 드레스</v>
      </c>
      <c r="F745" s="1" t="str">
        <f>IFERROR(__xludf.DUMMYFUNCTION("CONCATENATE(GOOGLETRANSLATE(C745, ""en"", ""ja""))"),"マルチカラー パッチワーク V ネック ボタン マキシ ドレス")</f>
        <v>マルチカラー パッチワーク V ネック ボタン マキシ ドレス</v>
      </c>
    </row>
    <row r="746" ht="15.75" customHeight="1">
      <c r="A746" s="1">
        <v>2219.0</v>
      </c>
      <c r="B746" s="1" t="s">
        <v>381</v>
      </c>
      <c r="C746" s="1" t="s">
        <v>728</v>
      </c>
      <c r="D746" s="1" t="str">
        <f>IFERROR(__xludf.DUMMYFUNCTION("CONCATENATE(GOOGLETRANSLATE(C746, ""en"", ""zh-cn""))"),"休闲纯色生菜边打结拉链 V 领超长连衣裙")</f>
        <v>休闲纯色生菜边打结拉链 V 领超长连衣裙</v>
      </c>
      <c r="E746" s="1" t="str">
        <f>IFERROR(__xludf.DUMMYFUNCTION("CONCATENATE(GOOGLETRANSLATE(C746, ""en"", ""ko""))"),"레저 솔리드 레터스 엣지 매듭 지퍼 V넥 맥시 드레스")</f>
        <v>레저 솔리드 레터스 엣지 매듭 지퍼 V넥 맥시 드레스</v>
      </c>
      <c r="F746" s="1" t="str">
        <f>IFERROR(__xludf.DUMMYFUNCTION("CONCATENATE(GOOGLETRANSLATE(C746, ""en"", ""ja""))"),"レジャー ソリッド レタスエッジ ノット ジップ V ネック マキシ ドレス")</f>
        <v>レジャー ソリッド レタスエッジ ノット ジップ V ネック マキシ ドレス</v>
      </c>
    </row>
    <row r="747" ht="15.75" customHeight="1">
      <c r="A747" s="1">
        <v>2220.0</v>
      </c>
      <c r="B747" s="1" t="s">
        <v>381</v>
      </c>
      <c r="C747" s="1" t="s">
        <v>729</v>
      </c>
      <c r="D747" s="1" t="str">
        <f>IFERROR(__xludf.DUMMYFUNCTION("CONCATENATE(GOOGLETRANSLATE(C747, ""en"", ""zh-cn""))"),"纯色口袋褶饰圆领短袖中长连衣裙")</f>
        <v>纯色口袋褶饰圆领短袖中长连衣裙</v>
      </c>
      <c r="E747" s="1" t="str">
        <f>IFERROR(__xludf.DUMMYFUNCTION("CONCATENATE(GOOGLETRANSLATE(C747, ""en"", ""ko""))"),"솔리드 포켓 주름 장식 라운드 넥 반팔 미디 드레스")</f>
        <v>솔리드 포켓 주름 장식 라운드 넥 반팔 미디 드레스</v>
      </c>
      <c r="F747" s="1" t="str">
        <f>IFERROR(__xludf.DUMMYFUNCTION("CONCATENATE(GOOGLETRANSLATE(C747, ""en"", ""ja""))"),"ソリッドポケットシャーリングラウンドネック半袖ミディドレス")</f>
        <v>ソリッドポケットシャーリングラウンドネック半袖ミディドレス</v>
      </c>
    </row>
    <row r="748" ht="15.75" customHeight="1">
      <c r="A748" s="1">
        <v>2221.0</v>
      </c>
      <c r="B748" s="1" t="s">
        <v>381</v>
      </c>
      <c r="C748" s="1" t="s">
        <v>730</v>
      </c>
      <c r="D748" s="1" t="str">
        <f>IFERROR(__xludf.DUMMYFUNCTION("CONCATENATE(GOOGLETRANSLATE(C748, ""en"", ""zh-cn""))"),"纯色 H 形棉质无袖圆领休闲中长连衣裙")</f>
        <v>纯色 H 形棉质无袖圆领休闲中长连衣裙</v>
      </c>
      <c r="E748" s="1" t="str">
        <f>IFERROR(__xludf.DUMMYFUNCTION("CONCATENATE(GOOGLETRANSLATE(C748, ""en"", ""ko""))"),"솔리드 H자형 코튼 민소매 라운드넥 캐주얼 미디 드레스")</f>
        <v>솔리드 H자형 코튼 민소매 라운드넥 캐주얼 미디 드레스</v>
      </c>
      <c r="F748" s="1" t="str">
        <f>IFERROR(__xludf.DUMMYFUNCTION("CONCATENATE(GOOGLETRANSLATE(C748, ""en"", ""ja""))"),"固体 H 字型コットン ノースリーブ ラウンドネック カジュアル ミディ ドレス")</f>
        <v>固体 H 字型コットン ノースリーブ ラウンドネック カジュアル ミディ ドレス</v>
      </c>
    </row>
    <row r="749" ht="15.75" customHeight="1">
      <c r="A749" s="1">
        <v>2222.0</v>
      </c>
      <c r="B749" s="1" t="s">
        <v>381</v>
      </c>
      <c r="C749" s="1" t="s">
        <v>731</v>
      </c>
      <c r="D749" s="1" t="str">
        <f>IFERROR(__xludf.DUMMYFUNCTION("CONCATENATE(GOOGLETRANSLATE(C749, ""en"", ""zh-cn""))"),"抽象画口袋圆领短袖宽松中长连衣裙")</f>
        <v>抽象画口袋圆领短袖宽松中长连衣裙</v>
      </c>
      <c r="E749" s="1" t="str">
        <f>IFERROR(__xludf.DUMMYFUNCTION("CONCATENATE(GOOGLETRANSLATE(C749, ""en"", ""ko""))"),"추상 페인팅 포켓 라운드 넥 짧은 소매 루즈 미디 드레스")</f>
        <v>추상 페인팅 포켓 라운드 넥 짧은 소매 루즈 미디 드레스</v>
      </c>
      <c r="F749" s="1" t="str">
        <f>IFERROR(__xludf.DUMMYFUNCTION("CONCATENATE(GOOGLETRANSLATE(C749, ""en"", ""ja""))"),"抽象的なペイントポケットラウンドネック半袖ルーズミディドレス")</f>
        <v>抽象的なペイントポケットラウンドネック半袖ルーズミディドレス</v>
      </c>
    </row>
    <row r="750" ht="15.75" customHeight="1">
      <c r="A750" s="1">
        <v>2223.0</v>
      </c>
      <c r="B750" s="1" t="s">
        <v>381</v>
      </c>
      <c r="C750" s="1" t="s">
        <v>732</v>
      </c>
      <c r="D750" s="1" t="str">
        <f>IFERROR(__xludf.DUMMYFUNCTION("CONCATENATE(GOOGLETRANSLATE(C750, ""en"", ""zh-cn""))"),"植物印花棉质口袋纽扣圆领无袖中长连衣裙")</f>
        <v>植物印花棉质口袋纽扣圆领无袖中长连衣裙</v>
      </c>
      <c r="E750" s="1" t="str">
        <f>IFERROR(__xludf.DUMMYFUNCTION("CONCATENATE(GOOGLETRANSLATE(C750, ""en"", ""ko""))"),"플랜트 프린트 코튼 포켓 버튼 라운드 넥 민소매 미디 드레스")</f>
        <v>플랜트 프린트 코튼 포켓 버튼 라운드 넥 민소매 미디 드레스</v>
      </c>
      <c r="F750" s="1" t="str">
        <f>IFERROR(__xludf.DUMMYFUNCTION("CONCATENATE(GOOGLETRANSLATE(C750, ""en"", ""ja""))"),"植物プリント コットン ポケット ボタン ラウンドネック ノースリーブ ミディドレス")</f>
        <v>植物プリント コットン ポケット ボタン ラウンドネック ノースリーブ ミディドレス</v>
      </c>
    </row>
    <row r="751" ht="15.75" customHeight="1">
      <c r="A751" s="1">
        <v>2224.0</v>
      </c>
      <c r="B751" s="1" t="s">
        <v>381</v>
      </c>
      <c r="C751" s="1" t="s">
        <v>733</v>
      </c>
      <c r="D751" s="1" t="str">
        <f>IFERROR(__xludf.DUMMYFUNCTION("CONCATENATE(GOOGLETRANSLATE(C751, ""en"", ""zh-cn""))"),"花朵印花纽扣口袋短袖圆领连衣裙")</f>
        <v>花朵印花纽扣口袋短袖圆领连衣裙</v>
      </c>
      <c r="E751" s="1" t="str">
        <f>IFERROR(__xludf.DUMMYFUNCTION("CONCATENATE(GOOGLETRANSLATE(C751, ""en"", ""ko""))"),"플라워 프린트 버튼 포켓 반소매 라운드넥 드레스")</f>
        <v>플라워 프린트 버튼 포켓 반소매 라운드넥 드레스</v>
      </c>
      <c r="F751" s="1" t="str">
        <f>IFERROR(__xludf.DUMMYFUNCTION("CONCATENATE(GOOGLETRANSLATE(C751, ""en"", ""ja""))"),"フラワープリントボタンポケット半袖ラウンドネックドレス")</f>
        <v>フラワープリントボタンポケット半袖ラウンドネックドレス</v>
      </c>
    </row>
    <row r="752" ht="15.75" customHeight="1">
      <c r="A752" s="1">
        <v>2225.0</v>
      </c>
      <c r="B752" s="1" t="s">
        <v>381</v>
      </c>
      <c r="C752" s="1" t="s">
        <v>734</v>
      </c>
      <c r="D752" s="1" t="str">
        <f>IFERROR(__xludf.DUMMYFUNCTION("CONCATENATE(GOOGLETRANSLATE(C752, ""en"", ""zh-cn""))"),"Geo Print 荷叶边 V 领郁金香短袖休闲中长连衣裙")</f>
        <v>Geo Print 荷叶边 V 领郁金香短袖休闲中长连衣裙</v>
      </c>
      <c r="E752" s="1" t="str">
        <f>IFERROR(__xludf.DUMMYFUNCTION("CONCATENATE(GOOGLETRANSLATE(C752, ""en"", ""ko""))"),"지오 프린트 러플 브이넥 튤립 반팔 캐주얼 미디 드레스")</f>
        <v>지오 프린트 러플 브이넥 튤립 반팔 캐주얼 미디 드레스</v>
      </c>
      <c r="F752" s="1" t="str">
        <f>IFERROR(__xludf.DUMMYFUNCTION("CONCATENATE(GOOGLETRANSLATE(C752, ""en"", ""ja""))"),"ジオプリントフリルVネックチューリップ半袖カジュアルミディドレス")</f>
        <v>ジオプリントフリルVネックチューリップ半袖カジュアルミディドレス</v>
      </c>
    </row>
    <row r="753" ht="15.75" customHeight="1">
      <c r="A753" s="1">
        <v>2226.0</v>
      </c>
      <c r="B753" s="1" t="s">
        <v>381</v>
      </c>
      <c r="C753" s="1" t="s">
        <v>735</v>
      </c>
      <c r="D753" s="1" t="str">
        <f>IFERROR(__xludf.DUMMYFUNCTION("CONCATENATE(GOOGLETRANSLATE(C753, ""en"", ""zh-cn""))"),"民族风图案口袋短袖中长连衣裙")</f>
        <v>民族风图案口袋短袖中长连衣裙</v>
      </c>
      <c r="E753" s="1" t="str">
        <f>IFERROR(__xludf.DUMMYFUNCTION("CONCATENATE(GOOGLETRANSLATE(C753, ""en"", ""ko""))"),"내셔널 스타일 패턴 포켓 반팔 미디 드레스")</f>
        <v>내셔널 스타일 패턴 포켓 반팔 미디 드레스</v>
      </c>
      <c r="F753" s="1" t="str">
        <f>IFERROR(__xludf.DUMMYFUNCTION("CONCATENATE(GOOGLETRANSLATE(C753, ""en"", ""ja""))"),"ナショナルスタイルパターンポケット半袖ミディドレス")</f>
        <v>ナショナルスタイルパターンポケット半袖ミディドレス</v>
      </c>
    </row>
    <row r="754" ht="15.75" customHeight="1">
      <c r="A754" s="1">
        <v>2227.0</v>
      </c>
      <c r="B754" s="1" t="s">
        <v>381</v>
      </c>
      <c r="C754" s="1" t="s">
        <v>736</v>
      </c>
      <c r="D754" s="1" t="str">
        <f>IFERROR(__xludf.DUMMYFUNCTION("CONCATENATE(GOOGLETRANSLATE(C754, ""en"", ""zh-cn""))"),"人物印花口袋娃娃领短袖休闲中长连衣裙")</f>
        <v>人物印花口袋娃娃领短袖休闲中长连衣裙</v>
      </c>
      <c r="E754" s="1" t="str">
        <f>IFERROR(__xludf.DUMMYFUNCTION("CONCATENATE(GOOGLETRANSLATE(C754, ""en"", ""ko""))"),"캐릭터 프린트 포켓 인형 칼라 반팔 캐주얼 미디 드레스")</f>
        <v>캐릭터 프린트 포켓 인형 칼라 반팔 캐주얼 미디 드레스</v>
      </c>
      <c r="F754" s="1" t="str">
        <f>IFERROR(__xludf.DUMMYFUNCTION("CONCATENATE(GOOGLETRANSLATE(C754, ""en"", ""ja""))"),"キャラクタープリントポケットドールカラー半袖カジュアルミディドレス")</f>
        <v>キャラクタープリントポケットドールカラー半袖カジュアルミディドレス</v>
      </c>
    </row>
    <row r="755" ht="15.75" customHeight="1">
      <c r="A755" s="1">
        <v>2228.0</v>
      </c>
      <c r="B755" s="1" t="s">
        <v>381</v>
      </c>
      <c r="C755" s="1" t="s">
        <v>737</v>
      </c>
      <c r="D755" s="1" t="str">
        <f>IFERROR(__xludf.DUMMYFUNCTION("CONCATENATE(GOOGLETRANSLATE(C755, ""en"", ""zh-cn""))"),"印花布纽扣口袋翻领短袖休闲中长印花连衣裙")</f>
        <v>印花布纽扣口袋翻领短袖休闲中长印花连衣裙</v>
      </c>
      <c r="E755" s="1" t="str">
        <f>IFERROR(__xludf.DUMMYFUNCTION("CONCATENATE(GOOGLETRANSLATE(C755, ""en"", ""ko""))"),"옥양목 버튼 포켓 라펠 반팔 캐주얼 미디 프린트 드레스")</f>
        <v>옥양목 버튼 포켓 라펠 반팔 캐주얼 미디 프린트 드레스</v>
      </c>
      <c r="F755" s="1" t="str">
        <f>IFERROR(__xludf.DUMMYFUNCTION("CONCATENATE(GOOGLETRANSLATE(C755, ""en"", ""ja""))"),"キャリコボタンポケットラペル半袖カジュアルミディプリントドレス")</f>
        <v>キャリコボタンポケットラペル半袖カジュアルミディプリントドレス</v>
      </c>
    </row>
    <row r="756" ht="15.75" customHeight="1">
      <c r="A756" s="1">
        <v>2229.0</v>
      </c>
      <c r="B756" s="1" t="s">
        <v>381</v>
      </c>
      <c r="C756" s="1" t="s">
        <v>738</v>
      </c>
      <c r="D756" s="1" t="str">
        <f>IFERROR(__xludf.DUMMYFUNCTION("CONCATENATE(GOOGLETRANSLATE(C756, ""en"", ""zh-cn""))"),"京剧图案口袋短袖中长连衣裙")</f>
        <v>京剧图案口袋短袖中长连衣裙</v>
      </c>
      <c r="E756" s="1" t="str">
        <f>IFERROR(__xludf.DUMMYFUNCTION("CONCATENATE(GOOGLETRANSLATE(C756, ""en"", ""ko""))"),"북경 오페라 패턴 포켓 반팔 미디 드레스")</f>
        <v>북경 오페라 패턴 포켓 반팔 미디 드레스</v>
      </c>
      <c r="F756" s="1" t="str">
        <f>IFERROR(__xludf.DUMMYFUNCTION("CONCATENATE(GOOGLETRANSLATE(C756, ""en"", ""ja""))"),"京劇柄ポケット半袖ミディドレス")</f>
        <v>京劇柄ポケット半袖ミディドレス</v>
      </c>
    </row>
    <row r="757" ht="15.75" customHeight="1">
      <c r="A757" s="1">
        <v>2230.0</v>
      </c>
      <c r="B757" s="1" t="s">
        <v>381</v>
      </c>
      <c r="C757" s="1" t="s">
        <v>739</v>
      </c>
      <c r="D757" s="1" t="str">
        <f>IFERROR(__xludf.DUMMYFUNCTION("CONCATENATE(GOOGLETRANSLATE(C757, ""en"", ""zh-cn""))"),"纯色褶裥口袋荷叶边结饰休闲超长连衣裙")</f>
        <v>纯色褶裥口袋荷叶边结饰休闲超长连衣裙</v>
      </c>
      <c r="E757" s="1" t="str">
        <f>IFERROR(__xludf.DUMMYFUNCTION("CONCATENATE(GOOGLETRANSLATE(C757, ""en"", ""ko""))"),"솔리드 플리츠 포켓 러플 매듭 캐주얼 맥시 드레스")</f>
        <v>솔리드 플리츠 포켓 러플 매듭 캐주얼 맥시 드레스</v>
      </c>
      <c r="F757" s="1" t="str">
        <f>IFERROR(__xludf.DUMMYFUNCTION("CONCATENATE(GOOGLETRANSLATE(C757, ""en"", ""ja""))"),"ソリッド プリーツ ポケット フリル ノット カジュアル マキシ ドレス")</f>
        <v>ソリッド プリーツ ポケット フリル ノット カジュアル マキシ ドレス</v>
      </c>
    </row>
    <row r="758" ht="15.75" customHeight="1">
      <c r="A758" s="1">
        <v>2231.0</v>
      </c>
      <c r="B758" s="1" t="s">
        <v>381</v>
      </c>
      <c r="C758" s="1" t="s">
        <v>740</v>
      </c>
      <c r="D758" s="1" t="str">
        <f>IFERROR(__xludf.DUMMYFUNCTION("CONCATENATE(GOOGLETRANSLATE(C758, ""en"", ""zh-cn""))"),"纯色 V 领无袖休闲棉质长连衣裙")</f>
        <v>纯色 V 领无袖休闲棉质长连衣裙</v>
      </c>
      <c r="E758" s="1" t="str">
        <f>IFERROR(__xludf.DUMMYFUNCTION("CONCATENATE(GOOGLETRANSLATE(C758, ""en"", ""ko""))"),"솔리드 V 넥 민소매 캐주얼 코튼 맥시 드레스")</f>
        <v>솔리드 V 넥 민소매 캐주얼 코튼 맥시 드레스</v>
      </c>
      <c r="F758" s="1" t="str">
        <f>IFERROR(__xludf.DUMMYFUNCTION("CONCATENATE(GOOGLETRANSLATE(C758, ""en"", ""ja""))"),"ソリッド V ネック ノースリーブ カジュアル コットン マキシ ドレス")</f>
        <v>ソリッド V ネック ノースリーブ カジュアル コットン マキシ ドレス</v>
      </c>
    </row>
    <row r="759" ht="15.75" customHeight="1">
      <c r="A759" s="1">
        <v>2232.0</v>
      </c>
      <c r="B759" s="1" t="s">
        <v>381</v>
      </c>
      <c r="C759" s="1" t="s">
        <v>741</v>
      </c>
      <c r="D759" s="1" t="str">
        <f>IFERROR(__xludf.DUMMYFUNCTION("CONCATENATE(GOOGLETRANSLATE(C759, ""en"", ""zh-cn""))"),"棉厂印花口袋短袖休闲连衣裙")</f>
        <v>棉厂印花口袋短袖休闲连衣裙</v>
      </c>
      <c r="E759" s="1" t="str">
        <f>IFERROR(__xludf.DUMMYFUNCTION("CONCATENATE(GOOGLETRANSLATE(C759, ""en"", ""ko""))"),"코튼 플랜트 프린트 포켓 반팔 캐주얼 드레스")</f>
        <v>코튼 플랜트 프린트 포켓 반팔 캐주얼 드레스</v>
      </c>
      <c r="F759" s="1" t="str">
        <f>IFERROR(__xludf.DUMMYFUNCTION("CONCATENATE(GOOGLETRANSLATE(C759, ""en"", ""ja""))"),"コットン プラント プリント ポケット 半袖 カジュアル ドレス")</f>
        <v>コットン プラント プリント ポケット 半袖 カジュアル ドレス</v>
      </c>
    </row>
    <row r="760" ht="15.75" customHeight="1">
      <c r="A760" s="1">
        <v>2233.0</v>
      </c>
      <c r="B760" s="1" t="s">
        <v>381</v>
      </c>
      <c r="C760" s="1" t="s">
        <v>742</v>
      </c>
      <c r="D760" s="1" t="str">
        <f>IFERROR(__xludf.DUMMYFUNCTION("CONCATENATE(GOOGLETRANSLATE(C760, ""en"", ""zh-cn""))"),"格纹口袋短袖休闲连衣裙")</f>
        <v>格纹口袋短袖休闲连衣裙</v>
      </c>
      <c r="E760" s="1" t="str">
        <f>IFERROR(__xludf.DUMMYFUNCTION("CONCATENATE(GOOGLETRANSLATE(C760, ""en"", ""ko""))"),"격자 무늬 포켓 반팔 캐주얼 드레스")</f>
        <v>격자 무늬 포켓 반팔 캐주얼 드레스</v>
      </c>
      <c r="F760" s="1" t="str">
        <f>IFERROR(__xludf.DUMMYFUNCTION("CONCATENATE(GOOGLETRANSLATE(C760, ""en"", ""ja""))"),"チェック柄ポケット半袖カジュアルドレス")</f>
        <v>チェック柄ポケット半袖カジュアルドレス</v>
      </c>
    </row>
    <row r="761" ht="15.75" customHeight="1">
      <c r="A761" s="1">
        <v>2234.0</v>
      </c>
      <c r="B761" s="1" t="s">
        <v>381</v>
      </c>
      <c r="C761" s="1" t="s">
        <v>743</v>
      </c>
      <c r="D761" s="1" t="str">
        <f>IFERROR(__xludf.DUMMYFUNCTION("CONCATENATE(GOOGLETRANSLATE(C761, ""en"", ""zh-cn""))"),"棉植物印花口袋无袖休闲印花连衣裙")</f>
        <v>棉植物印花口袋无袖休闲印花连衣裙</v>
      </c>
      <c r="E761" s="1" t="str">
        <f>IFERROR(__xludf.DUMMYFUNCTION("CONCATENATE(GOOGLETRANSLATE(C761, ""en"", ""ko""))"),"코튼 플랜트 프린트 포켓 민소매 캐주얼 프린트 드레스")</f>
        <v>코튼 플랜트 프린트 포켓 민소매 캐주얼 프린트 드레스</v>
      </c>
      <c r="F761" s="1" t="str">
        <f>IFERROR(__xludf.DUMMYFUNCTION("CONCATENATE(GOOGLETRANSLATE(C761, ""en"", ""ja""))"),"コットン プラント プリント ポケット ノースリーブ カジュアル プリント ドレス")</f>
        <v>コットン プラント プリント ポケット ノースリーブ カジュアル プリント ドレス</v>
      </c>
    </row>
    <row r="762" ht="15.75" customHeight="1">
      <c r="A762" s="1">
        <v>2235.0</v>
      </c>
      <c r="B762" s="1" t="s">
        <v>381</v>
      </c>
      <c r="C762" s="1" t="s">
        <v>744</v>
      </c>
      <c r="D762" s="1" t="str">
        <f>IFERROR(__xludf.DUMMYFUNCTION("CONCATENATE(GOOGLETRANSLATE(C762, ""en"", ""zh-cn""))"),"植物印花口袋短袖休闲棉质连衣裙")</f>
        <v>植物印花口袋短袖休闲棉质连衣裙</v>
      </c>
      <c r="E762" s="1" t="str">
        <f>IFERROR(__xludf.DUMMYFUNCTION("CONCATENATE(GOOGLETRANSLATE(C762, ""en"", ""ko""))"),"플랜트 프린트 포켓 반팔 캐주얼 코튼 드레스")</f>
        <v>플랜트 프린트 포켓 반팔 캐주얼 코튼 드레스</v>
      </c>
      <c r="F762" s="1" t="str">
        <f>IFERROR(__xludf.DUMMYFUNCTION("CONCATENATE(GOOGLETRANSLATE(C762, ""en"", ""ja""))"),"植物プリント ポケット半袖カジュアル コットン ドレス")</f>
        <v>植物プリント ポケット半袖カジュアル コットン ドレス</v>
      </c>
    </row>
    <row r="763" ht="15.75" customHeight="1">
      <c r="A763" s="1">
        <v>2236.0</v>
      </c>
      <c r="B763" s="1" t="s">
        <v>381</v>
      </c>
      <c r="C763" s="1" t="s">
        <v>745</v>
      </c>
      <c r="D763" s="1" t="str">
        <f>IFERROR(__xludf.DUMMYFUNCTION("CONCATENATE(GOOGLETRANSLATE(C763, ""en"", ""zh-cn""))"),"树叶印花短袖圆领印花连衣裙")</f>
        <v>树叶印花短袖圆领印花连衣裙</v>
      </c>
      <c r="E763" s="1" t="str">
        <f>IFERROR(__xludf.DUMMYFUNCTION("CONCATENATE(GOOGLETRANSLATE(C763, ""en"", ""ko""))"),"나뭇잎 프린트 반소매 라운드넥 프린트 드레스")</f>
        <v>나뭇잎 프린트 반소매 라운드넥 프린트 드레스</v>
      </c>
      <c r="F763" s="1" t="str">
        <f>IFERROR(__xludf.DUMMYFUNCTION("CONCATENATE(GOOGLETRANSLATE(C763, ""en"", ""ja""))"),"リーフプリント半袖ラウンドネックプリントワンピース")</f>
        <v>リーフプリント半袖ラウンドネックプリントワンピース</v>
      </c>
    </row>
    <row r="764" ht="15.75" customHeight="1">
      <c r="A764" s="1">
        <v>2237.0</v>
      </c>
      <c r="B764" s="1" t="s">
        <v>381</v>
      </c>
      <c r="C764" s="1" t="s">
        <v>746</v>
      </c>
      <c r="D764" s="1" t="str">
        <f>IFERROR(__xludf.DUMMYFUNCTION("CONCATENATE(GOOGLETRANSLATE(C764, ""en"", ""zh-cn""))"),"撞色口袋短袖中长休闲连衣裙")</f>
        <v>撞色口袋短袖中长休闲连衣裙</v>
      </c>
      <c r="E764" s="1" t="str">
        <f>IFERROR(__xludf.DUMMYFUNCTION("CONCATENATE(GOOGLETRANSLATE(C764, ""en"", ""ko""))"),"배색 포켓 반팔 미디 캐주얼 드레스")</f>
        <v>배색 포켓 반팔 미디 캐주얼 드레스</v>
      </c>
      <c r="F764" s="1" t="str">
        <f>IFERROR(__xludf.DUMMYFUNCTION("CONCATENATE(GOOGLETRANSLATE(C764, ""en"", ""ja""))"),"コントラストカラーポケット半袖ミディカジュアルドレス")</f>
        <v>コントラストカラーポケット半袖ミディカジュアルドレス</v>
      </c>
    </row>
    <row r="765" ht="15.75" customHeight="1">
      <c r="A765" s="1">
        <v>2238.0</v>
      </c>
      <c r="B765" s="1" t="s">
        <v>381</v>
      </c>
      <c r="C765" s="1" t="s">
        <v>747</v>
      </c>
      <c r="D765" s="1" t="str">
        <f>IFERROR(__xludf.DUMMYFUNCTION("CONCATENATE(GOOGLETRANSLATE(C765, ""en"", ""zh-cn""))"),"纯色短袖圆领中长休闲连衣裙")</f>
        <v>纯色短袖圆领中长休闲连衣裙</v>
      </c>
      <c r="E765" s="1" t="str">
        <f>IFERROR(__xludf.DUMMYFUNCTION("CONCATENATE(GOOGLETRANSLATE(C765, ""en"", ""ko""))"),"솔리드 반팔 라운드 넥 미디 캐주얼 드레스")</f>
        <v>솔리드 반팔 라운드 넥 미디 캐주얼 드레스</v>
      </c>
      <c r="F765" s="1" t="str">
        <f>IFERROR(__xludf.DUMMYFUNCTION("CONCATENATE(GOOGLETRANSLATE(C765, ""en"", ""ja""))"),"固体半袖ラウンドネックミディカジュアルドレス")</f>
        <v>固体半袖ラウンドネックミディカジュアルドレス</v>
      </c>
    </row>
    <row r="766" ht="15.75" customHeight="1">
      <c r="A766" s="1">
        <v>2239.0</v>
      </c>
      <c r="B766" s="1" t="s">
        <v>381</v>
      </c>
      <c r="C766" s="1" t="s">
        <v>748</v>
      </c>
      <c r="D766" s="1" t="str">
        <f>IFERROR(__xludf.DUMMYFUNCTION("CONCATENATE(GOOGLETRANSLATE(C766, ""en"", ""zh-cn""))"),"女式条纹翻领荷叶边下摆长袍休闲长袖超长连衣裙")</f>
        <v>女式条纹翻领荷叶边下摆长袍休闲长袖超长连衣裙</v>
      </c>
      <c r="E766" s="1" t="str">
        <f>IFERROR(__xludf.DUMMYFUNCTION("CONCATENATE(GOOGLETRANSLATE(C766, ""en"", ""ko""))"),"여성 스트라이프 옷깃 프릴 밑단 카프탄 캐주얼 긴팔 맥시 드레스")</f>
        <v>여성 스트라이프 옷깃 프릴 밑단 카프탄 캐주얼 긴팔 맥시 드레스</v>
      </c>
      <c r="F766" s="1" t="str">
        <f>IFERROR(__xludf.DUMMYFUNCTION("CONCATENATE(GOOGLETRANSLATE(C766, ""en"", ""ja""))"),"女性ストライプラペルフリル裾カフタンカジュアル長袖マキシドレス")</f>
        <v>女性ストライプラペルフリル裾カフタンカジュアル長袖マキシドレス</v>
      </c>
    </row>
    <row r="767" ht="15.75" customHeight="1">
      <c r="A767" s="1">
        <v>2240.0</v>
      </c>
      <c r="B767" s="1" t="s">
        <v>381</v>
      </c>
      <c r="C767" s="1" t="s">
        <v>749</v>
      </c>
      <c r="D767" s="1" t="str">
        <f>IFERROR(__xludf.DUMMYFUNCTION("CONCATENATE(GOOGLETRANSLATE(C767, ""en"", ""zh-cn""))"),"女式撞色花卉印花 O 领休闲 3/4 袖长连衣裙")</f>
        <v>女式撞色花卉印花 O 领休闲 3/4 袖长连衣裙</v>
      </c>
      <c r="E767" s="1" t="str">
        <f>IFERROR(__xludf.DUMMYFUNCTION("CONCATENATE(GOOGLETRANSLATE(C767, ""en"", ""ko""))"),"여성 대비 색상 꽃무늬 O-넥 캐주얼 3/4 소매 맥시 드레스")</f>
        <v>여성 대비 색상 꽃무늬 O-넥 캐주얼 3/4 소매 맥시 드레스</v>
      </c>
      <c r="F767" s="1" t="str">
        <f>IFERROR(__xludf.DUMMYFUNCTION("CONCATENATE(GOOGLETRANSLATE(C767, ""en"", ""ja""))"),"女性コントラストカラー花柄 O ネックカジュアル 3/4 袖マキシドレス")</f>
        <v>女性コントラストカラー花柄 O ネックカジュアル 3/4 袖マキシドレス</v>
      </c>
    </row>
    <row r="768" ht="15.75" customHeight="1">
      <c r="A768" s="1">
        <v>2241.0</v>
      </c>
      <c r="B768" s="1" t="s">
        <v>381</v>
      </c>
      <c r="C768" s="1" t="s">
        <v>750</v>
      </c>
      <c r="D768" s="1" t="str">
        <f>IFERROR(__xludf.DUMMYFUNCTION("CONCATENATE(GOOGLETRANSLATE(C768, ""en"", ""zh-cn""))"),"女式 V 领后拉链花卉印花休闲宽松连衣裙")</f>
        <v>女式 V 领后拉链花卉印花休闲宽松连衣裙</v>
      </c>
      <c r="E768" s="1" t="str">
        <f>IFERROR(__xludf.DUMMYFUNCTION("CONCATENATE(GOOGLETRANSLATE(C768, ""en"", ""ko""))"),"여성용 V 넥 백 지퍼 꽃 프린트 캐주얼 루즈 드레스")</f>
        <v>여성용 V 넥 백 지퍼 꽃 프린트 캐주얼 루즈 드레스</v>
      </c>
      <c r="F768" s="1" t="str">
        <f>IFERROR(__xludf.DUMMYFUNCTION("CONCATENATE(GOOGLETRANSLATE(C768, ""en"", ""ja""))"),"女性のための V ネック バック ジッパー花柄カジュアル ルーズ ドレス")</f>
        <v>女性のための V ネック バック ジッパー花柄カジュアル ルーズ ドレス</v>
      </c>
    </row>
    <row r="769" ht="15.75" customHeight="1">
      <c r="A769" s="1">
        <v>2242.0</v>
      </c>
      <c r="B769" s="1" t="s">
        <v>381</v>
      </c>
      <c r="C769" s="1" t="s">
        <v>751</v>
      </c>
      <c r="D769" s="1" t="str">
        <f>IFERROR(__xludf.DUMMYFUNCTION("CONCATENATE(GOOGLETRANSLATE(C769, ""en"", ""zh-cn""))"),"纯色抽绳腰袋短袖休闲连衣裙")</f>
        <v>纯色抽绳腰袋短袖休闲连衣裙</v>
      </c>
      <c r="E769" s="1" t="str">
        <f>IFERROR(__xludf.DUMMYFUNCTION("CONCATENATE(GOOGLETRANSLATE(C769, ""en"", ""ko""))"),"솔리드 드로스트링 허리 포켓 반팔 캐주얼 드레스")</f>
        <v>솔리드 드로스트링 허리 포켓 반팔 캐주얼 드레스</v>
      </c>
      <c r="F769" s="1" t="str">
        <f>IFERROR(__xludf.DUMMYFUNCTION("CONCATENATE(GOOGLETRANSLATE(C769, ""en"", ""ja""))"),"固体巾着ウエストポケット半袖カジュアルドレス")</f>
        <v>固体巾着ウエストポケット半袖カジュアルドレス</v>
      </c>
    </row>
    <row r="770" ht="15.75" customHeight="1">
      <c r="A770" s="1">
        <v>2243.0</v>
      </c>
      <c r="B770" s="1" t="s">
        <v>381</v>
      </c>
      <c r="C770" s="1" t="s">
        <v>752</v>
      </c>
      <c r="D770" s="1" t="str">
        <f>IFERROR(__xludf.DUMMYFUNCTION("CONCATENATE(GOOGLETRANSLATE(C770, ""en"", ""zh-cn""))"),"女式纯色短袖圆领休闲连衣裙")</f>
        <v>女式纯色短袖圆领休闲连衣裙</v>
      </c>
      <c r="E770" s="1" t="str">
        <f>IFERROR(__xludf.DUMMYFUNCTION("CONCATENATE(GOOGLETRANSLATE(C770, ""en"", ""ko""))"),"여성을 위한 솔리드 짧은 소매 크루 넥 캐주얼 드레스")</f>
        <v>여성을 위한 솔리드 짧은 소매 크루 넥 캐주얼 드레스</v>
      </c>
      <c r="F770" s="1" t="str">
        <f>IFERROR(__xludf.DUMMYFUNCTION("CONCATENATE(GOOGLETRANSLATE(C770, ""en"", ""ja""))"),"女性のための固体半袖クルーネックカジュアルドレス")</f>
        <v>女性のための固体半袖クルーネックカジュアルドレス</v>
      </c>
    </row>
    <row r="771" ht="15.75" customHeight="1">
      <c r="A771" s="1">
        <v>2244.0</v>
      </c>
      <c r="B771" s="1" t="s">
        <v>381</v>
      </c>
      <c r="C771" s="1" t="s">
        <v>753</v>
      </c>
      <c r="D771" s="1" t="str">
        <f>IFERROR(__xludf.DUMMYFUNCTION("CONCATENATE(GOOGLETRANSLATE(C771, ""en"", ""zh-cn""))"),"纯色纽扣前翻领短袖女式连衣裙")</f>
        <v>纯色纽扣前翻领短袖女式连衣裙</v>
      </c>
      <c r="E771" s="1" t="str">
        <f>IFERROR(__xludf.DUMMYFUNCTION("CONCATENATE(GOOGLETRANSLATE(C771, ""en"", ""ko""))"),"솔리드 버튼 프론트 라펠 반팔 여성 드레스")</f>
        <v>솔리드 버튼 프론트 라펠 반팔 여성 드레스</v>
      </c>
      <c r="F771" s="1" t="str">
        <f>IFERROR(__xludf.DUMMYFUNCTION("CONCATENATE(GOOGLETRANSLATE(C771, ""en"", ""ja""))"),"ソリッドボタンフロントラペル半袖レディースドレス")</f>
        <v>ソリッドボタンフロントラペル半袖レディースドレス</v>
      </c>
    </row>
    <row r="772" ht="15.75" customHeight="1">
      <c r="A772" s="1">
        <v>2245.0</v>
      </c>
      <c r="B772" s="1" t="s">
        <v>381</v>
      </c>
      <c r="C772" s="1" t="s">
        <v>754</v>
      </c>
      <c r="D772" s="1" t="str">
        <f>IFERROR(__xludf.DUMMYFUNCTION("CONCATENATE(GOOGLETRANSLATE(C772, ""en"", ""zh-cn""))"),"女式露肩蕾丝钩针长款镂空连衣裙 ")</f>
        <v>女式露肩蕾丝钩针长款镂空连衣裙 </v>
      </c>
      <c r="E772" s="1" t="str">
        <f>IFERROR(__xludf.DUMMYFUNCTION("CONCATENATE(GOOGLETRANSLATE(C772, ""en"", ""ko""))"),"여성을 위한 콜드 숄더 레이스 크로셰 긴 맥시 중공 드레스 ")</f>
        <v>여성을 위한 콜드 숄더 레이스 크로셰 긴 맥시 중공 드레스 </v>
      </c>
      <c r="F772" s="1" t="str">
        <f>IFERROR(__xludf.DUMMYFUNCTION("CONCATENATE(GOOGLETRANSLATE(C772, ""en"", ""ja""))"),"女性のためのコールドショルダーレース Croceh ロングマキシ中空アウトドレス ")</f>
        <v>女性のためのコールドショルダーレース Croceh ロングマキシ中空アウトドレス </v>
      </c>
    </row>
    <row r="773" ht="15.75" customHeight="1">
      <c r="A773" s="1">
        <v>2246.0</v>
      </c>
      <c r="B773" s="1" t="s">
        <v>381</v>
      </c>
      <c r="C773" s="1" t="s">
        <v>755</v>
      </c>
      <c r="D773" s="1" t="str">
        <f>IFERROR(__xludf.DUMMYFUNCTION("CONCATENATE(GOOGLETRANSLATE(C773, ""en"", ""zh-cn""))"),"女式 100% 棉 O 领花卉印花休闲连衣裙（带侧袋）")</f>
        <v>女式 100% 棉 O 领花卉印花休闲连衣裙（带侧袋）</v>
      </c>
      <c r="E773" s="1" t="str">
        <f>IFERROR(__xludf.DUMMYFUNCTION("CONCATENATE(GOOGLETRANSLATE(C773, ""en"", ""ko""))"),"여성 사이드 포켓이 있는 100% 면 O-넥 꽃무늬 레저 드레스")</f>
        <v>여성 사이드 포켓이 있는 100% 면 O-넥 꽃무늬 레저 드레스</v>
      </c>
      <c r="F773" s="1" t="str">
        <f>IFERROR(__xludf.DUMMYFUNCTION("CONCATENATE(GOOGLETRANSLATE(C773, ""en"", ""ja""))"),"女性 100% コットン O ネック花柄レジャードレスサイドポケット付き")</f>
        <v>女性 100% コットン O ネック花柄レジャードレスサイドポケット付き</v>
      </c>
    </row>
    <row r="774" ht="15.75" customHeight="1">
      <c r="A774" s="1">
        <v>2247.0</v>
      </c>
      <c r="B774" s="1" t="s">
        <v>381</v>
      </c>
      <c r="C774" s="1" t="s">
        <v>756</v>
      </c>
      <c r="D774" s="1" t="str">
        <f>IFERROR(__xludf.DUMMYFUNCTION("CONCATENATE(GOOGLETRANSLATE(C774, ""en"", ""zh-cn""))"),"休闲纯色喇叭袖系带雪纺宽松穆斯林长连衣裙")</f>
        <v>休闲纯色喇叭袖系带雪纺宽松穆斯林长连衣裙</v>
      </c>
      <c r="E774" s="1" t="str">
        <f>IFERROR(__xludf.DUMMYFUNCTION("CONCATENATE(GOOGLETRANSLATE(C774, ""en"", ""ko""))"),"캐주얼 솔리드 컬러 플레어 슬리브 레이스업 시폰 루즈 무슬림 맥시 드레스")</f>
        <v>캐주얼 솔리드 컬러 플레어 슬리브 레이스업 시폰 루즈 무슬림 맥시 드레스</v>
      </c>
      <c r="F774" s="1" t="str">
        <f>IFERROR(__xludf.DUMMYFUNCTION("CONCATENATE(GOOGLETRANSLATE(C774, ""en"", ""ja""))"),"カジュアルソリッドカラーフレアスリーブレースアップシフォンルーズムスリムマキシドレス")</f>
        <v>カジュアルソリッドカラーフレアスリーブレースアップシフォンルーズムスリムマキシドレス</v>
      </c>
    </row>
    <row r="775" ht="15.75" customHeight="1">
      <c r="A775" s="1">
        <v>2248.0</v>
      </c>
      <c r="B775" s="1" t="s">
        <v>381</v>
      </c>
      <c r="C775" s="1" t="s">
        <v>757</v>
      </c>
      <c r="D775" s="1" t="str">
        <f>IFERROR(__xludf.DUMMYFUNCTION("CONCATENATE(GOOGLETRANSLATE(C775, ""en"", ""zh-cn""))"),"格纹长袖翻领口袋纽扣连衣裙")</f>
        <v>格纹长袖翻领口袋纽扣连衣裙</v>
      </c>
      <c r="E775" s="1" t="str">
        <f>IFERROR(__xludf.DUMMYFUNCTION("CONCATENATE(GOOGLETRANSLATE(C775, ""en"", ""ko""))"),"체크 패턴 긴팔 라펠 포켓 버튼 드레스")</f>
        <v>체크 패턴 긴팔 라펠 포켓 버튼 드레스</v>
      </c>
      <c r="F775" s="1" t="str">
        <f>IFERROR(__xludf.DUMMYFUNCTION("CONCATENATE(GOOGLETRANSLATE(C775, ""en"", ""ja""))"),"チェック柄長袖ラペルポケットボタンワンピース")</f>
        <v>チェック柄長袖ラペルポケットボタンワンピース</v>
      </c>
    </row>
    <row r="776" ht="15.75" customHeight="1">
      <c r="A776" s="1">
        <v>2249.0</v>
      </c>
      <c r="B776" s="1" t="s">
        <v>381</v>
      </c>
      <c r="C776" s="1" t="s">
        <v>758</v>
      </c>
      <c r="D776" s="1" t="str">
        <f>IFERROR(__xludf.DUMMYFUNCTION("CONCATENATE(GOOGLETRANSLATE(C776, ""en"", ""zh-cn""))"),"女式纯色鱼尾下摆超长吊带连衣裙")</f>
        <v>女式纯色鱼尾下摆超长吊带连衣裙</v>
      </c>
      <c r="E776" s="1" t="str">
        <f>IFERROR(__xludf.DUMMYFUNCTION("CONCATENATE(GOOGLETRANSLATE(C776, ""en"", ""ko""))"),"여성용 솔리드 인어 밑단 맥시 캐미 드레스")</f>
        <v>여성용 솔리드 인어 밑단 맥시 캐미 드레스</v>
      </c>
      <c r="F776" s="1" t="str">
        <f>IFERROR(__xludf.DUMMYFUNCTION("CONCATENATE(GOOGLETRANSLATE(C776, ""en"", ""ja""))"),"女性のための固体マーメイドヘムマキシキャミドレス")</f>
        <v>女性のための固体マーメイドヘムマキシキャミドレス</v>
      </c>
    </row>
    <row r="777" ht="15.75" customHeight="1">
      <c r="A777" s="1">
        <v>2250.0</v>
      </c>
      <c r="B777" s="1" t="s">
        <v>381</v>
      </c>
      <c r="C777" s="1" t="s">
        <v>759</v>
      </c>
      <c r="D777" s="1" t="str">
        <f>IFERROR(__xludf.DUMMYFUNCTION("CONCATENATE(GOOGLETRANSLATE(C777, ""en"", ""zh-cn""))"),"通体花朵印花口袋圆领复古连衣裙")</f>
        <v>通体花朵印花口袋圆领复古连衣裙</v>
      </c>
      <c r="E777" s="1" t="str">
        <f>IFERROR(__xludf.DUMMYFUNCTION("CONCATENATE(GOOGLETRANSLATE(C777, ""en"", ""ko""))"),"올오버 플라워 프린트 포켓 크루넥 빈티지 드레스")</f>
        <v>올오버 플라워 프린트 포켓 크루넥 빈티지 드레스</v>
      </c>
      <c r="F777" s="1" t="str">
        <f>IFERROR(__xludf.DUMMYFUNCTION("CONCATENATE(GOOGLETRANSLATE(C777, ""en"", ""ja""))"),"総柄フラワープリントポケットクルーネックヴィンテージドレス")</f>
        <v>総柄フラワープリントポケットクルーネックヴィンテージドレス</v>
      </c>
    </row>
    <row r="778" ht="15.75" customHeight="1">
      <c r="A778" s="1">
        <v>2251.0</v>
      </c>
      <c r="B778" s="1" t="s">
        <v>381</v>
      </c>
      <c r="C778" s="1" t="s">
        <v>760</v>
      </c>
      <c r="D778" s="1" t="str">
        <f>IFERROR(__xludf.DUMMYFUNCTION("CONCATENATE(GOOGLETRANSLATE(C778, ""en"", ""zh-cn""))"),"纯色泡泡袖口袋系带圆领超长复古连衣裙")</f>
        <v>纯色泡泡袖口袋系带圆领超长复古连衣裙</v>
      </c>
      <c r="E778" s="1" t="str">
        <f>IFERROR(__xludf.DUMMYFUNCTION("CONCATENATE(GOOGLETRANSLATE(C778, ""en"", ""ko""))"),"솔리드 퍼프 슬리브 포켓 타이 크루넥 맥시 빈티지 드레스")</f>
        <v>솔리드 퍼프 슬리브 포켓 타이 크루넥 맥시 빈티지 드레스</v>
      </c>
      <c r="F778" s="1" t="str">
        <f>IFERROR(__xludf.DUMMYFUNCTION("CONCATENATE(GOOGLETRANSLATE(C778, ""en"", ""ja""))"),"ソリッド パフ スリーブ ポケット タイ クルーネック マキシ ヴィンテージ ドレス")</f>
        <v>ソリッド パフ スリーブ ポケット タイ クルーネック マキシ ヴィンテージ ドレス</v>
      </c>
    </row>
    <row r="779" ht="15.75" customHeight="1">
      <c r="A779" s="1">
        <v>2252.0</v>
      </c>
      <c r="B779" s="1" t="s">
        <v>381</v>
      </c>
      <c r="C779" s="1" t="s">
        <v>761</v>
      </c>
      <c r="D779" s="1" t="str">
        <f>IFERROR(__xludf.DUMMYFUNCTION("CONCATENATE(GOOGLETRANSLATE(C779, ""en"", ""zh-cn""))"),"女式无袖肩带高低下摆纯色休闲长连衣裙")</f>
        <v>女式无袖肩带高低下摆纯色休闲长连衣裙</v>
      </c>
      <c r="E779" s="1" t="str">
        <f>IFERROR(__xludf.DUMMYFUNCTION("CONCATENATE(GOOGLETRANSLATE(C779, ""en"", ""ko""))"),"여성 민소매 스트랩 하이 로우 밑단 솔리드 인과 맥시 드레스")</f>
        <v>여성 민소매 스트랩 하이 로우 밑단 솔리드 인과 맥시 드레스</v>
      </c>
      <c r="F779" s="1" t="str">
        <f>IFERROR(__xludf.DUMMYFUNCTION("CONCATENATE(GOOGLETRANSLATE(C779, ""en"", ""ja""))"),"女性ノースリーブストラップハイローヘムソリッドカジュアルマキシドレス")</f>
        <v>女性ノースリーブストラップハイローヘムソリッドカジュアルマキシドレス</v>
      </c>
    </row>
    <row r="780" ht="15.75" customHeight="1">
      <c r="A780" s="1">
        <v>2253.0</v>
      </c>
      <c r="B780" s="1" t="s">
        <v>381</v>
      </c>
      <c r="C780" s="1" t="s">
        <v>762</v>
      </c>
      <c r="D780" s="1" t="str">
        <f>IFERROR(__xludf.DUMMYFUNCTION("CONCATENATE(GOOGLETRANSLATE(C780, ""en"", ""zh-cn""))"),"女式V领花卉印花波西米亚休闲休闲宽松连衣裙")</f>
        <v>女式V领花卉印花波西米亚休闲休闲宽松连衣裙</v>
      </c>
      <c r="E780" s="1" t="str">
        <f>IFERROR(__xludf.DUMMYFUNCTION("CONCATENATE(GOOGLETRANSLATE(C780, ""en"", ""ko""))"),"여성 V 넥 꽃 프린트 보헤미안 레저 캐주얼 루즈 드레스")</f>
        <v>여성 V 넥 꽃 프린트 보헤미안 레저 캐주얼 루즈 드레스</v>
      </c>
      <c r="F780" s="1" t="str">
        <f>IFERROR(__xludf.DUMMYFUNCTION("CONCATENATE(GOOGLETRANSLATE(C780, ""en"", ""ja""))"),"女性 V ネック花柄プリントボヘミアンレジャーカジュアルルーズドレス")</f>
        <v>女性 V ネック花柄プリントボヘミアンレジャーカジュアルルーズドレス</v>
      </c>
    </row>
    <row r="781" ht="15.75" customHeight="1">
      <c r="A781" s="1">
        <v>2254.0</v>
      </c>
      <c r="B781" s="1" t="s">
        <v>381</v>
      </c>
      <c r="C781" s="1" t="s">
        <v>763</v>
      </c>
      <c r="D781" s="1" t="str">
        <f>IFERROR(__xludf.DUMMYFUNCTION("CONCATENATE(GOOGLETRANSLATE(C781, ""en"", ""zh-cn""))"),"女式纯色 O 领无袖波西米亚休闲连衣裙（带侧袋）")</f>
        <v>女式纯色 O 领无袖波西米亚休闲连衣裙（带侧袋）</v>
      </c>
      <c r="E781" s="1" t="str">
        <f>IFERROR(__xludf.DUMMYFUNCTION("CONCATENATE(GOOGLETRANSLATE(C781, ""en"", ""ko""))"),"여성 사이드 포켓이 있는 솔리드 O 넥 민소매 보헤미안 레저 드레스")</f>
        <v>여성 사이드 포켓이 있는 솔리드 O 넥 민소매 보헤미안 레저 드레스</v>
      </c>
      <c r="F781" s="1" t="str">
        <f>IFERROR(__xludf.DUMMYFUNCTION("CONCATENATE(GOOGLETRANSLATE(C781, ""en"", ""ja""))"),"女性ソリッド O ネックノースリーブボヘミアンレジャードレスサイドポケット付き")</f>
        <v>女性ソリッド O ネックノースリーブボヘミアンレジャードレスサイドポケット付き</v>
      </c>
    </row>
    <row r="782" ht="15.75" customHeight="1">
      <c r="A782" s="1">
        <v>2255.0</v>
      </c>
      <c r="B782" s="1" t="s">
        <v>381</v>
      </c>
      <c r="C782" s="1" t="s">
        <v>764</v>
      </c>
      <c r="D782" s="1" t="str">
        <f>IFERROR(__xludf.DUMMYFUNCTION("CONCATENATE(GOOGLETRANSLATE(C782, ""en"", ""zh-cn""))"),"女式 100% 纯棉纯色荷叶边波西米亚休闲长连衣裙")</f>
        <v>女式 100% 纯棉纯色荷叶边波西米亚休闲长连衣裙</v>
      </c>
      <c r="E782" s="1" t="str">
        <f>IFERROR(__xludf.DUMMYFUNCTION("CONCATENATE(GOOGLETRANSLATE(C782, ""en"", ""ko""))"),"여성을 위한 100% 코튼 솔리드 프릴 보헤미안 캐주얼 맥시 드레스")</f>
        <v>여성을 위한 100% 코튼 솔리드 프릴 보헤미안 캐주얼 맥시 드레스</v>
      </c>
      <c r="F782" s="1" t="str">
        <f>IFERROR(__xludf.DUMMYFUNCTION("CONCATENATE(GOOGLETRANSLATE(C782, ""en"", ""ja""))"),"女性のための綿100%固体フリルボヘミアンカジュアルマキシドレス")</f>
        <v>女性のための綿100%固体フリルボヘミアンカジュアルマキシドレス</v>
      </c>
    </row>
    <row r="783" ht="15.75" customHeight="1">
      <c r="A783" s="1">
        <v>2256.0</v>
      </c>
      <c r="B783" s="1" t="s">
        <v>381</v>
      </c>
      <c r="C783" s="1" t="s">
        <v>765</v>
      </c>
      <c r="D783" s="1" t="str">
        <f>IFERROR(__xludf.DUMMYFUNCTION("CONCATENATE(GOOGLETRANSLATE(C783, ""en"", ""zh-cn""))"),"波西米亚圆点条纹撞色印花拼接度假长连衣裙")</f>
        <v>波西米亚圆点条纹撞色印花拼接度假长连衣裙</v>
      </c>
      <c r="E783" s="1" t="str">
        <f>IFERROR(__xludf.DUMMYFUNCTION("CONCATENATE(GOOGLETRANSLATE(C783, ""en"", ""ko""))"),"보헤미안 폴카 도트 스트라이프 대비 컬러 프린트 패치워크 홀리데이 맥시 드레스")</f>
        <v>보헤미안 폴카 도트 스트라이프 대비 컬러 프린트 패치워크 홀리데이 맥시 드레스</v>
      </c>
      <c r="F783" s="1" t="str">
        <f>IFERROR(__xludf.DUMMYFUNCTION("CONCATENATE(GOOGLETRANSLATE(C783, ""en"", ""ja""))"),"ボヘミアンポルカドットストライプコントラストカラープリントパッチワークホリデーマキシドレス")</f>
        <v>ボヘミアンポルカドットストライプコントラストカラープリントパッチワークホリデーマキシドレス</v>
      </c>
    </row>
    <row r="784" ht="15.75" customHeight="1">
      <c r="A784" s="1">
        <v>2257.0</v>
      </c>
      <c r="B784" s="1" t="s">
        <v>381</v>
      </c>
      <c r="C784" s="1" t="s">
        <v>766</v>
      </c>
      <c r="D784" s="1" t="str">
        <f>IFERROR(__xludf.DUMMYFUNCTION("CONCATENATE(GOOGLETRANSLATE(C784, ""en"", ""zh-cn""))"),"休闲色块圆领拼接长连衣裙（带口袋）")</f>
        <v>休闲色块圆领拼接长连衣裙（带口袋）</v>
      </c>
      <c r="E784" s="1" t="str">
        <f>IFERROR(__xludf.DUMMYFUNCTION("CONCATENATE(GOOGLETRANSLATE(C784, ""en"", ""ko""))"),"포켓이 있는 캐주얼 컬러 블록 라운드 넥 스티치 맥시 드레스")</f>
        <v>포켓이 있는 캐주얼 컬러 블록 라운드 넥 스티치 맥시 드레스</v>
      </c>
      <c r="F784" s="1" t="str">
        <f>IFERROR(__xludf.DUMMYFUNCTION("CONCATENATE(GOOGLETRANSLATE(C784, ""en"", ""ja""))"),"ポケット付きカジュアルカラーブロックラウンドネックステッチマキシドレス")</f>
        <v>ポケット付きカジュアルカラーブロックラウンドネックステッチマキシドレス</v>
      </c>
    </row>
    <row r="785" ht="15.75" customHeight="1">
      <c r="A785" s="1">
        <v>2258.0</v>
      </c>
      <c r="B785" s="1" t="s">
        <v>381</v>
      </c>
      <c r="C785" s="1" t="s">
        <v>767</v>
      </c>
      <c r="D785" s="1" t="str">
        <f>IFERROR(__xludf.DUMMYFUNCTION("CONCATENATE(GOOGLETRANSLATE(C785, ""en"", ""zh-cn""))"),"女式纯色纽扣前系带弹性袖口复古长袖长连衣裙（带口袋）")</f>
        <v>女式纯色纽扣前系带弹性袖口复古长袖长连衣裙（带口袋）</v>
      </c>
      <c r="E785" s="1" t="str">
        <f>IFERROR(__xludf.DUMMYFUNCTION("CONCATENATE(GOOGLETRANSLATE(C785, ""en"", ""ko""))"),"여성 일반 단추 전면 레이스 업 탄성 커프스 빈티지 긴 소매 맥시 드레스 포켓 포함")</f>
        <v>여성 일반 단추 전면 레이스 업 탄성 커프스 빈티지 긴 소매 맥시 드레스 포켓 포함</v>
      </c>
      <c r="F785" s="1" t="str">
        <f>IFERROR(__xludf.DUMMYFUNCTION("CONCATENATE(GOOGLETRANSLATE(C785, ""en"", ""ja""))"),"女性無地ボタンフロントレースアップ弾性袖口ヴィンテージ長袖マキシドレスポケット付き")</f>
        <v>女性無地ボタンフロントレースアップ弾性袖口ヴィンテージ長袖マキシドレスポケット付き</v>
      </c>
    </row>
    <row r="786" ht="15.75" customHeight="1">
      <c r="A786" s="1">
        <v>2259.0</v>
      </c>
      <c r="B786" s="1" t="s">
        <v>381</v>
      </c>
      <c r="C786" s="1" t="s">
        <v>768</v>
      </c>
      <c r="D786" s="1" t="str">
        <f>IFERROR(__xludf.DUMMYFUNCTION("CONCATENATE(GOOGLETRANSLATE(C786, ""en"", ""zh-cn""))"),"S-5XL 女式休闲短袖拼接宽松圆领中长连衣裙")</f>
        <v>S-5XL 女式休闲短袖拼接宽松圆领中长连衣裙</v>
      </c>
      <c r="E786" s="1" t="str">
        <f>IFERROR(__xludf.DUMMYFUNCTION("CONCATENATE(GOOGLETRANSLATE(C786, ""en"", ""ko""))"),"S-5XL 여성 캐주얼 반소매 스플 라이스 루즈 한 O 넥 미드 롱 드레스")</f>
        <v>S-5XL 여성 캐주얼 반소매 스플 라이스 루즈 한 O 넥 미드 롱 드레스</v>
      </c>
      <c r="F786" s="1" t="str">
        <f>IFERROR(__xludf.DUMMYFUNCTION("CONCATENATE(GOOGLETRANSLATE(C786, ""en"", ""ja""))"),"S-5XL 女性カジュアル半袖スプライスルーズ O ネックミッドロングドレス")</f>
        <v>S-5XL 女性カジュアル半袖スプライスルーズ O ネックミッドロングドレス</v>
      </c>
    </row>
    <row r="787" ht="15.75" customHeight="1">
      <c r="A787" s="1">
        <v>2260.0</v>
      </c>
      <c r="B787" s="1" t="s">
        <v>381</v>
      </c>
      <c r="C787" s="1" t="s">
        <v>769</v>
      </c>
      <c r="D787" s="1" t="str">
        <f>IFERROR(__xludf.DUMMYFUNCTION("CONCATENATE(GOOGLETRANSLATE(C787, ""en"", ""zh-cn""))"),"女式复古 O 领纽扣长泡泡袖长罩衫裙纯色长连衣裙")</f>
        <v>女式复古 O 领纽扣长泡泡袖长罩衫裙纯色长连衣裙</v>
      </c>
      <c r="E787" s="1" t="str">
        <f>IFERROR(__xludf.DUMMYFUNCTION("CONCATENATE(GOOGLETRANSLATE(C787, ""en"", ""ko""))"),"여성 빈티지 오-넥 버튼 롱 퍼프 슬리브 카프탄 솔리드 컬러 맥시 드레스")</f>
        <v>여성 빈티지 오-넥 버튼 롱 퍼프 슬리브 카프탄 솔리드 컬러 맥시 드레스</v>
      </c>
      <c r="F787" s="1" t="str">
        <f>IFERROR(__xludf.DUMMYFUNCTION("CONCATENATE(GOOGLETRANSLATE(C787, ""en"", ""ja""))"),"女性ヴィンテージ O ネックボタンロングパフスリーブカフタンソリッドカラーマキシドレス")</f>
        <v>女性ヴィンテージ O ネックボタンロングパフスリーブカフタンソリッドカラーマキシドレス</v>
      </c>
    </row>
    <row r="788" ht="15.75" customHeight="1">
      <c r="A788" s="1">
        <v>2261.0</v>
      </c>
      <c r="B788" s="1" t="s">
        <v>381</v>
      </c>
      <c r="C788" s="1" t="s">
        <v>770</v>
      </c>
      <c r="D788" s="1" t="str">
        <f>IFERROR(__xludf.DUMMYFUNCTION("CONCATENATE(GOOGLETRANSLATE(C788, ""en"", ""zh-cn""))"),"女式正面纽扣长袍长袖衬衫长裙（带口袋）")</f>
        <v>女式正面纽扣长袍长袖衬衫长裙（带口袋）</v>
      </c>
      <c r="E788" s="1" t="str">
        <f>IFERROR(__xludf.DUMMYFUNCTION("CONCATENATE(GOOGLETRANSLATE(C788, ""en"", ""ko""))"),"여성 단추 전면 Kaftan 가운 긴 소매 셔츠 주머니와 맥시 드레스")</f>
        <v>여성 단추 전면 Kaftan 가운 긴 소매 셔츠 주머니와 맥시 드레스</v>
      </c>
      <c r="F788" s="1" t="str">
        <f>IFERROR(__xludf.DUMMYFUNCTION("CONCATENATE(GOOGLETRANSLATE(C788, ""en"", ""ja""))"),"女性ボタンフロントカフタンローブ長袖シャツマキシドレスポケット付き")</f>
        <v>女性ボタンフロントカフタンローブ長袖シャツマキシドレスポケット付き</v>
      </c>
    </row>
    <row r="789" ht="15.75" customHeight="1">
      <c r="A789" s="1">
        <v>2262.0</v>
      </c>
      <c r="B789" s="1" t="s">
        <v>381</v>
      </c>
      <c r="C789" s="1" t="s">
        <v>771</v>
      </c>
      <c r="D789" s="1" t="str">
        <f>IFERROR(__xludf.DUMMYFUNCTION("CONCATENATE(GOOGLETRANSLATE(C789, ""en"", ""zh-cn""))"),"纯色细肩袖宽松摆休闲长连衣裙")</f>
        <v>纯色细肩袖宽松摆休闲长连衣裙</v>
      </c>
      <c r="E789" s="1" t="str">
        <f>IFERROR(__xludf.DUMMYFUNCTION("CONCATENATE(GOOGLETRANSLATE(C789, ""en"", ""ko""))"),"솔리드 컬러 스파게티 민소매 루즈 스윙 캐주얼 맥시 드레스")</f>
        <v>솔리드 컬러 스파게티 민소매 루즈 스윙 캐주얼 맥시 드레스</v>
      </c>
      <c r="F789" s="1" t="str">
        <f>IFERROR(__xludf.DUMMYFUNCTION("CONCATENATE(GOOGLETRANSLATE(C789, ""en"", ""ja""))"),"ソリッドカラースパゲッティノースリーブルーズスイングカジュアルマキシドレス")</f>
        <v>ソリッドカラースパゲッティノースリーブルーズスイングカジュアルマキシドレス</v>
      </c>
    </row>
    <row r="790" ht="15.75" customHeight="1">
      <c r="A790" s="1">
        <v>2263.0</v>
      </c>
      <c r="B790" s="1" t="s">
        <v>381</v>
      </c>
      <c r="C790" s="1" t="s">
        <v>772</v>
      </c>
      <c r="D790" s="1" t="str">
        <f>IFERROR(__xludf.DUMMYFUNCTION("CONCATENATE(GOOGLETRANSLATE(C790, ""en"", ""zh-cn""))"),"女式纯色荷叶边饰边无袖简约中长连衣裙")</f>
        <v>女式纯色荷叶边饰边无袖简约中长连衣裙</v>
      </c>
      <c r="E790" s="1" t="str">
        <f>IFERROR(__xludf.DUMMYFUNCTION("CONCATENATE(GOOGLETRANSLATE(C790, ""en"", ""ko""))"),"여성 솔리드 컬러 프릴 트림 민소매 단순 미디 드레스")</f>
        <v>여성 솔리드 컬러 프릴 트림 민소매 단순 미디 드레스</v>
      </c>
      <c r="F790" s="1" t="str">
        <f>IFERROR(__xludf.DUMMYFUNCTION("CONCATENATE(GOOGLETRANSLATE(C790, ""en"", ""ja""))"),"女性ソリッドカラーフリルトリムノースリーブシンプルなミディドレス")</f>
        <v>女性ソリッドカラーフリルトリムノースリーブシンプルなミディドレス</v>
      </c>
    </row>
    <row r="791" ht="15.75" customHeight="1">
      <c r="A791" s="1">
        <v>2264.0</v>
      </c>
      <c r="B791" s="1" t="s">
        <v>381</v>
      </c>
      <c r="C791" s="1" t="s">
        <v>773</v>
      </c>
      <c r="D791" s="1" t="str">
        <f>IFERROR(__xludf.DUMMYFUNCTION("CONCATENATE(GOOGLETRANSLATE(C791, ""en"", ""zh-cn""))"),"无袖圆领宽松休闲花卉印花超长连衣裙")</f>
        <v>无袖圆领宽松休闲花卉印花超长连衣裙</v>
      </c>
      <c r="E791" s="1" t="str">
        <f>IFERROR(__xludf.DUMMYFUNCTION("CONCATENATE(GOOGLETRANSLATE(C791, ""en"", ""ko""))"),"민소매 O 넥 루즈 캐쥬얼 플로럴 프린트 맥시 드레스")</f>
        <v>민소매 O 넥 루즈 캐쥬얼 플로럴 프린트 맥시 드레스</v>
      </c>
      <c r="F791" s="1" t="str">
        <f>IFERROR(__xludf.DUMMYFUNCTION("CONCATENATE(GOOGLETRANSLATE(C791, ""en"", ""ja""))"),"ノースリーブ O ネック ルーズ カジュアル フローラル プリント マキシ ドレス")</f>
        <v>ノースリーブ O ネック ルーズ カジュアル フローラル プリント マキシ ドレス</v>
      </c>
    </row>
    <row r="792" ht="15.75" customHeight="1">
      <c r="A792" s="1">
        <v>2265.0</v>
      </c>
      <c r="B792" s="1" t="s">
        <v>381</v>
      </c>
      <c r="C792" s="1" t="s">
        <v>774</v>
      </c>
      <c r="D792" s="1" t="str">
        <f>IFERROR(__xludf.DUMMYFUNCTION("CONCATENATE(GOOGLETRANSLATE(C792, ""en"", ""zh-cn""))"),"女式圆点印花拼布短袖假日波西米亚长连衣裙")</f>
        <v>女式圆点印花拼布短袖假日波西米亚长连衣裙</v>
      </c>
      <c r="E792" s="1" t="str">
        <f>IFERROR(__xludf.DUMMYFUNCTION("CONCATENATE(GOOGLETRANSLATE(C792, ""en"", ""ko""))"),"여성을 위한 폴카 도트 인쇄 패치워크 짧은 소매 휴일 보헤미아 맥시 드레스")</f>
        <v>여성을 위한 폴카 도트 인쇄 패치워크 짧은 소매 휴일 보헤미아 맥시 드레스</v>
      </c>
      <c r="F792" s="1" t="str">
        <f>IFERROR(__xludf.DUMMYFUNCTION("CONCATENATE(GOOGLETRANSLATE(C792, ""en"", ""ja""))"),"女性のための水玉プリント パッチワーク半袖ホリデー ボヘミア マキシ ドレス")</f>
        <v>女性のための水玉プリント パッチワーク半袖ホリデー ボヘミア マキシ ドレス</v>
      </c>
    </row>
    <row r="793" ht="15.75" customHeight="1">
      <c r="A793" s="1">
        <v>2266.0</v>
      </c>
      <c r="B793" s="1" t="s">
        <v>381</v>
      </c>
      <c r="C793" s="1" t="s">
        <v>775</v>
      </c>
      <c r="D793" s="1" t="str">
        <f>IFERROR(__xludf.DUMMYFUNCTION("CONCATENATE(GOOGLETRANSLATE(C793, ""en"", ""zh-cn""))"),"女式方领褶皱纽扣休闲超长复古连衣裙（带侧袋）")</f>
        <v>女式方领褶皱纽扣休闲超长复古连衣裙（带侧袋）</v>
      </c>
      <c r="E793" s="1" t="str">
        <f>IFERROR(__xludf.DUMMYFUNCTION("CONCATENATE(GOOGLETRANSLATE(C793, ""en"", ""ko""))"),"여성 스퀘어 넥 주름 단추 캐주얼 맥시 빈티지 드레스(사이드 포켓 ​​포함)")</f>
        <v>여성 스퀘어 넥 주름 단추 캐주얼 맥시 빈티지 드레스(사이드 포켓 ​​포함)</v>
      </c>
      <c r="F793" s="1" t="str">
        <f>IFERROR(__xludf.DUMMYFUNCTION("CONCATENATE(GOOGLETRANSLATE(C793, ""en"", ""ja""))"),"女性スクエアネックプリーツボタンカジュアルマキシヴィンテージドレスサイドポケット付き")</f>
        <v>女性スクエアネックプリーツボタンカジュアルマキシヴィンテージドレスサイドポケット付き</v>
      </c>
    </row>
    <row r="794" ht="15.75" customHeight="1">
      <c r="A794" s="1">
        <v>2267.0</v>
      </c>
      <c r="B794" s="1" t="s">
        <v>381</v>
      </c>
      <c r="C794" s="1" t="s">
        <v>776</v>
      </c>
      <c r="D794" s="1" t="str">
        <f>IFERROR(__xludf.DUMMYFUNCTION("CONCATENATE(GOOGLETRANSLATE(C794, ""en"", ""zh-cn""))"),"女式纯色不规则下摆休闲连帽运动衫长连衣裙（带侧袋）")</f>
        <v>女式纯色不规则下摆休闲连帽运动衫长连衣裙（带侧袋）</v>
      </c>
      <c r="E794" s="1" t="str">
        <f>IFERROR(__xludf.DUMMYFUNCTION("CONCATENATE(GOOGLETRANSLATE(C794, ""en"", ""ko""))"),"여성 솔리드 컬러 불규칙한 밑단 캐주얼 후드 티셔츠 사이드 포켓이 있는 맥시 드레스")</f>
        <v>여성 솔리드 컬러 불규칙한 밑단 캐주얼 후드 티셔츠 사이드 포켓이 있는 맥시 드레스</v>
      </c>
      <c r="F794" s="1" t="str">
        <f>IFERROR(__xludf.DUMMYFUNCTION("CONCATENATE(GOOGLETRANSLATE(C794, ""en"", ""ja""))"),"女性ソリッドカラー不規則な裾カジュアルフード付きスウェットシャツマキシドレスサイドポケット付き")</f>
        <v>女性ソリッドカラー不規則な裾カジュアルフード付きスウェットシャツマキシドレスサイドポケット付き</v>
      </c>
    </row>
    <row r="795" ht="15.75" customHeight="1">
      <c r="A795" s="1">
        <v>2268.0</v>
      </c>
      <c r="B795" s="1" t="s">
        <v>381</v>
      </c>
      <c r="C795" s="1" t="s">
        <v>777</v>
      </c>
      <c r="D795" s="1" t="str">
        <f>IFERROR(__xludf.DUMMYFUNCTION("CONCATENATE(GOOGLETRANSLATE(C795, ""en"", ""zh-cn""))"),"女式民族风人物印花圆领短袖宽松宽松长连衣裙")</f>
        <v>女式民族风人物印花圆领短袖宽松宽松长连衣裙</v>
      </c>
      <c r="E795" s="1" t="str">
        <f>IFERROR(__xludf.DUMMYFUNCTION("CONCATENATE(GOOGLETRANSLATE(C795, ""en"", ""ko""))"),"여성 민족 스타일 그림 인쇄 라운드 넥 짧은 소매 느슨한 헐렁한 맥시 드레스")</f>
        <v>여성 민족 스타일 그림 인쇄 라운드 넥 짧은 소매 느슨한 헐렁한 맥시 드레스</v>
      </c>
      <c r="F795" s="1" t="str">
        <f>IFERROR(__xludf.DUMMYFUNCTION("CONCATENATE(GOOGLETRANSLATE(C795, ""en"", ""ja""))"),"女性エスニックスタイルフィギュアプリントラウンドネック半袖ルーズだぶだぶマキシドレス")</f>
        <v>女性エスニックスタイルフィギュアプリントラウンドネック半袖ルーズだぶだぶマキシドレス</v>
      </c>
    </row>
    <row r="796" ht="15.75" customHeight="1">
      <c r="A796" s="1">
        <v>2269.0</v>
      </c>
      <c r="B796" s="1" t="s">
        <v>381</v>
      </c>
      <c r="C796" s="1" t="s">
        <v>778</v>
      </c>
      <c r="D796" s="1" t="str">
        <f>IFERROR(__xludf.DUMMYFUNCTION("CONCATENATE(GOOGLETRANSLATE(C796, ""en"", ""zh-cn""))"),"女式网格印花正面系扣松紧袖口波西米亚 O 领超长衬衫连衣裙")</f>
        <v>女式网格印花正面系扣松紧袖口波西米亚 O 领超长衬衫连衣裙</v>
      </c>
      <c r="E796" s="1" t="str">
        <f>IFERROR(__xludf.DUMMYFUNCTION("CONCATENATE(GOOGLETRANSLATE(C796, ""en"", ""ko""))"),"여성 그리드 프린트 버튼 다운 전면 탄성 커프 보헤미안 o 넥 맥시 셔츠 드레스")</f>
        <v>여성 그리드 프린트 버튼 다운 전면 탄성 커프 보헤미안 o 넥 맥시 셔츠 드레스</v>
      </c>
      <c r="F796" s="1" t="str">
        <f>IFERROR(__xludf.DUMMYFUNCTION("CONCATENATE(GOOGLETRANSLATE(C796, ""en"", ""ja""))"),"女性グリッドプリントボタンダウンフロント弾性袖口ボヘミアン O ネックマキシシャツドレス")</f>
        <v>女性グリッドプリントボタンダウンフロント弾性袖口ボヘミアン O ネックマキシシャツドレス</v>
      </c>
    </row>
    <row r="797" ht="15.75" customHeight="1">
      <c r="A797" s="1">
        <v>2270.0</v>
      </c>
      <c r="B797" s="1" t="s">
        <v>381</v>
      </c>
      <c r="C797" s="1" t="s">
        <v>779</v>
      </c>
      <c r="D797" s="1" t="str">
        <f>IFERROR(__xludf.DUMMYFUNCTION("CONCATENATE(GOOGLETRANSLATE(C797, ""en"", ""zh-cn""))"),"女式花卉印花假日 A 字形纽扣长袖穆斯林连衣裙长袍长衫（带口袋）")</f>
        <v>女式花卉印花假日 A 字形纽扣长袖穆斯林连衣裙长袍长衫（带口袋）</v>
      </c>
      <c r="E797" s="1" t="str">
        <f>IFERROR(__xludf.DUMMYFUNCTION("CONCATENATE(GOOGLETRANSLATE(C797, ""en"", ""ko""))"),"여성 꽃무늬 홀리데이 A라인 버튼 업 긴 소매 이슬람 드레스 Abaya Kaftan With Pocket")</f>
        <v>여성 꽃무늬 홀리데이 A라인 버튼 업 긴 소매 이슬람 드레스 Abaya Kaftan With Pocket</v>
      </c>
      <c r="F797" s="1" t="str">
        <f>IFERROR(__xludf.DUMMYFUNCTION("CONCATENATE(GOOGLETRANSLATE(C797, ""en"", ""ja""))"),"女性 フローラル プリント ホリデー A ライン ボタンアップ 長袖 イスラム教徒 ドレス アバヤ カフタン ポケット付き")</f>
        <v>女性 フローラル プリント ホリデー A ライン ボタンアップ 長袖 イスラム教徒 ドレス アバヤ カフタン ポケット付き</v>
      </c>
    </row>
    <row r="798" ht="15.75" customHeight="1">
      <c r="A798" s="1">
        <v>2271.0</v>
      </c>
      <c r="B798" s="1" t="s">
        <v>381</v>
      </c>
      <c r="C798" s="1" t="s">
        <v>780</v>
      </c>
      <c r="D798" s="1" t="str">
        <f>IFERROR(__xludf.DUMMYFUNCTION("CONCATENATE(GOOGLETRANSLATE(C798, ""en"", ""zh-cn""))"),"女式纯色荷叶边下摆褶皱泡泡袖超长连衣裙")</f>
        <v>女式纯色荷叶边下摆褶皱泡泡袖超长连衣裙</v>
      </c>
      <c r="E798" s="1" t="str">
        <f>IFERROR(__xludf.DUMMYFUNCTION("CONCATENATE(GOOGLETRANSLATE(C798, ""en"", ""ko""))"),"여성 솔리드 컬러 프릴 밑단 주름 퍼프 슬리브 맥시 드레스")</f>
        <v>여성 솔리드 컬러 프릴 밑단 주름 퍼프 슬리브 맥시 드레스</v>
      </c>
      <c r="F798" s="1" t="str">
        <f>IFERROR(__xludf.DUMMYFUNCTION("CONCATENATE(GOOGLETRANSLATE(C798, ""en"", ""ja""))"),"女性ソリッドカラーフリル裾プリーツパフスリーブマキシドレス")</f>
        <v>女性ソリッドカラーフリル裾プリーツパフスリーブマキシドレス</v>
      </c>
    </row>
    <row r="799" ht="15.75" customHeight="1">
      <c r="A799" s="1">
        <v>2272.0</v>
      </c>
      <c r="B799" s="1" t="s">
        <v>381</v>
      </c>
      <c r="C799" s="1" t="s">
        <v>781</v>
      </c>
      <c r="D799" s="1" t="str">
        <f>IFERROR(__xludf.DUMMYFUNCTION("CONCATENATE(GOOGLETRANSLATE(C799, ""en"", ""zh-cn""))"),"女式宽松休闲长袖V领纽扣口袋衬衫连衣裙")</f>
        <v>女式宽松休闲长袖V领纽扣口袋衬衫连衣裙</v>
      </c>
      <c r="E799" s="1" t="str">
        <f>IFERROR(__xludf.DUMMYFUNCTION("CONCATENATE(GOOGLETRANSLATE(C799, ""en"", ""ko""))"),"여성 루즈 캐주얼 긴 소매 V 넥 버튼 포켓 셔츠 드레스")</f>
        <v>여성 루즈 캐주얼 긴 소매 V 넥 버튼 포켓 셔츠 드레스</v>
      </c>
      <c r="F799" s="1" t="str">
        <f>IFERROR(__xludf.DUMMYFUNCTION("CONCATENATE(GOOGLETRANSLATE(C799, ""en"", ""ja""))"),"女性ルーズカジュアル長袖 V ネックボタンポケットシャツドレス")</f>
        <v>女性ルーズカジュアル長袖 V ネックボタンポケットシャツドレス</v>
      </c>
    </row>
    <row r="800" ht="15.75" customHeight="1">
      <c r="A800" s="1">
        <v>2273.0</v>
      </c>
      <c r="B800" s="1" t="s">
        <v>381</v>
      </c>
      <c r="C800" s="1" t="s">
        <v>782</v>
      </c>
      <c r="D800" s="1" t="str">
        <f>IFERROR(__xludf.DUMMYFUNCTION("CONCATENATE(GOOGLETRANSLATE(C800, ""en"", ""zh-cn""))"),"女式条纹 V 领长袖休闲宽松长连衣裙")</f>
        <v>女式条纹 V 领长袖休闲宽松长连衣裙</v>
      </c>
      <c r="E800" s="1" t="str">
        <f>IFERROR(__xludf.DUMMYFUNCTION("CONCATENATE(GOOGLETRANSLATE(C800, ""en"", ""ko""))"),"여성 스트라이프 V 넥 긴 소매 캐주얼 루즈 맥시 드레스")</f>
        <v>여성 스트라이프 V 넥 긴 소매 캐주얼 루즈 맥시 드레스</v>
      </c>
      <c r="F800" s="1" t="str">
        <f>IFERROR(__xludf.DUMMYFUNCTION("CONCATENATE(GOOGLETRANSLATE(C800, ""en"", ""ja""))"),"女性ストライプ V ネック長袖カジュアルルーズマキシドレス")</f>
        <v>女性ストライプ V ネック長袖カジュアルルーズマキシドレス</v>
      </c>
    </row>
    <row r="801" ht="15.75" customHeight="1">
      <c r="A801" s="1">
        <v>2274.0</v>
      </c>
      <c r="B801" s="1" t="s">
        <v>381</v>
      </c>
      <c r="C801" s="1" t="s">
        <v>783</v>
      </c>
      <c r="D801" s="1" t="str">
        <f>IFERROR(__xludf.DUMMYFUNCTION("CONCATENATE(GOOGLETRANSLATE(C801, ""en"", ""zh-cn""))"),"女式休闲无袖纯色夏季长款连衣裙")</f>
        <v>女式休闲无袖纯色夏季长款连衣裙</v>
      </c>
      <c r="E801" s="1" t="str">
        <f>IFERROR(__xludf.DUMMYFUNCTION("CONCATENATE(GOOGLETRANSLATE(C801, ""en"", ""ko""))"),"여성 캐주얼 민소매 솔리드 여름 긴 맥시 드레스")</f>
        <v>여성 캐주얼 민소매 솔리드 여름 긴 맥시 드레스</v>
      </c>
      <c r="F801" s="1" t="str">
        <f>IFERROR(__xludf.DUMMYFUNCTION("CONCATENATE(GOOGLETRANSLATE(C801, ""en"", ""ja""))"),"レディースカジュアルノースリーブソリッドサマーロングマキシドレス")</f>
        <v>レディースカジュアルノースリーブソリッドサマーロングマキシドレス</v>
      </c>
    </row>
    <row r="802" ht="15.75" customHeight="1">
      <c r="A802" s="1">
        <v>2275.0</v>
      </c>
      <c r="B802" s="1" t="s">
        <v>381</v>
      </c>
      <c r="C802" s="1" t="s">
        <v>784</v>
      </c>
      <c r="D802" s="1" t="str">
        <f>IFERROR(__xludf.DUMMYFUNCTION("CONCATENATE(GOOGLETRANSLATE(C802, ""en"", ""zh-cn""))"),"女式假日花卉印花挂脖宽松时尚挂脖长连衣裙")</f>
        <v>女式假日花卉印花挂脖宽松时尚挂脖长连衣裙</v>
      </c>
      <c r="E802" s="1" t="str">
        <f>IFERROR(__xludf.DUMMYFUNCTION("CONCATENATE(GOOGLETRANSLATE(C802, ""en"", ""ko""))"),"여성 휴가 꽃 프린트 매달려 목 느슨한 세련된 홀터 맥시 드레스")</f>
        <v>여성 휴가 꽃 프린트 매달려 목 느슨한 세련된 홀터 맥시 드레스</v>
      </c>
      <c r="F802" s="1" t="str">
        <f>IFERROR(__xludf.DUMMYFUNCTION("CONCATENATE(GOOGLETRANSLATE(C802, ""en"", ""ja""))"),"女性ホリデーフローラルプリントハンギングネックルーズスタイリッシュなホルターマキシドレス")</f>
        <v>女性ホリデーフローラルプリントハンギングネックルーズスタイリッシュなホルターマキシドレス</v>
      </c>
    </row>
    <row r="803" ht="15.75" customHeight="1">
      <c r="A803" s="1">
        <v>2276.0</v>
      </c>
      <c r="B803" s="1" t="s">
        <v>381</v>
      </c>
      <c r="C803" s="1" t="s">
        <v>785</v>
      </c>
      <c r="D803" s="1" t="str">
        <f>IFERROR(__xludf.DUMMYFUNCTION("CONCATENATE(GOOGLETRANSLATE(C803, ""en"", ""zh-cn""))"),"女式植物花卉印花无袖宽松长连衣裙（侧袋）")</f>
        <v>女式植物花卉印花无袖宽松长连衣裙（侧袋）</v>
      </c>
      <c r="E803" s="1" t="str">
        <f>IFERROR(__xludf.DUMMYFUNCTION("CONCATENATE(GOOGLETRANSLATE(C803, ""en"", ""ko""))"),"여자 옆 주머니를 가진 식물 꽃 무늬 민소매 느슨한 맥시 복장")</f>
        <v>여자 옆 주머니를 가진 식물 꽃 무늬 민소매 느슨한 맥시 복장</v>
      </c>
      <c r="F803" s="1" t="str">
        <f>IFERROR(__xludf.DUMMYFUNCTION("CONCATENATE(GOOGLETRANSLATE(C803, ""en"", ""ja""))"),"女性植物花柄ノースリーブルーズマキシドレスサイドポケット付き")</f>
        <v>女性植物花柄ノースリーブルーズマキシドレスサイドポケット付き</v>
      </c>
    </row>
    <row r="804" ht="15.75" customHeight="1">
      <c r="A804" s="1">
        <v>2277.0</v>
      </c>
      <c r="B804" s="1" t="s">
        <v>381</v>
      </c>
      <c r="C804" s="1" t="s">
        <v>786</v>
      </c>
      <c r="D804" s="1" t="str">
        <f>IFERROR(__xludf.DUMMYFUNCTION("CONCATENATE(GOOGLETRANSLATE(C804, ""en"", ""zh-cn""))"),"条纹纽扣翻领休闲棉质衬衫连衣裙")</f>
        <v>条纹纽扣翻领休闲棉质衬衫连衣裙</v>
      </c>
      <c r="E804" s="1" t="str">
        <f>IFERROR(__xludf.DUMMYFUNCTION("CONCATENATE(GOOGLETRANSLATE(C804, ""en"", ""ko""))"),"스트라이프 버튼 라펠 캐주얼 코튼 셔츠 드레스")</f>
        <v>스트라이프 버튼 라펠 캐주얼 코튼 셔츠 드레스</v>
      </c>
      <c r="F804" s="1" t="str">
        <f>IFERROR(__xludf.DUMMYFUNCTION("CONCATENATE(GOOGLETRANSLATE(C804, ""en"", ""ja""))"),"ストライプボタンラペルカジュアルコットンシャツドレス")</f>
        <v>ストライプボタンラペルカジュアルコットンシャツドレス</v>
      </c>
    </row>
    <row r="805" ht="15.75" customHeight="1">
      <c r="A805" s="1">
        <v>2278.0</v>
      </c>
      <c r="B805" s="1" t="s">
        <v>381</v>
      </c>
      <c r="C805" s="1" t="s">
        <v>787</v>
      </c>
      <c r="D805" s="1" t="str">
        <f>IFERROR(__xludf.DUMMYFUNCTION("CONCATENATE(GOOGLETRANSLATE(C805, ""en"", ""zh-cn""))"),"植物印花翻领纽扣口袋休闲中长印花连衣裙")</f>
        <v>植物印花翻领纽扣口袋休闲中长印花连衣裙</v>
      </c>
      <c r="E805" s="1" t="str">
        <f>IFERROR(__xludf.DUMMYFUNCTION("CONCATENATE(GOOGLETRANSLATE(C805, ""en"", ""ko""))"),"플랜트 프린트 라펠 버튼 포켓 캐주얼 미디 프린트 드레스")</f>
        <v>플랜트 프린트 라펠 버튼 포켓 캐주얼 미디 프린트 드레스</v>
      </c>
      <c r="F805" s="1" t="str">
        <f>IFERROR(__xludf.DUMMYFUNCTION("CONCATENATE(GOOGLETRANSLATE(C805, ""en"", ""ja""))"),"植物プリント ラペルボタンポケット カジュアル ミディ プリント ドレス")</f>
        <v>植物プリント ラペルボタンポケット カジュアル ミディ プリント ドレス</v>
      </c>
    </row>
    <row r="806" ht="15.75" customHeight="1">
      <c r="A806" s="1">
        <v>2279.0</v>
      </c>
      <c r="B806" s="1" t="s">
        <v>381</v>
      </c>
      <c r="C806" s="1" t="s">
        <v>788</v>
      </c>
      <c r="D806" s="1" t="str">
        <f>IFERROR(__xludf.DUMMYFUNCTION("CONCATENATE(GOOGLETRANSLATE(C806, ""en"", ""zh-cn""))"),"休闲几何图案拼布V领无袖超长连衣裙")</f>
        <v>休闲几何图案拼布V领无袖超长连衣裙</v>
      </c>
      <c r="E806" s="1" t="str">
        <f>IFERROR(__xludf.DUMMYFUNCTION("CONCATENATE(GOOGLETRANSLATE(C806, ""en"", ""ko""))"),"레저 기하학 패턴 패치워크 브이넥 민소매 맥시 드레스")</f>
        <v>레저 기하학 패턴 패치워크 브이넥 민소매 맥시 드레스</v>
      </c>
      <c r="F806" s="1" t="str">
        <f>IFERROR(__xludf.DUMMYFUNCTION("CONCATENATE(GOOGLETRANSLATE(C806, ""en"", ""ja""))"),"レジャージオメトリパターンパッチワークVネックノースリーブマキシドレス")</f>
        <v>レジャージオメトリパターンパッチワークVネックノースリーブマキシドレス</v>
      </c>
    </row>
    <row r="807" ht="15.75" customHeight="1">
      <c r="A807" s="1">
        <v>2280.0</v>
      </c>
      <c r="B807" s="1" t="s">
        <v>381</v>
      </c>
      <c r="C807" s="1" t="s">
        <v>789</v>
      </c>
      <c r="D807" s="1" t="str">
        <f>IFERROR(__xludf.DUMMYFUNCTION("CONCATENATE(GOOGLETRANSLATE(C807, ""en"", ""zh-cn""))"),"波西米亚女式 V 领花卉印花海滩度假开叉长连衣裙")</f>
        <v>波西米亚女式 V 领花卉印花海滩度假开叉长连衣裙</v>
      </c>
      <c r="E807" s="1" t="str">
        <f>IFERROR(__xludf.DUMMYFUNCTION("CONCATENATE(GOOGLETRANSLATE(C807, ""en"", ""ko""))"),"보헤미안 여성 V 넥 꽃 프린트 비치 홀리데이 스플릿 맥시 드레스")</f>
        <v>보헤미안 여성 V 넥 꽃 프린트 비치 홀리데이 스플릿 맥시 드레스</v>
      </c>
      <c r="F807" s="1" t="str">
        <f>IFERROR(__xludf.DUMMYFUNCTION("CONCATENATE(GOOGLETRANSLATE(C807, ""en"", ""ja""))"),"ボヘミアン レディース V ネック 花柄 ビーチ ホリデー スプリット マキシ ドレス")</f>
        <v>ボヘミアン レディース V ネック 花柄 ビーチ ホリデー スプリット マキシ ドレス</v>
      </c>
    </row>
    <row r="808" ht="15.75" customHeight="1">
      <c r="A808" s="1">
        <v>2281.0</v>
      </c>
      <c r="B808" s="1" t="s">
        <v>381</v>
      </c>
      <c r="C808" s="1" t="s">
        <v>790</v>
      </c>
      <c r="D808" s="1" t="str">
        <f>IFERROR(__xludf.DUMMYFUNCTION("CONCATENATE(GOOGLETRANSLATE(C808, ""en"", ""zh-cn""))"),"女式波点印花圆领短袖超长连衣裙")</f>
        <v>女式波点印花圆领短袖超长连衣裙</v>
      </c>
      <c r="E808" s="1" t="str">
        <f>IFERROR(__xludf.DUMMYFUNCTION("CONCATENATE(GOOGLETRANSLATE(C808, ""en"", ""ko""))"),"여성 폴카 도트 프린트 O 넥 반팔 맥시 드레스")</f>
        <v>여성 폴카 도트 프린트 O 넥 반팔 맥시 드레스</v>
      </c>
      <c r="F808" s="1" t="str">
        <f>IFERROR(__xludf.DUMMYFUNCTION("CONCATENATE(GOOGLETRANSLATE(C808, ""en"", ""ja""))"),"女性ポルカドットプリントOネック半袖マキシドレス")</f>
        <v>女性ポルカドットプリントOネック半袖マキシドレス</v>
      </c>
    </row>
    <row r="809" ht="15.75" customHeight="1">
      <c r="A809" s="1">
        <v>2282.0</v>
      </c>
      <c r="B809" s="1" t="s">
        <v>381</v>
      </c>
      <c r="C809" s="1" t="s">
        <v>791</v>
      </c>
      <c r="D809" s="1" t="str">
        <f>IFERROR(__xludf.DUMMYFUNCTION("CONCATENATE(GOOGLETRANSLATE(C809, ""en"", ""zh-cn""))"),"女式复古花卉印花 3/4 袖迷你连衣裙")</f>
        <v>女式复古花卉印花 3/4 袖迷你连衣裙</v>
      </c>
      <c r="E809" s="1" t="str">
        <f>IFERROR(__xludf.DUMMYFUNCTION("CONCATENATE(GOOGLETRANSLATE(C809, ""en"", ""ko""))"),"여성 빈티지 꽃무늬 프린트 3/4 슬리브 미니 드레스")</f>
        <v>여성 빈티지 꽃무늬 프린트 3/4 슬리브 미니 드레스</v>
      </c>
      <c r="F809" s="1" t="str">
        <f>IFERROR(__xludf.DUMMYFUNCTION("CONCATENATE(GOOGLETRANSLATE(C809, ""en"", ""ja""))"),"女性ヴィンテージ花柄プリント 3/4 袖ミニドレス")</f>
        <v>女性ヴィンテージ花柄プリント 3/4 袖ミニドレス</v>
      </c>
    </row>
    <row r="810" ht="15.75" customHeight="1">
      <c r="A810" s="1">
        <v>2283.0</v>
      </c>
      <c r="B810" s="1" t="s">
        <v>381</v>
      </c>
      <c r="C810" s="1" t="s">
        <v>792</v>
      </c>
      <c r="D810" s="1" t="str">
        <f>IFERROR(__xludf.DUMMYFUNCTION("CONCATENATE(GOOGLETRANSLATE(C810, ""en"", ""zh-cn""))"),"女式复古涂鸦印花圆领百褶休闲长连衣裙")</f>
        <v>女式复古涂鸦印花圆领百褶休闲长连衣裙</v>
      </c>
      <c r="E810" s="1" t="str">
        <f>IFERROR(__xludf.DUMMYFUNCTION("CONCATENATE(GOOGLETRANSLATE(C810, ""en"", ""ko""))"),"여성 복고풍 낙서 인쇄 라운드 넥 주름 캐주얼 맥시 드레스")</f>
        <v>여성 복고풍 낙서 인쇄 라운드 넥 주름 캐주얼 맥시 드레스</v>
      </c>
      <c r="F810" s="1" t="str">
        <f>IFERROR(__xludf.DUMMYFUNCTION("CONCATENATE(GOOGLETRANSLATE(C810, ""en"", ""ja""))"),"女性のレトロなグラフィティプリントラウンドネックプリーツカジュアルマキシドレス")</f>
        <v>女性のレトロなグラフィティプリントラウンドネックプリーツカジュアルマキシドレス</v>
      </c>
    </row>
    <row r="811" ht="15.75" customHeight="1">
      <c r="A811" s="1">
        <v>2284.0</v>
      </c>
      <c r="B811" s="1" t="s">
        <v>381</v>
      </c>
      <c r="C811" s="1" t="s">
        <v>793</v>
      </c>
      <c r="D811" s="1" t="str">
        <f>IFERROR(__xludf.DUMMYFUNCTION("CONCATENATE(GOOGLETRANSLATE(C811, ""en"", ""zh-cn""))"),"女式休闲吊带纯色袖夏季连衣裙")</f>
        <v>女式休闲吊带纯色袖夏季连衣裙</v>
      </c>
      <c r="E811" s="1" t="str">
        <f>IFERROR(__xludf.DUMMYFUNCTION("CONCATENATE(GOOGLETRANSLATE(C811, ""en"", ""ko""))"),"여성을 위한 캐주얼 서스펜더 솔리드 슬리브 여름 드레스")</f>
        <v>여성을 위한 캐주얼 서스펜더 솔리드 슬리브 여름 드레스</v>
      </c>
      <c r="F811" s="1" t="str">
        <f>IFERROR(__xludf.DUMMYFUNCTION("CONCATENATE(GOOGLETRANSLATE(C811, ""en"", ""ja""))"),"女性のためのカジュアルサスペンダーソリッドスリーブサマードレス")</f>
        <v>女性のためのカジュアルサスペンダーソリッドスリーブサマードレス</v>
      </c>
    </row>
    <row r="812" ht="15.75" customHeight="1">
      <c r="A812" s="1">
        <v>2285.0</v>
      </c>
      <c r="B812" s="1" t="s">
        <v>381</v>
      </c>
      <c r="C812" s="1" t="s">
        <v>794</v>
      </c>
      <c r="D812" s="1" t="str">
        <f>IFERROR(__xludf.DUMMYFUNCTION("CONCATENATE(GOOGLETRANSLATE(C812, ""en"", ""zh-cn""))"),"女式短袖V领蕾丝镂空纯色休闲连衣裙")</f>
        <v>女式短袖V领蕾丝镂空纯色休闲连衣裙</v>
      </c>
      <c r="E812" s="1" t="str">
        <f>IFERROR(__xludf.DUMMYFUNCTION("CONCATENATE(GOOGLETRANSLATE(C812, ""en"", ""ko""))"),"여성 반팔 v 넥 레이스 중공 솔리드 캐주얼 드레스")</f>
        <v>여성 반팔 v 넥 레이스 중공 솔리드 캐주얼 드레스</v>
      </c>
      <c r="F812" s="1" t="str">
        <f>IFERROR(__xludf.DUMMYFUNCTION("CONCATENATE(GOOGLETRANSLATE(C812, ""en"", ""ja""))"),"女性半袖 V ネックレース中空固体カジュアルドレス")</f>
        <v>女性半袖 V ネックレース中空固体カジュアルドレス</v>
      </c>
    </row>
    <row r="813" ht="15.75" customHeight="1">
      <c r="A813" s="1">
        <v>2286.0</v>
      </c>
      <c r="B813" s="1" t="s">
        <v>381</v>
      </c>
      <c r="C813" s="1" t="s">
        <v>795</v>
      </c>
      <c r="D813" s="1" t="str">
        <f>IFERROR(__xludf.DUMMYFUNCTION("CONCATENATE(GOOGLETRANSLATE(C813, ""en"", ""zh-cn""))"),"女式短袖镂空长袍纯色长袍")</f>
        <v>女式短袖镂空长袍纯色长袍</v>
      </c>
      <c r="E813" s="1" t="str">
        <f>IFERROR(__xludf.DUMMYFUNCTION("CONCATENATE(GOOGLETRANSLATE(C813, ""en"", ""ko""))"),"여성 반팔 중공 로브 카프 탄 솔리드 맥시 드레스")</f>
        <v>여성 반팔 중공 로브 카프 탄 솔리드 맥시 드레스</v>
      </c>
      <c r="F813" s="1" t="str">
        <f>IFERROR(__xludf.DUMMYFUNCTION("CONCATENATE(GOOGLETRANSLATE(C813, ""en"", ""ja""))"),"女性半袖中空ローブカフタンソリッドマキシドレス")</f>
        <v>女性半袖中空ローブカフタンソリッドマキシドレス</v>
      </c>
    </row>
    <row r="814" ht="15.75" customHeight="1">
      <c r="A814" s="1">
        <v>2287.0</v>
      </c>
      <c r="B814" s="1" t="s">
        <v>381</v>
      </c>
      <c r="C814" s="1" t="s">
        <v>796</v>
      </c>
      <c r="D814" s="1" t="str">
        <f>IFERROR(__xludf.DUMMYFUNCTION("CONCATENATE(GOOGLETRANSLATE(C814, ""en"", ""zh-cn""))"),"女式休闲宽松格子印花O领半袖连衣裙")</f>
        <v>女式休闲宽松格子印花O领半袖连衣裙</v>
      </c>
      <c r="E814" s="1" t="str">
        <f>IFERROR(__xludf.DUMMYFUNCTION("CONCATENATE(GOOGLETRANSLATE(C814, ""en"", ""ko""))"),"여성 캐주얼 루즈한 격자 무늬 프린트 O 넥 하프 슬리브 드레스")</f>
        <v>여성 캐주얼 루즈한 격자 무늬 프린트 O 넥 하프 슬리브 드레스</v>
      </c>
      <c r="F814" s="1" t="str">
        <f>IFERROR(__xludf.DUMMYFUNCTION("CONCATENATE(GOOGLETRANSLATE(C814, ""en"", ""ja""))"),"レディースカジュアルルーズチェック柄プリントOネック半袖ドレス")</f>
        <v>レディースカジュアルルーズチェック柄プリントOネック半袖ドレス</v>
      </c>
    </row>
    <row r="815" ht="15.75" customHeight="1">
      <c r="A815" s="1">
        <v>2288.0</v>
      </c>
      <c r="B815" s="1" t="s">
        <v>381</v>
      </c>
      <c r="C815" s="1" t="s">
        <v>797</v>
      </c>
      <c r="D815" s="1" t="str">
        <f>IFERROR(__xludf.DUMMYFUNCTION("CONCATENATE(GOOGLETRANSLATE(C815, ""en"", ""zh-cn""))"),"女式休闲宽松棉质花卉印花短袖连衣裙")</f>
        <v>女式休闲宽松棉质花卉印花短袖连衣裙</v>
      </c>
      <c r="E815" s="1" t="str">
        <f>IFERROR(__xludf.DUMMYFUNCTION("CONCATENATE(GOOGLETRANSLATE(C815, ""en"", ""ko""))"),"여성 캐주얼 루즈 코튼 꽃 프린트 반소매 드레스")</f>
        <v>여성 캐주얼 루즈 코튼 꽃 프린트 반소매 드레스</v>
      </c>
      <c r="F815" s="1" t="str">
        <f>IFERROR(__xludf.DUMMYFUNCTION("CONCATENATE(GOOGLETRANSLATE(C815, ""en"", ""ja""))"),"女性カジュアルルーズコットン花柄半袖ドレス")</f>
        <v>女性カジュアルルーズコットン花柄半袖ドレス</v>
      </c>
    </row>
    <row r="816" ht="15.75" customHeight="1">
      <c r="A816" s="1">
        <v>2289.0</v>
      </c>
      <c r="B816" s="1" t="s">
        <v>381</v>
      </c>
      <c r="C816" s="1" t="s">
        <v>798</v>
      </c>
      <c r="D816" s="1" t="str">
        <f>IFERROR(__xludf.DUMMYFUNCTION("CONCATENATE(GOOGLETRANSLATE(C816, ""en"", ""zh-cn""))"),"女式纯色 V 领长袖休闲长连衣裙")</f>
        <v>女式纯色 V 领长袖休闲长连衣裙</v>
      </c>
      <c r="E816" s="1" t="str">
        <f>IFERROR(__xludf.DUMMYFUNCTION("CONCATENATE(GOOGLETRANSLATE(C816, ""en"", ""ko""))"),"여성 솔리드 컬러 V 넥 긴 소매 인과 맥시 드레스")</f>
        <v>여성 솔리드 컬러 V 넥 긴 소매 인과 맥시 드레스</v>
      </c>
      <c r="F816" s="1" t="str">
        <f>IFERROR(__xludf.DUMMYFUNCTION("CONCATENATE(GOOGLETRANSLATE(C816, ""en"", ""ja""))"),"女性ソリッドカラー V ネック長袖カジュアルマキシドレス")</f>
        <v>女性ソリッドカラー V ネック長袖カジュアルマキシドレス</v>
      </c>
    </row>
    <row r="817" ht="15.75" customHeight="1">
      <c r="A817" s="1">
        <v>2290.0</v>
      </c>
      <c r="B817" s="1" t="s">
        <v>381</v>
      </c>
      <c r="C817" s="1" t="s">
        <v>799</v>
      </c>
      <c r="D817" s="1" t="str">
        <f>IFERROR(__xludf.DUMMYFUNCTION("CONCATENATE(GOOGLETRANSLATE(C817, ""en"", ""zh-cn""))"),"条纹印花开衩下摆口袋 V 领连衣裙")</f>
        <v>条纹印花开衩下摆口袋 V 领连衣裙</v>
      </c>
      <c r="E817" s="1" t="str">
        <f>IFERROR(__xludf.DUMMYFUNCTION("CONCATENATE(GOOGLETRANSLATE(C817, ""en"", ""ko""))"),"스트라이프 프린트 슬릿 밑단 포켓 브이넥 드레스")</f>
        <v>스트라이프 프린트 슬릿 밑단 포켓 브이넥 드레스</v>
      </c>
      <c r="F817" s="1" t="str">
        <f>IFERROR(__xludf.DUMMYFUNCTION("CONCATENATE(GOOGLETRANSLATE(C817, ""en"", ""ja""))"),"ストライププリント スリット裾ポケット Vネックワンピース")</f>
        <v>ストライププリント スリット裾ポケット Vネックワンピース</v>
      </c>
    </row>
    <row r="818" ht="15.75" customHeight="1">
      <c r="A818" s="1">
        <v>2291.0</v>
      </c>
      <c r="B818" s="1" t="s">
        <v>381</v>
      </c>
      <c r="C818" s="1" t="s">
        <v>800</v>
      </c>
      <c r="D818" s="1" t="str">
        <f>IFERROR(__xludf.DUMMYFUNCTION("CONCATENATE(GOOGLETRANSLATE(C818, ""en"", ""zh-cn""))"),"蕾丝缝线 3/4 袖立领休闲连衣裙")</f>
        <v>蕾丝缝线 3/4 袖立领休闲连衣裙</v>
      </c>
      <c r="E818" s="1" t="str">
        <f>IFERROR(__xludf.DUMMYFUNCTION("CONCATENATE(GOOGLETRANSLATE(C818, ""en"", ""ko""))"),"레이스 스티치 3/4 슬리브 스탠드 칼라 캐주얼 드레스")</f>
        <v>레이스 스티치 3/4 슬리브 스탠드 칼라 캐주얼 드레스</v>
      </c>
      <c r="F818" s="1" t="str">
        <f>IFERROR(__xludf.DUMMYFUNCTION("CONCATENATE(GOOGLETRANSLATE(C818, ""en"", ""ja""))"),"レースステッチ七分袖スタンドカラーカジュアルワンピース")</f>
        <v>レースステッチ七分袖スタンドカラーカジュアルワンピース</v>
      </c>
    </row>
    <row r="819" ht="15.75" customHeight="1">
      <c r="A819" s="1">
        <v>2292.0</v>
      </c>
      <c r="B819" s="1" t="s">
        <v>381</v>
      </c>
      <c r="C819" s="1" t="s">
        <v>801</v>
      </c>
      <c r="D819" s="1" t="str">
        <f>IFERROR(__xludf.DUMMYFUNCTION("CONCATENATE(GOOGLETRANSLATE(C819, ""en"", ""zh-cn""))"),"圆点 V 领短袖印花开叉派对裹身超长连衣裙")</f>
        <v>圆点 V 领短袖印花开叉派对裹身超长连衣裙</v>
      </c>
      <c r="E819" s="1" t="str">
        <f>IFERROR(__xludf.DUMMYFUNCTION("CONCATENATE(GOOGLETRANSLATE(C819, ""en"", ""ko""))"),"폴카 도트 V 넥 반팔 프린트 스플릿 파티 랩 맥시 드레스")</f>
        <v>폴카 도트 V 넥 반팔 프린트 스플릿 파티 랩 맥시 드레스</v>
      </c>
      <c r="F819" s="1" t="str">
        <f>IFERROR(__xludf.DUMMYFUNCTION("CONCATENATE(GOOGLETRANSLATE(C819, ""en"", ""ja""))"),"水玉 V ネック半袖プリント スプリット パーティー ラップ マキシ ドレス")</f>
        <v>水玉 V ネック半袖プリント スプリット パーティー ラップ マキシ ドレス</v>
      </c>
    </row>
    <row r="820" ht="15.75" customHeight="1">
      <c r="A820" s="1">
        <v>2293.0</v>
      </c>
      <c r="B820" s="1" t="s">
        <v>381</v>
      </c>
      <c r="C820" s="1" t="s">
        <v>802</v>
      </c>
      <c r="D820" s="1" t="str">
        <f>IFERROR(__xludf.DUMMYFUNCTION("CONCATENATE(GOOGLETRANSLATE(C820, ""en"", ""zh-cn""))"),"女式豹纹 V 领泡泡袖系带超长连衣裙")</f>
        <v>女式豹纹 V 领泡泡袖系带超长连衣裙</v>
      </c>
      <c r="E820" s="1" t="str">
        <f>IFERROR(__xludf.DUMMYFUNCTION("CONCATENATE(GOOGLETRANSLATE(C820, ""en"", ""ko""))"),"여성용 레오파드 프린트 V 넥 퍼프 슬리브 레이스 업 맥시 드레스")</f>
        <v>여성용 레오파드 프린트 V 넥 퍼프 슬리브 레이스 업 맥시 드레스</v>
      </c>
      <c r="F820" s="1" t="str">
        <f>IFERROR(__xludf.DUMMYFUNCTION("CONCATENATE(GOOGLETRANSLATE(C820, ""en"", ""ja""))"),"女性のためのヒョウ柄 V ネック パフ スリーブ レースアップ マキシ ドレス")</f>
        <v>女性のためのヒョウ柄 V ネック パフ スリーブ レースアップ マキシ ドレス</v>
      </c>
    </row>
    <row r="821" ht="15.75" customHeight="1">
      <c r="A821" s="1">
        <v>2294.0</v>
      </c>
      <c r="B821" s="1" t="s">
        <v>381</v>
      </c>
      <c r="C821" s="1" t="s">
        <v>803</v>
      </c>
      <c r="D821" s="1" t="str">
        <f>IFERROR(__xludf.DUMMYFUNCTION("CONCATENATE(GOOGLETRANSLATE(C821, ""en"", ""zh-cn""))"),"女式 100% 纯棉纯色弧形下摆分驳领宽松衬衫连衣裙")</f>
        <v>女式 100% 纯棉纯色弧形下摆分驳领宽松衬衫连衣裙</v>
      </c>
      <c r="E821" s="1" t="str">
        <f>IFERROR(__xludf.DUMMYFUNCTION("CONCATENATE(GOOGLETRANSLATE(C821, ""en"", ""ko""))"),"여성 100% 코튼 솔리드 컬러 곡선 밑단 분할 라펠 루즈핏 셔츠 드레스")</f>
        <v>여성 100% 코튼 솔리드 컬러 곡선 밑단 분할 라펠 루즈핏 셔츠 드레스</v>
      </c>
      <c r="F821" s="1" t="str">
        <f>IFERROR(__xludf.DUMMYFUNCTION("CONCATENATE(GOOGLETRANSLATE(C821, ""en"", ""ja""))"),"女性 100% コットンソリッドカラーカーブヘムスプリットラペルルーズフィットシャツドレス")</f>
        <v>女性 100% コットンソリッドカラーカーブヘムスプリットラペルルーズフィットシャツドレス</v>
      </c>
    </row>
    <row r="822" ht="15.75" customHeight="1">
      <c r="A822" s="1">
        <v>2295.0</v>
      </c>
      <c r="B822" s="1" t="s">
        <v>381</v>
      </c>
      <c r="C822" s="1" t="s">
        <v>804</v>
      </c>
      <c r="D822" s="1" t="str">
        <f>IFERROR(__xludf.DUMMYFUNCTION("CONCATENATE(GOOGLETRANSLATE(C822, ""en"", ""zh-cn""))"),"女式休闲格子印花不规则开叉下摆超长衬衫连衣裙（带侧袋）")</f>
        <v>女式休闲格子印花不规则开叉下摆超长衬衫连衣裙（带侧袋）</v>
      </c>
      <c r="E822" s="1" t="str">
        <f>IFERROR(__xludf.DUMMYFUNCTION("CONCATENATE(GOOGLETRANSLATE(C822, ""en"", ""ko""))"),"여성 캐주얼 격자 무늬 프린트 불규칙한 스플릿 밑단 맥시 셔츠 드레스(사이드 포켓 ​​포함)")</f>
        <v>여성 캐주얼 격자 무늬 프린트 불규칙한 스플릿 밑단 맥시 셔츠 드레스(사이드 포켓 ​​포함)</v>
      </c>
      <c r="F822" s="1" t="str">
        <f>IFERROR(__xludf.DUMMYFUNCTION("CONCATENATE(GOOGLETRANSLATE(C822, ""en"", ""ja""))"),"女性カジュアルチェック柄プリント不規則なスプリットヘムマキシシャツドレスサイドポケット付き")</f>
        <v>女性カジュアルチェック柄プリント不規則なスプリットヘムマキシシャツドレスサイドポケット付き</v>
      </c>
    </row>
    <row r="823" ht="15.75" customHeight="1">
      <c r="A823" s="1">
        <v>2296.0</v>
      </c>
      <c r="B823" s="1" t="s">
        <v>381</v>
      </c>
      <c r="C823" s="1" t="s">
        <v>805</v>
      </c>
      <c r="D823" s="1" t="str">
        <f>IFERROR(__xludf.DUMMYFUNCTION("CONCATENATE(GOOGLETRANSLATE(C823, ""en"", ""zh-cn""))"),"女式纯棉荷叶边下摆分层 O 领分层连衣裙休闲长袖超长连衣裙")</f>
        <v>女式纯棉荷叶边下摆分层 O 领分层连衣裙休闲长袖超长连衣裙</v>
      </c>
      <c r="E823" s="1" t="str">
        <f>IFERROR(__xludf.DUMMYFUNCTION("CONCATENATE(GOOGLETRANSLATE(C823, ""en"", ""ko""))"),"여성 솔리드 코튼 프릴 밑단 레이어드 O 넥 티어드 드레스 캐주얼 긴팔 맥시 드레스")</f>
        <v>여성 솔리드 코튼 프릴 밑단 레이어드 O 넥 티어드 드레스 캐주얼 긴팔 맥시 드레스</v>
      </c>
      <c r="F823" s="1" t="str">
        <f>IFERROR(__xludf.DUMMYFUNCTION("CONCATENATE(GOOGLETRANSLATE(C823, ""en"", ""ja""))"),"女性ソリッドコットンフリル裾レイヤードOネックティアードドレスカジュアル長袖マキシドレス")</f>
        <v>女性ソリッドコットンフリル裾レイヤードOネックティアードドレスカジュアル長袖マキシドレス</v>
      </c>
    </row>
    <row r="824" ht="15.75" customHeight="1">
      <c r="A824" s="1">
        <v>2297.0</v>
      </c>
      <c r="B824" s="1" t="s">
        <v>381</v>
      </c>
      <c r="C824" s="1" t="s">
        <v>806</v>
      </c>
      <c r="D824" s="1" t="str">
        <f>IFERROR(__xludf.DUMMYFUNCTION("CONCATENATE(GOOGLETRANSLATE(C824, ""en"", ""zh-cn""))"),"女式休闲格子半纽扣长袖长连衣裙")</f>
        <v>女式休闲格子半纽扣长袖长连衣裙</v>
      </c>
      <c r="E824" s="1" t="str">
        <f>IFERROR(__xludf.DUMMYFUNCTION("CONCATENATE(GOOGLETRANSLATE(C824, ""en"", ""ko""))"),"여성 캐주얼 격자 무늬 반 단추 전면 긴 소매 맥시 드레스")</f>
        <v>여성 캐주얼 격자 무늬 반 단추 전면 긴 소매 맥시 드레스</v>
      </c>
      <c r="F824" s="1" t="str">
        <f>IFERROR(__xludf.DUMMYFUNCTION("CONCATENATE(GOOGLETRANSLATE(C824, ""en"", ""ja""))"),"女性カジュアルチェック柄ハーフボタンフロント長袖マキシドレス")</f>
        <v>女性カジュアルチェック柄ハーフボタンフロント長袖マキシドレス</v>
      </c>
    </row>
    <row r="825" ht="15.75" customHeight="1">
      <c r="A825" s="1">
        <v>2298.0</v>
      </c>
      <c r="B825" s="1" t="s">
        <v>381</v>
      </c>
      <c r="C825" s="1" t="s">
        <v>807</v>
      </c>
      <c r="D825" s="1" t="str">
        <f>IFERROR(__xludf.DUMMYFUNCTION("CONCATENATE(GOOGLETRANSLATE(C825, ""en"", ""zh-cn""))"),"女式休闲格子翻领长袖纽扣复古衬衫长连衣裙（带口袋）")</f>
        <v>女式休闲格子翻领长袖纽扣复古衬衫长连衣裙（带口袋）</v>
      </c>
      <c r="E825" s="1" t="str">
        <f>IFERROR(__xludf.DUMMYFUNCTION("CONCATENATE(GOOGLETRANSLATE(C825, ""en"", ""ko""))"),"여성 캐주얼 격자 무늬 옷깃 긴 소매 단추 빈티지 셔츠 포켓이 있는 맥시 드레스")</f>
        <v>여성 캐주얼 격자 무늬 옷깃 긴 소매 단추 빈티지 셔츠 포켓이 있는 맥시 드레스</v>
      </c>
      <c r="F825" s="1" t="str">
        <f>IFERROR(__xludf.DUMMYFUNCTION("CONCATENATE(GOOGLETRANSLATE(C825, ""en"", ""ja""))"),"女性カジュアルチェック柄ラペル長袖ボタンヴィンテージシャツマキシドレスポケット付き")</f>
        <v>女性カジュアルチェック柄ラペル長袖ボタンヴィンテージシャツマキシドレスポケット付き</v>
      </c>
    </row>
    <row r="826" ht="15.75" customHeight="1">
      <c r="A826" s="1">
        <v>2299.0</v>
      </c>
      <c r="B826" s="1" t="s">
        <v>381</v>
      </c>
      <c r="C826" s="1" t="s">
        <v>808</v>
      </c>
      <c r="D826" s="1" t="str">
        <f>IFERROR(__xludf.DUMMYFUNCTION("CONCATENATE(GOOGLETRANSLATE(C826, ""en"", ""zh-cn""))"),"女式花卉印花O领复古休闲长袖分层连衣裙（侧袋）")</f>
        <v>女式花卉印花O领复古休闲长袖分层连衣裙（侧袋）</v>
      </c>
      <c r="E826" s="1" t="str">
        <f>IFERROR(__xludf.DUMMYFUNCTION("CONCATENATE(GOOGLETRANSLATE(C826, ""en"", ""ko""))"),"여성 꽃 프린트 O-넥 레트로 캐주얼 긴 소매 레이어드 드레스와 사이드 포켓")</f>
        <v>여성 꽃 프린트 O-넥 레트로 캐주얼 긴 소매 레이어드 드레스와 사이드 포켓</v>
      </c>
      <c r="F826" s="1" t="str">
        <f>IFERROR(__xludf.DUMMYFUNCTION("CONCATENATE(GOOGLETRANSLATE(C826, ""en"", ""ja""))"),"女性の花柄 O ネック レトロ カジュアル長袖レイヤード ドレス サイド ポケット付き")</f>
        <v>女性の花柄 O ネック レトロ カジュアル長袖レイヤード ドレス サイド ポケット付き</v>
      </c>
    </row>
    <row r="827" ht="15.75" customHeight="1">
      <c r="A827" s="1">
        <v>2300.0</v>
      </c>
      <c r="B827" s="1" t="s">
        <v>381</v>
      </c>
      <c r="C827" s="1" t="s">
        <v>809</v>
      </c>
      <c r="D827" s="1" t="str">
        <f>IFERROR(__xludf.DUMMYFUNCTION("CONCATENATE(GOOGLETRANSLATE(C827, ""en"", ""zh-cn""))"),"女式豹纹翻领长袖侧袋衬衫超长连衣裙")</f>
        <v>女式豹纹翻领长袖侧袋衬衫超长连衣裙</v>
      </c>
      <c r="E827" s="1" t="str">
        <f>IFERROR(__xludf.DUMMYFUNCTION("CONCATENATE(GOOGLETRANSLATE(C827, ""en"", ""ko""))"),"여성 레오파드 프린트 옷깃 긴 소매 사이드 포켓 ​​셔츠 맥시 드레스")</f>
        <v>여성 레오파드 프린트 옷깃 긴 소매 사이드 포켓 ​​셔츠 맥시 드레스</v>
      </c>
      <c r="F827" s="1" t="str">
        <f>IFERROR(__xludf.DUMMYFUNCTION("CONCATENATE(GOOGLETRANSLATE(C827, ""en"", ""ja""))"),"女性ヒョウ柄ラペル長袖サイドポケットシャツマキシドレス")</f>
        <v>女性ヒョウ柄ラペル長袖サイドポケットシャツマキシドレス</v>
      </c>
    </row>
    <row r="828" ht="15.75" customHeight="1">
      <c r="A828" s="1">
        <v>2301.0</v>
      </c>
      <c r="B828" s="1" t="s">
        <v>381</v>
      </c>
      <c r="C828" s="1" t="s">
        <v>810</v>
      </c>
      <c r="D828" s="1" t="str">
        <f>IFERROR(__xludf.DUMMYFUNCTION("CONCATENATE(GOOGLETRANSLATE(C828, ""en"", ""zh-cn""))"),"纯色 V 领无袖荷叶边下摆褶裥超长连衣裙（带口袋）")</f>
        <v>纯色 V 领无袖荷叶边下摆褶裥超长连衣裙（带口袋）</v>
      </c>
      <c r="E828" s="1" t="str">
        <f>IFERROR(__xludf.DUMMYFUNCTION("CONCATENATE(GOOGLETRANSLATE(C828, ""en"", ""ko""))"),"솔리드 컬러 V 넥 민소매 프릴 밑단 주름 맥시 드레스 포켓 포함")</f>
        <v>솔리드 컬러 V 넥 민소매 프릴 밑단 주름 맥시 드레스 포켓 포함</v>
      </c>
      <c r="F828" s="1" t="str">
        <f>IFERROR(__xludf.DUMMYFUNCTION("CONCATENATE(GOOGLETRANSLATE(C828, ""en"", ""ja""))"),"ソリッドカラー Vネック ノースリーブ フリル裾 ポケット付き プリーツ マキシドレス")</f>
        <v>ソリッドカラー Vネック ノースリーブ フリル裾 ポケット付き プリーツ マキシドレス</v>
      </c>
    </row>
    <row r="829" ht="15.75" customHeight="1">
      <c r="A829" s="1">
        <v>2302.0</v>
      </c>
      <c r="B829" s="1" t="s">
        <v>381</v>
      </c>
      <c r="C829" s="1" t="s">
        <v>811</v>
      </c>
      <c r="D829" s="1" t="str">
        <f>IFERROR(__xludf.DUMMYFUNCTION("CONCATENATE(GOOGLETRANSLATE(C829, ""en"", ""zh-cn""))"),"女式短袖翻领带侧袋休闲度假连衣裙")</f>
        <v>女式短袖翻领带侧袋休闲度假连衣裙</v>
      </c>
      <c r="E829" s="1" t="str">
        <f>IFERROR(__xludf.DUMMYFUNCTION("CONCATENATE(GOOGLETRANSLATE(C829, ""en"", ""ko""))"),"여자를 위한 옆 주머니 우연한 휴일 복장을 가진 짧은 소매 옷깃")</f>
        <v>여자를 위한 옆 주머니 우연한 휴일 복장을 가진 짧은 소매 옷깃</v>
      </c>
      <c r="F829" s="1" t="str">
        <f>IFERROR(__xludf.DUMMYFUNCTION("CONCATENATE(GOOGLETRANSLATE(C829, ""en"", ""ja""))"),"女性のためのサイドポケット付き半袖ラペルカジュアルホリデードレス")</f>
        <v>女性のためのサイドポケット付き半袖ラペルカジュアルホリデードレス</v>
      </c>
    </row>
    <row r="830" ht="15.75" customHeight="1">
      <c r="A830" s="1">
        <v>2303.0</v>
      </c>
      <c r="B830" s="1" t="s">
        <v>381</v>
      </c>
      <c r="C830" s="1" t="s">
        <v>812</v>
      </c>
      <c r="D830" s="1" t="str">
        <f>IFERROR(__xludf.DUMMYFUNCTION("CONCATENATE(GOOGLETRANSLATE(C830, ""en"", ""zh-cn""))"),"女式泡泡袖荷叶边宽松 V 领休闲长连衣裙")</f>
        <v>女式泡泡袖荷叶边宽松 V 领休闲长连衣裙</v>
      </c>
      <c r="E830" s="1" t="str">
        <f>IFERROR(__xludf.DUMMYFUNCTION("CONCATENATE(GOOGLETRANSLATE(C830, ""en"", ""ko""))"),"퍼프 슬리브 프릴 루즈핏 V 넥 레저 맥시 드레스 여성용")</f>
        <v>퍼프 슬리브 프릴 루즈핏 V 넥 레저 맥시 드레스 여성용</v>
      </c>
      <c r="F830" s="1" t="str">
        <f>IFERROR(__xludf.DUMMYFUNCTION("CONCATENATE(GOOGLETRANSLATE(C830, ""en"", ""ja""))"),"女性のためのパフスリーブフリルルーズフィットVネックレジャーマキシドレス")</f>
        <v>女性のためのパフスリーブフリルルーズフィットVネックレジャーマキシドレス</v>
      </c>
    </row>
    <row r="831" ht="15.75" customHeight="1">
      <c r="A831" s="1">
        <v>2304.0</v>
      </c>
      <c r="B831" s="1" t="s">
        <v>381</v>
      </c>
      <c r="C831" s="1" t="s">
        <v>813</v>
      </c>
      <c r="D831" s="1" t="str">
        <f>IFERROR(__xludf.DUMMYFUNCTION("CONCATENATE(GOOGLETRANSLATE(C831, ""en"", ""zh-cn""))"),"女式 100% 棉长袍长袍蕾丝拼接休闲婚礼中长连衣裙")</f>
        <v>女式 100% 棉长袍长袍蕾丝拼接休闲婚礼中长连衣裙</v>
      </c>
      <c r="E831" s="1" t="str">
        <f>IFERROR(__xludf.DUMMYFUNCTION("CONCATENATE(GOOGLETRANSLATE(C831, ""en"", ""ko""))"),"여성 100% 면 아바야 카프탄 레이스 패치워크 캐주얼 웨딩 미디 드레스")</f>
        <v>여성 100% 면 아바야 카프탄 레이스 패치워크 캐주얼 웨딩 미디 드레스</v>
      </c>
      <c r="F831" s="1" t="str">
        <f>IFERROR(__xludf.DUMMYFUNCTION("CONCATENATE(GOOGLETRANSLATE(C831, ""en"", ""ja""))"),"女性 100% コットンアバヤカフタンレースパッチワークカジュアルウェディングミディドレス")</f>
        <v>女性 100% コットンアバヤカフタンレースパッチワークカジュアルウェディングミディドレス</v>
      </c>
    </row>
    <row r="832" ht="15.75" customHeight="1">
      <c r="A832" s="1">
        <v>2305.0</v>
      </c>
      <c r="B832" s="1" t="s">
        <v>381</v>
      </c>
      <c r="C832" s="1" t="s">
        <v>814</v>
      </c>
      <c r="D832" s="1" t="str">
        <f>IFERROR(__xludf.DUMMYFUNCTION("CONCATENATE(GOOGLETRANSLATE(C832, ""en"", ""zh-cn""))"),"纯色立领正面系扣休闲宽松长连衣裙（侧袋）")</f>
        <v>纯色立领正面系扣休闲宽松长连衣裙（侧袋）</v>
      </c>
      <c r="E832" s="1" t="str">
        <f>IFERROR(__xludf.DUMMYFUNCTION("CONCATENATE(GOOGLETRANSLATE(C832, ""en"", ""ko""))"),"솔리드 컬러 스탠드 칼라 버튼 다운 프론트 레저 루즈 맥시 드레스(사이드 포켓 ​​포함)")</f>
        <v>솔리드 컬러 스탠드 칼라 버튼 다운 프론트 레저 루즈 맥시 드레스(사이드 포켓 ​​포함)</v>
      </c>
      <c r="F832" s="1" t="str">
        <f>IFERROR(__xludf.DUMMYFUNCTION("CONCATENATE(GOOGLETRANSLATE(C832, ""en"", ""ja""))"),"ソリッドカラー スタンドカラー ボタンダウン フロント レジャー ルーズ マキシ ドレス サイドポケット付き")</f>
        <v>ソリッドカラー スタンドカラー ボタンダウン フロント レジャー ルーズ マキシ ドレス サイドポケット付き</v>
      </c>
    </row>
    <row r="833" ht="15.75" customHeight="1">
      <c r="A833" s="1">
        <v>2306.0</v>
      </c>
      <c r="B833" s="1" t="s">
        <v>381</v>
      </c>
      <c r="C833" s="1" t="s">
        <v>815</v>
      </c>
      <c r="D833" s="1" t="str">
        <f>IFERROR(__xludf.DUMMYFUNCTION("CONCATENATE(GOOGLETRANSLATE(C833, ""en"", ""zh-cn""))"),"女式花卉印花 O 领长袖波西米亚度假长连衣裙（带口袋）")</f>
        <v>女式花卉印花 O 领长袖波西米亚度假长连衣裙（带口袋）</v>
      </c>
      <c r="E833" s="1" t="str">
        <f>IFERROR(__xludf.DUMMYFUNCTION("CONCATENATE(GOOGLETRANSLATE(C833, ""en"", ""ko""))"),"여성 꽃 프린트 O 넥 긴 소매 보헤미안 홀리데이 맥시 드레스 (포켓 포함)")</f>
        <v>여성 꽃 프린트 O 넥 긴 소매 보헤미안 홀리데이 맥시 드레스 (포켓 포함)</v>
      </c>
      <c r="F833" s="1" t="str">
        <f>IFERROR(__xludf.DUMMYFUNCTION("CONCATENATE(GOOGLETRANSLATE(C833, ""en"", ""ja""))"),"女性の花柄 O ネック長袖ボヘミアン ホリデー マキシ ドレス ポケット付き")</f>
        <v>女性の花柄 O ネック長袖ボヘミアン ホリデー マキシ ドレス ポケット付き</v>
      </c>
    </row>
    <row r="834" ht="15.75" customHeight="1">
      <c r="A834" s="1">
        <v>2307.0</v>
      </c>
      <c r="B834" s="1" t="s">
        <v>381</v>
      </c>
      <c r="C834" s="1" t="s">
        <v>816</v>
      </c>
      <c r="D834" s="1" t="str">
        <f>IFERROR(__xludf.DUMMYFUNCTION("CONCATENATE(GOOGLETRANSLATE(C834, ""en"", ""zh-cn""))"),"蕾丝拼接 A 字型 O 领纯色长袖穆斯林连衣裙女式长袍长袍")</f>
        <v>蕾丝拼接 A 字型 O 领纯色长袖穆斯林连衣裙女式长袍长袍</v>
      </c>
      <c r="E834" s="1" t="str">
        <f>IFERROR(__xludf.DUMMYFUNCTION("CONCATENATE(GOOGLETRANSLATE(C834, ""en"", ""ko""))"),"레이스 스티치 A라인 O-넥 솔리드 컬러 긴 소매 이슬람 드레스 Abaya Kaftan 여성용")</f>
        <v>레이스 스티치 A라인 O-넥 솔리드 컬러 긴 소매 이슬람 드레스 Abaya Kaftan 여성용</v>
      </c>
      <c r="F834" s="1" t="str">
        <f>IFERROR(__xludf.DUMMYFUNCTION("CONCATENATE(GOOGLETRANSLATE(C834, ""en"", ""ja""))"),"レースステッチ Aライン Oネック ソリッドカラー 長袖 イスラム教徒ドレス アバヤ カフタン 女性用")</f>
        <v>レースステッチ Aライン Oネック ソリッドカラー 長袖 イスラム教徒ドレス アバヤ カフタン 女性用</v>
      </c>
    </row>
    <row r="835" ht="15.75" customHeight="1">
      <c r="A835" s="1">
        <v>2308.0</v>
      </c>
      <c r="B835" s="1" t="s">
        <v>381</v>
      </c>
      <c r="C835" s="1" t="s">
        <v>817</v>
      </c>
      <c r="D835" s="1" t="str">
        <f>IFERROR(__xludf.DUMMYFUNCTION("CONCATENATE(GOOGLETRANSLATE(C835, ""en"", ""zh-cn""))"),"女式长袍长袍两件式可拆卸外蝙蝠长袖超长连衣裙")</f>
        <v>女式长袍长袍两件式可拆卸外蝙蝠长袖超长连衣裙</v>
      </c>
      <c r="E835" s="1" t="str">
        <f>IFERROR(__xludf.DUMMYFUNCTION("CONCATENATE(GOOGLETRANSLATE(C835, ""en"", ""ko""))"),"여성 Kaftan 튜닉 투피스 분리형 외부 박쥐 긴 소매 맥시 드레스")</f>
        <v>여성 Kaftan 튜닉 투피스 분리형 외부 박쥐 긴 소매 맥시 드레스</v>
      </c>
      <c r="F835" s="1" t="str">
        <f>IFERROR(__xludf.DUMMYFUNCTION("CONCATENATE(GOOGLETRANSLATE(C835, ""en"", ""ja""))"),"女性カフタンチュニックツーピース取り外し可能な外側バット長袖マキシドレス")</f>
        <v>女性カフタンチュニックツーピース取り外し可能な外側バット長袖マキシドレス</v>
      </c>
    </row>
    <row r="836" ht="15.75" customHeight="1">
      <c r="A836" s="1">
        <v>2309.0</v>
      </c>
      <c r="B836" s="1" t="s">
        <v>381</v>
      </c>
      <c r="C836" s="1" t="s">
        <v>818</v>
      </c>
      <c r="D836" s="1" t="str">
        <f>IFERROR(__xludf.DUMMYFUNCTION("CONCATENATE(GOOGLETRANSLATE(C836, ""en"", ""zh-cn""))"),"女式复古条纹艺术 O 领短袖绿色中小腿连衣裙")</f>
        <v>女式复古条纹艺术 O 领短袖绿色中小腿连衣裙</v>
      </c>
      <c r="E836" s="1" t="str">
        <f>IFERROR(__xludf.DUMMYFUNCTION("CONCATENATE(GOOGLETRANSLATE(C836, ""en"", ""ko""))"),"여성 빈티지 스트라이프 예술적인 O 넥 짧은 소매 녹색 종아리 중간 길이 드레스")</f>
        <v>여성 빈티지 스트라이프 예술적인 O 넥 짧은 소매 녹색 종아리 중간 길이 드레스</v>
      </c>
      <c r="F836" s="1" t="str">
        <f>IFERROR(__xludf.DUMMYFUNCTION("CONCATENATE(GOOGLETRANSLATE(C836, ""en"", ""ja""))"),"女性ヴィンテージストライプ芸術的 O ネック半袖グリーンふくらはぎ丈ドレス")</f>
        <v>女性ヴィンテージストライプ芸術的 O ネック半袖グリーンふくらはぎ丈ドレス</v>
      </c>
    </row>
    <row r="837" ht="15.75" customHeight="1">
      <c r="A837" s="1">
        <v>2310.0</v>
      </c>
      <c r="B837" s="1" t="s">
        <v>381</v>
      </c>
      <c r="C837" s="1" t="s">
        <v>819</v>
      </c>
      <c r="D837" s="1" t="str">
        <f>IFERROR(__xludf.DUMMYFUNCTION("CONCATENATE(GOOGLETRANSLATE(C837, ""en"", ""zh-cn""))"),"口袋花卉印花圆领无袖超长连衣裙")</f>
        <v>口袋花卉印花圆领无袖超长连衣裙</v>
      </c>
      <c r="E837" s="1" t="str">
        <f>IFERROR(__xludf.DUMMYFUNCTION("CONCATENATE(GOOGLETRANSLATE(C837, ""en"", ""ko""))"),"포켓 플로럴 프린트 라운드넥 민소매 맥시 드레스")</f>
        <v>포켓 플로럴 프린트 라운드넥 민소매 맥시 드레스</v>
      </c>
      <c r="F837" s="1" t="str">
        <f>IFERROR(__xludf.DUMMYFUNCTION("CONCATENATE(GOOGLETRANSLATE(C837, ""en"", ""ja""))"),"ポケット花柄ラウンドネックノースリーブマキシドレス")</f>
        <v>ポケット花柄ラウンドネックノースリーブマキシドレス</v>
      </c>
    </row>
    <row r="838" ht="15.75" customHeight="1">
      <c r="A838" s="1">
        <v>2311.0</v>
      </c>
      <c r="B838" s="1" t="s">
        <v>381</v>
      </c>
      <c r="C838" s="1" t="s">
        <v>820</v>
      </c>
      <c r="D838" s="1" t="str">
        <f>IFERROR(__xludf.DUMMYFUNCTION("CONCATENATE(GOOGLETRANSLATE(C838, ""en"", ""zh-cn""))"),"格子拼色口袋纽扣褶皱短袖中长连衣裙")</f>
        <v>格子拼色口袋纽扣褶皱短袖中长连衣裙</v>
      </c>
      <c r="E838" s="1" t="str">
        <f>IFERROR(__xludf.DUMMYFUNCTION("CONCATENATE(GOOGLETRANSLATE(C838, ""en"", ""ko""))"),"체크 무늬 컬러 블록 포켓 버튼 주름 장식 반소매 미디 드레스")</f>
        <v>체크 무늬 컬러 블록 포켓 버튼 주름 장식 반소매 미디 드레스</v>
      </c>
      <c r="F838" s="1" t="str">
        <f>IFERROR(__xludf.DUMMYFUNCTION("CONCATENATE(GOOGLETRANSLATE(C838, ""en"", ""ja""))"),"チェック柄カラーブロックポケットボタンシャーリング半袖ミディドレス")</f>
        <v>チェック柄カラーブロックポケットボタンシャーリング半袖ミディドレス</v>
      </c>
    </row>
    <row r="839" ht="15.75" customHeight="1">
      <c r="A839" s="1">
        <v>2312.0</v>
      </c>
      <c r="B839" s="1" t="s">
        <v>381</v>
      </c>
      <c r="C839" s="1" t="s">
        <v>821</v>
      </c>
      <c r="D839" s="1" t="str">
        <f>IFERROR(__xludf.DUMMYFUNCTION("CONCATENATE(GOOGLETRANSLATE(C839, ""en"", ""zh-cn""))"),"花卉印花口袋半袖荷叶边休闲长连衣裙")</f>
        <v>花卉印花口袋半袖荷叶边休闲长连衣裙</v>
      </c>
      <c r="E839" s="1" t="str">
        <f>IFERROR(__xludf.DUMMYFUNCTION("CONCATENATE(GOOGLETRANSLATE(C839, ""en"", ""ko""))"),"플로럴 프린트 포켓 하프 슬리브 러플 캐주얼 맥시 드레스")</f>
        <v>플로럴 프린트 포켓 하프 슬리브 러플 캐주얼 맥시 드레스</v>
      </c>
      <c r="F839" s="1" t="str">
        <f>IFERROR(__xludf.DUMMYFUNCTION("CONCATENATE(GOOGLETRANSLATE(C839, ""en"", ""ja""))"),"花柄ポケット五分袖フリルカジュアルマキシドレス")</f>
        <v>花柄ポケット五分袖フリルカジュアルマキシドレス</v>
      </c>
    </row>
    <row r="840" ht="15.75" customHeight="1">
      <c r="A840" s="1">
        <v>2313.0</v>
      </c>
      <c r="B840" s="1" t="s">
        <v>381</v>
      </c>
      <c r="C840" s="1" t="s">
        <v>822</v>
      </c>
      <c r="D840" s="1" t="str">
        <f>IFERROR(__xludf.DUMMYFUNCTION("CONCATENATE(GOOGLETRANSLATE(C840, ""en"", ""zh-cn""))"),"抽象彩绘纽扣口袋无袖休闲中长连衣裙")</f>
        <v>抽象彩绘纽扣口袋无袖休闲中长连衣裙</v>
      </c>
      <c r="E840" s="1" t="str">
        <f>IFERROR(__xludf.DUMMYFUNCTION("CONCATENATE(GOOGLETRANSLATE(C840, ""en"", ""ko""))"),"추상 페인팅 버튼 포켓 민소매 캐주얼 미디 드레스")</f>
        <v>추상 페인팅 버튼 포켓 민소매 캐주얼 미디 드레스</v>
      </c>
      <c r="F840" s="1" t="str">
        <f>IFERROR(__xludf.DUMMYFUNCTION("CONCATENATE(GOOGLETRANSLATE(C840, ""en"", ""ja""))"),"抽象的なペイント ボタン ポケット ノースリーブ カジュアル ミディ ドレス")</f>
        <v>抽象的なペイント ボタン ポケット ノースリーブ カジュアル ミディ ドレス</v>
      </c>
    </row>
    <row r="841" ht="15.75" customHeight="1">
      <c r="A841" s="1">
        <v>2314.0</v>
      </c>
      <c r="B841" s="1" t="s">
        <v>381</v>
      </c>
      <c r="C841" s="1" t="s">
        <v>823</v>
      </c>
      <c r="D841" s="1" t="str">
        <f>IFERROR(__xludf.DUMMYFUNCTION("CONCATENATE(GOOGLETRANSLATE(C841, ""en"", ""zh-cn""))"),"纯色口袋短袖圆领棉质休闲连衣裙")</f>
        <v>纯色口袋短袖圆领棉质休闲连衣裙</v>
      </c>
      <c r="E841" s="1" t="str">
        <f>IFERROR(__xludf.DUMMYFUNCTION("CONCATENATE(GOOGLETRANSLATE(C841, ""en"", ""ko""))"),"솔리드 포켓 반팔 라운드넥 코튼 캐주얼 드레스")</f>
        <v>솔리드 포켓 반팔 라운드넥 코튼 캐주얼 드레스</v>
      </c>
      <c r="F841" s="1" t="str">
        <f>IFERROR(__xludf.DUMMYFUNCTION("CONCATENATE(GOOGLETRANSLATE(C841, ""en"", ""ja""))"),"ソリッドポケット半袖ラウンドネックコットンカジュアルドレス")</f>
        <v>ソリッドポケット半袖ラウンドネックコットンカジュアルドレス</v>
      </c>
    </row>
    <row r="842" ht="15.75" customHeight="1">
      <c r="A842" s="1">
        <v>2315.0</v>
      </c>
      <c r="B842" s="1" t="s">
        <v>381</v>
      </c>
      <c r="C842" s="1" t="s">
        <v>824</v>
      </c>
      <c r="D842" s="1" t="str">
        <f>IFERROR(__xludf.DUMMYFUNCTION("CONCATENATE(GOOGLETRANSLATE(C842, ""en"", ""zh-cn""))"),"印花纽扣口袋翻领短袖休闲中长连衣裙")</f>
        <v>印花纽扣口袋翻领短袖休闲中长连衣裙</v>
      </c>
      <c r="E842" s="1" t="str">
        <f>IFERROR(__xludf.DUMMYFUNCTION("CONCATENATE(GOOGLETRANSLATE(C842, ""en"", ""ko""))"),"프린트 버튼 포켓 라펠 반소매 캐주얼 미디 드레스")</f>
        <v>프린트 버튼 포켓 라펠 반소매 캐주얼 미디 드레스</v>
      </c>
      <c r="F842" s="1" t="str">
        <f>IFERROR(__xludf.DUMMYFUNCTION("CONCATENATE(GOOGLETRANSLATE(C842, ""en"", ""ja""))"),"プリント ボタン ポケット ラペル 半袖 カジュアル ミディ ドレス")</f>
        <v>プリント ボタン ポケット ラペル 半袖 カジュアル ミディ ドレス</v>
      </c>
    </row>
    <row r="843" ht="15.75" customHeight="1">
      <c r="A843" s="1">
        <v>2316.0</v>
      </c>
      <c r="B843" s="1" t="s">
        <v>381</v>
      </c>
      <c r="C843" s="1" t="s">
        <v>825</v>
      </c>
      <c r="D843" s="1" t="str">
        <f>IFERROR(__xludf.DUMMYFUNCTION("CONCATENATE(GOOGLETRANSLATE(C843, ""en"", ""zh-cn""))"),"隐形拉链纯色短袖圆领休闲连衣裙")</f>
        <v>隐形拉链纯色短袖圆领休闲连衣裙</v>
      </c>
      <c r="E843" s="1" t="str">
        <f>IFERROR(__xludf.DUMMYFUNCTION("CONCATENATE(GOOGLETRANSLATE(C843, ""en"", ""ko""))"),"인비저블 지퍼 솔리드 반소매 크루넥 캐주얼 드레스")</f>
        <v>인비저블 지퍼 솔리드 반소매 크루넥 캐주얼 드레스</v>
      </c>
      <c r="F843" s="1" t="str">
        <f>IFERROR(__xludf.DUMMYFUNCTION("CONCATENATE(GOOGLETRANSLATE(C843, ""en"", ""ja""))"),"インビジブルジップソリッド半袖クルーネックカジュアルドレス")</f>
        <v>インビジブルジップソリッド半袖クルーネックカジュアルドレス</v>
      </c>
    </row>
    <row r="844" ht="15.75" customHeight="1">
      <c r="A844" s="1">
        <v>2317.0</v>
      </c>
      <c r="B844" s="1" t="s">
        <v>381</v>
      </c>
      <c r="C844" s="1" t="s">
        <v>826</v>
      </c>
      <c r="D844" s="1" t="str">
        <f>IFERROR(__xludf.DUMMYFUNCTION("CONCATENATE(GOOGLETRANSLATE(C844, ""en"", ""zh-cn""))"),"女式纯色口袋细肩带露背连衣裙")</f>
        <v>女式纯色口袋细肩带露背连衣裙</v>
      </c>
      <c r="E844" s="1" t="str">
        <f>IFERROR(__xludf.DUMMYFUNCTION("CONCATENATE(GOOGLETRANSLATE(C844, ""en"", ""ko""))"),"여성용 솔리드 포켓 스파게티 스트랩 백리스 드레스")</f>
        <v>여성용 솔리드 포켓 스파게티 스트랩 백리스 드레스</v>
      </c>
      <c r="F844" s="1" t="str">
        <f>IFERROR(__xludf.DUMMYFUNCTION("CONCATENATE(GOOGLETRANSLATE(C844, ""en"", ""ja""))"),"女性のためのソリッドポケットスパゲッティストラップバックレスドレス")</f>
        <v>女性のためのソリッドポケットスパゲッティストラップバックレスドレス</v>
      </c>
    </row>
    <row r="845" ht="15.75" customHeight="1">
      <c r="A845" s="1">
        <v>2318.0</v>
      </c>
      <c r="B845" s="1" t="s">
        <v>381</v>
      </c>
      <c r="C845" s="1" t="s">
        <v>827</v>
      </c>
      <c r="D845" s="1" t="str">
        <f>IFERROR(__xludf.DUMMYFUNCTION("CONCATENATE(GOOGLETRANSLATE(C845, ""en"", ""zh-cn""))"),"纯色荷叶边下摆口袋短袖圆领休闲连衣裙")</f>
        <v>纯色荷叶边下摆口袋短袖圆领休闲连衣裙</v>
      </c>
      <c r="E845" s="1" t="str">
        <f>IFERROR(__xludf.DUMMYFUNCTION("CONCATENATE(GOOGLETRANSLATE(C845, ""en"", ""ko""))"),"솔리드 프릴 밑단 포켓 반소매 크루넥 캐주얼 드레스")</f>
        <v>솔리드 프릴 밑단 포켓 반소매 크루넥 캐주얼 드레스</v>
      </c>
      <c r="F845" s="1" t="str">
        <f>IFERROR(__xludf.DUMMYFUNCTION("CONCATENATE(GOOGLETRANSLATE(C845, ""en"", ""ja""))"),"ソリッドフリル裾ポケット半袖クルーネックカジュアルドレス")</f>
        <v>ソリッドフリル裾ポケット半袖クルーネックカジュアルドレス</v>
      </c>
    </row>
    <row r="846" ht="15.75" customHeight="1">
      <c r="A846" s="1">
        <v>2319.0</v>
      </c>
      <c r="B846" s="1" t="s">
        <v>381</v>
      </c>
      <c r="C846" s="1" t="s">
        <v>828</v>
      </c>
      <c r="D846" s="1" t="str">
        <f>IFERROR(__xludf.DUMMYFUNCTION("CONCATENATE(GOOGLETRANSLATE(C846, ""en"", ""zh-cn""))"),"纯色正面纽扣短袖翻领衬衫连衣裙")</f>
        <v>纯色正面纽扣短袖翻领衬衫连衣裙</v>
      </c>
      <c r="E846" s="1" t="str">
        <f>IFERROR(__xludf.DUMMYFUNCTION("CONCATENATE(GOOGLETRANSLATE(C846, ""en"", ""ko""))"),"솔리드 버튼 프론트 반소매 라펠 셔츠 드레스")</f>
        <v>솔리드 버튼 프론트 반소매 라펠 셔츠 드레스</v>
      </c>
      <c r="F846" s="1" t="str">
        <f>IFERROR(__xludf.DUMMYFUNCTION("CONCATENATE(GOOGLETRANSLATE(C846, ""en"", ""ja""))"),"ソリッドボタンフロント半袖ラペルシャツドレス")</f>
        <v>ソリッドボタンフロント半袖ラペルシャツドレス</v>
      </c>
    </row>
    <row r="847" ht="15.75" customHeight="1">
      <c r="A847" s="1">
        <v>2320.0</v>
      </c>
      <c r="B847" s="1" t="s">
        <v>381</v>
      </c>
      <c r="C847" s="1" t="s">
        <v>829</v>
      </c>
      <c r="D847" s="1" t="str">
        <f>IFERROR(__xludf.DUMMYFUNCTION("CONCATENATE(GOOGLETRANSLATE(C847, ""en"", ""zh-cn""))"),"女式纯色翻领时尚大摆休闲无袖超长连衣裙")</f>
        <v>女式纯色翻领时尚大摆休闲无袖超长连衣裙</v>
      </c>
      <c r="E847" s="1" t="str">
        <f>IFERROR(__xludf.DUMMYFUNCTION("CONCATENATE(GOOGLETRANSLATE(C847, ""en"", ""ko""))"),"여성 퓨어 컬러 옷깃 세련된 빅 스윙 캐주얼 민소매 맥시 드레스")</f>
        <v>여성 퓨어 컬러 옷깃 세련된 빅 스윙 캐주얼 민소매 맥시 드레스</v>
      </c>
      <c r="F847" s="1" t="str">
        <f>IFERROR(__xludf.DUMMYFUNCTION("CONCATENATE(GOOGLETRANSLATE(C847, ""en"", ""ja""))"),"女性ピュアカラーラペルスタイリッシュなビッグスイングカジュアルノースリーブマキシドレス")</f>
        <v>女性ピュアカラーラペルスタイリッシュなビッグスイングカジュアルノースリーブマキシドレス</v>
      </c>
    </row>
    <row r="848" ht="15.75" customHeight="1">
      <c r="A848" s="1">
        <v>2321.0</v>
      </c>
      <c r="B848" s="1" t="s">
        <v>381</v>
      </c>
      <c r="C848" s="1" t="s">
        <v>830</v>
      </c>
      <c r="D848" s="1" t="str">
        <f>IFERROR(__xludf.DUMMYFUNCTION("CONCATENATE(GOOGLETRANSLATE(C848, ""en"", ""zh-cn""))"),"圆点纽扣口袋短袖中长连衣裙")</f>
        <v>圆点纽扣口袋短袖中长连衣裙</v>
      </c>
      <c r="E848" s="1" t="str">
        <f>IFERROR(__xludf.DUMMYFUNCTION("CONCATENATE(GOOGLETRANSLATE(C848, ""en"", ""ko""))"),"폴카 도트 버튼 포켓 반팔 미디 드레스")</f>
        <v>폴카 도트 버튼 포켓 반팔 미디 드레스</v>
      </c>
      <c r="F848" s="1" t="str">
        <f>IFERROR(__xludf.DUMMYFUNCTION("CONCATENATE(GOOGLETRANSLATE(C848, ""en"", ""ja""))"),"ポルカドットボタンポケット半袖ミディドレス")</f>
        <v>ポルカドットボタンポケット半袖ミディドレス</v>
      </c>
    </row>
    <row r="849" ht="15.75" customHeight="1">
      <c r="A849" s="1">
        <v>2322.0</v>
      </c>
      <c r="B849" s="1" t="s">
        <v>381</v>
      </c>
      <c r="C849" s="1" t="s">
        <v>831</v>
      </c>
      <c r="D849" s="1" t="str">
        <f>IFERROR(__xludf.DUMMYFUNCTION("CONCATENATE(GOOGLETRANSLATE(C849, ""en"", ""zh-cn""))"),"女式纯色牛仔布系扣松紧袖口长袍宽松长裙")</f>
        <v>女式纯色牛仔布系扣松紧袖口长袍宽松长裙</v>
      </c>
      <c r="E849" s="1" t="str">
        <f>IFERROR(__xludf.DUMMYFUNCTION("CONCATENATE(GOOGLETRANSLATE(C849, ""en"", ""ko""))"),"여성 솔리드 데님 버튼 다운 신축성 있는 커프스 카프탄 루즈 맥시 드레스")</f>
        <v>여성 솔리드 데님 버튼 다운 신축성 있는 커프스 카프탄 루즈 맥시 드레스</v>
      </c>
      <c r="F849" s="1" t="str">
        <f>IFERROR(__xludf.DUMMYFUNCTION("CONCATENATE(GOOGLETRANSLATE(C849, ""en"", ""ja""))"),"女性ソリッドデニムボタンダウン弾性袖口カフタンルーズマキシドレス")</f>
        <v>女性ソリッドデニムボタンダウン弾性袖口カフタンルーズマキシドレス</v>
      </c>
    </row>
    <row r="850" ht="15.75" customHeight="1">
      <c r="A850" s="1">
        <v>2323.0</v>
      </c>
      <c r="B850" s="1" t="s">
        <v>381</v>
      </c>
      <c r="C850" s="1" t="s">
        <v>832</v>
      </c>
      <c r="D850" s="1" t="str">
        <f>IFERROR(__xludf.DUMMYFUNCTION("CONCATENATE(GOOGLETRANSLATE(C850, ""en"", ""zh-cn""))"),"女式全身花卉印花泡泡袖荷叶边下摆休闲度假分层连衣裙")</f>
        <v>女式全身花卉印花泡泡袖荷叶边下摆休闲度假分层连衣裙</v>
      </c>
      <c r="E850" s="1" t="str">
        <f>IFERROR(__xludf.DUMMYFUNCTION("CONCATENATE(GOOGLETRANSLATE(C850, ""en"", ""ko""))"),"여성 올오버 꽃 프린트 퍼프 슬리브 러플 밑단 캐주얼 홀리데이 레이어드 드레스")</f>
        <v>여성 올오버 꽃 프린트 퍼프 슬리브 러플 밑단 캐주얼 홀리데이 레이어드 드레스</v>
      </c>
      <c r="F850" s="1" t="str">
        <f>IFERROR(__xludf.DUMMYFUNCTION("CONCATENATE(GOOGLETRANSLATE(C850, ""en"", ""ja""))"),"女性総花柄パフスリーブフリル裾カジュアルホリデーレイヤードドレス")</f>
        <v>女性総花柄パフスリーブフリル裾カジュアルホリデーレイヤードドレス</v>
      </c>
    </row>
    <row r="851" ht="15.75" customHeight="1">
      <c r="A851" s="1">
        <v>2324.0</v>
      </c>
      <c r="B851" s="1" t="s">
        <v>381</v>
      </c>
      <c r="C851" s="1" t="s">
        <v>833</v>
      </c>
      <c r="D851" s="1" t="str">
        <f>IFERROR(__xludf.DUMMYFUNCTION("CONCATENATE(GOOGLETRANSLATE(C851, ""en"", ""zh-cn""))"),"女式竖条纹翻领长袖衬衫长裙配腰带")</f>
        <v>女式竖条纹翻领长袖衬衫长裙配腰带</v>
      </c>
      <c r="E851" s="1" t="str">
        <f>IFERROR(__xludf.DUMMYFUNCTION("CONCATENATE(GOOGLETRANSLATE(C851, ""en"", ""ko""))"),"여성 수직 줄무늬 옷깃 Kaftan 긴 소매 셔츠 벨트와 맥시 드레스")</f>
        <v>여성 수직 줄무늬 옷깃 Kaftan 긴 소매 셔츠 벨트와 맥시 드레스</v>
      </c>
      <c r="F851" s="1" t="str">
        <f>IFERROR(__xludf.DUMMYFUNCTION("CONCATENATE(GOOGLETRANSLATE(C851, ""en"", ""ja""))"),"女性縦ストライプラペルカフタン長袖シャツマキシドレスベルト付き")</f>
        <v>女性縦ストライプラペルカフタン長袖シャツマキシドレスベルト付き</v>
      </c>
    </row>
    <row r="852" ht="15.75" customHeight="1">
      <c r="A852" s="1">
        <v>2325.0</v>
      </c>
      <c r="B852" s="1" t="s">
        <v>381</v>
      </c>
      <c r="C852" s="1" t="s">
        <v>834</v>
      </c>
      <c r="D852" s="1" t="str">
        <f>IFERROR(__xludf.DUMMYFUNCTION("CONCATENATE(GOOGLETRANSLATE(C852, ""en"", ""zh-cn""))"),"女式 O 领花卉宽松波西米亚休闲夏季连衣裙")</f>
        <v>女式 O 领花卉宽松波西米亚休闲夏季连衣裙</v>
      </c>
      <c r="E852" s="1" t="str">
        <f>IFERROR(__xludf.DUMMYFUNCTION("CONCATENATE(GOOGLETRANSLATE(C852, ""en"", ""ko""))"),"여성을 위한 O-넥 꽃무늬 루즈 보헤미안 캐주얼 여름 드레스")</f>
        <v>여성을 위한 O-넥 꽃무늬 루즈 보헤미안 캐주얼 여름 드레스</v>
      </c>
      <c r="F852" s="1" t="str">
        <f>IFERROR(__xludf.DUMMYFUNCTION("CONCATENATE(GOOGLETRANSLATE(C852, ""en"", ""ja""))"),"女性のための O ネック花柄ルーズボヘミアンカジュアルサマードレス")</f>
        <v>女性のための O ネック花柄ルーズボヘミアンカジュアルサマードレス</v>
      </c>
    </row>
    <row r="853" ht="15.75" customHeight="1">
      <c r="A853" s="1">
        <v>2326.0</v>
      </c>
      <c r="B853" s="1" t="s">
        <v>381</v>
      </c>
      <c r="C853" s="1" t="s">
        <v>835</v>
      </c>
      <c r="D853" s="1" t="str">
        <f>IFERROR(__xludf.DUMMYFUNCTION("CONCATENATE(GOOGLETRANSLATE(C853, ""en"", ""zh-cn""))"),"女式花卉印花叠层连衣裙 O 领休闲长连衣裙（带侧袋）")</f>
        <v>女式花卉印花叠层连衣裙 O 领休闲长连衣裙（带侧袋）</v>
      </c>
      <c r="E853" s="1" t="str">
        <f>IFERROR(__xludf.DUMMYFUNCTION("CONCATENATE(GOOGLETRANSLATE(C853, ""en"", ""ko""))"),"여성 꽃무늬 티어드 드레스 오넥 캐주얼 맥시 드레스(사이드 포켓 ​​포함)")</f>
        <v>여성 꽃무늬 티어드 드레스 오넥 캐주얼 맥시 드레스(사이드 포켓 ​​포함)</v>
      </c>
      <c r="F853" s="1" t="str">
        <f>IFERROR(__xludf.DUMMYFUNCTION("CONCATENATE(GOOGLETRANSLATE(C853, ""en"", ""ja""))"),"女性フローラルプリントティアードドレスOネックカジュアルマキシドレスサイドポケット付き")</f>
        <v>女性フローラルプリントティアードドレスOネックカジュアルマキシドレスサイドポケット付き</v>
      </c>
    </row>
    <row r="854" ht="15.75" customHeight="1">
      <c r="A854" s="1">
        <v>2327.0</v>
      </c>
      <c r="B854" s="1" t="s">
        <v>381</v>
      </c>
      <c r="C854" s="1" t="s">
        <v>836</v>
      </c>
      <c r="D854" s="1" t="str">
        <f>IFERROR(__xludf.DUMMYFUNCTION("CONCATENATE(GOOGLETRANSLATE(C854, ""en"", ""zh-cn""))"),"纯色口袋短袖休闲中长连衣裙")</f>
        <v>纯色口袋短袖休闲中长连衣裙</v>
      </c>
      <c r="E854" s="1" t="str">
        <f>IFERROR(__xludf.DUMMYFUNCTION("CONCATENATE(GOOGLETRANSLATE(C854, ""en"", ""ko""))"),"솔리드 포켓 반팔 캐주얼 미디 드레스")</f>
        <v>솔리드 포켓 반팔 캐주얼 미디 드레스</v>
      </c>
      <c r="F854" s="1" t="str">
        <f>IFERROR(__xludf.DUMMYFUNCTION("CONCATENATE(GOOGLETRANSLATE(C854, ""en"", ""ja""))"),"ソリッドポケット半袖カジュアルミディドレス")</f>
        <v>ソリッドポケット半袖カジュアルミディドレス</v>
      </c>
    </row>
    <row r="855" ht="15.75" customHeight="1">
      <c r="A855" s="1">
        <v>2328.0</v>
      </c>
      <c r="B855" s="1" t="s">
        <v>381</v>
      </c>
      <c r="C855" s="1" t="s">
        <v>837</v>
      </c>
      <c r="D855" s="1" t="str">
        <f>IFERROR(__xludf.DUMMYFUNCTION("CONCATENATE(GOOGLETRANSLATE(C855, ""en"", ""zh-cn""))"),"女式复古圆领花卉印花无袖超长连衣裙")</f>
        <v>女式复古圆领花卉印花无袖超长连衣裙</v>
      </c>
      <c r="E855" s="1" t="str">
        <f>IFERROR(__xludf.DUMMYFUNCTION("CONCATENATE(GOOGLETRANSLATE(C855, ""en"", ""ko""))"),"여성 복고풍 O 넥 꽃 프린트 민소매 맥시 드레스")</f>
        <v>여성 복고풍 O 넥 꽃 프린트 민소매 맥시 드레스</v>
      </c>
      <c r="F855" s="1" t="str">
        <f>IFERROR(__xludf.DUMMYFUNCTION("CONCATENATE(GOOGLETRANSLATE(C855, ""en"", ""ja""))"),"女性のレトロな O ネック花柄ノースリーブ マキシドレス")</f>
        <v>女性のレトロな O ネック花柄ノースリーブ マキシドレス</v>
      </c>
    </row>
    <row r="856" ht="15.75" customHeight="1">
      <c r="A856" s="1">
        <v>2329.0</v>
      </c>
      <c r="B856" s="1" t="s">
        <v>381</v>
      </c>
      <c r="C856" s="1" t="s">
        <v>838</v>
      </c>
      <c r="D856" s="1" t="str">
        <f>IFERROR(__xludf.DUMMYFUNCTION("CONCATENATE(GOOGLETRANSLATE(C856, ""en"", ""zh-cn""))"),"Blitzwolf® BW-VP1-Pro 液晶投影仪 2800 流明手机同屏版本支持 1080P 输入杜比音频无线便携式智能家庭影院投影仪投影仪")</f>
        <v>Blitzwolf® BW-VP1-Pro 液晶投影仪 2800 流明手机同屏版本支持 1080P 输入杜比音频无线便携式智能家庭影院投影仪投影仪</v>
      </c>
      <c r="E856" s="1" t="str">
        <f>IFERROR(__xludf.DUMMYFUNCTION("CONCATENATE(GOOGLETRANSLATE(C856, ""en"", ""ko""))"),"Blitzwolf® BW-VP1-Pro LCD 프로젝터 2800 루멘 전화 동일한 화면 버전 지원 1080P 입력 Dolby Audio 무선 휴대용 스마트 홈 시어터 프로젝터 비머")</f>
        <v>Blitzwolf® BW-VP1-Pro LCD 프로젝터 2800 루멘 전화 동일한 화면 버전 지원 1080P 입력 Dolby Audio 무선 휴대용 스마트 홈 시어터 프로젝터 비머</v>
      </c>
      <c r="F856" s="1" t="str">
        <f>IFERROR(__xludf.DUMMYFUNCTION("CONCATENATE(GOOGLETRANSLATE(C856, ""en"", ""ja""))"),"Blitzwolf® BW-VP1-Pro LCD プロジェクター 2800 ルーメン 携帯電話 同じスクリーン バージョン サポート 1080P 入力 ドルビー オーディオ ワイヤレス ポータブル スマート ホーム シアター プロジェクター ビーマー")</f>
        <v>Blitzwolf® BW-VP1-Pro LCD プロジェクター 2800 ルーメン 携帯電話 同じスクリーン バージョン サポート 1080P 入力 ドルビー オーディオ ワイヤレス ポータブル スマート ホーム シアター プロジェクター ビーマー</v>
      </c>
    </row>
    <row r="857" ht="15.75" customHeight="1">
      <c r="A857" s="1">
        <v>2330.0</v>
      </c>
      <c r="B857" s="1" t="s">
        <v>381</v>
      </c>
      <c r="C857" s="1" t="s">
        <v>839</v>
      </c>
      <c r="D857" s="1" t="str">
        <f>IFERROR(__xludf.DUMMYFUNCTION("CONCATENATE(GOOGLETRANSLATE(C857, ""en"", ""zh-cn""))"),"TWO TREES® 灯丝断裂检测模块，带 1M 电缆跳动传感器材料跳动检测器，适用于 Ender 3 CR10 3D 打印机")</f>
        <v>TWO TREES® 灯丝断裂检测模块，带 1M 电缆跳动传感器材料跳动检测器，适用于 Ender 3 CR10 3D 打印机</v>
      </c>
      <c r="E857" s="1" t="str">
        <f>IFERROR(__xludf.DUMMYFUNCTION("CONCATENATE(GOOGLETRANSLATE(C857, ""en"", ""ko""))"),"Ender 3 CR10 3D 프린터용 1M 케이블 런아웃 센서가 있는 TWO TREES® 필라멘트 파손 감지 모듈 재료 런아웃 감지기")</f>
        <v>Ender 3 CR10 3D 프린터용 1M 케이블 런아웃 센서가 있는 TWO TREES® 필라멘트 파손 감지 모듈 재료 런아웃 감지기</v>
      </c>
      <c r="F857" s="1" t="str">
        <f>IFERROR(__xludf.DUMMYFUNCTION("CONCATENATE(GOOGLETRANSLATE(C857, ""en"", ""ja""))"),"TWO TREES® フィラメント断線検出モジュール 1M ケーブル振れセンサー付き Ender 3 CR10 3D プリンタ用材料振れ検出器")</f>
        <v>TWO TREES® フィラメント断線検出モジュール 1M ケーブル振れセンサー付き Ender 3 CR10 3D プリンタ用材料振れ検出器</v>
      </c>
    </row>
    <row r="858" ht="15.75" customHeight="1">
      <c r="A858" s="1">
        <v>2331.0</v>
      </c>
      <c r="B858" s="1" t="s">
        <v>381</v>
      </c>
      <c r="C858" s="1" t="s">
        <v>840</v>
      </c>
      <c r="D858" s="1" t="str">
        <f>IFERROR(__xludf.DUMMYFUNCTION("CONCATENATE(GOOGLETRANSLATE(C858, ""en"", ""zh-cn""))"),"GAMAKAY MK61有线机械键盘Gateron光学开关布丁键帽RGB 61键热插拔游戏键盘新版")</f>
        <v>GAMAKAY MK61有线机械键盘Gateron光学开关布丁键帽RGB 61键热插拔游戏键盘新版</v>
      </c>
      <c r="E858" s="1" t="str">
        <f>IFERROR(__xludf.DUMMYFUNCTION("CONCATENATE(GOOGLETRANSLATE(C858, ""en"", ""ko""))"),"GAMAKAY MK61 유선 기계식 키보드 Gateron 광 스위치 푸딩 키 캡 RGB 61 키 핫 스왑 가능 게임용 키보드 새 버전")</f>
        <v>GAMAKAY MK61 유선 기계식 키보드 Gateron 광 스위치 푸딩 키 캡 RGB 61 키 핫 스왑 가능 게임용 키보드 새 버전</v>
      </c>
      <c r="F858" s="1" t="str">
        <f>IFERROR(__xludf.DUMMYFUNCTION("CONCATENATE(GOOGLETRANSLATE(C858, ""en"", ""ja""))"),"GAMAKAY MK61 有線メカニカルキーボード Gateron 光学スイッチプディングキーキャップ RGB 61 キーホットスワップ可能なゲーミングキーボード新バージョン")</f>
        <v>GAMAKAY MK61 有線メカニカルキーボード Gateron 光学スイッチプディングキーキャップ RGB 61 キーホットスワップ可能なゲーミングキーボード新バージョン</v>
      </c>
    </row>
    <row r="859" ht="15.75" customHeight="1">
      <c r="A859" s="1">
        <v>2332.0</v>
      </c>
      <c r="B859" s="1" t="s">
        <v>381</v>
      </c>
      <c r="C859" s="1" t="s">
        <v>841</v>
      </c>
      <c r="D859" s="1" t="str">
        <f>IFERROR(__xludf.DUMMYFUNCTION("CONCATENATE(GOOGLETRANSLATE(C859, ""en"", ""zh-cn""))"),"Creativity® 4 件 3D 打印机零件弹簧加热床调平 8X20mm 10X25 热板 3D 打印机零件 Reprap 进口适用于 Ender3 CR10 MK2A")</f>
        <v>Creativity® 4 件 3D 打印机零件弹簧加热床调平 8X20mm 10X25 热板 3D 打印机零件 Reprap 进口适用于 Ender3 CR10 MK2A</v>
      </c>
      <c r="E859" s="1" t="str">
        <f>IFERROR(__xludf.DUMMYFUNCTION("CONCATENATE(GOOGLETRANSLATE(C859, ""en"", ""ko""))"),"Creativity® 4pcs 3D 프린터 부품 스프링 가열 베드 레벨링 8X20mm 10X25 핫 플레이트 3D 프린터 부품 Reprap Ender3 CR10 MK2A로 수입됨")</f>
        <v>Creativity® 4pcs 3D 프린터 부품 스프링 가열 베드 레벨링 8X20mm 10X25 핫 플레이트 3D 프린터 부품 Reprap Ender3 CR10 MK2A로 수입됨</v>
      </c>
      <c r="F859" s="1" t="str">
        <f>IFERROR(__xludf.DUMMYFUNCTION("CONCATENATE(GOOGLETRANSLATE(C859, ""en"", ""ja""))"),"Creativity® 4 個 3D プリンタ部品スプリング加熱ベッドレベリング 8X20mm 10X25 ホットプレート 3D プリンタ部品 Reprap 輸入 Ender3 CR10 MK2A")</f>
        <v>Creativity® 4 個 3D プリンタ部品スプリング加熱ベッドレベリング 8X20mm 10X25 ホットプレート 3D プリンタ部品 Reprap 輸入 Ender3 CR10 MK2A</v>
      </c>
    </row>
    <row r="860" ht="15.75" customHeight="1">
      <c r="A860" s="1">
        <v>2333.0</v>
      </c>
      <c r="B860" s="1" t="s">
        <v>381</v>
      </c>
      <c r="C860" s="1" t="s">
        <v>842</v>
      </c>
      <c r="D860" s="1" t="str">
        <f>IFERROR(__xludf.DUMMYFUNCTION("CONCATENATE(GOOGLETRANSLATE(C860, ""en"", ""zh-cn""))"),"70 件/包 Gateron 光学开关线性点击开关键盘开关适用于光学机械游戏键盘")</f>
        <v>70 件/包 Gateron 光学开关线性点击开关键盘开关适用于光学机械游戏键盘</v>
      </c>
      <c r="E860" s="1" t="str">
        <f>IFERROR(__xludf.DUMMYFUNCTION("CONCATENATE(GOOGLETRANSLATE(C860, ""en"", ""ko""))"),"광학 기계식 게임용 키보드 용 70 개/갑 Gateron 광학 스위치 선형 Clicky 스위치 키보드 스위치")</f>
        <v>광학 기계식 게임용 키보드 용 70 개/갑 Gateron 광학 스위치 선형 Clicky 스위치 키보드 스위치</v>
      </c>
      <c r="F860" s="1" t="str">
        <f>IFERROR(__xludf.DUMMYFUNCTION("CONCATENATE(GOOGLETRANSLATE(C860, ""en"", ""ja""))"),"70 ピース/パック Gateron 光学スイッチリニアクリッキースイッチキーボードスイッチ光学機械式ゲーミングキーボード用")</f>
        <v>70 ピース/パック Gateron 光学スイッチリニアクリッキースイッチキーボードスイッチ光学機械式ゲーミングキーボード用</v>
      </c>
    </row>
    <row r="861" ht="15.75" customHeight="1">
      <c r="A861" s="1">
        <v>2334.0</v>
      </c>
      <c r="B861" s="1" t="s">
        <v>381</v>
      </c>
      <c r="C861" s="1" t="s">
        <v>843</v>
      </c>
      <c r="D861" s="1" t="str">
        <f>IFERROR(__xludf.DUMMYFUNCTION("CONCATENATE(GOOGLETRANSLATE(C861, ""en"", ""zh-cn""))"),"TWO TREES® CNC 扩展板 + UNO R3 板 +4x A4988 步进电机驱动器 +4x 3D 打印机用 4401 步进电机套件")</f>
        <v>TWO TREES® CNC 扩展板 + UNO R3 板 +4x A4988 步进电机驱动器 +4x 3D 打印机用 4401 步进电机套件</v>
      </c>
      <c r="E861" s="1" t="str">
        <f>IFERROR(__xludf.DUMMYFUNCTION("CONCATENATE(GOOGLETRANSLATE(C861, ""en"", ""ko""))"),"TWO TREES® CNC 실드 + UNO R3 보드 +4x A4988 스테퍼 모터 드라이버 +4x 4401 3D 프린터용 스테퍼 모터 키트")</f>
        <v>TWO TREES® CNC 실드 + UNO R3 보드 +4x A4988 스테퍼 모터 드라이버 +4x 4401 3D 프린터용 스테퍼 모터 키트</v>
      </c>
      <c r="F861" s="1" t="str">
        <f>IFERROR(__xludf.DUMMYFUNCTION("CONCATENATE(GOOGLETRANSLATE(C861, ""en"", ""ja""))"),"TWO TREES® CNC シールド + UNO R3 ボード + 4x A4988 ステッピング モーター ドライバー + 4x 4401 ステッピング モーター キット (3D プリンター用)")</f>
        <v>TWO TREES® CNC シールド + UNO R3 ボード + 4x A4988 ステッピング モーター ドライバー + 4x 4401 ステッピング モーター キット (3D プリンター用)</v>
      </c>
    </row>
    <row r="862" ht="15.75" customHeight="1">
      <c r="A862" s="1">
        <v>2335.0</v>
      </c>
      <c r="B862" s="1" t="s">
        <v>381</v>
      </c>
      <c r="C862" s="1" t="s">
        <v>844</v>
      </c>
      <c r="D862" s="1" t="str">
        <f>IFERROR(__xludf.DUMMYFUNCTION("CONCATENATE(GOOGLETRANSLATE(C862, ""en"", ""zh-cn""))"),"BlitzWolf® BW-KC1 儿童相机 2.4 英寸 1080P 视频高清自拍便携式数字游戏儿童相机适合女孩和男孩生日圣诞礼物好运带 16GB TF 卡")</f>
        <v>BlitzWolf® BW-KC1 儿童相机 2.4 英寸 1080P 视频高清自拍便携式数字游戏儿童相机适合女孩和男孩生日圣诞礼物好运带 16GB TF 卡</v>
      </c>
      <c r="E862" s="1" t="str">
        <f>IFERROR(__xludf.DUMMYFUNCTION("CONCATENATE(GOOGLETRANSLATE(C862, ""en"", ""ko""))"),"BlitzWolf® BW-KC1 어린이용 카메라 2.4인치 1080P 비디오 HD 셀카 휴대용 디지털 게임 소녀와 소년을 위한 어린이 카메라 생일 크리스마스 선물 16GB TF 카드로 행운을 빌어요")</f>
        <v>BlitzWolf® BW-KC1 어린이용 카메라 2.4인치 1080P 비디오 HD 셀카 휴대용 디지털 게임 소녀와 소년을 위한 어린이 카메라 생일 크리스마스 선물 16GB TF 카드로 행운을 빌어요</v>
      </c>
      <c r="F862" s="1" t="str">
        <f>IFERROR(__xludf.DUMMYFUNCTION("CONCATENATE(GOOGLETRANSLATE(C862, ""en"", ""ja""))"),"BlitzWolf® BW-KC1 子供用カメラ 2.4 インチ 1080P ビデオ HD 自撮り ポータブル デジタル ゲーム 子供用カメラ 女の子と男の子用 誕生日 クリスマス ギフト 幸運を祈る 16GB TF カード付き")</f>
        <v>BlitzWolf® BW-KC1 子供用カメラ 2.4 インチ 1080P ビデオ HD 自撮り ポータブル デジタル ゲーム 子供用カメラ 女の子と男の子用 誕生日 クリスマス ギフト 幸運を祈る 16GB TF カード付き</v>
      </c>
    </row>
    <row r="863" ht="15.75" customHeight="1">
      <c r="A863" s="1">
        <v>2336.0</v>
      </c>
      <c r="B863" s="1" t="s">
        <v>381</v>
      </c>
      <c r="C863" s="1" t="s">
        <v>845</v>
      </c>
      <c r="D863" s="1" t="str">
        <f>IFERROR(__xludf.DUMMYFUNCTION("CONCATENATE(GOOGLETRANSLATE(C863, ""en"", ""zh-cn""))"),"140 键蜂蜜牛奶 PBT 键帽套装 XDA 热升华英文/日文机械键盘键帽")</f>
        <v>140 键蜂蜜牛奶 PBT 键帽套装 XDA 热升华英文/日文机械键盘键帽</v>
      </c>
      <c r="E863" s="1" t="str">
        <f>IFERROR(__xludf.DUMMYFUNCTION("CONCATENATE(GOOGLETRANSLATE(C863, ""en"", ""ko""))"),"140 키 허니 밀크 PBT 키캡 세트 XDA 프로필 승화 기계식 키보드 용 영어/일본어 키캡")</f>
        <v>140 키 허니 밀크 PBT 키캡 세트 XDA 프로필 승화 기계식 키보드 용 영어/일본어 키캡</v>
      </c>
      <c r="F863" s="1" t="str">
        <f>IFERROR(__xludf.DUMMYFUNCTION("CONCATENATE(GOOGLETRANSLATE(C863, ""en"", ""ja""))"),"140 キーハニーミルク PBT キーキャップセット XDA プロファイル昇華英語/日本語キーキャップメカニカルキーボード用")</f>
        <v>140 キーハニーミルク PBT キーキャップセット XDA プロファイル昇華英語/日本語キーキャップメカニカルキーボード用</v>
      </c>
    </row>
    <row r="864" ht="15.75" customHeight="1">
      <c r="A864" s="1">
        <v>2337.0</v>
      </c>
      <c r="B864" s="1" t="s">
        <v>381</v>
      </c>
      <c r="C864" s="1" t="s">
        <v>846</v>
      </c>
      <c r="D864" s="1" t="str">
        <f>IFERROR(__xludf.DUMMYFUNCTION("CONCATENATE(GOOGLETRANSLATE(C864, ""en"", ""zh-cn""))"),"SIMAX3D® 13/24 件聚碳酸酯滑轮塑料滑轮直线轴承适用于 Creality CR10 Ender 3 3D 打印机零件")</f>
        <v>SIMAX3D® 13/24 件聚碳酸酯滑轮塑料滑轮直线轴承适用于 Creality CR10 Ender 3 3D 打印机零件</v>
      </c>
      <c r="E864" s="1" t="str">
        <f>IFERROR(__xludf.DUMMYFUNCTION("CONCATENATE(GOOGLETRANSLATE(C864, ""en"", ""ko""))"),"SIMAX3D® 13/24Pcs 폴리카보네이트 풀리 휠 Creality CR10 Ender 3 3D 프린터 부품용 플라스틱 풀리 선형 베어링")</f>
        <v>SIMAX3D® 13/24Pcs 폴리카보네이트 풀리 휠 Creality CR10 Ender 3 3D 프린터 부품용 플라스틱 풀리 선형 베어링</v>
      </c>
      <c r="F864" s="1" t="str">
        <f>IFERROR(__xludf.DUMMYFUNCTION("CONCATENATE(GOOGLETRANSLATE(C864, ""en"", ""ja""))"),"SIMAX3D® 13/24 個ポリカーボネートプーリーホイールプラスチックプーリーリニアベアリング Creality CR10 Ender 3 3D プリンター部品用")</f>
        <v>SIMAX3D® 13/24 個ポリカーボネートプーリーホイールプラスチックプーリーリニアベアリング Creality CR10 Ender 3 3D プリンター部品用</v>
      </c>
    </row>
    <row r="865" ht="15.75" customHeight="1">
      <c r="A865" s="1">
        <v>2338.0</v>
      </c>
      <c r="B865" s="1" t="s">
        <v>381</v>
      </c>
      <c r="C865" s="1" t="s">
        <v>847</v>
      </c>
      <c r="D865" s="1" t="str">
        <f>IFERROR(__xludf.DUMMYFUNCTION("CONCATENATE(GOOGLETRANSLATE(C865, ""en"", ""zh-cn""))"),"70 件/包 Gateron 开关线性机械黄色/红色 Pro 开关预润滑键盘开关适用于 DIY 机械游戏键盘")</f>
        <v>70 件/包 Gateron 开关线性机械黄色/红色 Pro 开关预润滑键盘开关适用于 DIY 机械游戏键盘</v>
      </c>
      <c r="E865" s="1" t="str">
        <f>IFERROR(__xludf.DUMMYFUNCTION("CONCATENATE(GOOGLETRANSLATE(C865, ""en"", ""ko""))"),"70 개/갑 Gateron 스위치 선형 기계식 노란색/빨간색 프로 스위치 DIY 기계식 게임용 키보드 용 사전 윤활 키보드 스위치")</f>
        <v>70 개/갑 Gateron 스위치 선형 기계식 노란색/빨간색 프로 스위치 DIY 기계식 게임용 키보드 용 사전 윤활 키보드 스위치</v>
      </c>
      <c r="F865" s="1" t="str">
        <f>IFERROR(__xludf.DUMMYFUNCTION("CONCATENATE(GOOGLETRANSLATE(C865, ""en"", ""ja""))"),"70 ピース/パック Gateron スイッチリニアメカニカルイエロー/レッドプロスイッチ事前潤滑キーボードスイッチ DIY メカニカルゲーミングキーボード用")</f>
        <v>70 ピース/パック Gateron スイッチリニアメカニカルイエロー/レッドプロスイッチ事前潤滑キーボードスイッチ DIY メカニカルゲーミングキーボード用</v>
      </c>
    </row>
    <row r="866" ht="15.75" customHeight="1">
      <c r="A866" s="1">
        <v>2339.0</v>
      </c>
      <c r="B866" s="1" t="s">
        <v>381</v>
      </c>
      <c r="C866" s="1" t="s">
        <v>848</v>
      </c>
      <c r="D866" s="1" t="str">
        <f>IFERROR(__xludf.DUMMYFUNCTION("CONCATENATE(GOOGLETRANSLATE(C866, ""en"", ""zh-cn""))"),"木制铅笔笔收纳盒可倾斜桌面文具架收纳盒家庭办公用品收纳架")</f>
        <v>木制铅笔笔收纳盒可倾斜桌面文具架收纳盒家庭办公用品收纳架</v>
      </c>
      <c r="E866" s="1" t="str">
        <f>IFERROR(__xludf.DUMMYFUNCTION("CONCATENATE(GOOGLETRANSLATE(C866, ""en"", ""ko""))"),"나무 연필 펜 보관 상자 기울이기 데스크탑 고정 홀더 주최자 홈 오피스 용품 보관 랙")</f>
        <v>나무 연필 펜 보관 상자 기울이기 데스크탑 고정 홀더 주최자 홈 오피스 용품 보관 랙</v>
      </c>
      <c r="F866" s="1" t="str">
        <f>IFERROR(__xludf.DUMMYFUNCTION("CONCATENATE(GOOGLETRANSLATE(C866, ""en"", ""ja""))"),"木製鉛筆ペン収納ボックス傾斜デスクトップ文房具ホルダーオーガナイザーホームオフィス用品収納ラック")</f>
        <v>木製鉛筆ペン収納ボックス傾斜デスクトップ文房具ホルダーオーガナイザーホームオフィス用品収納ラック</v>
      </c>
    </row>
    <row r="867" ht="15.75" customHeight="1">
      <c r="A867" s="1">
        <v>2340.0</v>
      </c>
      <c r="B867" s="1" t="s">
        <v>381</v>
      </c>
      <c r="C867" s="1" t="s">
        <v>849</v>
      </c>
      <c r="D867" s="1" t="str">
        <f>IFERROR(__xludf.DUMMYFUNCTION("CONCATENATE(GOOGLETRANSLATE(C867, ""en"", ""zh-cn""))"),"GamaKay K61 机械键盘 61 键 60 键盘热插拔 Type-C 3.1 有线 USB 半透明玻璃底座 Gateron 开关 ABS 二色键帽 NKRO RGB 游戏键盘")</f>
        <v>GamaKay K61 机械键盘 61 键 60 键盘热插拔 Type-C 3.1 有线 USB 半透明玻璃底座 Gateron 开关 ABS 二色键帽 NKRO RGB 游戏键盘</v>
      </c>
      <c r="E867" s="1" t="str">
        <f>IFERROR(__xludf.DUMMYFUNCTION("CONCATENATE(GOOGLETRANSLATE(C867, ""en"", ""ko""))"),"GamaKay K61 기계식 키보드 61 키 60 키보드 핫 스왑 가능 Type-C 3.1 유선 USB 반투명 유리 베이스 Gateron 스위치 ABS 2색 키 캡 NKRO RGB 게임용 키보드")</f>
        <v>GamaKay K61 기계식 키보드 61 키 60 키보드 핫 스왑 가능 Type-C 3.1 유선 USB 반투명 유리 베이스 Gateron 스위치 ABS 2색 키 캡 NKRO RGB 게임용 키보드</v>
      </c>
      <c r="F867" s="1" t="str">
        <f>IFERROR(__xludf.DUMMYFUNCTION("CONCATENATE(GOOGLETRANSLATE(C867, ""en"", ""ja""))"),"GamaKay K61 メカニカルキーボード 61 キー 60 キーボード ホットスワップ可能 Type-C 3.1 有線 USB 半透明ガラスベース Gateron スイッチ ABS 2 色キーキャップ NKRO RGB ゲーミングキーボード")</f>
        <v>GamaKay K61 メカニカルキーボード 61 キー 60 キーボード ホットスワップ可能 Type-C 3.1 有線 USB 半透明ガラスベース Gateron スイッチ ABS 2 色キーキャップ NKRO RGB ゲーミングキーボード</v>
      </c>
    </row>
    <row r="868" ht="15.75" customHeight="1">
      <c r="A868" s="1">
        <v>2341.0</v>
      </c>
      <c r="B868" s="1" t="s">
        <v>381</v>
      </c>
      <c r="C868" s="1" t="s">
        <v>850</v>
      </c>
      <c r="D868" s="1" t="str">
        <f>IFERROR(__xludf.DUMMYFUNCTION("CONCATENATE(GOOGLETRANSLATE(C868, ""en"", ""zh-cn""))"),"70 件装 3 针 Gateron 线性黄色开关 键盘开关适用于机械游戏键盘")</f>
        <v>70 件装 3 针 Gateron 线性黄色开关 键盘开关适用于机械游戏键盘</v>
      </c>
      <c r="E868" s="1" t="str">
        <f>IFERROR(__xludf.DUMMYFUNCTION("CONCATENATE(GOOGLETRANSLATE(C868, ""en"", ""ko""))"),"기계식 게임용 키보드 용 70PCS 팩 3Pin Gateron 선형 노란색 스위치 키보드 스위치")</f>
        <v>기계식 게임용 키보드 용 70PCS 팩 3Pin Gateron 선형 노란색 스위치 키보드 스위치</v>
      </c>
      <c r="F868" s="1" t="str">
        <f>IFERROR(__xludf.DUMMYFUNCTION("CONCATENATE(GOOGLETRANSLATE(C868, ""en"", ""ja""))"),"70 個パック 3Pin Gateron リニア イエロー スイッチ キーボード スイッチ メカニカル ゲーミング キーボード用")</f>
        <v>70 個パック 3Pin Gateron リニア イエロー スイッチ キーボード スイッチ メカニカル ゲーミング キーボード用</v>
      </c>
    </row>
    <row r="869" ht="15.75" customHeight="1">
      <c r="A869" s="1">
        <v>2342.0</v>
      </c>
      <c r="B869" s="1" t="s">
        <v>381</v>
      </c>
      <c r="C869" s="1" t="s">
        <v>851</v>
      </c>
      <c r="D869" s="1" t="str">
        <f>IFERROR(__xludf.DUMMYFUNCTION("CONCATENATE(GOOGLETRANSLATE(C869, ""en"", ""zh-cn""))"),"128 键珊瑚海键帽套装 XDA Profile PBT 热升华键帽适用于 DIY 机械键盘")</f>
        <v>128 键珊瑚海键帽套装 XDA Profile PBT 热升华键帽适用于 DIY 机械键盘</v>
      </c>
      <c r="E869" s="1" t="str">
        <f>IFERROR(__xludf.DUMMYFUNCTION("CONCATENATE(GOOGLETRANSLATE(C869, ""en"", ""ko""))"),"128 키 산호 바다 키 캡 세트 DIY 기계식 키보드 용 XDA 프로필 PBT 승화 키 캡")</f>
        <v>128 키 산호 바다 키 캡 세트 DIY 기계식 키보드 용 XDA 프로필 PBT 승화 키 캡</v>
      </c>
      <c r="F869" s="1" t="str">
        <f>IFERROR(__xludf.DUMMYFUNCTION("CONCATENATE(GOOGLETRANSLATE(C869, ""en"", ""ja""))"),"128 キー珊瑚海キーキャップセット XDA プロファイル PBT 昇華キーキャップ DIY メカニカルキーボード用")</f>
        <v>128 キー珊瑚海キーキャップセット XDA プロファイル PBT 昇華キーキャップ DIY メカニカルキーボード用</v>
      </c>
    </row>
    <row r="870" ht="15.75" customHeight="1">
      <c r="A870" s="1">
        <v>2343.0</v>
      </c>
      <c r="B870" s="1" t="s">
        <v>381</v>
      </c>
      <c r="C870" s="1" t="s">
        <v>852</v>
      </c>
      <c r="D870" s="1" t="str">
        <f>IFERROR(__xludf.DUMMYFUNCTION("CONCATENATE(GOOGLETRANSLATE(C870, ""en"", ""zh-cn""))"),"Creality 3D® Ender-3 S1 pro 3D 打印机套件")</f>
        <v>Creality 3D® Ender-3 S1 pro 3D 打印机套件</v>
      </c>
      <c r="E870" s="1" t="str">
        <f>IFERROR(__xludf.DUMMYFUNCTION("CONCATENATE(GOOGLETRANSLATE(C870, ""en"", ""ko""))"),"Creality 3D® Ender-3 S1 pro 3D 프린터 키트")</f>
        <v>Creality 3D® Ender-3 S1 pro 3D 프린터 키트</v>
      </c>
      <c r="F870" s="1" t="str">
        <f>IFERROR(__xludf.DUMMYFUNCTION("CONCATENATE(GOOGLETRANSLATE(C870, ""en"", ""ja""))"),"Creality 3D® Ender-3 S1 pro 3D プリンター キット")</f>
        <v>Creality 3D® Ender-3 S1 pro 3D プリンター キット</v>
      </c>
    </row>
    <row r="871" ht="15.75" customHeight="1">
      <c r="A871" s="1">
        <v>2344.0</v>
      </c>
      <c r="B871" s="1" t="s">
        <v>381</v>
      </c>
      <c r="C871" s="1" t="s">
        <v>853</v>
      </c>
      <c r="D871" s="1" t="str">
        <f>IFERROR(__xludf.DUMMYFUNCTION("CONCATENATE(GOOGLETRANSLATE(C871, ""en"", ""zh-cn""))"),"MARCO 12 色专业彩色铅笔套装木质彩色蜡笔绘画绘画笔学校美术文具用品")</f>
        <v>MARCO 12 色专业彩色铅笔套装木质彩色蜡笔绘画绘画笔学校美术文具用品</v>
      </c>
      <c r="E871" s="1" t="str">
        <f>IFERROR(__xludf.DUMMYFUNCTION("CONCATENATE(GOOGLETRANSLATE(C871, ""en"", ""ko""))"),"마르코 12 색 전문 컬러 연필 세트 나무 색 크레용 그리기 그림 펜 학교 미술 문구 용품")</f>
        <v>마르코 12 색 전문 컬러 연필 세트 나무 색 크레용 그리기 그림 펜 학교 미술 문구 용품</v>
      </c>
      <c r="F871" s="1" t="str">
        <f>IFERROR(__xludf.DUMMYFUNCTION("CONCATENATE(GOOGLETRANSLATE(C871, ""en"", ""ja""))"),"マルコ 12 色プロフェッショナル色鉛筆セット木製カラークレヨン描画絵画ペンスクールアート文具用品")</f>
        <v>マルコ 12 色プロフェッショナル色鉛筆セット木製カラークレヨン描画絵画ペンスクールアート文具用品</v>
      </c>
    </row>
    <row r="872" ht="15.75" customHeight="1">
      <c r="A872" s="1">
        <v>2345.0</v>
      </c>
      <c r="B872" s="1" t="s">
        <v>381</v>
      </c>
      <c r="C872" s="1" t="s">
        <v>854</v>
      </c>
      <c r="D872" s="1" t="str">
        <f>IFERROR(__xludf.DUMMYFUNCTION("CONCATENATE(GOOGLETRANSLATE(C872, ""en"", ""zh-cn""))"),"TENWIN桌面吸尘器电动桌面橡胶除尘器小型家用车载键盘除尘器")</f>
        <v>TENWIN桌面吸尘器电动桌面橡胶除尘器小型家用车载键盘除尘器</v>
      </c>
      <c r="E872" s="1" t="str">
        <f>IFERROR(__xludf.DUMMYFUNCTION("CONCATENATE(GOOGLETRANSLATE(C872, ""en"", ""ko""))"),"TENWIN 데스크탑 진공 청소기 전기 데스크탑 고무 먼지 청소기 소형 가정용 자동차 키보드 먼지 청소기")</f>
        <v>TENWIN 데스크탑 진공 청소기 전기 데스크탑 고무 먼지 청소기 소형 가정용 자동차 키보드 먼지 청소기</v>
      </c>
      <c r="F872" s="1" t="str">
        <f>IFERROR(__xludf.DUMMYFUNCTION("CONCATENATE(GOOGLETRANSLATE(C872, ""en"", ""ja""))"),"TENWIN デスクトップ掃除機電動デスクトップゴムダストクリーナー小型家庭用車のキーボードダストクリーナー")</f>
        <v>TENWIN デスクトップ掃除機電動デスクトップゴムダストクリーナー小型家庭用車のキーボードダストクリーナー</v>
      </c>
    </row>
    <row r="873" ht="15.75" customHeight="1">
      <c r="A873" s="1">
        <v>2346.0</v>
      </c>
      <c r="B873" s="1" t="s">
        <v>381</v>
      </c>
      <c r="C873" s="1" t="s">
        <v>855</v>
      </c>
      <c r="D873" s="1" t="str">
        <f>IFERROR(__xludf.DUMMYFUNCTION("CONCATENATE(GOOGLETRANSLATE(C873, ""en"", ""zh-cn""))"),"单扣风琴包 A4 多层文件夹多功能便携式文件夹")</f>
        <v>单扣风琴包 A4 多层文件夹多功能便携式文件夹</v>
      </c>
      <c r="E873" s="1" t="str">
        <f>IFERROR(__xludf.DUMMYFUNCTION("CONCATENATE(GOOGLETRANSLATE(C873, ""en"", ""ko""))"),"단일 버튼 오르간 가방 A4 다층 폴더 다기능 휴대용 파일 폴더")</f>
        <v>단일 버튼 오르간 가방 A4 다층 폴더 다기능 휴대용 파일 폴더</v>
      </c>
      <c r="F873" s="1" t="str">
        <f>IFERROR(__xludf.DUMMYFUNCTION("CONCATENATE(GOOGLETRANSLATE(C873, ""en"", ""ja""))"),"シングルボタンオルガンバッグ A4 多層フォルダー多機能ポータブルファイルフォルダー")</f>
        <v>シングルボタンオルガンバッグ A4 多層フォルダー多機能ポータブルファイルフォルダー</v>
      </c>
    </row>
    <row r="874" ht="15.75" customHeight="1">
      <c r="A874" s="1">
        <v>2347.0</v>
      </c>
      <c r="B874" s="1" t="s">
        <v>381</v>
      </c>
      <c r="C874" s="1" t="s">
        <v>856</v>
      </c>
      <c r="D874" s="1" t="str">
        <f>IFERROR(__xludf.DUMMYFUNCTION("CONCATENATE(GOOGLETRANSLATE(C874, ""en"", ""zh-cn""))"),"文库 WK-1020B 一体式旋转电容手写笔 适用于 IOS 安卓 平板电脑 智能手机")</f>
        <v>文库 WK-1020B 一体式旋转电容手写笔 适用于 IOS 安卓 平板电脑 智能手机</v>
      </c>
      <c r="E874" s="1" t="str">
        <f>IFERROR(__xludf.DUMMYFUNCTION("CONCATENATE(GOOGLETRANSLATE(C874, ""en"", ""ko""))"),"IOS 안드로이드 태블릿 스마트폰용 Wenku WK-1020B 통합 로터리 커패시터 스타일러스 펜")</f>
        <v>IOS 안드로이드 태블릿 스마트폰용 Wenku WK-1020B 통합 로터리 커패시터 스타일러스 펜</v>
      </c>
      <c r="F874" s="1" t="str">
        <f>IFERROR(__xludf.DUMMYFUNCTION("CONCATENATE(GOOGLETRANSLATE(C874, ""en"", ""ja""))"),"Wenku WK-1020B IOS Android タブレット スマートフォン用統合ロータリー コンデンサー スタイラス ペン")</f>
        <v>Wenku WK-1020B IOS Android タブレット スマートフォン用統合ロータリー コンデンサー スタイラス ペン</v>
      </c>
    </row>
    <row r="875" ht="15.75" customHeight="1">
      <c r="A875" s="1">
        <v>2348.0</v>
      </c>
      <c r="B875" s="1" t="s">
        <v>381</v>
      </c>
      <c r="C875" s="1" t="s">
        <v>857</v>
      </c>
      <c r="D875" s="1" t="str">
        <f>IFERROR(__xludf.DUMMYFUNCTION("CONCATENATE(GOOGLETRANSLATE(C875, ""en"", ""zh-cn""))"),"NASUM 花园椅套保护套牛津聚酯 210D 牛津材料带抽绳附件夹防水防寒")</f>
        <v>NASUM 花园椅套保护套牛津聚酯 210D 牛津材料带抽绳附件夹防水防寒</v>
      </c>
      <c r="E875" s="1" t="str">
        <f>IFERROR(__xludf.DUMMYFUNCTION("CONCATENATE(GOOGLETRANSLATE(C875, ""en"", ""ko""))"),"정원 의자용 NASUM 커버 보호 커버 옥스포드 폴리에스테르 210D 옥스포드 소재 조임끈 부착 클립 포함 방수 방한")</f>
        <v>정원 의자용 NASUM 커버 보호 커버 옥스포드 폴리에스테르 210D 옥스포드 소재 조임끈 부착 클립 포함 방수 방한</v>
      </c>
      <c r="F875" s="1" t="str">
        <f>IFERROR(__xludf.DUMMYFUNCTION("CONCATENATE(GOOGLETRANSLATE(C875, ""en"", ""ja""))"),"NASUM ガーデンチェア用カバー 保護カバー オックスフォード ポリエステル 210D オックスフォード素材 巾着アタッチメントクリップ付き 防水 防寒")</f>
        <v>NASUM ガーデンチェア用カバー 保護カバー オックスフォード ポリエステル 210D オックスフォード素材 巾着アタッチメントクリップ付き 防水 防寒</v>
      </c>
    </row>
    <row r="876" ht="15.75" customHeight="1">
      <c r="A876" s="1">
        <v>2349.0</v>
      </c>
      <c r="B876" s="1" t="s">
        <v>381</v>
      </c>
      <c r="C876" s="1" t="s">
        <v>858</v>
      </c>
      <c r="D876" s="1" t="str">
        <f>IFERROR(__xludf.DUMMYFUNCTION("CONCATENATE(GOOGLETRANSLATE(C876, ""en"", ""zh-cn""))"),"Fothwin 19.5V 45w 2.31A 接口 4.5*3.0 蓝色插针 适用于惠普笔记本电脑台式机笔记本电脑电源适配器添加交流线")</f>
        <v>Fothwin 19.5V 45w 2.31A 接口 4.5*3.0 蓝色插针 适用于惠普笔记本电脑台式机笔记本电脑电源适配器添加交流线</v>
      </c>
      <c r="E876" s="1" t="str">
        <f>IFERROR(__xludf.DUMMYFUNCTION("CONCATENATE(GOOGLETRANSLATE(C876, ""en"", ""ko""))"),"Fothwin 19.5V 45w 2.31A 인터페이스 4.5*3.0 HP 노트북 데스크탑 노트북 전원 어댑터용 블루 핀 AC 라인 추가")</f>
        <v>Fothwin 19.5V 45w 2.31A 인터페이스 4.5*3.0 HP 노트북 데스크탑 노트북 전원 어댑터용 블루 핀 AC 라인 추가</v>
      </c>
      <c r="F876" s="1" t="str">
        <f>IFERROR(__xludf.DUMMYFUNCTION("CONCATENATE(GOOGLETRANSLATE(C876, ""en"", ""ja""))"),"Fothwin 19.5V 45 ワット 2.31A インターフェイス 4.5*3.0 ブルーピン HP ラップトップデスクトップラップトップ電源アダプタ AC ラインを追加")</f>
        <v>Fothwin 19.5V 45 ワット 2.31A インターフェイス 4.5*3.0 ブルーピン HP ラップトップデスクトップラップトップ電源アダプタ AC ラインを追加</v>
      </c>
    </row>
    <row r="877" ht="15.75" customHeight="1">
      <c r="A877" s="1">
        <v>2350.0</v>
      </c>
      <c r="B877" s="1" t="s">
        <v>381</v>
      </c>
      <c r="C877" s="1" t="s">
        <v>859</v>
      </c>
      <c r="D877" s="1" t="str">
        <f>IFERROR(__xludf.DUMMYFUNCTION("CONCATENATE(GOOGLETRANSLATE(C877, ""en"", ""zh-cn""))"),"3 件装 16T GT2 铝制正时驱动滑轮适用于 DIY 3D 打印机")</f>
        <v>3 件装 16T GT2 铝制正时驱动滑轮适用于 DIY 3D 打印机</v>
      </c>
      <c r="E877" s="1" t="str">
        <f>IFERROR(__xludf.DUMMYFUNCTION("CONCATENATE(GOOGLETRANSLATE(C877, ""en"", ""ko""))"),"DIY 3D 프린터용 3PCS 16T GT2 알루미늄 타이밍 드라이브 풀리")</f>
        <v>DIY 3D 프린터용 3PCS 16T GT2 알루미늄 타이밍 드라이브 풀리</v>
      </c>
      <c r="F877" s="1" t="str">
        <f>IFERROR(__xludf.DUMMYFUNCTION("CONCATENATE(GOOGLETRANSLATE(C877, ""en"", ""ja""))"),"DIY 3D プリンター用 3 個 16T GT2 アルミ タイミング ドライブ プーリー")</f>
        <v>DIY 3D プリンター用 3 個 16T GT2 アルミ タイミング ドライブ プーリー</v>
      </c>
    </row>
    <row r="878" ht="15.75" customHeight="1">
      <c r="A878" s="1">
        <v>2351.0</v>
      </c>
      <c r="B878" s="1" t="s">
        <v>381</v>
      </c>
      <c r="C878" s="1" t="s">
        <v>860</v>
      </c>
      <c r="D878" s="1" t="str">
        <f>IFERROR(__xludf.DUMMYFUNCTION("CONCATENATE(GOOGLETRANSLATE(C878, ""en"", ""zh-cn""))"),"多功能家居装饰毛毡书桌文具收纳盒儿童玩具收纳袋办公室 ")</f>
        <v>多功能家居装饰毛毡书桌文具收纳盒儿童玩具收纳袋办公室 </v>
      </c>
      <c r="E878" s="1" t="str">
        <f>IFERROR(__xludf.DUMMYFUNCTION("CONCATENATE(GOOGLETRANSLATE(C878, ""en"", ""ko""))"),"다기능 홈 장식 펠트 책상 편지지 보관 상자 어린이 장난감 보관 가방 사무실 ")</f>
        <v>다기능 홈 장식 펠트 책상 편지지 보관 상자 어린이 장난감 보관 가방 사무실 </v>
      </c>
      <c r="F878" s="1" t="str">
        <f>IFERROR(__xludf.DUMMYFUNCTION("CONCATENATE(GOOGLETRANSLATE(C878, ""en"", ""ja""))"),"多機能ホーム装飾フェルトデスク文具収納ボックス子供のおもちゃ収納袋オフィス ")</f>
        <v>多機能ホーム装飾フェルトデスク文具収納ボックス子供のおもちゃ収納袋オフィス </v>
      </c>
    </row>
    <row r="879" ht="15.75" customHeight="1">
      <c r="A879" s="1">
        <v>2352.0</v>
      </c>
      <c r="B879" s="1" t="s">
        <v>381</v>
      </c>
      <c r="C879" s="1" t="s">
        <v>861</v>
      </c>
      <c r="D879" s="1" t="str">
        <f>IFERROR(__xludf.DUMMYFUNCTION("CONCATENATE(GOOGLETRANSLATE(C879, ""en"", ""zh-cn""))"),"USB 4 端口交流壁式充电站家用适配器支架适用于平板电脑手机")</f>
        <v>USB 4 端口交流壁式充电站家用适配器支架适用于平板电脑手机</v>
      </c>
      <c r="E879" s="1" t="str">
        <f>IFERROR(__xludf.DUMMYFUNCTION("CONCATENATE(GOOGLETRANSLATE(C879, ""en"", ""ko""))"),"태블릿 휴대폰용 USB 4 포트 AC 벽 충전 스테이션 가정용 어댑터 스탠드")</f>
        <v>태블릿 휴대폰용 USB 4 포트 AC 벽 충전 스테이션 가정용 어댑터 스탠드</v>
      </c>
      <c r="F879" s="1" t="str">
        <f>IFERROR(__xludf.DUMMYFUNCTION("CONCATENATE(GOOGLETRANSLATE(C879, ""en"", ""ja""))"),"USB 4 ポート AC 壁充電ステーションホームアダプタスタンドタブレット携帯電話用")</f>
        <v>USB 4 ポート AC 壁充電ステーションホームアダプタスタンドタブレット携帯電話用</v>
      </c>
    </row>
    <row r="880" ht="15.75" customHeight="1">
      <c r="A880" s="1">
        <v>2353.0</v>
      </c>
      <c r="B880" s="1" t="s">
        <v>381</v>
      </c>
      <c r="C880" s="1" t="s">
        <v>862</v>
      </c>
      <c r="D880" s="1" t="str">
        <f>IFERROR(__xludf.DUMMYFUNCTION("CONCATENATE(GOOGLETRANSLATE(C880, ""en"", ""zh-cn""))"),"2022年新款挂历黑暗森林农历桌面装饰办公室家居")</f>
        <v>2022年新款挂历黑暗森林农历桌面装饰办公室家居</v>
      </c>
      <c r="E880" s="1" t="str">
        <f>IFERROR(__xludf.DUMMYFUNCTION("CONCATENATE(GOOGLETRANSLATE(C880, ""en"", ""ko""))"),"2022 새로운 벽 달력 어두운 숲 음력 달력 데스크탑 장식 사무실 홈")</f>
        <v>2022 새로운 벽 달력 어두운 숲 음력 달력 데스크탑 장식 사무실 홈</v>
      </c>
      <c r="F880" s="1" t="str">
        <f>IFERROR(__xludf.DUMMYFUNCTION("CONCATENATE(GOOGLETRANSLATE(C880, ""en"", ""ja""))"),"2022 新しい壁掛けカレンダーダークフォレスト月カレンダーデスクトップ装飾オフィスホーム")</f>
        <v>2022 新しい壁掛けカレンダーダークフォレスト月カレンダーデスクトップ装飾オフィスホーム</v>
      </c>
    </row>
    <row r="881" ht="15.75" customHeight="1">
      <c r="A881" s="1">
        <v>2354.0</v>
      </c>
      <c r="B881" s="1" t="s">
        <v>381</v>
      </c>
      <c r="C881" s="1" t="s">
        <v>863</v>
      </c>
      <c r="D881" s="1" t="str">
        <f>IFERROR(__xludf.DUMMYFUNCTION("CONCATENATE(GOOGLETRANSLATE(C881, ""en"", ""zh-cn""))"),"对开 PU 皮革支架卡套保护套适用于 Microsoft Surface Pro3")</f>
        <v>对开 PU 皮革支架卡套保护套适用于 Microsoft Surface Pro3</v>
      </c>
      <c r="E881" s="1" t="str">
        <f>IFERROR(__xludf.DUMMYFUNCTION("CONCATENATE(GOOGLETRANSLATE(C881, ""en"", ""ko""))"),"Microsoft Surface Pro3용 폴리오 PU 가죽 스탠드 카드 케이스 커버")</f>
        <v>Microsoft Surface Pro3용 폴리오 PU 가죽 스탠드 카드 케이스 커버</v>
      </c>
      <c r="F881" s="1" t="str">
        <f>IFERROR(__xludf.DUMMYFUNCTION("CONCATENATE(GOOGLETRANSLATE(C881, ""en"", ""ja""))"),"Microsoft Surface Pro3用フォリオPUレザースタンドカードケースカバー")</f>
        <v>Microsoft Surface Pro3用フォリオPUレザースタンドカードケースカバー</v>
      </c>
    </row>
    <row r="882" ht="15.75" customHeight="1">
      <c r="A882" s="1">
        <v>2355.0</v>
      </c>
      <c r="B882" s="1" t="s">
        <v>381</v>
      </c>
      <c r="C882" s="1" t="s">
        <v>864</v>
      </c>
      <c r="D882" s="1" t="str">
        <f>IFERROR(__xludf.DUMMYFUNCTION("CONCATENATE(GOOGLETRANSLATE(C882, ""en"", ""zh-cn""))"),"对开 PU 皮套折叠支架保护套适用于昂达 V975W V989  ")</f>
        <v>对开 PU 皮套折叠支架保护套适用于昂达 V975W V989  </v>
      </c>
      <c r="E882" s="1" t="str">
        <f>IFERROR(__xludf.DUMMYFUNCTION("CONCATENATE(GOOGLETRANSLATE(C882, ""en"", ""ko""))"),"Onda V975W V989용 폴리오 PU 가죽 케이스 접이식 스탠드 커버  ")</f>
        <v>Onda V975W V989용 폴리오 PU 가죽 케이스 접이식 스탠드 커버  </v>
      </c>
      <c r="F882" s="1" t="str">
        <f>IFERROR(__xludf.DUMMYFUNCTION("CONCATENATE(GOOGLETRANSLATE(C882, ""en"", ""ja""))"),"Onda V975W V989 用フォリオ PU レザーケース折りたたみスタンドカバー  ")</f>
        <v>Onda V975W V989 用フォリオ PU レザーケース折りたたみスタンドカバー  </v>
      </c>
    </row>
    <row r="883" ht="15.75" customHeight="1">
      <c r="A883" s="1">
        <v>2356.0</v>
      </c>
      <c r="B883" s="1" t="s">
        <v>381</v>
      </c>
      <c r="C883" s="1" t="s">
        <v>865</v>
      </c>
      <c r="D883" s="1" t="str">
        <f>IFERROR(__xludf.DUMMYFUNCTION("CONCATENATE(GOOGLETRANSLATE(C883, ""en"", ""zh-cn""))"),"4 风扇可调节笔记本电脑散热垫冷却器便携式支架适用于 14-17 英寸笔记本电脑")</f>
        <v>4 风扇可调节笔记本电脑散热垫冷却器便携式支架适用于 14-17 英寸笔记本电脑</v>
      </c>
      <c r="E883" s="1" t="str">
        <f>IFERROR(__xludf.DUMMYFUNCTION("CONCATENATE(GOOGLETRANSLATE(C883, ""en"", ""ko""))"),"14-17인치 노트북용 팬 4개 조정 가능한 노트북 냉각 패드 쿨러 휴대용 스탠드")</f>
        <v>14-17인치 노트북용 팬 4개 조정 가능한 노트북 냉각 패드 쿨러 휴대용 스탠드</v>
      </c>
      <c r="F883" s="1" t="str">
        <f>IFERROR(__xludf.DUMMYFUNCTION("CONCATENATE(GOOGLETRANSLATE(C883, ""en"", ""ja""))"),"4 ファン調整可能なラップトップ冷却パッドクーラーポータブルスタンド 14-17 インチのラップトップ用")</f>
        <v>4 ファン調整可能なラップトップ冷却パッドクーラーポータブルスタンド 14-17 インチのラップトップ用</v>
      </c>
    </row>
    <row r="884" ht="15.75" customHeight="1">
      <c r="A884" s="1">
        <v>2357.0</v>
      </c>
      <c r="B884" s="1" t="s">
        <v>381</v>
      </c>
      <c r="C884" s="1" t="s">
        <v>866</v>
      </c>
      <c r="D884" s="1" t="str">
        <f>IFERROR(__xludf.DUMMYFUNCTION("CONCATENATE(GOOGLETRANSLATE(C884, ""en"", ""zh-cn""))"),"适用于 Sidewinder X2 和 GPro 3D 打印机自动热床水平仪备件的 Artillery® ABL 自动调平组件")</f>
        <v>适用于 Sidewinder X2 和 GPro 3D 打印机自动热床水平仪备件的 Artillery® ABL 自动调平组件</v>
      </c>
      <c r="E884" s="1" t="str">
        <f>IFERROR(__xludf.DUMMYFUNCTION("CONCATENATE(GOOGLETRANSLATE(C884, ""en"", ""ko""))"),"Sidewinder X2 및 GPro 3D 프린터 자동 히트베드 레벨 예비 부품용 Artillery® ABL 자동 레벨링 어셈블리")</f>
        <v>Sidewinder X2 및 GPro 3D 프린터 자동 히트베드 레벨 예비 부품용 Artillery® ABL 자동 레벨링 어셈블리</v>
      </c>
      <c r="F884" s="1" t="str">
        <f>IFERROR(__xludf.DUMMYFUNCTION("CONCATENATE(GOOGLETRANSLATE(C884, ""en"", ""ja""))"),"Artillery® ABL 自動レベリング アセンブリ (Sidewinder X2 および GPro 3D プリンタ用) 自動ヒートベッド レベル スペアパーツ")</f>
        <v>Artillery® ABL 自動レベリング アセンブリ (Sidewinder X2 および GPro 3D プリンタ用) 自動ヒートベッド レベル スペアパーツ</v>
      </c>
    </row>
    <row r="885" ht="15.75" customHeight="1">
      <c r="A885" s="1">
        <v>2358.0</v>
      </c>
      <c r="B885" s="1" t="s">
        <v>381</v>
      </c>
      <c r="C885" s="1" t="s">
        <v>867</v>
      </c>
      <c r="D885" s="1" t="str">
        <f>IFERROR(__xludf.DUMMYFUNCTION("CONCATENATE(GOOGLETRANSLATE(C885, ""en"", ""zh-cn""))"),"1 件 M6 螺纹铜喷嘴 0.3/0.4/0.5MM 适用于 1.75mm 耗材 3D 打印机")</f>
        <v>1 件 M6 螺纹铜喷嘴 0.3/0.4/0.5MM 适用于 1.75mm 耗材 3D 打印机</v>
      </c>
      <c r="E885" s="1" t="str">
        <f>IFERROR(__xludf.DUMMYFUNCTION("CONCATENATE(GOOGLETRANSLATE(C885, ""en"", ""ko""))"),"1.75mm 소모품 3D 프린터용 M6 스레드 구리 노즐 0.3/0.4/0.5MM 1개")</f>
        <v>1.75mm 소모품 3D 프린터용 M6 스레드 구리 노즐 0.3/0.4/0.5MM 1개</v>
      </c>
      <c r="F885" s="1" t="str">
        <f>IFERROR(__xludf.DUMMYFUNCTION("CONCATENATE(GOOGLETRANSLATE(C885, ""en"", ""ja""))"),"1 個 M6 ネジ付き銅ノズル 0.3/0.4/0.5 ミリメートル 1.75 ミリメートル供給 3D プリンタ用")</f>
        <v>1 個 M6 ネジ付き銅ノズル 0.3/0.4/0.5 ミリメートル 1.75 ミリメートル供給 3D プリンタ用</v>
      </c>
    </row>
    <row r="886" ht="15.75" customHeight="1">
      <c r="A886" s="1">
        <v>2359.0</v>
      </c>
      <c r="B886" s="1" t="s">
        <v>381</v>
      </c>
      <c r="C886" s="1" t="s">
        <v>868</v>
      </c>
      <c r="D886" s="1" t="str">
        <f>IFERROR(__xludf.DUMMYFUNCTION("CONCATENATE(GOOGLETRANSLATE(C886, ""en"", ""zh-cn""))"),"Onda V703I V701S 对开 PU 皮套折叠支架保护套")</f>
        <v>Onda V703I V701S 对开 PU 皮套折叠支架保护套</v>
      </c>
      <c r="E886" s="1" t="str">
        <f>IFERROR(__xludf.DUMMYFUNCTION("CONCATENATE(GOOGLETRANSLATE(C886, ""en"", ""ko""))"),"Onda V703I V701S용 폴리오 PU 가죽 케이스 접이식 스탠드 커버")</f>
        <v>Onda V703I V701S용 폴리오 PU 가죽 케이스 접이식 스탠드 커버</v>
      </c>
      <c r="F886" s="1" t="str">
        <f>IFERROR(__xludf.DUMMYFUNCTION("CONCATENATE(GOOGLETRANSLATE(C886, ""en"", ""ja""))"),"Onda V703I V701S 用フォリオ PU レザーケース折りたたみスタンドカバー")</f>
        <v>Onda V703I V701S 用フォリオ PU レザーケース折りたたみスタンドカバー</v>
      </c>
    </row>
    <row r="887" ht="15.75" customHeight="1">
      <c r="A887" s="1">
        <v>2360.0</v>
      </c>
      <c r="B887" s="1" t="s">
        <v>381</v>
      </c>
      <c r="C887" s="1" t="s">
        <v>869</v>
      </c>
      <c r="D887" s="1" t="str">
        <f>IFERROR(__xludf.DUMMYFUNCTION("CONCATENATE(GOOGLETRANSLATE(C887, ""en"", ""zh-cn""))"),"11 件/套现代壁挂相框套装艺术家居装饰家庭图片展示客厅走廊卧室墙壁装饰")</f>
        <v>11 件/套现代壁挂相框套装艺术家居装饰家庭图片展示客厅走廊卧室墙壁装饰</v>
      </c>
      <c r="E887" s="1" t="str">
        <f>IFERROR(__xludf.DUMMYFUNCTION("CONCATENATE(GOOGLETRANSLATE(C887, ""en"", ""ko""))"),"11 개/대 현대 벽 교수형 사진 프레임 세트 아트 홈 장식 가족 그림 디스플레이 거실 복도 침실 벽 장식")</f>
        <v>11 개/대 현대 벽 교수형 사진 프레임 세트 아트 홈 장식 가족 그림 디스플레이 거실 복도 침실 벽 장식</v>
      </c>
      <c r="F887" s="1" t="str">
        <f>IFERROR(__xludf.DUMMYFUNCTION("CONCATENATE(GOOGLETRANSLATE(C887, ""en"", ""ja""))"),"11 ピース/セット現代壁掛けフォトフレームセットアート家の装飾家族写真ディスプレイリビングルーム廊下寝室の壁の装飾")</f>
        <v>11 ピース/セット現代壁掛けフォトフレームセットアート家の装飾家族写真ディスプレイリビングルーム廊下寝室の壁の装飾</v>
      </c>
    </row>
    <row r="888" ht="15.75" customHeight="1">
      <c r="A888" s="1">
        <v>2361.0</v>
      </c>
      <c r="B888" s="1" t="s">
        <v>381</v>
      </c>
      <c r="C888" s="1" t="s">
        <v>870</v>
      </c>
      <c r="D888" s="1" t="str">
        <f>IFERROR(__xludf.DUMMYFUNCTION("CONCATENATE(GOOGLETRANSLATE(C888, ""en"", ""zh-cn""))"),"精美绘画工具笔座 49 孔架笔办公用品美术笔")</f>
        <v>精美绘画工具笔座 49 孔架笔办公用品美术笔</v>
      </c>
      <c r="E888" s="1" t="str">
        <f>IFERROR(__xludf.DUMMYFUNCTION("CONCATENATE(GOOGLETRANSLATE(C888, ""en"", ""ko""))"),"섬세한 그림 도구 펜 홀더 49 홀 랙 펜 사무용품 아트 펜")</f>
        <v>섬세한 그림 도구 펜 홀더 49 홀 랙 펜 사무용품 아트 펜</v>
      </c>
      <c r="F888" s="1" t="str">
        <f>IFERROR(__xludf.DUMMYFUNCTION("CONCATENATE(GOOGLETRANSLATE(C888, ""en"", ""ja""))"),"繊細なペイントツールペンホルダー 49 穴ラックペン事務用品アートペン")</f>
        <v>繊細なペイントツールペンホルダー 49 穴ラックペン事務用品アートペン</v>
      </c>
    </row>
    <row r="889" ht="15.75" customHeight="1">
      <c r="A889" s="1">
        <v>2362.0</v>
      </c>
      <c r="B889" s="1" t="s">
        <v>381</v>
      </c>
      <c r="C889" s="1" t="s">
        <v>871</v>
      </c>
      <c r="D889" s="1" t="str">
        <f>IFERROR(__xludf.DUMMYFUNCTION("CONCATENATE(GOOGLETRANSLATE(C889, ""en"", ""zh-cn""))"),"便携式迷你可爱 USB 可充电散热风扇静音手持 USB 风扇学校办公室散热用品")</f>
        <v>便携式迷你可爱 USB 可充电散热风扇静音手持 USB 风扇学校办公室散热用品</v>
      </c>
      <c r="E889" s="1" t="str">
        <f>IFERROR(__xludf.DUMMYFUNCTION("CONCATENATE(GOOGLETRANSLATE(C889, ""en"", ""ko""))"),"휴대용 미니 귀여운 USB 충전식 냉각 팬 음소거 손잡이 USB 팬 학교 사무실 냉각 용품")</f>
        <v>휴대용 미니 귀여운 USB 충전식 냉각 팬 음소거 손잡이 USB 팬 학교 사무실 냉각 용품</v>
      </c>
      <c r="F889" s="1" t="str">
        <f>IFERROR(__xludf.DUMMYFUNCTION("CONCATENATE(GOOGLETRANSLATE(C889, ""en"", ""ja""))"),"ポータブルミニかわいいUSB充電式冷却ファンミュートハンドホールドUSBファン学校オフィス冷却用品")</f>
        <v>ポータブルミニかわいいUSB充電式冷却ファンミュートハンドホールドUSBファン学校オフィス冷却用品</v>
      </c>
    </row>
    <row r="890" ht="15.75" customHeight="1">
      <c r="A890" s="1">
        <v>2363.0</v>
      </c>
      <c r="B890" s="1" t="s">
        <v>381</v>
      </c>
      <c r="C890" s="1" t="s">
        <v>872</v>
      </c>
      <c r="D890" s="1" t="str">
        <f>IFERROR(__xludf.DUMMYFUNCTION("CONCATENATE(GOOGLETRANSLATE(C890, ""en"", ""zh-cn""))"),"通用汽车桌面安装支架适用于平板电脑手机")</f>
        <v>通用汽车桌面安装支架适用于平板电脑手机</v>
      </c>
      <c r="E890" s="1" t="str">
        <f>IFERROR(__xludf.DUMMYFUNCTION("CONCATENATE(GOOGLETRANSLATE(C890, ""en"", ""ko""))"),"태블릿 휴대폰용 범용 자동차 데스크 마운트 크래들 홀더 스탠드")</f>
        <v>태블릿 휴대폰용 범용 자동차 데스크 마운트 크래들 홀더 스탠드</v>
      </c>
      <c r="F890" s="1" t="str">
        <f>IFERROR(__xludf.DUMMYFUNCTION("CONCATENATE(GOOGLETRANSLATE(C890, ""en"", ""ja""))"),"タブレット携帯電話用ユニバーサルカーデスクマウントクレードルホルダースタンド")</f>
        <v>タブレット携帯電話用ユニバーサルカーデスクマウントクレードルホルダースタンド</v>
      </c>
    </row>
    <row r="891" ht="15.75" customHeight="1">
      <c r="A891" s="1">
        <v>2364.0</v>
      </c>
      <c r="B891" s="1" t="s">
        <v>381</v>
      </c>
      <c r="C891" s="1" t="s">
        <v>873</v>
      </c>
      <c r="D891" s="1" t="str">
        <f>IFERROR(__xludf.DUMMYFUNCTION("CONCATENATE(GOOGLETRANSLATE(C891, ""en"", ""zh-cn""))"),"2MM 10 件/颜色闪光海绵纸泡沫纸幼儿园手工海绵纸艺术")</f>
        <v>2MM 10 件/颜色闪光海绵纸泡沫纸幼儿园手工海绵纸艺术</v>
      </c>
      <c r="E891" s="1" t="str">
        <f>IFERROR(__xludf.DUMMYFUNCTION("CONCATENATE(GOOGLETRANSLATE(C891, ""en"", ""ko""))"),"2MM 10 Pcs/색상 플래시 라이트 스폰지 종이 거품 종이 유치원 수제 스폰지 종이 아트")</f>
        <v>2MM 10 Pcs/색상 플래시 라이트 스폰지 종이 거품 종이 유치원 수제 스폰지 종이 아트</v>
      </c>
      <c r="F891" s="1" t="str">
        <f>IFERROR(__xludf.DUMMYFUNCTION("CONCATENATE(GOOGLETRANSLATE(C891, ""en"", ""ja""))"),"2 ミリメートル 10 ピース/色フラッシュライトスポンジ紙発泡紙幼稚園手作りスポンジ紙アート")</f>
        <v>2 ミリメートル 10 ピース/色フラッシュライトスポンジ紙発泡紙幼稚園手作りスポンジ紙アート</v>
      </c>
    </row>
    <row r="892" ht="15.75" customHeight="1">
      <c r="A892" s="1">
        <v>2365.0</v>
      </c>
      <c r="B892" s="1" t="s">
        <v>381</v>
      </c>
      <c r="C892" s="1" t="s">
        <v>874</v>
      </c>
      <c r="D892" s="1" t="str">
        <f>IFERROR(__xludf.DUMMYFUNCTION("CONCATENATE(GOOGLETRANSLATE(C892, ""en"", ""zh-cn""))"),"多彩DIY方形闪光纸折纸彩色手工纸幼儿园家用纸艺用品")</f>
        <v>多彩DIY方形闪光纸折纸彩色手工纸幼儿园家用纸艺用品</v>
      </c>
      <c r="E892" s="1" t="str">
        <f>IFERROR(__xludf.DUMMYFUNCTION("CONCATENATE(GOOGLETRANSLATE(C892, ""en"", ""ko""))"),"다채로운 DIY 광장 반짝이 종이 종이 접기 색상 수제 종이 유치원 홈 종이 미술 용품")</f>
        <v>다채로운 DIY 광장 반짝이 종이 종이 접기 색상 수제 종이 유치원 홈 종이 미술 용품</v>
      </c>
      <c r="F892" s="1" t="str">
        <f>IFERROR(__xludf.DUMMYFUNCTION("CONCATENATE(GOOGLETRANSLATE(C892, ""en"", ""ja""))"),"カラフルな DIY 正方形グリッター紙折り紙カラー手作り紙幼稚園ホーム紙アート用品")</f>
        <v>カラフルな DIY 正方形グリッター紙折り紙カラー手作り紙幼稚園ホーム紙アート用品</v>
      </c>
    </row>
    <row r="893" ht="15.75" customHeight="1">
      <c r="A893" s="1">
        <v>2366.0</v>
      </c>
      <c r="B893" s="1" t="s">
        <v>381</v>
      </c>
      <c r="C893" s="1" t="s">
        <v>875</v>
      </c>
      <c r="D893" s="1" t="str">
        <f>IFERROR(__xludf.DUMMYFUNCTION("CONCATENATE(GOOGLETRANSLATE(C893, ""en"", ""zh-cn""))"),"鳄鱼图案保护套适用于华为 Mediapad 10 FHD/10 Link 平板电脑")</f>
        <v>鳄鱼图案保护套适用于华为 Mediapad 10 FHD/10 Link 平板电脑</v>
      </c>
      <c r="E893" s="1" t="str">
        <f>IFERROR(__xludf.DUMMYFUNCTION("CONCATENATE(GOOGLETRANSLATE(C893, ""en"", ""ko""))"),"화웨이 미디어패드 10 FHD/10 링크 태블릿용 악어 패턴 케이스 커버")</f>
        <v>화웨이 미디어패드 10 FHD/10 링크 태블릿용 악어 패턴 케이스 커버</v>
      </c>
      <c r="F893" s="1" t="str">
        <f>IFERROR(__xludf.DUMMYFUNCTION("CONCATENATE(GOOGLETRANSLATE(C893, ""en"", ""ja""))"),"Huawei Mediapad 10 FHD/10 Link タブレット用アリゲーターパターンケースカバー")</f>
        <v>Huawei Mediapad 10 FHD/10 Link タブレット用アリゲーターパターンケースカバー</v>
      </c>
    </row>
    <row r="894" ht="15.75" customHeight="1">
      <c r="A894" s="1">
        <v>2367.0</v>
      </c>
      <c r="B894" s="1" t="s">
        <v>381</v>
      </c>
      <c r="C894" s="1" t="s">
        <v>876</v>
      </c>
      <c r="D894" s="1" t="str">
        <f>IFERROR(__xludf.DUMMYFUNCTION("CONCATENATE(GOOGLETRANSLATE(C894, ""en"", ""zh-cn""))"),"PIPO P1 对开 PU 皮套折叠支架套")</f>
        <v>PIPO P1 对开 PU 皮套折叠支架套</v>
      </c>
      <c r="E894" s="1" t="str">
        <f>IFERROR(__xludf.DUMMYFUNCTION("CONCATENATE(GOOGLETRANSLATE(C894, ""en"", ""ko""))"),"PIPO P1용 폴리오 PU 가죽 케이스 접이식 스탠드 커버")</f>
        <v>PIPO P1용 폴리오 PU 가죽 케이스 접이식 스탠드 커버</v>
      </c>
      <c r="F894" s="1" t="str">
        <f>IFERROR(__xludf.DUMMYFUNCTION("CONCATENATE(GOOGLETRANSLATE(C894, ""en"", ""ja""))"),"PIPO P1用フォリオPUレザーケース折りたたみスタンドカバー")</f>
        <v>PIPO P1用フォリオPUレザーケース折りたたみスタンドカバー</v>
      </c>
    </row>
    <row r="895" ht="15.75" customHeight="1">
      <c r="A895" s="1">
        <v>2368.0</v>
      </c>
      <c r="B895" s="1" t="s">
        <v>381</v>
      </c>
      <c r="C895" s="1" t="s">
        <v>877</v>
      </c>
      <c r="D895" s="1" t="str">
        <f>IFERROR(__xludf.DUMMYFUNCTION("CONCATENATE(GOOGLETRANSLATE(C895, ""en"", ""zh-cn""))"),"Artillery® 一体式单挤出机，带 ABL 套件替换挤出套件适合 Sidewinder X2&amp;G Pro 3D 打印机")</f>
        <v>Artillery® 一体式单挤出机，带 ABL 套件替换挤出套件适合 Sidewinder X2&amp;G Pro 3D 打印机</v>
      </c>
      <c r="E895" s="1" t="str">
        <f>IFERROR(__xludf.DUMMYFUNCTION("CONCATENATE(GOOGLETRANSLATE(C895, ""en"", ""ko""))"),"ABL 키트 교체 압출 키트가 포함된 Artillery® 올인원 단일 압출기 Sidewinder X2&amp;G Pro 3D 프린터에 적합")</f>
        <v>ABL 키트 교체 압출 키트가 포함된 Artillery® 올인원 단일 압출기 Sidewinder X2&amp;G Pro 3D 프린터에 적합</v>
      </c>
      <c r="F895" s="1" t="str">
        <f>IFERROR(__xludf.DUMMYFUNCTION("CONCATENATE(GOOGLETRANSLATE(C895, ""en"", ""ja""))"),"Artillery® オールインワン シングル押出機 ABL キット付き 交換用押出キットは Sidewinder X2&amp;G Pro 3D プリンタに適合")</f>
        <v>Artillery® オールインワン シングル押出機 ABL キット付き 交換用押出キットは Sidewinder X2&amp;G Pro 3D プリンタに適合</v>
      </c>
    </row>
    <row r="896" ht="15.75" customHeight="1">
      <c r="A896" s="1">
        <v>2369.0</v>
      </c>
      <c r="B896" s="1" t="s">
        <v>381</v>
      </c>
      <c r="C896" s="1" t="s">
        <v>878</v>
      </c>
      <c r="D896" s="1" t="str">
        <f>IFERROR(__xludf.DUMMYFUNCTION("CONCATENATE(GOOGLETRANSLATE(C896, ""en"", ""zh-cn""))"),"15 色 DIY 手工纸制作材料彩色皱纸玫瑰花手工纸")</f>
        <v>15 色 DIY 手工纸制作材料彩色皱纸玫瑰花手工纸</v>
      </c>
      <c r="E896" s="1" t="str">
        <f>IFERROR(__xludf.DUMMYFUNCTION("CONCATENATE(GOOGLETRANSLATE(C896, ""en"", ""ko""))"),"15 가지 색상 DIY 수제 종이 만들기 재료 색상 구겨진 종이 장미 꽃 수제 종이")</f>
        <v>15 가지 색상 DIY 수제 종이 만들기 재료 색상 구겨진 종이 장미 꽃 수제 종이</v>
      </c>
      <c r="F896" s="1" t="str">
        <f>IFERROR(__xludf.DUMMYFUNCTION("CONCATENATE(GOOGLETRANSLATE(C896, ""en"", ""ja""))"),"15 色 DIY 手作り紙作り材料カラーしわくちゃ紙ローズフラワー手作り紙")</f>
        <v>15 色 DIY 手作り紙作り材料カラーしわくちゃ紙ローズフラワー手作り紙</v>
      </c>
    </row>
    <row r="897" ht="15.75" customHeight="1">
      <c r="A897" s="1">
        <v>2370.0</v>
      </c>
      <c r="B897" s="1" t="s">
        <v>381</v>
      </c>
      <c r="C897" s="1" t="s">
        <v>879</v>
      </c>
      <c r="D897" s="1" t="str">
        <f>IFERROR(__xludf.DUMMYFUNCTION("CONCATENATE(GOOGLETRANSLATE(C897, ""en"", ""zh-cn""))"),"6色25M气球纸卷打褶纸卷彩纸皱纹丝带气球飘带彩纸艺术装饰手工")</f>
        <v>6色25M气球纸卷打褶纸卷彩纸皱纹丝带气球飘带彩纸艺术装饰手工</v>
      </c>
      <c r="E897" s="1" t="str">
        <f>IFERROR(__xludf.DUMMYFUNCTION("CONCATENATE(GOOGLETRANSLATE(C897, ""en"", ""ko""))"),"6 색 25M 풍선 종이 롤 Pleated 종이 롤 색종이 주름진 리본 풍선 스 트리머 색종이 예술 장식 수제")</f>
        <v>6 색 25M 풍선 종이 롤 Pleated 종이 롤 색종이 주름진 리본 풍선 스 트리머 색종이 예술 장식 수제</v>
      </c>
      <c r="F897" s="1" t="str">
        <f>IFERROR(__xludf.DUMMYFUNCTION("CONCATENATE(GOOGLETRANSLATE(C897, ""en"", ""ja""))"),"6 色 25 メートルバルーン紙ロールプリーツ紙ロール色紙しわリボンバルーンストリーマー色紙アート装飾手作り")</f>
        <v>6 色 25 メートルバルーン紙ロールプリーツ紙ロール色紙しわリボンバルーンストリーマー色紙アート装飾手作り</v>
      </c>
    </row>
    <row r="898" ht="15.75" customHeight="1">
      <c r="A898" s="1">
        <v>2371.0</v>
      </c>
      <c r="B898" s="1" t="s">
        <v>381</v>
      </c>
      <c r="C898" s="1" t="s">
        <v>880</v>
      </c>
      <c r="D898" s="1" t="str">
        <f>IFERROR(__xludf.DUMMYFUNCTION("CONCATENATE(GOOGLETRANSLATE(C898, ""en"", ""zh-cn""))"),"优雅有线显示适配器 1080P 高清适配器 Miracast AirPlay 镜像电缆 适用于 iPhone")</f>
        <v>优雅有线显示适配器 1080P 高清适配器 Miracast AirPlay 镜像电缆 适用于 iPhone</v>
      </c>
      <c r="E898" s="1" t="str">
        <f>IFERROR(__xludf.DUMMYFUNCTION("CONCATENATE(GOOGLETRANSLATE(C898, ""en"", ""ko""))"),"iPhone용 우아한 유선 디스플레이 동글 1080P HD 어댑터 Miracast AirPlay 미러링 케이블")</f>
        <v>iPhone용 우아한 유선 디스플레이 동글 1080P HD 어댑터 Miracast AirPlay 미러링 케이블</v>
      </c>
      <c r="F898" s="1" t="str">
        <f>IFERROR(__xludf.DUMMYFUNCTION("CONCATENATE(GOOGLETRANSLATE(C898, ""en"", ""ja""))"),"ELEGIANT 有線ディスプレイドングル 1080P HD アダプター Miracast AirPlay ミラーリングケーブル iPhone 用")</f>
        <v>ELEGIANT 有線ディスプレイドングル 1080P HD アダプター Miracast AirPlay ミラーリングケーブル iPhone 用</v>
      </c>
    </row>
    <row r="899" ht="15.75" customHeight="1">
      <c r="A899" s="1">
        <v>2372.0</v>
      </c>
      <c r="B899" s="1" t="s">
        <v>381</v>
      </c>
      <c r="C899" s="1" t="s">
        <v>881</v>
      </c>
      <c r="D899" s="1" t="str">
        <f>IFERROR(__xludf.DUMMYFUNCTION("CONCATENATE(GOOGLETRANSLATE(C899, ""en"", ""zh-cn""))"),"猫头鹰图案对开 PU 皮套折叠支架保护套适用于三星 T800")</f>
        <v>猫头鹰图案对开 PU 皮套折叠支架保护套适用于三星 T800</v>
      </c>
      <c r="E899" s="1" t="str">
        <f>IFERROR(__xludf.DUMMYFUNCTION("CONCATENATE(GOOGLETRANSLATE(C899, ""en"", ""ko""))"),"삼성 T800용 올빼미 패턴 폴리오 PU 가죽 케이스 접이식 스탠드 커버")</f>
        <v>삼성 T800용 올빼미 패턴 폴리오 PU 가죽 케이스 접이식 스탠드 커버</v>
      </c>
      <c r="F899" s="1" t="str">
        <f>IFERROR(__xludf.DUMMYFUNCTION("CONCATENATE(GOOGLETRANSLATE(C899, ""en"", ""ja""))"),"フクロウ柄フォリオPUレザーケース折りたたみスタンドカバーSamsung T800用")</f>
        <v>フクロウ柄フォリオPUレザーケース折りたたみスタンドカバーSamsung T800用</v>
      </c>
    </row>
    <row r="900" ht="15.75" customHeight="1">
      <c r="A900" s="1">
        <v>2373.0</v>
      </c>
      <c r="B900" s="1" t="s">
        <v>381</v>
      </c>
      <c r="C900" s="1" t="s">
        <v>882</v>
      </c>
      <c r="D900" s="1" t="str">
        <f>IFERROR(__xludf.DUMMYFUNCTION("CONCATENATE(GOOGLETRANSLATE(C900, ""en"", ""zh-cn""))"),"猫头鹰图案对开 PU 皮套折叠支架保护套适用于三星 T530")</f>
        <v>猫头鹰图案对开 PU 皮套折叠支架保护套适用于三星 T530</v>
      </c>
      <c r="E900" s="1" t="str">
        <f>IFERROR(__xludf.DUMMYFUNCTION("CONCATENATE(GOOGLETRANSLATE(C900, ""en"", ""ko""))"),"삼성 T530용 올빼미 패턴 폴리오 PU 가죽 케이스 접이식 스탠드 커버")</f>
        <v>삼성 T530용 올빼미 패턴 폴리오 PU 가죽 케이스 접이식 스탠드 커버</v>
      </c>
      <c r="F900" s="1" t="str">
        <f>IFERROR(__xludf.DUMMYFUNCTION("CONCATENATE(GOOGLETRANSLATE(C900, ""en"", ""ja""))"),"フクロウ柄フォリオPUレザーケース折りたたみスタンドカバーSamsung T530用")</f>
        <v>フクロウ柄フォリオPUレザーケース折りたたみスタンドカバーSamsung T530用</v>
      </c>
    </row>
    <row r="901" ht="15.75" customHeight="1">
      <c r="A901" s="1">
        <v>2374.0</v>
      </c>
      <c r="B901" s="1" t="s">
        <v>381</v>
      </c>
      <c r="C901" s="1" t="s">
        <v>883</v>
      </c>
      <c r="D901" s="1" t="str">
        <f>IFERROR(__xludf.DUMMYFUNCTION("CONCATENATE(GOOGLETRANSLATE(C901, ""en"", ""zh-cn""))"),"荔枝图案折叠支架 PU 皮套 适合三星 Tab 8.4 T700")</f>
        <v>荔枝图案折叠支架 PU 皮套 适合三星 Tab 8.4 T700</v>
      </c>
      <c r="E901" s="1" t="str">
        <f>IFERROR(__xludf.DUMMYFUNCTION("CONCATENATE(GOOGLETRANSLATE(C901, ""en"", ""ko""))"),"삼성 탭 8.4 T700용 Lichee 패턴 접이식 스탠드 PU 가죽 케이스")</f>
        <v>삼성 탭 8.4 T700용 Lichee 패턴 접이식 스탠드 PU 가죽 케이스</v>
      </c>
      <c r="F901" s="1" t="str">
        <f>IFERROR(__xludf.DUMMYFUNCTION("CONCATENATE(GOOGLETRANSLATE(C901, ""en"", ""ja""))"),"ライチ柄折りたたみスタンド PU レザーケース Samsung Tab 8.4 T700 用")</f>
        <v>ライチ柄折りたたみスタンド PU レザーケース Samsung Tab 8.4 T700 用</v>
      </c>
    </row>
    <row r="902" ht="15.75" customHeight="1">
      <c r="A902" s="1">
        <v>2375.0</v>
      </c>
      <c r="B902" s="1" t="s">
        <v>381</v>
      </c>
      <c r="C902" s="1" t="s">
        <v>884</v>
      </c>
      <c r="D902" s="1" t="str">
        <f>IFERROR(__xludf.DUMMYFUNCTION("CONCATENATE(GOOGLETRANSLATE(C902, ""en"", ""zh-cn""))"),"旋转支架 PU 皮革保护套 适合三星 Tab 8.4 T700")</f>
        <v>旋转支架 PU 皮革保护套 适合三星 Tab 8.4 T700</v>
      </c>
      <c r="E902" s="1" t="str">
        <f>IFERROR(__xludf.DUMMYFUNCTION("CONCATENATE(GOOGLETRANSLATE(C902, ""en"", ""ko""))"),"삼성 탭 8.4 T700용 회전 스탠드 PU 가죽 케이스 커버")</f>
        <v>삼성 탭 8.4 T700용 회전 스탠드 PU 가죽 케이스 커버</v>
      </c>
      <c r="F902" s="1" t="str">
        <f>IFERROR(__xludf.DUMMYFUNCTION("CONCATENATE(GOOGLETRANSLATE(C902, ""en"", ""ja""))"),"Samsung Tab 8.4 T700用回転スタンドPUレザーケースカバー")</f>
        <v>Samsung Tab 8.4 T700用回転スタンドPUレザーケースカバー</v>
      </c>
    </row>
    <row r="903" ht="15.75" customHeight="1">
      <c r="A903" s="1">
        <v>2376.0</v>
      </c>
      <c r="B903" s="1" t="s">
        <v>381</v>
      </c>
      <c r="C903" s="1" t="s">
        <v>885</v>
      </c>
      <c r="D903" s="1" t="str">
        <f>IFERROR(__xludf.DUMMYFUNCTION("CONCATENATE(GOOGLETRANSLATE(C903, ""en"", ""zh-cn""))"),"折叠支架 PU 皮革保护套 适合三星 Tab 10.5 T800 ")</f>
        <v>折叠支架 PU 皮革保护套 适合三星 Tab 10.5 T800 </v>
      </c>
      <c r="E903" s="1" t="str">
        <f>IFERROR(__xludf.DUMMYFUNCTION("CONCATENATE(GOOGLETRANSLATE(C903, ""en"", ""ko""))"),"삼성 탭 10.5 T800용 접이식 스탠드 PU 가죽 케이스 커버 ")</f>
        <v>삼성 탭 10.5 T800용 접이식 스탠드 PU 가죽 케이스 커버 </v>
      </c>
      <c r="F903" s="1" t="str">
        <f>IFERROR(__xludf.DUMMYFUNCTION("CONCATENATE(GOOGLETRANSLATE(C903, ""en"", ""ja""))"),"Samsung Tab 10.5 T800用折りたたみスタンドPUレザーケースカバー ")</f>
        <v>Samsung Tab 10.5 T800用折りたたみスタンドPUレザーケースカバー </v>
      </c>
    </row>
    <row r="904" ht="15.75" customHeight="1">
      <c r="A904" s="1">
        <v>2377.0</v>
      </c>
      <c r="B904" s="1" t="s">
        <v>381</v>
      </c>
      <c r="C904" s="1" t="s">
        <v>886</v>
      </c>
      <c r="D904" s="1" t="str">
        <f>IFERROR(__xludf.DUMMYFUNCTION("CONCATENATE(GOOGLETRANSLATE(C904, ""en"", ""zh-cn""))"),"荔枝纹 PU 皮套 折叠支架保护套 适合华硕 ME176")</f>
        <v>荔枝纹 PU 皮套 折叠支架保护套 适合华硕 ME176</v>
      </c>
      <c r="E904" s="1" t="str">
        <f>IFERROR(__xludf.DUMMYFUNCTION("CONCATENATE(GOOGLETRANSLATE(C904, ""en"", ""ko""))"),"Asus ME176용 Lichee 패턴 PU 가죽 케이스 접이식 스탠드 커버")</f>
        <v>Asus ME176용 Lichee 패턴 PU 가죽 케이스 접이식 스탠드 커버</v>
      </c>
      <c r="F904" s="1" t="str">
        <f>IFERROR(__xludf.DUMMYFUNCTION("CONCATENATE(GOOGLETRANSLATE(C904, ""en"", ""ja""))"),"Asus ME176用ライチパターンPUレザーケース折りたたみスタンドカバー")</f>
        <v>Asus ME176用ライチパターンPUレザーケース折りたたみスタンドカバー</v>
      </c>
    </row>
    <row r="905" ht="15.75" customHeight="1">
      <c r="A905" s="1">
        <v>2378.0</v>
      </c>
      <c r="B905" s="1" t="s">
        <v>381</v>
      </c>
      <c r="C905" s="1" t="s">
        <v>887</v>
      </c>
      <c r="D905" s="1" t="str">
        <f>IFERROR(__xludf.DUMMYFUNCTION("CONCATENATE(GOOGLETRANSLATE(C905, ""en"", ""zh-cn""))"),"超薄三折 PU 皮革保护套，适用于华硕 ME181c 平板电脑")</f>
        <v>超薄三折 PU 皮革保护套，适用于华硕 ME181c 平板电脑</v>
      </c>
      <c r="E905" s="1" t="str">
        <f>IFERROR(__xludf.DUMMYFUNCTION("CONCATENATE(GOOGLETRANSLATE(C905, ""en"", ""ko""))"),"Asus ME181c 태블릿용 초박형 3단 PU 가죽 케이스 커버")</f>
        <v>Asus ME181c 태블릿용 초박형 3단 PU 가죽 케이스 커버</v>
      </c>
      <c r="F905" s="1" t="str">
        <f>IFERROR(__xludf.DUMMYFUNCTION("CONCATENATE(GOOGLETRANSLATE(C905, ""en"", ""ja""))"),"Asus ME181c タブレット用超薄型三つ折り PU レザーケースカバー")</f>
        <v>Asus ME181c タブレット用超薄型三つ折り PU レザーケースカバー</v>
      </c>
    </row>
    <row r="906" ht="15.75" customHeight="1">
      <c r="A906" s="1">
        <v>2379.0</v>
      </c>
      <c r="B906" s="1" t="s">
        <v>381</v>
      </c>
      <c r="C906" s="1" t="s">
        <v>888</v>
      </c>
      <c r="D906" s="1" t="str">
        <f>IFERROR(__xludf.DUMMYFUNCTION("CONCATENATE(GOOGLETRANSLATE(C906, ""en"", ""zh-cn""))"),"Folio PU 皮革折叠支架卡套保护套适用于华硕 ME181c 平板电脑")</f>
        <v>Folio PU 皮革折叠支架卡套保护套适用于华硕 ME181c 平板电脑</v>
      </c>
      <c r="E906" s="1" t="str">
        <f>IFERROR(__xludf.DUMMYFUNCTION("CONCATENATE(GOOGLETRANSLATE(C906, ""en"", ""ko""))"),"Asus ME181c 태블릿용 폴리오 PU 가죽 접이식 스탠드 카드 케이스 커버")</f>
        <v>Asus ME181c 태블릿용 폴리오 PU 가죽 접이식 스탠드 카드 케이스 커버</v>
      </c>
      <c r="F906" s="1" t="str">
        <f>IFERROR(__xludf.DUMMYFUNCTION("CONCATENATE(GOOGLETRANSLATE(C906, ""en"", ""ja""))"),"Asus ME181c タブレット用フォリオ PU レザー折りたたみスタンド カード ケース カバー")</f>
        <v>Asus ME181c タブレット用フォリオ PU レザー折りたたみスタンド カード ケース カバー</v>
      </c>
    </row>
    <row r="907" ht="15.75" customHeight="1">
      <c r="A907" s="1">
        <v>2380.0</v>
      </c>
      <c r="B907" s="1" t="s">
        <v>381</v>
      </c>
      <c r="C907" s="1" t="s">
        <v>889</v>
      </c>
      <c r="D907" s="1" t="str">
        <f>IFERROR(__xludf.DUMMYFUNCTION("CONCATENATE(GOOGLETRANSLATE(C907, ""en"", ""zh-cn""))"),"三角形蓝牙防丢失设备钥匙儿童追踪器查找器适用于平板电脑手机")</f>
        <v>三角形蓝牙防丢失设备钥匙儿童追踪器查找器适用于平板电脑手机</v>
      </c>
      <c r="E907" s="1" t="str">
        <f>IFERROR(__xludf.DUMMYFUNCTION("CONCATENATE(GOOGLETRANSLATE(C907, ""en"", ""ko""))"),"삼각형 블루투스 태블릿 휴대폰용 장치 키 분실 방지 어린이 추적기 찾기")</f>
        <v>삼각형 블루투스 태블릿 휴대폰용 장치 키 분실 방지 어린이 추적기 찾기</v>
      </c>
      <c r="F907" s="1" t="str">
        <f>IFERROR(__xludf.DUMMYFUNCTION("CONCATENATE(GOOGLETRANSLATE(C907, ""en"", ""ja""))"),"タブレット携帯電話用三角形 Bluetooth アンチロストデバイスキーキッズトレーサーファインダー")</f>
        <v>タブレット携帯電話用三角形 Bluetooth アンチロストデバイスキーキッズトレーサーファインダー</v>
      </c>
    </row>
    <row r="908" ht="15.75" customHeight="1">
      <c r="A908" s="1">
        <v>2381.0</v>
      </c>
      <c r="B908" s="1" t="s">
        <v>381</v>
      </c>
      <c r="C908" s="1" t="s">
        <v>890</v>
      </c>
      <c r="D908" s="1" t="str">
        <f>IFERROR(__xludf.DUMMYFUNCTION("CONCATENATE(GOOGLETRANSLATE(C908, ""en"", ""zh-cn""))"),"MK7/MK8 20*20*10mm 3D打印机铝制加热块")</f>
        <v>MK7/MK8 20*20*10mm 3D打印机铝制加热块</v>
      </c>
      <c r="E908" s="1" t="str">
        <f>IFERROR(__xludf.DUMMYFUNCTION("CONCATENATE(GOOGLETRANSLATE(C908, ""en"", ""ko""))"),"3D 프린터용 MK7/MK8 20*20*10mm 알루미늄 가열 블록")</f>
        <v>3D 프린터용 MK7/MK8 20*20*10mm 알루미늄 가열 블록</v>
      </c>
      <c r="F908" s="1" t="str">
        <f>IFERROR(__xludf.DUMMYFUNCTION("CONCATENATE(GOOGLETRANSLATE(C908, ""en"", ""ja""))"),"MK7/MK8 20*20*10 ミリメートル 3D プリンタ用アルミ加熱ブロック")</f>
        <v>MK7/MK8 20*20*10 ミリメートル 3D プリンタ用アルミ加熱ブロック</v>
      </c>
    </row>
    <row r="909" ht="15.75" customHeight="1">
      <c r="A909" s="1">
        <v>2382.0</v>
      </c>
      <c r="B909" s="1" t="s">
        <v>381</v>
      </c>
      <c r="C909" s="1" t="s">
        <v>891</v>
      </c>
      <c r="D909" s="1" t="str">
        <f>IFERROR(__xludf.DUMMYFUNCTION("CONCATENATE(GOOGLETRANSLATE(C909, ""en"", ""zh-cn""))"),"家用通用存储平板手机车载支架")</f>
        <v>家用通用存储平板手机车载支架</v>
      </c>
      <c r="E909" s="1" t="str">
        <f>IFERROR(__xludf.DUMMYFUNCTION("CONCATENATE(GOOGLETRANSLATE(C909, ""en"", ""ko""))"),"태블릿 휴대폰용 가정용 범용 스토리지 자동차 홀더")</f>
        <v>태블릿 휴대폰용 가정용 범용 스토리지 자동차 홀더</v>
      </c>
      <c r="F909" s="1" t="str">
        <f>IFERROR(__xludf.DUMMYFUNCTION("CONCATENATE(GOOGLETRANSLATE(C909, ""en"", ""ja""))"),"タブレット携帯電話用家庭用ユニバーサルストレージカーホルダー")</f>
        <v>タブレット携帯電話用家庭用ユニバーサルストレージカーホルダー</v>
      </c>
    </row>
    <row r="910" ht="15.75" customHeight="1">
      <c r="A910" s="1">
        <v>2383.0</v>
      </c>
      <c r="B910" s="1" t="s">
        <v>381</v>
      </c>
      <c r="C910" s="1" t="s">
        <v>892</v>
      </c>
      <c r="D910" s="1" t="str">
        <f>IFERROR(__xludf.DUMMYFUNCTION("CONCATENATE(GOOGLETRANSLATE(C910, ""en"", ""zh-cn""))"),"三折对开 PU 皮革保护套 支架保护套 适用于 Onda v820w    ")</f>
        <v>三折对开 PU 皮革保护套 支架保护套 适用于 Onda v820w    </v>
      </c>
      <c r="E910" s="1" t="str">
        <f>IFERROR(__xludf.DUMMYFUNCTION("CONCATENATE(GOOGLETRANSLATE(C910, ""en"", ""ko""))"),"Onda v820w용 3단 폴리오 PU 가죽 케이스 스탠드 커버    ")</f>
        <v>Onda v820w용 3단 폴리오 PU 가죽 케이스 스탠드 커버    </v>
      </c>
      <c r="F910" s="1" t="str">
        <f>IFERROR(__xludf.DUMMYFUNCTION("CONCATENATE(GOOGLETRANSLATE(C910, ""en"", ""ja""))"),"Onda v820w用三つ折りフォリオPUレザーケーススタンドカバー    ")</f>
        <v>Onda v820w用三つ折りフォリオPUレザーケーススタンドカバー    </v>
      </c>
    </row>
    <row r="911" ht="15.75" customHeight="1">
      <c r="A911" s="1">
        <v>2384.0</v>
      </c>
      <c r="B911" s="1" t="s">
        <v>381</v>
      </c>
      <c r="C911" s="1" t="s">
        <v>893</v>
      </c>
      <c r="D911" s="1" t="str">
        <f>IFERROR(__xludf.DUMMYFUNCTION("CONCATENATE(GOOGLETRANSLATE(C911, ""en"", ""zh-cn""))"),"世界地图 PU 皮革钱包式保护套 适合 Google Nexus 7 第二代")</f>
        <v>世界地图 PU 皮革钱包式保护套 适合 Google Nexus 7 第二代</v>
      </c>
      <c r="E911" s="1" t="str">
        <f>IFERROR(__xludf.DUMMYFUNCTION("CONCATENATE(GOOGLETRANSLATE(C911, ""en"", ""ko""))"),"Google Nexus 7 2세대용 세계 지도 PU 가죽 지갑 케이스")</f>
        <v>Google Nexus 7 2세대용 세계 지도 PU 가죽 지갑 케이스</v>
      </c>
      <c r="F911" s="1" t="str">
        <f>IFERROR(__xludf.DUMMYFUNCTION("CONCATENATE(GOOGLETRANSLATE(C911, ""en"", ""ja""))"),"Google Nexus 7 第 2 世代用世界地図 PU レザー ウォレット ケース")</f>
        <v>Google Nexus 7 第 2 世代用世界地図 PU レザー ウォレット ケース</v>
      </c>
    </row>
    <row r="912" ht="15.75" customHeight="1">
      <c r="A912" s="1">
        <v>2385.0</v>
      </c>
      <c r="B912" s="1" t="s">
        <v>381</v>
      </c>
      <c r="C912" s="1" t="s">
        <v>894</v>
      </c>
      <c r="D912" s="1" t="str">
        <f>IFERROR(__xludf.DUMMYFUNCTION("CONCATENATE(GOOGLETRANSLATE(C912, ""en"", ""zh-cn""))"),"32 英寸球衣展示柜暗盒框架运动足球棒球")</f>
        <v>32 英寸球衣展示柜暗盒框架运动足球棒球</v>
      </c>
      <c r="E912" s="1" t="str">
        <f>IFERROR(__xludf.DUMMYFUNCTION("CONCATENATE(GOOGLETRANSLATE(C912, ""en"", ""ko""))"),"32'' 저지 디스플레이 케이스 섀도우 박스 프레임 스포츠 축구 야구")</f>
        <v>32'' 저지 디스플레이 케이스 섀도우 박스 프레임 스포츠 축구 야구</v>
      </c>
      <c r="F912" s="1" t="str">
        <f>IFERROR(__xludf.DUMMYFUNCTION("CONCATENATE(GOOGLETRANSLATE(C912, ""en"", ""ja""))"),"32 インチ ジャージ ディスプレイ ケース シャドー ボックス フレーム スポーツ サッカー 野球")</f>
        <v>32 インチ ジャージ ディスプレイ ケース シャドー ボックス フレーム スポーツ サッカー 野球</v>
      </c>
    </row>
    <row r="913" ht="15.75" customHeight="1">
      <c r="A913" s="1">
        <v>2386.0</v>
      </c>
      <c r="B913" s="1" t="s">
        <v>381</v>
      </c>
      <c r="C913" s="1" t="s">
        <v>895</v>
      </c>
      <c r="D913" s="1" t="str">
        <f>IFERROR(__xludf.DUMMYFUNCTION("CONCATENATE(GOOGLETRANSLATE(C913, ""en"", ""zh-cn""))"),"PIPO P1专用Folio PU皮套折叠支架")</f>
        <v>PIPO P1专用Folio PU皮套折叠支架</v>
      </c>
      <c r="E913" s="1" t="str">
        <f>IFERROR(__xludf.DUMMYFUNCTION("CONCATENATE(GOOGLETRANSLATE(C913, ""en"", ""ko""))"),"PIPO P1용 전문 폴리오 PU 가죽 케이스 접이식 스탠드")</f>
        <v>PIPO P1용 전문 폴리오 PU 가죽 케이스 접이식 스탠드</v>
      </c>
      <c r="F913" s="1" t="str">
        <f>IFERROR(__xludf.DUMMYFUNCTION("CONCATENATE(GOOGLETRANSLATE(C913, ""en"", ""ja""))"),"PIPO P1 専用フォリオ PU レザーケース折りたたみスタンド")</f>
        <v>PIPO P1 専用フォリオ PU レザーケース折りたたみスタンド</v>
      </c>
    </row>
    <row r="914" ht="15.75" customHeight="1">
      <c r="A914" s="1">
        <v>2387.0</v>
      </c>
      <c r="B914" s="1" t="s">
        <v>381</v>
      </c>
      <c r="C914" s="1" t="s">
        <v>896</v>
      </c>
      <c r="D914" s="1" t="str">
        <f>IFERROR(__xludf.DUMMYFUNCTION("CONCATENATE(GOOGLETRANSLATE(C914, ""en"", ""zh-cn""))"),"7.9 英寸热定型保护套适用于 Acer A1-830 平板电脑")</f>
        <v>7.9 英寸热定型保护套适用于 Acer A1-830 平板电脑</v>
      </c>
      <c r="E914" s="1" t="str">
        <f>IFERROR(__xludf.DUMMYFUNCTION("CONCATENATE(GOOGLETRANSLATE(C914, ""en"", ""ko""))"),"Acer A1-830 태블릿용 7.9인치 열 스타일링 케이스 커버")</f>
        <v>Acer A1-830 태블릿용 7.9인치 열 스타일링 케이스 커버</v>
      </c>
      <c r="F914" s="1" t="str">
        <f>IFERROR(__xludf.DUMMYFUNCTION("CONCATENATE(GOOGLETRANSLATE(C914, ""en"", ""ja""))"),"Acer A1-830 タブレット用 7.9 インチ ヒート スタイリング ケース カバー")</f>
        <v>Acer A1-830 タブレット用 7.9 インチ ヒート スタイリング ケース カバー</v>
      </c>
    </row>
    <row r="915" ht="15.75" customHeight="1">
      <c r="A915" s="1">
        <v>2388.0</v>
      </c>
      <c r="B915" s="1" t="s">
        <v>381</v>
      </c>
      <c r="C915" s="1" t="s">
        <v>897</v>
      </c>
      <c r="D915" s="1" t="str">
        <f>IFERROR(__xludf.DUMMYFUNCTION("CONCATENATE(GOOGLETRANSLATE(C915, ""en"", ""zh-cn""))"),"100 件装木质磁性拼图人物动物车辆马戏团画板 5 种款式盒装拼图玩具礼品")</f>
        <v>100 件装木质磁性拼图人物动物车辆马戏团画板 5 种款式盒装拼图玩具礼品</v>
      </c>
      <c r="E915" s="1" t="str">
        <f>IFERROR(__xludf.DUMMYFUNCTION("CONCATENATE(GOOGLETRANSLATE(C915, ""en"", ""ko""))"),"100 PCS 나무 자기 퍼즐 그림 동물 차량 서커스 드로잉 보드 5 스타일 상자 퍼즐 장난감 선물")</f>
        <v>100 PCS 나무 자기 퍼즐 그림 동물 차량 서커스 드로잉 보드 5 스타일 상자 퍼즐 장난감 선물</v>
      </c>
      <c r="F915" s="1" t="str">
        <f>IFERROR(__xludf.DUMMYFUNCTION("CONCATENATE(GOOGLETRANSLATE(C915, ""en"", ""ja""))"),"100 個木製磁気パズルフィギュア動物車両サーカス製図板 5 スタイルボックスパズルおもちゃギフト")</f>
        <v>100 個木製磁気パズルフィギュア動物車両サーカス製図板 5 スタイルボックスパズルおもちゃギフト</v>
      </c>
    </row>
    <row r="916" ht="15.75" customHeight="1">
      <c r="A916" s="1">
        <v>2389.0</v>
      </c>
      <c r="B916" s="1" t="s">
        <v>381</v>
      </c>
      <c r="C916" s="1" t="s">
        <v>898</v>
      </c>
      <c r="D916" s="1" t="str">
        <f>IFERROR(__xludf.DUMMYFUNCTION("CONCATENATE(GOOGLETRANSLATE(C916, ""en"", ""zh-cn""))"),"4 件装海绵邮票儿童益智玩具儿童小男孩男孩女孩工艺品绘画学习着色绘画套装")</f>
        <v>4 件装海绵邮票儿童益智玩具儿童小男孩男孩女孩工艺品绘画学习着色绘画套装</v>
      </c>
      <c r="E916" s="1" t="str">
        <f>IFERROR(__xludf.DUMMYFUNCTION("CONCATENATE(GOOGLETRANSLATE(C916, ""en"", ""ko""))"),"4pcs 스폰지 우표 어린이 교육 장난감 어린이 작은 소년 소년과 소녀 수공예품 그림 학습 색칠 그리기 세트")</f>
        <v>4pcs 스폰지 우표 어린이 교육 장난감 어린이 작은 소년 소년과 소녀 수공예품 그림 학습 색칠 그리기 세트</v>
      </c>
      <c r="F916" s="1" t="str">
        <f>IFERROR(__xludf.DUMMYFUNCTION("CONCATENATE(GOOGLETRANSLATE(C916, ""en"", ""ja""))"),"4 個スポンジスタンプ子供の知育玩具子供の小さな男の子男の子と女の子の手工芸品絵画学習ぬりえ描画セット")</f>
        <v>4 個スポンジスタンプ子供の知育玩具子供の小さな男の子男の子と女の子の手工芸品絵画学習ぬりえ描画セット</v>
      </c>
    </row>
    <row r="917" ht="15.75" customHeight="1">
      <c r="A917" s="1">
        <v>2390.0</v>
      </c>
      <c r="B917" s="1" t="s">
        <v>381</v>
      </c>
      <c r="C917" s="1" t="s">
        <v>899</v>
      </c>
      <c r="D917" s="1" t="str">
        <f>IFERROR(__xludf.DUMMYFUNCTION("CONCATENATE(GOOGLETRANSLATE(C917, ""en"", ""zh-cn""))"),"三星 T230 平板电脑对开磨砂 PU 皮革保护套")</f>
        <v>三星 T230 平板电脑对开磨砂 PU 皮革保护套</v>
      </c>
      <c r="E917" s="1" t="str">
        <f>IFERROR(__xludf.DUMMYFUNCTION("CONCATENATE(GOOGLETRANSLATE(C917, ""en"", ""ko""))"),"삼성 T230 태블릿용 폴리오 스크럽 PU 가죽 케이스 커버")</f>
        <v>삼성 T230 태블릿용 폴리오 스크럽 PU 가죽 케이스 커버</v>
      </c>
      <c r="F917" s="1" t="str">
        <f>IFERROR(__xludf.DUMMYFUNCTION("CONCATENATE(GOOGLETRANSLATE(C917, ""en"", ""ja""))"),"サムスン T230 タブレット用フォリオ スクラブ PU レザー ケース カバー")</f>
        <v>サムスン T230 タブレット用フォリオ スクラブ PU レザー ケース カバー</v>
      </c>
    </row>
    <row r="918" ht="15.75" customHeight="1">
      <c r="A918" s="1">
        <v>2391.0</v>
      </c>
      <c r="B918" s="1" t="s">
        <v>381</v>
      </c>
      <c r="C918" s="1" t="s">
        <v>900</v>
      </c>
      <c r="D918" s="1" t="str">
        <f>IFERROR(__xludf.DUMMYFUNCTION("CONCATENATE(GOOGLETRANSLATE(C918, ""en"", ""zh-cn""))"),"三星 T310 平板电脑对开磨砂 PU 皮革保护套")</f>
        <v>三星 T310 平板电脑对开磨砂 PU 皮革保护套</v>
      </c>
      <c r="E918" s="1" t="str">
        <f>IFERROR(__xludf.DUMMYFUNCTION("CONCATENATE(GOOGLETRANSLATE(C918, ""en"", ""ko""))"),"삼성 T310 태블릿용 폴리오 스크럽 PU 가죽 케이스 커버")</f>
        <v>삼성 T310 태블릿용 폴리오 스크럽 PU 가죽 케이스 커버</v>
      </c>
      <c r="F918" s="1" t="str">
        <f>IFERROR(__xludf.DUMMYFUNCTION("CONCATENATE(GOOGLETRANSLATE(C918, ""en"", ""ja""))"),"サムスン T310 タブレット用フォリオ スクラブ PU レザー ケース カバー")</f>
        <v>サムスン T310 タブレット用フォリオ スクラブ PU レザー ケース カバー</v>
      </c>
    </row>
    <row r="919" ht="15.75" customHeight="1">
      <c r="A919" s="1">
        <v>2392.0</v>
      </c>
      <c r="B919" s="1" t="s">
        <v>381</v>
      </c>
      <c r="C919" s="1" t="s">
        <v>901</v>
      </c>
      <c r="D919" s="1" t="str">
        <f>IFERROR(__xludf.DUMMYFUNCTION("CONCATENATE(GOOGLETRANSLATE(C919, ""en"", ""zh-cn""))"),"三星 P3200 平板电脑对开磨砂 PU 皮革保护套")</f>
        <v>三星 P3200 平板电脑对开磨砂 PU 皮革保护套</v>
      </c>
      <c r="E919" s="1" t="str">
        <f>IFERROR(__xludf.DUMMYFUNCTION("CONCATENATE(GOOGLETRANSLATE(C919, ""en"", ""ko""))"),"삼성 P3200 태블릿용 폴리오 스크럽 PU 가죽 케이스 커버")</f>
        <v>삼성 P3200 태블릿용 폴리오 스크럽 PU 가죽 케이스 커버</v>
      </c>
      <c r="F919" s="1" t="str">
        <f>IFERROR(__xludf.DUMMYFUNCTION("CONCATENATE(GOOGLETRANSLATE(C919, ""en"", ""ja""))"),"サムスン P3200 タブレット用フォリオ スクラブ PU レザー ケース カバー")</f>
        <v>サムスン P3200 タブレット用フォリオ スクラブ PU レザー ケース カバー</v>
      </c>
    </row>
    <row r="920" ht="15.75" customHeight="1">
      <c r="A920" s="1">
        <v>2393.0</v>
      </c>
      <c r="B920" s="1" t="s">
        <v>381</v>
      </c>
      <c r="C920" s="1" t="s">
        <v>902</v>
      </c>
      <c r="D920" s="1" t="str">
        <f>IFERROR(__xludf.DUMMYFUNCTION("CONCATENATE(GOOGLETRANSLATE(C920, ""en"", ""zh-cn""))"),"6 件装勾线笔套装画笔水彩画绘画笔画笔油性丙烯")</f>
        <v>6 件装勾线笔套装画笔水彩画绘画笔画笔油性丙烯</v>
      </c>
      <c r="E920" s="1" t="str">
        <f>IFERROR(__xludf.DUMMYFUNCTION("CONCATENATE(GOOGLETRANSLATE(C920, ""en"", ""ko""))"),"6 PCS 후크 라인 펜 세트 그림 브러시 수채화 그림 그리기 펜 브러쉬 오일 아크릴")</f>
        <v>6 PCS 후크 라인 펜 세트 그림 브러시 수채화 그림 그리기 펜 브러쉬 오일 아크릴</v>
      </c>
      <c r="F920" s="1" t="str">
        <f>IFERROR(__xludf.DUMMYFUNCTION("CONCATENATE(GOOGLETRANSLATE(C920, ""en"", ""ja""))"),"6 個フックラインペンセット絵画ブラシ水彩画描画ペンブラシ油アクリル")</f>
        <v>6 個フックラインペンセット絵画ブラシ水彩画描画ペンブラシ油アクリル</v>
      </c>
    </row>
    <row r="921" ht="15.75" customHeight="1">
      <c r="A921" s="1">
        <v>2394.0</v>
      </c>
      <c r="B921" s="1" t="s">
        <v>381</v>
      </c>
      <c r="C921" s="1" t="s">
        <v>903</v>
      </c>
      <c r="D921" s="1" t="str">
        <f>IFERROR(__xludf.DUMMYFUNCTION("CONCATENATE(GOOGLETRANSLATE(C921, ""en"", ""zh-cn""))"),"适用于 iPad Mini 平板电脑的皮革蓝牙键盘保护套")</f>
        <v>适用于 iPad Mini 平板电脑的皮革蓝牙键盘保护套</v>
      </c>
      <c r="E921" s="1" t="str">
        <f>IFERROR(__xludf.DUMMYFUNCTION("CONCATENATE(GOOGLETRANSLATE(C921, ""en"", ""ko""))"),"아이패드 미니 태블릿용 가죽 블루투스 키보드 케이스")</f>
        <v>아이패드 미니 태블릿용 가죽 블루투스 키보드 케이스</v>
      </c>
      <c r="F921" s="1" t="str">
        <f>IFERROR(__xludf.DUMMYFUNCTION("CONCATENATE(GOOGLETRANSLATE(C921, ""en"", ""ja""))"),"iPad Miniタブレット用レザーBluetoothキーボードケース")</f>
        <v>iPad Miniタブレット用レザーBluetoothキーボードケース</v>
      </c>
    </row>
    <row r="922" ht="15.75" customHeight="1">
      <c r="A922" s="1">
        <v>2395.0</v>
      </c>
      <c r="B922" s="1" t="s">
        <v>381</v>
      </c>
      <c r="C922" s="1" t="s">
        <v>904</v>
      </c>
      <c r="D922" s="1" t="str">
        <f>IFERROR(__xludf.DUMMYFUNCTION("CONCATENATE(GOOGLETRANSLATE(C922, ""en"", ""zh-cn""))"),"通用美国 5V 2A 微端口 USB 数据线平板电脑充电器 ")</f>
        <v>通用美国 5V 2A 微端口 USB 数据线平板电脑充电器 </v>
      </c>
      <c r="E922" s="1" t="str">
        <f>IFERROR(__xludf.DUMMYFUNCTION("CONCATENATE(GOOGLETRANSLATE(C922, ""en"", ""ko""))"),"태블릿용 범용 미국 5V 2A 마이크로 포트 USB 케이블 충전기 ")</f>
        <v>태블릿용 범용 미국 5V 2A 마이크로 포트 USB 케이블 충전기 </v>
      </c>
      <c r="F922" s="1" t="str">
        <f>IFERROR(__xludf.DUMMYFUNCTION("CONCATENATE(GOOGLETRANSLATE(C922, ""en"", ""ja""))"),"タブレット用ユニバーサル米国5V 2AマイクロポートUSBケーブル充電器 ")</f>
        <v>タブレット用ユニバーサル米国5V 2AマイクロポートUSBケーブル充電器 </v>
      </c>
    </row>
    <row r="923" ht="15.75" customHeight="1">
      <c r="A923" s="1">
        <v>2396.0</v>
      </c>
      <c r="B923" s="1" t="s">
        <v>381</v>
      </c>
      <c r="C923" s="1" t="s">
        <v>905</v>
      </c>
      <c r="D923" s="1" t="str">
        <f>IFERROR(__xludf.DUMMYFUNCTION("CONCATENATE(GOOGLETRANSLATE(C923, ""en"", ""zh-cn""))"),"Colorfly E708 Q1 平板电脑专用对开 PU 皮革保护套")</f>
        <v>Colorfly E708 Q1 平板电脑专用对开 PU 皮革保护套</v>
      </c>
      <c r="E923" s="1" t="str">
        <f>IFERROR(__xludf.DUMMYFUNCTION("CONCATENATE(GOOGLETRANSLATE(C923, ""en"", ""ko""))"),"Colorfly E708 Q1 태블릿용 특수 폴리오 PU 가죽 케이스 커버")</f>
        <v>Colorfly E708 Q1 태블릿용 특수 폴리오 PU 가죽 케이스 커버</v>
      </c>
      <c r="F923" s="1" t="str">
        <f>IFERROR(__xludf.DUMMYFUNCTION("CONCATENATE(GOOGLETRANSLATE(C923, ""en"", ""ja""))"),"Colorfly E708 Q1 タブレット用の特殊フォリオ PU レザーケースカバー")</f>
        <v>Colorfly E708 Q1 タブレット用の特殊フォリオ PU レザーケースカバー</v>
      </c>
    </row>
    <row r="924" ht="15.75" customHeight="1">
      <c r="A924" s="1">
        <v>2397.0</v>
      </c>
      <c r="B924" s="1" t="s">
        <v>381</v>
      </c>
      <c r="C924" s="1" t="s">
        <v>906</v>
      </c>
      <c r="D924" s="1" t="str">
        <f>IFERROR(__xludf.DUMMYFUNCTION("CONCATENATE(GOOGLETRANSLATE(C924, ""en"", ""zh-cn""))"),"三星 T310 平板电脑对开 PU 皮革折叠支架保护套")</f>
        <v>三星 T310 平板电脑对开 PU 皮革折叠支架保护套</v>
      </c>
      <c r="E924" s="1" t="str">
        <f>IFERROR(__xludf.DUMMYFUNCTION("CONCATENATE(GOOGLETRANSLATE(C924, ""en"", ""ko""))"),"삼성 T310 태블릿용 폴리오 PU 가죽 접이식 스탠드 케이스 커버")</f>
        <v>삼성 T310 태블릿용 폴리오 PU 가죽 접이식 스탠드 케이스 커버</v>
      </c>
      <c r="F924" s="1" t="str">
        <f>IFERROR(__xludf.DUMMYFUNCTION("CONCATENATE(GOOGLETRANSLATE(C924, ""en"", ""ja""))"),"サムスン T310 タブレット用フォリオ PU レザー折りたたみスタンド ケース カバー")</f>
        <v>サムスン T310 タブレット用フォリオ PU レザー折りたたみスタンド ケース カバー</v>
      </c>
    </row>
    <row r="925" ht="15.75" customHeight="1">
      <c r="A925" s="1">
        <v>2398.0</v>
      </c>
      <c r="B925" s="1" t="s">
        <v>381</v>
      </c>
      <c r="C925" s="1" t="s">
        <v>907</v>
      </c>
      <c r="D925" s="1" t="str">
        <f>IFERROR(__xludf.DUMMYFUNCTION("CONCATENATE(GOOGLETRANSLATE(C925, ""en"", ""zh-cn""))"),"适用于Colorfly E708 Q1 Q2 透明光面屏幕保护膜")</f>
        <v>适用于Colorfly E708 Q1 Q2 透明光面屏幕保护膜</v>
      </c>
      <c r="E925" s="1" t="str">
        <f>IFERROR(__xludf.DUMMYFUNCTION("CONCATENATE(GOOGLETRANSLATE(C925, ""en"", ""ko""))"),"Colorfly E708 Q1 Q2용 투명 광택 화면 보호 필름")</f>
        <v>Colorfly E708 Q1 Q2용 투명 광택 화면 보호 필름</v>
      </c>
      <c r="F925" s="1" t="str">
        <f>IFERROR(__xludf.DUMMYFUNCTION("CONCATENATE(GOOGLETRANSLATE(C925, ""en"", ""ja""))"),"Colorfly E708 Q1 Q2 用の透明な光沢のあるスクリーン保護フィルム")</f>
        <v>Colorfly E708 Q1 Q2 用の透明な光沢のあるスクリーン保護フィルム</v>
      </c>
    </row>
    <row r="926" ht="15.75" customHeight="1">
      <c r="A926" s="1">
        <v>2399.0</v>
      </c>
      <c r="B926" s="1" t="s">
        <v>381</v>
      </c>
      <c r="C926" s="1" t="s">
        <v>908</v>
      </c>
      <c r="D926" s="1" t="str">
        <f>IFERROR(__xludf.DUMMYFUNCTION("CONCATENATE(GOOGLETRANSLATE(C926, ""en"", ""zh-cn""))"),"Voyo WinPad A1 蓝牙保护键盘保护套")</f>
        <v>Voyo WinPad A1 蓝牙保护键盘保护套</v>
      </c>
      <c r="E926" s="1" t="str">
        <f>IFERROR(__xludf.DUMMYFUNCTION("CONCATENATE(GOOGLETRANSLATE(C926, ""en"", ""ko""))"),"Voyo WinPad A1용 블루투스 보호 키보드 케이스 커버")</f>
        <v>Voyo WinPad A1용 블루투스 보호 키보드 케이스 커버</v>
      </c>
      <c r="F926" s="1" t="str">
        <f>IFERROR(__xludf.DUMMYFUNCTION("CONCATENATE(GOOGLETRANSLATE(C926, ""en"", ""ja""))"),"Voyo WinPad A1 用 Bluetooth 保護キーボードケースカバー")</f>
        <v>Voyo WinPad A1 用 Bluetooth 保護キーボードケースカバー</v>
      </c>
    </row>
    <row r="927" ht="15.75" customHeight="1">
      <c r="A927" s="1">
        <v>2400.0</v>
      </c>
      <c r="B927" s="1" t="s">
        <v>381</v>
      </c>
      <c r="C927" s="1" t="s">
        <v>909</v>
      </c>
      <c r="D927" s="1" t="str">
        <f>IFERROR(__xludf.DUMMYFUNCTION("CONCATENATE(GOOGLETRANSLATE(C927, ""en"", ""zh-cn""))"),"40*50帆布防水脏衣篮儿童玩具收纳篮卡通布艺浴室脏衣桶杂物收纳桶")</f>
        <v>40*50帆布防水脏衣篮儿童玩具收纳篮卡通布艺浴室脏衣桶杂物收纳桶</v>
      </c>
      <c r="E927" s="1" t="str">
        <f>IFERROR(__xludf.DUMMYFUNCTION("CONCATENATE(GOOGLETRANSLATE(C927, ""en"", ""ko""))"),"40*50 캔버스 방수 더러운 옷 바구니 어린이 장난감 보관 바구니 만화 패브릭 욕실 더러운 옷 양동이 잡화 보관 통")</f>
        <v>40*50 캔버스 방수 더러운 옷 바구니 어린이 장난감 보관 바구니 만화 패브릭 욕실 더러운 옷 양동이 잡화 보관 통</v>
      </c>
      <c r="F927" s="1" t="str">
        <f>IFERROR(__xludf.DUMMYFUNCTION("CONCATENATE(GOOGLETRANSLATE(C927, ""en"", ""ja""))"),"40*50 キャンバス防水汚れた衣類バスケット子供のおもちゃ収納バスケット漫画生地浴室汚れた服バケツ雑貨収納バケツ")</f>
        <v>40*50 キャンバス防水汚れた衣類バスケット子供のおもちゃ収納バスケット漫画生地浴室汚れた服バケツ雑貨収納バケツ</v>
      </c>
    </row>
    <row r="928" ht="15.75" customHeight="1">
      <c r="A928" s="1">
        <v>2401.0</v>
      </c>
      <c r="B928" s="1" t="s">
        <v>381</v>
      </c>
      <c r="C928" s="1" t="s">
        <v>910</v>
      </c>
      <c r="D928" s="1" t="str">
        <f>IFERROR(__xludf.DUMMYFUNCTION("CONCATENATE(GOOGLETRANSLATE(C928, ""en"", ""zh-cn""))"),"PIPO W4透明屏幕保护膜")</f>
        <v>PIPO W4透明屏幕保护膜</v>
      </c>
      <c r="E928" s="1" t="str">
        <f>IFERROR(__xludf.DUMMYFUNCTION("CONCATENATE(GOOGLETRANSLATE(C928, ""en"", ""ko""))"),"PIPO W4용 투명 화면 보호 필름")</f>
        <v>PIPO W4용 투명 화면 보호 필름</v>
      </c>
      <c r="F928" s="1" t="str">
        <f>IFERROR(__xludf.DUMMYFUNCTION("CONCATENATE(GOOGLETRANSLATE(C928, ""en"", ""ja""))"),"PIPO W4用透明スクリーンプロテクターフィルム")</f>
        <v>PIPO W4用透明スクリーンプロテクターフィルム</v>
      </c>
    </row>
    <row r="929" ht="15.75" customHeight="1">
      <c r="A929" s="1">
        <v>2402.0</v>
      </c>
      <c r="B929" s="1" t="s">
        <v>381</v>
      </c>
      <c r="C929" s="1" t="s">
        <v>911</v>
      </c>
      <c r="D929" s="1" t="str">
        <f>IFERROR(__xludf.DUMMYFUNCTION("CONCATENATE(GOOGLETRANSLATE(C929, ""en"", ""zh-cn""))"),"蓝魔I9S透明屏幕保护膜")</f>
        <v>蓝魔I9S透明屏幕保护膜</v>
      </c>
      <c r="E929" s="1" t="str">
        <f>IFERROR(__xludf.DUMMYFUNCTION("CONCATENATE(GOOGLETRANSLATE(C929, ""en"", ""ko""))"),"Ramos I9S용 투명 화면 보호 필름")</f>
        <v>Ramos I9S용 투명 화면 보호 필름</v>
      </c>
      <c r="F929" s="1" t="str">
        <f>IFERROR(__xludf.DUMMYFUNCTION("CONCATENATE(GOOGLETRANSLATE(C929, ""en"", ""ja""))"),"Ramos I9S 用透明スクリーン保護フィルム")</f>
        <v>Ramos I9S 用透明スクリーン保護フィルム</v>
      </c>
    </row>
    <row r="930" ht="15.75" customHeight="1">
      <c r="A930" s="1">
        <v>2403.0</v>
      </c>
      <c r="B930" s="1" t="s">
        <v>381</v>
      </c>
      <c r="C930" s="1" t="s">
        <v>912</v>
      </c>
      <c r="D930" s="1" t="str">
        <f>IFERROR(__xludf.DUMMYFUNCTION("CONCATENATE(GOOGLETRANSLATE(C930, ""en"", ""zh-cn""))"),"19V 3.16A 60W 笔记本电脑交流电源适配器 SAMUNG CPA09-004A")</f>
        <v>19V 3.16A 60W 笔记本电脑交流电源适配器 SAMUNG CPA09-004A</v>
      </c>
      <c r="E930" s="1" t="str">
        <f>IFERROR(__xludf.DUMMYFUNCTION("CONCATENATE(GOOGLETRANSLATE(C930, ""en"", ""ko""))"),"노트북용 19V 3.16A 60W AC 전원 어댑터 SAMUNG CPA09-004A")</f>
        <v>노트북용 19V 3.16A 60W AC 전원 어댑터 SAMUNG CPA09-004A</v>
      </c>
      <c r="F930" s="1" t="str">
        <f>IFERROR(__xludf.DUMMYFUNCTION("CONCATENATE(GOOGLETRANSLATE(C930, ""en"", ""ja""))"),"ラップトップ用 19V 3.16A 60W AC 電源アダプタ SAMUNG CPA09-004A")</f>
        <v>ラップトップ用 19V 3.16A 60W AC 電源アダプタ SAMUNG CPA09-004A</v>
      </c>
    </row>
    <row r="931" ht="15.75" customHeight="1">
      <c r="A931" s="1">
        <v>2404.0</v>
      </c>
      <c r="B931" s="1" t="s">
        <v>381</v>
      </c>
      <c r="C931" s="1" t="s">
        <v>913</v>
      </c>
      <c r="D931" s="1" t="str">
        <f>IFERROR(__xludf.DUMMYFUNCTION("CONCATENATE(GOOGLETRANSLATE(C931, ""en"", ""zh-cn""))"),"华为 S8-701u 对开 PU 皮套折叠支架保护套")</f>
        <v>华为 S8-701u 对开 PU 皮套折叠支架保护套</v>
      </c>
      <c r="E931" s="1" t="str">
        <f>IFERROR(__xludf.DUMMYFUNCTION("CONCATENATE(GOOGLETRANSLATE(C931, ""en"", ""ko""))"),"화웨이 S8-701u용 폴리오 PU 가죽 케이스 접이식 스탠드 커버")</f>
        <v>화웨이 S8-701u용 폴리오 PU 가죽 케이스 접이식 스탠드 커버</v>
      </c>
      <c r="F931" s="1" t="str">
        <f>IFERROR(__xludf.DUMMYFUNCTION("CONCATENATE(GOOGLETRANSLATE(C931, ""en"", ""ja""))"),"HUAWEI S8-701u用フォリオPUレザーケース折りたたみスタンドカバー")</f>
        <v>HUAWEI S8-701u用フォリオPUレザーケース折りたたみスタンドカバー</v>
      </c>
    </row>
    <row r="932" ht="15.75" customHeight="1">
      <c r="A932" s="1">
        <v>2405.0</v>
      </c>
      <c r="B932" s="1" t="s">
        <v>381</v>
      </c>
      <c r="C932" s="1" t="s">
        <v>914</v>
      </c>
      <c r="D932" s="1" t="str">
        <f>IFERROR(__xludf.DUMMYFUNCTION("CONCATENATE(GOOGLETRANSLATE(C932, ""en"", ""zh-cn""))"),"MECO 300Mbps 2.4GHz 无线 Wifi 中继器 LAN 端口 WIFI 信号放大器 WLAN 增强器 WiFi 范围扩展器")</f>
        <v>MECO 300Mbps 2.4GHz 无线 Wifi 中继器 LAN 端口 WIFI 信号放大器 WLAN 增强器 WiFi 范围扩展器</v>
      </c>
      <c r="E932" s="1" t="str">
        <f>IFERROR(__xludf.DUMMYFUNCTION("CONCATENATE(GOOGLETRANSLATE(C932, ""en"", ""ko""))"),"MECO 300Mbps 2.4GHz 무선 Wifi 리피터 LAN 포트 WIFI 신호 증폭기 WLAN 부스터 WiFi 범위 확장기")</f>
        <v>MECO 300Mbps 2.4GHz 무선 Wifi 리피터 LAN 포트 WIFI 신호 증폭기 WLAN 부스터 WiFi 범위 확장기</v>
      </c>
      <c r="F932" s="1" t="str">
        <f>IFERROR(__xludf.DUMMYFUNCTION("CONCATENATE(GOOGLETRANSLATE(C932, ""en"", ""ja""))"),"MECO 300Mbps 2.4GHz ワイヤレス Wifi リピーター LAN ポート WIFI 信号増幅器 WLAN ブースター WiFi レンジエクステンダー")</f>
        <v>MECO 300Mbps 2.4GHz ワイヤレス Wifi リピーター LAN ポート WIFI 信号増幅器 WLAN ブースター WiFi レンジエクステンダー</v>
      </c>
    </row>
    <row r="933" ht="15.75" customHeight="1">
      <c r="A933" s="1">
        <v>2406.0</v>
      </c>
      <c r="B933" s="1" t="s">
        <v>381</v>
      </c>
      <c r="C933" s="1" t="s">
        <v>915</v>
      </c>
      <c r="D933" s="1" t="str">
        <f>IFERROR(__xludf.DUMMYFUNCTION("CONCATENATE(GOOGLETRANSLATE(C933, ""en"", ""zh-cn""))"),"超薄三折 PU 皮套适用于 Acer Iconia One7 B1-740")</f>
        <v>超薄三折 PU 皮套适用于 Acer Iconia One7 B1-740</v>
      </c>
      <c r="E933" s="1" t="str">
        <f>IFERROR(__xludf.DUMMYFUNCTION("CONCATENATE(GOOGLETRANSLATE(C933, ""en"", ""ko""))"),"Acer Iconia One7 B1-740용 초박형 3단 PU 가죽 케이스")</f>
        <v>Acer Iconia One7 B1-740용 초박형 3단 PU 가죽 케이스</v>
      </c>
      <c r="F933" s="1" t="str">
        <f>IFERROR(__xludf.DUMMYFUNCTION("CONCATENATE(GOOGLETRANSLATE(C933, ""en"", ""ja""))"),"Acer Iconia One7 B1-740用超薄型三つ折りPUレザーケース")</f>
        <v>Acer Iconia One7 B1-740用超薄型三つ折りPUレザーケース</v>
      </c>
    </row>
    <row r="934" ht="15.75" customHeight="1">
      <c r="A934" s="1">
        <v>2407.0</v>
      </c>
      <c r="B934" s="1" t="s">
        <v>381</v>
      </c>
      <c r="C934" s="1" t="s">
        <v>916</v>
      </c>
      <c r="D934" s="1" t="str">
        <f>IFERROR(__xludf.DUMMYFUNCTION("CONCATENATE(GOOGLETRANSLATE(C934, ""en"", ""zh-cn""))"),"Avanc HD 720P USB 网络摄像头，带麦克风，适用于笔记本电脑")</f>
        <v>Avanc HD 720P USB 网络摄像头，带麦克风，适用于笔记本电脑</v>
      </c>
      <c r="E934" s="1" t="str">
        <f>IFERROR(__xludf.DUMMYFUNCTION("CONCATENATE(GOOGLETRANSLATE(C934, ""en"", ""ko""))"),"PC 노트북용 마이크가 포함된 Avanc HD 720P USB 웹캠")</f>
        <v>PC 노트북용 마이크가 포함된 Avanc HD 720P USB 웹캠</v>
      </c>
      <c r="F934" s="1" t="str">
        <f>IFERROR(__xludf.DUMMYFUNCTION("CONCATENATE(GOOGLETRANSLATE(C934, ""en"", ""ja""))"),"Avanc HD 720P USB ウェブカメラ マイク付き PC ラップトップ用")</f>
        <v>Avanc HD 720P USB ウェブカメラ マイク付き PC ラップトップ用</v>
      </c>
    </row>
    <row r="935" ht="15.75" customHeight="1">
      <c r="A935" s="1">
        <v>2408.0</v>
      </c>
      <c r="B935" s="1" t="s">
        <v>381</v>
      </c>
      <c r="C935" s="1" t="s">
        <v>917</v>
      </c>
      <c r="D935" s="1" t="str">
        <f>IFERROR(__xludf.DUMMYFUNCTION("CONCATENATE(GOOGLETRANSLATE(C935, ""en"", ""zh-cn""))"),"INSMA 8K HDMI 2.1 电缆 0.5/1/1.5/2/3m HDMI 公头转 HDMI 公头电缆 1080P 8K 60HZ 48Gbps 镀金连接器")</f>
        <v>INSMA 8K HDMI 2.1 电缆 0.5/1/1.5/2/3m HDMI 公头转 HDMI 公头电缆 1080P 8K 60HZ 48Gbps 镀金连接器</v>
      </c>
      <c r="E935" s="1" t="str">
        <f>IFERROR(__xludf.DUMMYFUNCTION("CONCATENATE(GOOGLETRANSLATE(C935, ""en"", ""ko""))"),"INSMA 8K HDMI 2.1 케이블 0.5/1/1.5/2/3m HDMI 남성-HDMI 남성 케이블 1080P 8K 60HZ 48Gbps 금도금 커넥터")</f>
        <v>INSMA 8K HDMI 2.1 케이블 0.5/1/1.5/2/3m HDMI 남성-HDMI 남성 케이블 1080P 8K 60HZ 48Gbps 금도금 커넥터</v>
      </c>
      <c r="F935" s="1" t="str">
        <f>IFERROR(__xludf.DUMMYFUNCTION("CONCATENATE(GOOGLETRANSLATE(C935, ""en"", ""ja""))"),"INSMA 8K HDMI 2.1 ケーブル 0.5/1/1.5/2/3m HDMI オス - HDMI オスケーブル 1080P 8K 60HZ 48Gbps 金メッキコネクタ")</f>
        <v>INSMA 8K HDMI 2.1 ケーブル 0.5/1/1.5/2/3m HDMI オス - HDMI オスケーブル 1080P 8K 60HZ 48Gbps 金メッキコネクタ</v>
      </c>
    </row>
    <row r="936" ht="15.75" customHeight="1">
      <c r="A936" s="1">
        <v>2409.0</v>
      </c>
      <c r="B936" s="1" t="s">
        <v>381</v>
      </c>
      <c r="C936" s="1" t="s">
        <v>918</v>
      </c>
      <c r="D936" s="1" t="str">
        <f>IFERROR(__xludf.DUMMYFUNCTION("CONCATENATE(GOOGLETRANSLATE(C936, ""en"", ""zh-cn""))"),"360 度旋转保护壳适用于三星 GALAXY Tab 3 Lite T110")</f>
        <v>360 度旋转保护壳适用于三星 GALAXY Tab 3 Lite T110</v>
      </c>
      <c r="E936" s="1" t="str">
        <f>IFERROR(__xludf.DUMMYFUNCTION("CONCATENATE(GOOGLETRANSLATE(C936, ""en"", ""ko""))"),"삼성 갤럭시 탭 3 라이트 T110용 360도 회전 케이스 커버")</f>
        <v>삼성 갤럭시 탭 3 라이트 T110용 360도 회전 케이스 커버</v>
      </c>
      <c r="F936" s="1" t="str">
        <f>IFERROR(__xludf.DUMMYFUNCTION("CONCATENATE(GOOGLETRANSLATE(C936, ""en"", ""ja""))"),"Samsung GALAXY Tab 3 Lite T110用の360度回転ケースカバー")</f>
        <v>Samsung GALAXY Tab 3 Lite T110用の360度回転ケースカバー</v>
      </c>
    </row>
    <row r="937" ht="15.75" customHeight="1">
      <c r="A937" s="1">
        <v>2410.0</v>
      </c>
      <c r="B937" s="1" t="s">
        <v>381</v>
      </c>
      <c r="C937" s="1" t="s">
        <v>919</v>
      </c>
      <c r="D937" s="1" t="str">
        <f>IFERROR(__xludf.DUMMYFUNCTION("CONCATENATE(GOOGLETRANSLATE(C937, ""en"", ""zh-cn""))"),"三星 T110 平板电脑对开磨砂 PU 皮革保护套")</f>
        <v>三星 T110 平板电脑对开磨砂 PU 皮革保护套</v>
      </c>
      <c r="E937" s="1" t="str">
        <f>IFERROR(__xludf.DUMMYFUNCTION("CONCATENATE(GOOGLETRANSLATE(C937, ""en"", ""ko""))"),"삼성 T110 태블릿용 폴리오 스크럽 PU 가죽 케이스 커버")</f>
        <v>삼성 T110 태블릿용 폴리오 스크럽 PU 가죽 케이스 커버</v>
      </c>
      <c r="F937" s="1" t="str">
        <f>IFERROR(__xludf.DUMMYFUNCTION("CONCATENATE(GOOGLETRANSLATE(C937, ""en"", ""ja""))"),"サムスン T110 タブレット用フォリオ スクラブ PU レザー ケース カバー")</f>
        <v>サムスン T110 タブレット用フォリオ スクラブ PU レザー ケース カバー</v>
      </c>
    </row>
    <row r="938" ht="15.75" customHeight="1">
      <c r="A938" s="1">
        <v>2411.0</v>
      </c>
      <c r="B938" s="1" t="s">
        <v>381</v>
      </c>
      <c r="C938" s="1" t="s">
        <v>920</v>
      </c>
      <c r="D938" s="1" t="str">
        <f>IFERROR(__xludf.DUMMYFUNCTION("CONCATENATE(GOOGLETRANSLATE(C938, ""en"", ""zh-cn""))"),"9.7 英寸 Ainol Spark II 平板电脑透明屏幕保护膜")</f>
        <v>9.7 英寸 Ainol Spark II 平板电脑透明屏幕保护膜</v>
      </c>
      <c r="E938" s="1" t="str">
        <f>IFERROR(__xludf.DUMMYFUNCTION("CONCATENATE(GOOGLETRANSLATE(C938, ""en"", ""ko""))"),"9.7인치 Ainol Spark II 태블릿용 투명 화면 보호 필름")</f>
        <v>9.7인치 Ainol Spark II 태블릿용 투명 화면 보호 필름</v>
      </c>
      <c r="F938" s="1" t="str">
        <f>IFERROR(__xludf.DUMMYFUNCTION("CONCATENATE(GOOGLETRANSLATE(C938, ""en"", ""ja""))"),"9.7インチAinol Spark IIタブレット用透明スクリーンプロテクターフィルム")</f>
        <v>9.7インチAinol Spark IIタブレット用透明スクリーンプロテクターフィルム</v>
      </c>
    </row>
    <row r="939" ht="15.75" customHeight="1">
      <c r="A939" s="1">
        <v>2412.0</v>
      </c>
      <c r="B939" s="1" t="s">
        <v>381</v>
      </c>
      <c r="C939" s="1" t="s">
        <v>921</v>
      </c>
      <c r="D939" s="1" t="str">
        <f>IFERROR(__xludf.DUMMYFUNCTION("CONCATENATE(GOOGLETRANSLATE(C939, ""en"", ""zh-cn""))"),"得力 5302 A4 商用文件夹 双强力夹 双夹")</f>
        <v>得力 5302 A4 商用文件夹 双强力夹 双夹</v>
      </c>
      <c r="E939" s="1" t="str">
        <f>IFERROR(__xludf.DUMMYFUNCTION("CONCATENATE(GOOGLETRANSLATE(C939, ""en"", ""ko""))"),"Deli 5302 A4 상업용 파일 폴더 이중 강력한 클립 이중 클램프")</f>
        <v>Deli 5302 A4 상업용 파일 폴더 이중 강력한 클립 이중 클램프</v>
      </c>
      <c r="F939" s="1" t="str">
        <f>IFERROR(__xludf.DUMMYFUNCTION("CONCATENATE(GOOGLETRANSLATE(C939, ""en"", ""ja""))"),"デリ A4業務用ファイルフォルダー ダブル強力クリップ ダブルクランプ 5302")</f>
        <v>デリ A4業務用ファイルフォルダー ダブル強力クリップ ダブルクランプ 5302</v>
      </c>
    </row>
    <row r="940" ht="15.75" customHeight="1">
      <c r="A940" s="1">
        <v>2413.0</v>
      </c>
      <c r="B940" s="1" t="s">
        <v>381</v>
      </c>
      <c r="C940" s="1" t="s">
        <v>922</v>
      </c>
      <c r="D940" s="1" t="str">
        <f>IFERROR(__xludf.DUMMYFUNCTION("CONCATENATE(GOOGLETRANSLATE(C940, ""en"", ""zh-cn""))"),"INSMA 8K HDMI 2.1 电缆 0.5/1/1.5/2/3m HDMI 公头转 HDMI 公头电缆 1080P 8K 60HZ 48Gbps 连接器")</f>
        <v>INSMA 8K HDMI 2.1 电缆 0.5/1/1.5/2/3m HDMI 公头转 HDMI 公头电缆 1080P 8K 60HZ 48Gbps 连接器</v>
      </c>
      <c r="E940" s="1" t="str">
        <f>IFERROR(__xludf.DUMMYFUNCTION("CONCATENATE(GOOGLETRANSLATE(C940, ""en"", ""ko""))"),"INSMA 8K HDMI 2.1 케이블 0.5/1/1.5/2/3m HDMI 남성-HDMI 남성 케이블 1080P 8K 60HZ 48Gbps 커넥터")</f>
        <v>INSMA 8K HDMI 2.1 케이블 0.5/1/1.5/2/3m HDMI 남성-HDMI 남성 케이블 1080P 8K 60HZ 48Gbps 커넥터</v>
      </c>
      <c r="F940" s="1" t="str">
        <f>IFERROR(__xludf.DUMMYFUNCTION("CONCATENATE(GOOGLETRANSLATE(C940, ""en"", ""ja""))"),"INSMA 8K HDMI 2.1 ケーブル 0.5/1/1.5/2/3m HDMI オス - HDMI オスケーブル 1080P 8K 60HZ 48Gbps コネクタ")</f>
        <v>INSMA 8K HDMI 2.1 ケーブル 0.5/1/1.5/2/3m HDMI オス - HDMI オスケーブル 1080P 8K 60HZ 48Gbps コネクタ</v>
      </c>
    </row>
    <row r="941" ht="15.75" customHeight="1">
      <c r="A941" s="1">
        <v>2414.0</v>
      </c>
      <c r="B941" s="1" t="s">
        <v>381</v>
      </c>
      <c r="C941" s="1" t="s">
        <v>923</v>
      </c>
      <c r="D941" s="1" t="str">
        <f>IFERROR(__xludf.DUMMYFUNCTION("CONCATENATE(GOOGLETRANSLATE(C941, ""en"", ""zh-cn""))"),"金属网状化妆刷笔办公桌面收纳盒")</f>
        <v>金属网状化妆刷笔办公桌面收纳盒</v>
      </c>
      <c r="E941" s="1" t="str">
        <f>IFERROR(__xludf.DUMMYFUNCTION("CONCATENATE(GOOGLETRANSLATE(C941, ""en"", ""ko""))"),"금속 메쉬 화장품 메이크업 브러쉬 펜 사무실 데스크탑 보관함")</f>
        <v>금속 메쉬 화장품 메이크업 브러쉬 펜 사무실 데스크탑 보관함</v>
      </c>
      <c r="F941" s="1" t="str">
        <f>IFERROR(__xludf.DUMMYFUNCTION("CONCATENATE(GOOGLETRANSLATE(C941, ""en"", ""ja""))"),"メタルメッシュ化粧ブラシペンオフィスデスクトップ収納ボックス")</f>
        <v>メタルメッシュ化粧ブラシペンオフィスデスクトップ収納ボックス</v>
      </c>
    </row>
    <row r="942" ht="15.75" customHeight="1">
      <c r="A942" s="1">
        <v>2415.0</v>
      </c>
      <c r="B942" s="1" t="s">
        <v>381</v>
      </c>
      <c r="C942" s="1" t="s">
        <v>924</v>
      </c>
      <c r="D942" s="1" t="str">
        <f>IFERROR(__xludf.DUMMYFUNCTION("CONCATENATE(GOOGLETRANSLATE(C942, ""en"", ""zh-cn""))"),"牛仔设计对开 PU 皮革保护套 适合三星 Galaxy T110")</f>
        <v>牛仔设计对开 PU 皮革保护套 适合三星 Galaxy T110</v>
      </c>
      <c r="E942" s="1" t="str">
        <f>IFERROR(__xludf.DUMMYFUNCTION("CONCATENATE(GOOGLETRANSLATE(C942, ""en"", ""ko""))"),"삼성 갤럭시 T110용 데님 디자인 폴리오 PU 가죽 케이스 커버")</f>
        <v>삼성 갤럭시 T110용 데님 디자인 폴리오 PU 가죽 케이스 커버</v>
      </c>
      <c r="F942" s="1" t="str">
        <f>IFERROR(__xludf.DUMMYFUNCTION("CONCATENATE(GOOGLETRANSLATE(C942, ""en"", ""ja""))"),"Samsung Galaxy T110用デニムデザインフォリオPUレザーケースカバー")</f>
        <v>Samsung Galaxy T110用デニムデザインフォリオPUレザーケースカバー</v>
      </c>
    </row>
    <row r="943" ht="15.75" customHeight="1">
      <c r="A943" s="1">
        <v>2416.0</v>
      </c>
      <c r="B943" s="1" t="s">
        <v>381</v>
      </c>
      <c r="C943" s="1" t="s">
        <v>925</v>
      </c>
      <c r="D943" s="1" t="str">
        <f>IFERROR(__xludf.DUMMYFUNCTION("CONCATENATE(GOOGLETRANSLATE(C943, ""en"", ""zh-cn""))"),"三折对开 PU 皮套 支架保护套 适用于 ALLDOCUBE Cube U80 超级版平板电脑")</f>
        <v>三折对开 PU 皮套 支架保护套 适用于 ALLDOCUBE Cube U80 超级版平板电脑</v>
      </c>
      <c r="E943" s="1" t="str">
        <f>IFERROR(__xludf.DUMMYFUNCTION("CONCATENATE(GOOGLETRANSLATE(C943, ""en"", ""ko""))"),"ALLDOCUBE Cube U80 슈퍼 버전 태블릿용 3단 폴리오 PU 가죽 케이스 스탠드 커버")</f>
        <v>ALLDOCUBE Cube U80 슈퍼 버전 태블릿용 3단 폴리오 PU 가죽 케이스 스탠드 커버</v>
      </c>
      <c r="F943" s="1" t="str">
        <f>IFERROR(__xludf.DUMMYFUNCTION("CONCATENATE(GOOGLETRANSLATE(C943, ""en"", ""ja""))"),"三つ折りフォリオ PU レザーケーススタンドカバー ALLDOCUBE キューブ U80 スーパーバージョンタブレット用")</f>
        <v>三つ折りフォリオ PU レザーケーススタンドカバー ALLDOCUBE キューブ U80 スーパーバージョンタブレット用</v>
      </c>
    </row>
    <row r="944" ht="15.75" customHeight="1">
      <c r="A944" s="1">
        <v>2417.0</v>
      </c>
      <c r="B944" s="1" t="s">
        <v>381</v>
      </c>
      <c r="C944" s="1" t="s">
        <v>926</v>
      </c>
      <c r="D944" s="1" t="str">
        <f>IFERROR(__xludf.DUMMYFUNCTION("CONCATENATE(GOOGLETRANSLATE(C944, ""en"", ""zh-cn""))"),"俄语键盘皮套带支架适用于 9.7 英寸平板电脑")</f>
        <v>俄语键盘皮套带支架适用于 9.7 英寸平板电脑</v>
      </c>
      <c r="E944" s="1" t="str">
        <f>IFERROR(__xludf.DUMMYFUNCTION("CONCATENATE(GOOGLETRANSLATE(C944, ""en"", ""ko""))"),"9.7인치 태블릿 PC용 스탠드가 있는 러시아어 키보드 가죽 케이스 파우치")</f>
        <v>9.7인치 태블릿 PC용 스탠드가 있는 러시아어 키보드 가죽 케이스 파우치</v>
      </c>
      <c r="F944" s="1" t="str">
        <f>IFERROR(__xludf.DUMMYFUNCTION("CONCATENATE(GOOGLETRANSLATE(C944, ""en"", ""ja""))"),"9.7インチタブレットPC用スタンド付きロシア語キーボードレザーケースポーチ")</f>
        <v>9.7インチタブレットPC用スタンド付きロシア語キーボードレザーケースポーチ</v>
      </c>
    </row>
    <row r="945" ht="15.75" customHeight="1">
      <c r="A945" s="1">
        <v>2418.0</v>
      </c>
      <c r="B945" s="1" t="s">
        <v>381</v>
      </c>
      <c r="C945" s="1" t="s">
        <v>927</v>
      </c>
      <c r="D945" s="1" t="str">
        <f>IFERROR(__xludf.DUMMYFUNCTION("CONCATENATE(GOOGLETRANSLATE(C945, ""en"", ""zh-cn""))"),"通用三折 PU 折叠支架保护套适用于 CUBE Talk 7X")</f>
        <v>通用三折 PU 折叠支架保护套适用于 CUBE Talk 7X</v>
      </c>
      <c r="E945" s="1" t="str">
        <f>IFERROR(__xludf.DUMMYFUNCTION("CONCATENATE(GOOGLETRANSLATE(C945, ""en"", ""ko""))"),"CUBE Talk 7X용 범용 삼단 PU 접이식 스탠드 케이스 커버")</f>
        <v>CUBE Talk 7X용 범용 삼단 PU 접이식 스탠드 케이스 커버</v>
      </c>
      <c r="F945" s="1" t="str">
        <f>IFERROR(__xludf.DUMMYFUNCTION("CONCATENATE(GOOGLETRANSLATE(C945, ""en"", ""ja""))"),"CUBE Talk 7X用ユニバーサル三つ折りPU折りたたみスタンドケースカバー")</f>
        <v>CUBE Talk 7X用ユニバーサル三つ折りPU折りたたみスタンドケースカバー</v>
      </c>
    </row>
    <row r="946" ht="15.75" customHeight="1">
      <c r="A946" s="1">
        <v>2419.0</v>
      </c>
      <c r="B946" s="1" t="s">
        <v>381</v>
      </c>
      <c r="C946" s="1" t="s">
        <v>928</v>
      </c>
      <c r="D946" s="1" t="str">
        <f>IFERROR(__xludf.DUMMYFUNCTION("CONCATENATE(GOOGLETRANSLATE(C946, ""en"", ""zh-cn""))"),"疯马设计折叠支架保护壳适用于三星 Galaxy Tab4 T330")</f>
        <v>疯马设计折叠支架保护壳适用于三星 Galaxy Tab4 T330</v>
      </c>
      <c r="E946" s="1" t="str">
        <f>IFERROR(__xludf.DUMMYFUNCTION("CONCATENATE(GOOGLETRANSLATE(C946, ""en"", ""ko""))"),"삼성 갤럭시 탭4 T330용 크레이지 호스 디자인 접이식 스탠드 케이스")</f>
        <v>삼성 갤럭시 탭4 T330용 크레이지 호스 디자인 접이식 스탠드 케이스</v>
      </c>
      <c r="F946" s="1" t="str">
        <f>IFERROR(__xludf.DUMMYFUNCTION("CONCATENATE(GOOGLETRANSLATE(C946, ""en"", ""ja""))"),"Crazy Horse デザイン折りたたみスタンド ケース Samsung Galaxy Tab4 T330 用")</f>
        <v>Crazy Horse デザイン折りたたみスタンド ケース Samsung Galaxy Tab4 T330 用</v>
      </c>
    </row>
    <row r="947" ht="15.75" customHeight="1">
      <c r="A947" s="1">
        <v>2420.0</v>
      </c>
      <c r="B947" s="1" t="s">
        <v>381</v>
      </c>
      <c r="C947" s="1" t="s">
        <v>929</v>
      </c>
      <c r="D947" s="1" t="str">
        <f>IFERROR(__xludf.DUMMYFUNCTION("CONCATENATE(GOOGLETRANSLATE(C947, ""en"", ""zh-cn""))"),"复古设计折叠支架保护套适用于三星 Galaxy Tab4 T530")</f>
        <v>复古设计折叠支架保护套适用于三星 Galaxy Tab4 T530</v>
      </c>
      <c r="E947" s="1" t="str">
        <f>IFERROR(__xludf.DUMMYFUNCTION("CONCATENATE(GOOGLETRANSLATE(C947, ""en"", ""ko""))"),"삼성 갤럭시 탭4 T530용 빈티지 디자인 접이식 스탠드 케이스 커버")</f>
        <v>삼성 갤럭시 탭4 T530용 빈티지 디자인 접이식 스탠드 케이스 커버</v>
      </c>
      <c r="F947" s="1" t="str">
        <f>IFERROR(__xludf.DUMMYFUNCTION("CONCATENATE(GOOGLETRANSLATE(C947, ""en"", ""ja""))"),"Samsung Galaxy Tab4 T530用ヴィンテージデザイン折りたたみスタンドケースカバー")</f>
        <v>Samsung Galaxy Tab4 T530用ヴィンテージデザイン折りたたみスタンドケースカバー</v>
      </c>
    </row>
    <row r="948" ht="15.75" customHeight="1">
      <c r="A948" s="1">
        <v>2421.0</v>
      </c>
      <c r="B948" s="1" t="s">
        <v>381</v>
      </c>
      <c r="C948" s="1" t="s">
        <v>930</v>
      </c>
      <c r="D948" s="1" t="str">
        <f>IFERROR(__xludf.DUMMYFUNCTION("CONCATENATE(GOOGLETRANSLATE(C948, ""en"", ""zh-cn""))"),"折叠支架 PU 皮革保护套 适合三星 Galaxy Tab4 T530")</f>
        <v>折叠支架 PU 皮革保护套 适合三星 Galaxy Tab4 T530</v>
      </c>
      <c r="E948" s="1" t="str">
        <f>IFERROR(__xludf.DUMMYFUNCTION("CONCATENATE(GOOGLETRANSLATE(C948, ""en"", ""ko""))"),"삼성 갤럭시 탭4 T530용 접이식 스탠드 PU 가죽 케이스 커버")</f>
        <v>삼성 갤럭시 탭4 T530용 접이식 스탠드 PU 가죽 케이스 커버</v>
      </c>
      <c r="F948" s="1" t="str">
        <f>IFERROR(__xludf.DUMMYFUNCTION("CONCATENATE(GOOGLETRANSLATE(C948, ""en"", ""ja""))"),"Samsung Galaxy Tab4 T530用折りたたみスタンドPUレザーケースカバー")</f>
        <v>Samsung Galaxy Tab4 T530用折りたたみスタンドPUレザーケースカバー</v>
      </c>
    </row>
    <row r="949" ht="15.75" customHeight="1">
      <c r="A949" s="1">
        <v>2422.0</v>
      </c>
      <c r="B949" s="1" t="s">
        <v>381</v>
      </c>
      <c r="C949" s="1" t="s">
        <v>931</v>
      </c>
      <c r="D949" s="1" t="str">
        <f>IFERROR(__xludf.DUMMYFUNCTION("CONCATENATE(GOOGLETRANSLATE(C949, ""en"", ""zh-cn""))"),"Beta Pen 免费墨水笔创意金属签字中性笔无限循环使用铅笔")</f>
        <v>Beta Pen 免费墨水笔创意金属签字中性笔无限循环使用铅笔</v>
      </c>
      <c r="E949" s="1" t="str">
        <f>IFERROR(__xludf.DUMMYFUNCTION("CONCATENATE(GOOGLETRANSLATE(C949, ""en"", ""ko""))"),"베타 펜 무료 잉크 펜 창의적인 금속 시그니처 젤 펜 연필을 사용하는 무한 루프")</f>
        <v>베타 펜 무료 잉크 펜 창의적인 금속 시그니처 젤 펜 연필을 사용하는 무한 루프</v>
      </c>
      <c r="F949" s="1" t="str">
        <f>IFERROR(__xludf.DUMMYFUNCTION("CONCATENATE(GOOGLETRANSLATE(C949, ""en"", ""ja""))"),"ベータペンフリーインクペンクリエイティブメタル署名ゲルペン無限ループ鉛筆を使用")</f>
        <v>ベータペンフリーインクペンクリエイティブメタル署名ゲルペン無限ループ鉛筆を使用</v>
      </c>
    </row>
    <row r="950" ht="15.75" customHeight="1">
      <c r="A950" s="1">
        <v>2423.0</v>
      </c>
      <c r="B950" s="1" t="s">
        <v>381</v>
      </c>
      <c r="C950" s="1" t="s">
        <v>932</v>
      </c>
      <c r="D950" s="1" t="str">
        <f>IFERROR(__xludf.DUMMYFUNCTION("CONCATENATE(GOOGLETRANSLATE(C950, ""en"", ""zh-cn""))"),"2.4G 路由器天线 14DBI 高增益天线 RP-SMA 连接器 ")</f>
        <v>2.4G 路由器天线 14DBI 高增益天线 RP-SMA 连接器 </v>
      </c>
      <c r="E950" s="1" t="str">
        <f>IFERROR(__xludf.DUMMYFUNCTION("CONCATENATE(GOOGLETRANSLATE(C950, ""en"", ""ko""))"),"2.4G 라우터 안테나 14DBI 고이득 안테나 RP-SMA 커넥터 ")</f>
        <v>2.4G 라우터 안테나 14DBI 고이득 안테나 RP-SMA 커넥터 </v>
      </c>
      <c r="F950" s="1" t="str">
        <f>IFERROR(__xludf.DUMMYFUNCTION("CONCATENATE(GOOGLETRANSLATE(C950, ""en"", ""ja""))"),"2.4G ルーター アンテナ 14DBI 高利得アンテナ RP-SMA コネクタ ")</f>
        <v>2.4G ルーター アンテナ 14DBI 高利得アンテナ RP-SMA コネクタ </v>
      </c>
    </row>
    <row r="951" ht="15.75" customHeight="1">
      <c r="A951" s="1">
        <v>2424.0</v>
      </c>
      <c r="B951" s="1" t="s">
        <v>381</v>
      </c>
      <c r="C951" s="1" t="s">
        <v>933</v>
      </c>
      <c r="D951" s="1" t="str">
        <f>IFERROR(__xludf.DUMMYFUNCTION("CONCATENATE(GOOGLETRANSLATE(C951, ""en"", ""zh-cn""))"),"魔法少女 Folio PU 皮革折叠支架保护套 适用于 Ramos W41 W42 ")</f>
        <v>魔法少女 Folio PU 皮革折叠支架保护套 适用于 Ramos W41 W42 </v>
      </c>
      <c r="E951" s="1" t="str">
        <f>IFERROR(__xludf.DUMMYFUNCTION("CONCATENATE(GOOGLETRANSLATE(C951, ""en"", ""ko""))"),"라모스 W41 W42용 마법 소녀 폴리오 PU 가죽 접이식 스탠드 케이스 ")</f>
        <v>라모스 W41 W42용 마법 소녀 폴리오 PU 가죽 접이식 스탠드 케이스 </v>
      </c>
      <c r="F951" s="1" t="str">
        <f>IFERROR(__xludf.DUMMYFUNCTION("CONCATENATE(GOOGLETRANSLATE(C951, ""en"", ""ja""))"),"魔法少女フォリオ PU レザー折りたたみスタンドケース Ramos W41 W42 用 ")</f>
        <v>魔法少女フォリオ PU レザー折りたたみスタンドケース Ramos W41 W42 用 </v>
      </c>
    </row>
    <row r="952" ht="15.75" customHeight="1">
      <c r="A952" s="1">
        <v>2425.0</v>
      </c>
      <c r="B952" s="1" t="s">
        <v>381</v>
      </c>
      <c r="C952" s="1" t="s">
        <v>934</v>
      </c>
      <c r="D952" s="1" t="str">
        <f>IFERROR(__xludf.DUMMYFUNCTION("CONCATENATE(GOOGLETRANSLATE(C952, ""en"", ""zh-cn""))"),"Folio PU 皮革折叠支架保护套适用于 PIPO M7 平板电脑")</f>
        <v>Folio PU 皮革折叠支架保护套适用于 PIPO M7 平板电脑</v>
      </c>
      <c r="E952" s="1" t="str">
        <f>IFERROR(__xludf.DUMMYFUNCTION("CONCATENATE(GOOGLETRANSLATE(C952, ""en"", ""ko""))"),"PIPO M7 태블릿용 폴리오 PU 가죽 접이식 스탠드 케이스 커버")</f>
        <v>PIPO M7 태블릿용 폴리오 PU 가죽 접이식 스탠드 케이스 커버</v>
      </c>
      <c r="F952" s="1" t="str">
        <f>IFERROR(__xludf.DUMMYFUNCTION("CONCATENATE(GOOGLETRANSLATE(C952, ""en"", ""ja""))"),"PIPO M7 タブレット用フォリオ PU レザー折りたたみスタンド ケース カバー")</f>
        <v>PIPO M7 タブレット用フォリオ PU レザー折りたたみスタンド ケース カバー</v>
      </c>
    </row>
    <row r="953" ht="15.75" customHeight="1">
      <c r="A953" s="1">
        <v>2426.0</v>
      </c>
      <c r="B953" s="1" t="s">
        <v>381</v>
      </c>
      <c r="C953" s="1" t="s">
        <v>935</v>
      </c>
      <c r="D953" s="1" t="str">
        <f>IFERROR(__xludf.DUMMYFUNCTION("CONCATENATE(GOOGLETRANSLATE(C953, ""en"", ""zh-cn""))"),"Folio PU 皮革折叠支架保护套适用于 Chuwi V99 平板电脑")</f>
        <v>Folio PU 皮革折叠支架保护套适用于 Chuwi V99 平板电脑</v>
      </c>
      <c r="E953" s="1" t="str">
        <f>IFERROR(__xludf.DUMMYFUNCTION("CONCATENATE(GOOGLETRANSLATE(C953, ""en"", ""ko""))"),"Chuwi V99 태블릿용 폴리오 PU 가죽 접이식 스탠드 케이스 커버")</f>
        <v>Chuwi V99 태블릿용 폴리오 PU 가죽 접이식 스탠드 케이스 커버</v>
      </c>
      <c r="F953" s="1" t="str">
        <f>IFERROR(__xludf.DUMMYFUNCTION("CONCATENATE(GOOGLETRANSLATE(C953, ""en"", ""ja""))"),"Chuwi V99 タブレット用フォリオ PU レザー折りたたみスタンド ケース カバー")</f>
        <v>Chuwi V99 タブレット用フォリオ PU レザー折りたたみスタンド ケース カバー</v>
      </c>
    </row>
    <row r="954" ht="15.75" customHeight="1">
      <c r="A954" s="1">
        <v>2427.0</v>
      </c>
      <c r="B954" s="1" t="s">
        <v>381</v>
      </c>
      <c r="C954" s="1" t="s">
        <v>936</v>
      </c>
      <c r="D954" s="1" t="str">
        <f>IFERROR(__xludf.DUMMYFUNCTION("CONCATENATE(GOOGLETRANSLATE(C954, ""en"", ""zh-cn""))"),"PIPO M9 三折超薄对开 PU 皮革折叠支架保护套")</f>
        <v>PIPO M9 三折超薄对开 PU 皮革折叠支架保护套</v>
      </c>
      <c r="E954" s="1" t="str">
        <f>IFERROR(__xludf.DUMMYFUNCTION("CONCATENATE(GOOGLETRANSLATE(C954, ""en"", ""ko""))"),"PIPO M9용 삼중 초박형 폴리오 PU 가죽 접이식 스탠드 케이스")</f>
        <v>PIPO M9용 삼중 초박형 폴리오 PU 가죽 접이식 스탠드 케이스</v>
      </c>
      <c r="F954" s="1" t="str">
        <f>IFERROR(__xludf.DUMMYFUNCTION("CONCATENATE(GOOGLETRANSLATE(C954, ""en"", ""ja""))"),"PIPO M9用三つ折り超薄型フォリオPUレザー折りたたみスタンドケース")</f>
        <v>PIPO M9用三つ折り超薄型フォリオPUレザー折りたたみスタンドケース</v>
      </c>
    </row>
    <row r="955" ht="15.75" customHeight="1">
      <c r="A955" s="1">
        <v>2428.0</v>
      </c>
      <c r="B955" s="1" t="s">
        <v>381</v>
      </c>
      <c r="C955" s="1" t="s">
        <v>937</v>
      </c>
      <c r="D955" s="1" t="str">
        <f>IFERROR(__xludf.DUMMYFUNCTION("CONCATENATE(GOOGLETRANSLATE(C955, ""en"", ""zh-cn""))"),"简单折叠支架保护套适用于 AMPE A88 SANEI N82 平板电脑")</f>
        <v>简单折叠支架保护套适用于 AMPE A88 SANEI N82 平板电脑</v>
      </c>
      <c r="E955" s="1" t="str">
        <f>IFERROR(__xludf.DUMMYFUNCTION("CONCATENATE(GOOGLETRANSLATE(C955, ""en"", ""ko""))"),"AMPE A88 SANEI N82 태블릿용 간단한 접이식 스탠드 케이스 커버")</f>
        <v>AMPE A88 SANEI N82 태블릿용 간단한 접이식 스탠드 케이스 커버</v>
      </c>
      <c r="F955" s="1" t="str">
        <f>IFERROR(__xludf.DUMMYFUNCTION("CONCATENATE(GOOGLETRANSLATE(C955, ""en"", ""ja""))"),"AMPE A88 SANEI N82 タブレット用シンプル折りたたみスタンドケースカバー")</f>
        <v>AMPE A88 SANEI N82 タブレット用シンプル折りたたみスタンドケースカバー</v>
      </c>
    </row>
    <row r="956" ht="15.75" customHeight="1">
      <c r="A956" s="1">
        <v>2429.0</v>
      </c>
      <c r="B956" s="1" t="s">
        <v>381</v>
      </c>
      <c r="C956" s="1" t="s">
        <v>938</v>
      </c>
      <c r="D956" s="1" t="str">
        <f>IFERROR(__xludf.DUMMYFUNCTION("CONCATENATE(GOOGLETRANSLATE(C956, ""en"", ""zh-cn""))"),"撞色 PU 皮套带卡夹适用于 Google Nexus 7 2nd")</f>
        <v>撞色 PU 皮套带卡夹适用于 Google Nexus 7 2nd</v>
      </c>
      <c r="E956" s="1" t="str">
        <f>IFERROR(__xludf.DUMMYFUNCTION("CONCATENATE(GOOGLETRANSLATE(C956, ""en"", ""ko""))"),"Google Nexus 7 2용 카드 홀더가 있는 대비색 PU 가죽 케이스")</f>
        <v>Google Nexus 7 2용 카드 홀더가 있는 대비색 PU 가죽 케이스</v>
      </c>
      <c r="F956" s="1" t="str">
        <f>IFERROR(__xludf.DUMMYFUNCTION("CONCATENATE(GOOGLETRANSLATE(C956, ""en"", ""ja""))"),"Google Nexus 7 2nd用カードホルダー付きコントラストカラーPUレザーケース")</f>
        <v>Google Nexus 7 2nd用カードホルダー付きコントラストカラーPUレザーケース</v>
      </c>
    </row>
    <row r="957" ht="15.75" customHeight="1">
      <c r="A957" s="1">
        <v>2430.0</v>
      </c>
      <c r="B957" s="1" t="s">
        <v>381</v>
      </c>
      <c r="C957" s="1" t="s">
        <v>939</v>
      </c>
      <c r="D957" s="1" t="str">
        <f>IFERROR(__xludf.DUMMYFUNCTION("CONCATENATE(GOOGLETRANSLATE(C957, ""en"", ""zh-cn""))"),"三折超薄对开 PU 皮套 适用于驰为 V88 V88S")</f>
        <v>三折超薄对开 PU 皮套 适用于驰为 V88 V88S</v>
      </c>
      <c r="E957" s="1" t="str">
        <f>IFERROR(__xludf.DUMMYFUNCTION("CONCATENATE(GOOGLETRANSLATE(C957, ""en"", ""ko""))"),"Chuwi V88 V88S용 삼중 초박형 폴리오 PU 가죽 케이스")</f>
        <v>Chuwi V88 V88S용 삼중 초박형 폴리오 PU 가죽 케이스</v>
      </c>
      <c r="F957" s="1" t="str">
        <f>IFERROR(__xludf.DUMMYFUNCTION("CONCATENATE(GOOGLETRANSLATE(C957, ""en"", ""ja""))"),"Chuwi V88 V88S 用三つ折り超薄型フォリオ PU レザーケース")</f>
        <v>Chuwi V88 V88S 用三つ折り超薄型フォリオ PU レザーケース</v>
      </c>
    </row>
    <row r="958" ht="15.75" customHeight="1">
      <c r="A958" s="1">
        <v>2431.0</v>
      </c>
      <c r="B958" s="1" t="s">
        <v>381</v>
      </c>
      <c r="C958" s="1" t="s">
        <v>940</v>
      </c>
      <c r="D958" s="1" t="str">
        <f>IFERROR(__xludf.DUMMYFUNCTION("CONCATENATE(GOOGLETRANSLATE(C958, ""en"", ""zh-cn""))"),"足球足球裁判笔记本用铅笔黄牌和红牌")</f>
        <v>足球足球裁判笔记本用铅笔黄牌和红牌</v>
      </c>
      <c r="E958" s="1" t="str">
        <f>IFERROR(__xludf.DUMMYFUNCTION("CONCATENATE(GOOGLETRANSLATE(C958, ""en"", ""ko""))"),"연필 노란색과 빨간색 카드가 포함된 축구-축구 심판 노트")</f>
        <v>연필 노란색과 빨간색 카드가 포함된 축구-축구 심판 노트</v>
      </c>
      <c r="F958" s="1" t="str">
        <f>IFERROR(__xludf.DUMMYFUNCTION("CONCATENATE(GOOGLETRANSLATE(C958, ""en"", ""ja""))"),"サッカー フットボール審判ノート 鉛筆イエローカードとレッドカード付き")</f>
        <v>サッカー フットボール審判ノート 鉛筆イエローカードとレッドカード付き</v>
      </c>
    </row>
    <row r="959" ht="15.75" customHeight="1">
      <c r="A959" s="1">
        <v>2432.0</v>
      </c>
      <c r="B959" s="1" t="s">
        <v>381</v>
      </c>
      <c r="C959" s="1" t="s">
        <v>941</v>
      </c>
      <c r="D959" s="1" t="str">
        <f>IFERROR(__xludf.DUMMYFUNCTION("CONCATENATE(GOOGLETRANSLATE(C959, ""en"", ""zh-cn""))"),"0.2mm 0.35mm 0.4mm 0.5mm 3D打印机挤出机黄铜喷嘴喷头")</f>
        <v>0.2mm 0.35mm 0.4mm 0.5mm 3D打印机挤出机黄铜喷嘴喷头</v>
      </c>
      <c r="E959" s="1" t="str">
        <f>IFERROR(__xludf.DUMMYFUNCTION("CONCATENATE(GOOGLETRANSLATE(C959, ""en"", ""ko""))"),"0.2mm 0.35mm 0.4mm 0.5mm 3D 프린터 압출기 황동 노즐 스프링클러 헤드")</f>
        <v>0.2mm 0.35mm 0.4mm 0.5mm 3D 프린터 압출기 황동 노즐 스프링클러 헤드</v>
      </c>
      <c r="F959" s="1" t="str">
        <f>IFERROR(__xludf.DUMMYFUNCTION("CONCATENATE(GOOGLETRANSLATE(C959, ""en"", ""ja""))"),"0.2 ミリメートル 0.35 ミリメートル 0.4 ミリメートル 0.5 ミリメートル 3D プリンタ押出機真鍮ノズルスプリンクラーヘッド")</f>
        <v>0.2 ミリメートル 0.35 ミリメートル 0.4 ミリメートル 0.5 ミリメートル 3D プリンタ押出機真鍮ノズルスプリンクラーヘッド</v>
      </c>
    </row>
    <row r="960" ht="15.75" customHeight="1">
      <c r="A960" s="1">
        <v>2433.0</v>
      </c>
      <c r="B960" s="1" t="s">
        <v>381</v>
      </c>
      <c r="C960" s="1" t="s">
        <v>942</v>
      </c>
      <c r="D960" s="1" t="str">
        <f>IFERROR(__xludf.DUMMYFUNCTION("CONCATENATE(GOOGLETRANSLATE(C960, ""en"", ""zh-cn""))"),"防震球硅胶套 适用于 Google Nexus 7 II")</f>
        <v>防震球硅胶套 适用于 Google Nexus 7 II</v>
      </c>
      <c r="E960" s="1" t="str">
        <f>IFERROR(__xludf.DUMMYFUNCTION("CONCATENATE(GOOGLETRANSLATE(C960, ""en"", ""ko""))"),"Google Nexus 7 II용 충격 방지 볼 실리콘 케이스")</f>
        <v>Google Nexus 7 II용 충격 방지 볼 실리콘 케이스</v>
      </c>
      <c r="F960" s="1" t="str">
        <f>IFERROR(__xludf.DUMMYFUNCTION("CONCATENATE(GOOGLETRANSLATE(C960, ""en"", ""ja""))"),"Google Nexus 7 II 用耐衝撃ボールシリコンケース")</f>
        <v>Google Nexus 7 II 用耐衝撃ボールシリコンケース</v>
      </c>
    </row>
    <row r="961" ht="15.75" customHeight="1">
      <c r="A961" s="1">
        <v>2434.0</v>
      </c>
      <c r="B961" s="1" t="s">
        <v>381</v>
      </c>
      <c r="C961" s="1" t="s">
        <v>943</v>
      </c>
      <c r="D961" s="1" t="str">
        <f>IFERROR(__xludf.DUMMYFUNCTION("CONCATENATE(GOOGLETRANSLATE(C961, ""en"", ""zh-cn""))"),"2.5寸酒店脚轮定向万向刹车静音轮")</f>
        <v>2.5寸酒店脚轮定向万向刹车静音轮</v>
      </c>
      <c r="E961" s="1" t="str">
        <f>IFERROR(__xludf.DUMMYFUNCTION("CONCATENATE(GOOGLETRANSLATE(C961, ""en"", ""ko""))"),"2.5인치 호텔 캐스터 방향성 범용 브레이크 음소거 휠")</f>
        <v>2.5인치 호텔 캐스터 방향성 범용 브레이크 음소거 휠</v>
      </c>
      <c r="F961" s="1" t="str">
        <f>IFERROR(__xludf.DUMMYFUNCTION("CONCATENATE(GOOGLETRANSLATE(C961, ""en"", ""ja""))"),"2.5インチホテルキャスター方向性ユニバーサルブレーキミュートホイール")</f>
        <v>2.5インチホテルキャスター方向性ユニバーサルブレーキミュートホイール</v>
      </c>
    </row>
    <row r="962" ht="15.75" customHeight="1">
      <c r="A962" s="1">
        <v>2435.0</v>
      </c>
      <c r="B962" s="1" t="s">
        <v>381</v>
      </c>
      <c r="C962" s="1" t="s">
        <v>944</v>
      </c>
      <c r="D962" s="1" t="str">
        <f>IFERROR(__xludf.DUMMYFUNCTION("CONCATENATE(GOOGLETRANSLATE(C962, ""en"", ""zh-cn""))"),"PIPO W6 对开 PU 皮套折叠支架套")</f>
        <v>PIPO W6 对开 PU 皮套折叠支架套</v>
      </c>
      <c r="E962" s="1" t="str">
        <f>IFERROR(__xludf.DUMMYFUNCTION("CONCATENATE(GOOGLETRANSLATE(C962, ""en"", ""ko""))"),"PIPO W6용 폴리오 PU 가죽 케이스 접이식 스탠드 커버")</f>
        <v>PIPO W6용 폴리오 PU 가죽 케이스 접이식 스탠드 커버</v>
      </c>
      <c r="F962" s="1" t="str">
        <f>IFERROR(__xludf.DUMMYFUNCTION("CONCATENATE(GOOGLETRANSLATE(C962, ""en"", ""ja""))"),"PIPO W6用フォリオPUレザーケース折りたたみスタンドカバー")</f>
        <v>PIPO W6用フォリオPUレザーケース折りたたみスタンドカバー</v>
      </c>
    </row>
    <row r="963" ht="15.75" customHeight="1">
      <c r="A963" s="1">
        <v>2436.0</v>
      </c>
      <c r="B963" s="1" t="s">
        <v>381</v>
      </c>
      <c r="C963" s="1" t="s">
        <v>945</v>
      </c>
      <c r="D963" s="1" t="str">
        <f>IFERROR(__xludf.DUMMYFUNCTION("CONCATENATE(GOOGLETRANSLATE(C963, ""en"", ""zh-cn""))"),"PIPO M9 平板电脑外部 LCD 显示屏更换维修零件")</f>
        <v>PIPO M9 平板电脑外部 LCD 显示屏更换维修零件</v>
      </c>
      <c r="E963" s="1" t="str">
        <f>IFERROR(__xludf.DUMMYFUNCTION("CONCATENATE(GOOGLETRANSLATE(C963, ""en"", ""ko""))"),"PIPO M9 태블릿용 외부 LCD 디스플레이 화면 교체 수리부품")</f>
        <v>PIPO M9 태블릿용 외부 LCD 디스플레이 화면 교체 수리부품</v>
      </c>
      <c r="F963" s="1" t="str">
        <f>IFERROR(__xludf.DUMMYFUNCTION("CONCATENATE(GOOGLETRANSLATE(C963, ""en"", ""ja""))"),"PIPO M9 タブレット用外側 LCD ディスプレイ画面交換修理部品")</f>
        <v>PIPO M9 タブレット用外側 LCD ディスプレイ画面交換修理部品</v>
      </c>
    </row>
    <row r="964" ht="15.75" customHeight="1">
      <c r="A964" s="1">
        <v>2437.0</v>
      </c>
      <c r="B964" s="1" t="s">
        <v>381</v>
      </c>
      <c r="C964" s="1" t="s">
        <v>946</v>
      </c>
      <c r="D964" s="1" t="str">
        <f>IFERROR(__xludf.DUMMYFUNCTION("CONCATENATE(GOOGLETRANSLATE(C964, ""en"", ""zh-cn""))"),"9.7 英寸 PIPO M6 平板电脑皮套带折叠支架")</f>
        <v>9.7 英寸 PIPO M6 平板电脑皮套带折叠支架</v>
      </c>
      <c r="E964" s="1" t="str">
        <f>IFERROR(__xludf.DUMMYFUNCTION("CONCATENATE(GOOGLETRANSLATE(C964, ""en"", ""ko""))"),"PIPO M6 태블릿용 접이식 스탠드가 있는 9.7인치 가죽 케이스")</f>
        <v>PIPO M6 태블릿용 접이식 스탠드가 있는 9.7인치 가죽 케이스</v>
      </c>
      <c r="F964" s="1" t="str">
        <f>IFERROR(__xludf.DUMMYFUNCTION("CONCATENATE(GOOGLETRANSLATE(C964, ""en"", ""ja""))"),"PIPO M6 タブレット用折りたたみスタンド付き 9.7 インチ レザーケース")</f>
        <v>PIPO M6 タブレット用折りたたみスタンド付き 9.7 インチ レザーケース</v>
      </c>
    </row>
    <row r="965" ht="15.75" customHeight="1">
      <c r="A965" s="1">
        <v>2438.0</v>
      </c>
      <c r="B965" s="1" t="s">
        <v>381</v>
      </c>
      <c r="C965" s="1" t="s">
        <v>947</v>
      </c>
      <c r="D965" s="1" t="str">
        <f>IFERROR(__xludf.DUMMYFUNCTION("CONCATENATE(GOOGLETRANSLATE(C965, ""en"", ""zh-cn""))"),"9 英寸 PU 皮套带折叠支架适用于联想 A2109 平板电脑")</f>
        <v>9 英寸 PU 皮套带折叠支架适用于联想 A2109 平板电脑</v>
      </c>
      <c r="E965" s="1" t="str">
        <f>IFERROR(__xludf.DUMMYFUNCTION("CONCATENATE(GOOGLETRANSLATE(C965, ""en"", ""ko""))"),"Lenovo A2109 태블릿 PC용 접이식 스탠드가 있는 9인치 PU 가죽 케이스")</f>
        <v>Lenovo A2109 태블릿 PC용 접이식 스탠드가 있는 9인치 PU 가죽 케이스</v>
      </c>
      <c r="F965" s="1" t="str">
        <f>IFERROR(__xludf.DUMMYFUNCTION("CONCATENATE(GOOGLETRANSLATE(C965, ""en"", ""ja""))"),"Lenovo A2109 タブレット PC 用折りたたみスタンド付き 9 インチ PU レザーケース")</f>
        <v>Lenovo A2109 タブレット PC 用折りたたみスタンド付き 9 インチ PU レザーケース</v>
      </c>
    </row>
    <row r="966" ht="15.75" customHeight="1">
      <c r="A966" s="1">
        <v>2439.0</v>
      </c>
      <c r="B966" s="1" t="s">
        <v>381</v>
      </c>
      <c r="C966" s="1" t="s">
        <v>948</v>
      </c>
      <c r="D966" s="1" t="str">
        <f>IFERROR(__xludf.DUMMYFUNCTION("CONCATENATE(GOOGLETRANSLATE(C966, ""en"", ""zh-cn""))"),"卡哇伊可爱动物卡通翻转线圈随身携带迷你便携式笔记本口袋记事本学校办公文具用品学生")</f>
        <v>卡哇伊可爱动物卡通翻转线圈随身携带迷你便携式笔记本口袋记事本学校办公文具用品学生</v>
      </c>
      <c r="E966" s="1" t="str">
        <f>IFERROR(__xludf.DUMMYFUNCTION("CONCATENATE(GOOGLETRANSLATE(C966, ""en"", ""ko""))"),"Kawaii 귀여운 동물 만화 롤오버 코일 운반 미니 휴대용 노트북 포켓 메모장 학생을위한 학교 사무용품 용품")</f>
        <v>Kawaii 귀여운 동물 만화 롤오버 코일 운반 미니 휴대용 노트북 포켓 메모장 학생을위한 학교 사무용품 용품</v>
      </c>
      <c r="F966" s="1" t="str">
        <f>IFERROR(__xludf.DUMMYFUNCTION("CONCATENATE(GOOGLETRANSLATE(C966, ""en"", ""ja""))"),"かわいいかわいい動物漫画ロールオーバーコイルキャリーミニポータブルノートブックポケットメモ帳スクールオフィス文具用品学生のための")</f>
        <v>かわいいかわいい動物漫画ロールオーバーコイルキャリーミニポータブルノートブックポケットメモ帳スクールオフィス文具用品学生のための</v>
      </c>
    </row>
    <row r="967" ht="15.75" customHeight="1">
      <c r="A967" s="1">
        <v>2440.0</v>
      </c>
      <c r="B967" s="1" t="s">
        <v>381</v>
      </c>
      <c r="C967" s="1" t="s">
        <v>949</v>
      </c>
      <c r="D967" s="1" t="str">
        <f>IFERROR(__xludf.DUMMYFUNCTION("CONCATENATE(GOOGLETRANSLATE(C967, ""en"", ""zh-cn""))"),"PIPO U8 平板电脑对开 PU 皮套折叠支架")</f>
        <v>PIPO U8 平板电脑对开 PU 皮套折叠支架</v>
      </c>
      <c r="E967" s="1" t="str">
        <f>IFERROR(__xludf.DUMMYFUNCTION("CONCATENATE(GOOGLETRANSLATE(C967, ""en"", ""ko""))"),"PIPO U8 태블릿용 폴리오 PU 가죽 케이스 접이식 스탠드")</f>
        <v>PIPO U8 태블릿용 폴리오 PU 가죽 케이스 접이식 스탠드</v>
      </c>
      <c r="F967" s="1" t="str">
        <f>IFERROR(__xludf.DUMMYFUNCTION("CONCATENATE(GOOGLETRANSLATE(C967, ""en"", ""ja""))"),"PIPO U8タブレット用フォリオPUレザーケース折りたたみスタンド")</f>
        <v>PIPO U8タブレット用フォリオPUレザーケース折りたたみスタンド</v>
      </c>
    </row>
    <row r="968" ht="15.75" customHeight="1">
      <c r="A968" s="1">
        <v>2441.0</v>
      </c>
      <c r="B968" s="1" t="s">
        <v>381</v>
      </c>
      <c r="C968" s="1" t="s">
        <v>950</v>
      </c>
      <c r="D968" s="1" t="str">
        <f>IFERROR(__xludf.DUMMYFUNCTION("CONCATENATE(GOOGLETRANSLATE(C968, ""en"", ""zh-cn""))"),"车载充电器适配器适用于华硕 Eee Pad TF101 TF201 TF300 TF700")</f>
        <v>车载充电器适配器适用于华硕 Eee Pad TF101 TF201 TF300 TF700</v>
      </c>
      <c r="E968" s="1" t="str">
        <f>IFERROR(__xludf.DUMMYFUNCTION("CONCATENATE(GOOGLETRANSLATE(C968, ""en"", ""ko""))"),"ASUS Eee Pad TF101 TF201 TF300 TF700용 차량용 충전기 어댑터")</f>
        <v>ASUS Eee Pad TF101 TF201 TF300 TF700용 차량용 충전기 어댑터</v>
      </c>
      <c r="F968" s="1" t="str">
        <f>IFERROR(__xludf.DUMMYFUNCTION("CONCATENATE(GOOGLETRANSLATE(C968, ""en"", ""ja""))"),"車の充電アダプタ Asus Eee パッド TF101 TF201 TF300 TF700")</f>
        <v>車の充電アダプタ Asus Eee パッド TF101 TF201 TF300 TF700</v>
      </c>
    </row>
    <row r="969" ht="15.75" customHeight="1">
      <c r="A969" s="1">
        <v>2442.0</v>
      </c>
      <c r="B969" s="1" t="s">
        <v>381</v>
      </c>
      <c r="C969" s="1" t="s">
        <v>951</v>
      </c>
      <c r="D969" s="1" t="str">
        <f>IFERROR(__xludf.DUMMYFUNCTION("CONCATENATE(GOOGLETRANSLATE(C969, ""en"", ""zh-cn""))"),"疯马纹 PU 折叠支架保护套 适用于三星 T110")</f>
        <v>疯马纹 PU 折叠支架保护套 适用于三星 T110</v>
      </c>
      <c r="E969" s="1" t="str">
        <f>IFERROR(__xludf.DUMMYFUNCTION("CONCATENATE(GOOGLETRANSLATE(C969, ""en"", ""ko""))"),"삼성 T110용 크레이지 호스 그레인 PU 접이식 스탠드 홀더 케이스")</f>
        <v>삼성 T110용 크레이지 호스 그레인 PU 접이식 스탠드 홀더 케이스</v>
      </c>
      <c r="F969" s="1" t="str">
        <f>IFERROR(__xludf.DUMMYFUNCTION("CONCATENATE(GOOGLETRANSLATE(C969, ""en"", ""ja""))"),"SAMSUNG T110用Crazy Horse Grain PU折りたたみスタンドホルダーケース")</f>
        <v>SAMSUNG T110用Crazy Horse Grain PU折りたたみスタンドホルダーケース</v>
      </c>
    </row>
    <row r="970" ht="15.75" customHeight="1">
      <c r="A970" s="1">
        <v>2443.0</v>
      </c>
      <c r="B970" s="1" t="s">
        <v>381</v>
      </c>
      <c r="C970" s="1" t="s">
        <v>952</v>
      </c>
      <c r="D970" s="1" t="str">
        <f>IFERROR(__xludf.DUMMYFUNCTION("CONCATENATE(GOOGLETRANSLATE(C970, ""en"", ""zh-cn""))"),"INSMA 4K HDMI 1.4 电缆 0.5/1/1.5/2/3m HDMI 公头转 HDMI 公头电缆 1080P 120HZ 18Gbps 镀金连接器")</f>
        <v>INSMA 4K HDMI 1.4 电缆 0.5/1/1.5/2/3m HDMI 公头转 HDMI 公头电缆 1080P 120HZ 18Gbps 镀金连接器</v>
      </c>
      <c r="E970" s="1" t="str">
        <f>IFERROR(__xludf.DUMMYFUNCTION("CONCATENATE(GOOGLETRANSLATE(C970, ""en"", ""ko""))"),"INSMA 4K HDMI 1.4 케이블 0.5/1/1.5/2/3m HDMI 남성-HDMI 남성 케이블 1080P 120HZ 18Gbps 금도금 커넥터")</f>
        <v>INSMA 4K HDMI 1.4 케이블 0.5/1/1.5/2/3m HDMI 남성-HDMI 남성 케이블 1080P 120HZ 18Gbps 금도금 커넥터</v>
      </c>
      <c r="F970" s="1" t="str">
        <f>IFERROR(__xludf.DUMMYFUNCTION("CONCATENATE(GOOGLETRANSLATE(C970, ""en"", ""ja""))"),"INSMA 4K HDMI 1.4 ケーブル 0.5/1/1.5/2/3m HDMI オス - HDMI オスケーブル 1080P 120HZ 18Gbps 金メッキコネクタ")</f>
        <v>INSMA 4K HDMI 1.4 ケーブル 0.5/1/1.5/2/3m HDMI オス - HDMI オスケーブル 1080P 120HZ 18Gbps 金メッキコネクタ</v>
      </c>
    </row>
    <row r="971" ht="15.75" customHeight="1">
      <c r="A971" s="1">
        <v>2444.0</v>
      </c>
      <c r="B971" s="1" t="s">
        <v>381</v>
      </c>
      <c r="C971" s="1" t="s">
        <v>953</v>
      </c>
      <c r="D971" s="1" t="str">
        <f>IFERROR(__xludf.DUMMYFUNCTION("CONCATENATE(GOOGLETRANSLATE(C971, ""en"", ""zh-cn""))"),"对开式皮革保护套，带支架，适用于 Ampe A78 Sanei N79 平板电脑")</f>
        <v>对开式皮革保护套，带支架，适用于 Ampe A78 Sanei N79 平板电脑</v>
      </c>
      <c r="E971" s="1" t="str">
        <f>IFERROR(__xludf.DUMMYFUNCTION("CONCATENATE(GOOGLETRANSLATE(C971, ""en"", ""ko""))"),"Ampe A78 Sanei N79 태블릿용 스탠드가 있는 폴리오 가죽 케이스")</f>
        <v>Ampe A78 Sanei N79 태블릿용 스탠드가 있는 폴리오 가죽 케이스</v>
      </c>
      <c r="F971" s="1" t="str">
        <f>IFERROR(__xludf.DUMMYFUNCTION("CONCATENATE(GOOGLETRANSLATE(C971, ""en"", ""ja""))"),"Ampe A78 Sanei N79 タブレット用スタンド付きフォリオレザーケース")</f>
        <v>Ampe A78 Sanei N79 タブレット用スタンド付きフォリオレザーケース</v>
      </c>
    </row>
    <row r="972" ht="15.75" customHeight="1">
      <c r="A972" s="1">
        <v>2445.0</v>
      </c>
      <c r="B972" s="1" t="s">
        <v>381</v>
      </c>
      <c r="C972" s="1" t="s">
        <v>954</v>
      </c>
      <c r="D972" s="1" t="str">
        <f>IFERROR(__xludf.DUMMYFUNCTION("CONCATENATE(GOOGLETRANSLATE(C972, ""en"", ""zh-cn""))"),"对开皮套，带折叠支架，适用于 Ainol Hero 平板电脑")</f>
        <v>对开皮套，带折叠支架，适用于 Ainol Hero 平板电脑</v>
      </c>
      <c r="E972" s="1" t="str">
        <f>IFERROR(__xludf.DUMMYFUNCTION("CONCATENATE(GOOGLETRANSLATE(C972, ""en"", ""ko""))"),"Ainol Hero 태블릿용 접이식 스탠드가 있는 폴리오 가죽 케이스 파우치")</f>
        <v>Ainol Hero 태블릿용 접이식 스탠드가 있는 폴리오 가죽 케이스 파우치</v>
      </c>
      <c r="F972" s="1" t="str">
        <f>IFERROR(__xludf.DUMMYFUNCTION("CONCATENATE(GOOGLETRANSLATE(C972, ""en"", ""ja""))"),"Ainol Hero タブレット用折りたたみスタンド付きフォリオレザーケースポーチ")</f>
        <v>Ainol Hero タブレット用折りたたみスタンド付きフォリオレザーケースポーチ</v>
      </c>
    </row>
    <row r="973" ht="15.75" customHeight="1">
      <c r="A973" s="1">
        <v>2446.0</v>
      </c>
      <c r="B973" s="1" t="s">
        <v>381</v>
      </c>
      <c r="C973" s="1" t="s">
        <v>955</v>
      </c>
      <c r="D973" s="1" t="str">
        <f>IFERROR(__xludf.DUMMYFUNCTION("CONCATENATE(GOOGLETRANSLATE(C973, ""en"", ""zh-cn""))"),"Q8 平板电脑外部 LCD 显示屏更换维修零件")</f>
        <v>Q8 平板电脑外部 LCD 显示屏更换维修零件</v>
      </c>
      <c r="E973" s="1" t="str">
        <f>IFERROR(__xludf.DUMMYFUNCTION("CONCATENATE(GOOGLETRANSLATE(C973, ""en"", ""ko""))"),"Q8 태블릿용 외부 LCD 디스플레이 화면 교체 수리부품")</f>
        <v>Q8 태블릿용 외부 LCD 디스플레이 화면 교체 수리부품</v>
      </c>
      <c r="F973" s="1" t="str">
        <f>IFERROR(__xludf.DUMMYFUNCTION("CONCATENATE(GOOGLETRANSLATE(C973, ""en"", ""ja""))"),"Q8 タブレット用外側 LCD ディスプレイ画面交換修理部品")</f>
        <v>Q8 タブレット用外側 LCD ディスプレイ画面交換修理部品</v>
      </c>
    </row>
    <row r="974" ht="15.75" customHeight="1">
      <c r="A974" s="1">
        <v>2447.0</v>
      </c>
      <c r="B974" s="1" t="s">
        <v>381</v>
      </c>
      <c r="C974" s="1" t="s">
        <v>956</v>
      </c>
      <c r="D974" s="1" t="str">
        <f>IFERROR(__xludf.DUMMYFUNCTION("CONCATENATE(GOOGLETRANSLATE(C974, ""en"", ""zh-cn""))"),"平板电脑通用 14CM 高清公转 VGA 母转接线 ")</f>
        <v>平板电脑通用 14CM 高清公转 VGA 母转接线 </v>
      </c>
      <c r="E974" s="1" t="str">
        <f>IFERROR(__xludf.DUMMYFUNCTION("CONCATENATE(GOOGLETRANSLATE(C974, ""en"", ""ko""))"),"태블릿 PC용 VGA 여성 전환 케이블에 대한 범용 14CM HD 남성 ")</f>
        <v>태블릿 PC용 VGA 여성 전환 케이블에 대한 범용 14CM HD 남성 </v>
      </c>
      <c r="F974" s="1" t="str">
        <f>IFERROR(__xludf.DUMMYFUNCTION("CONCATENATE(GOOGLETRANSLATE(C974, ""en"", ""ja""))"),"ユニバーサル 14 センチメートル HD オス - VGA メス移行ケーブル (タブレット PC 用) ")</f>
        <v>ユニバーサル 14 センチメートル HD オス - VGA メス移行ケーブル (タブレット PC 用) </v>
      </c>
    </row>
    <row r="975" ht="15.75" customHeight="1">
      <c r="A975" s="1">
        <v>2448.0</v>
      </c>
      <c r="B975" s="1" t="s">
        <v>381</v>
      </c>
      <c r="C975" s="1" t="s">
        <v>957</v>
      </c>
      <c r="D975" s="1" t="str">
        <f>IFERROR(__xludf.DUMMYFUNCTION("CONCATENATE(GOOGLETRANSLATE(C975, ""en"", ""zh-cn""))"),"15 *15CM 6 件帆布画板亚麻籽油画框画板初学者油画用品")</f>
        <v>15 *15CM 6 件帆布画板亚麻籽油画框画板初学者油画用品</v>
      </c>
      <c r="E975" s="1" t="str">
        <f>IFERROR(__xludf.DUMMYFUNCTION("CONCATENATE(GOOGLETRANSLATE(C975, ""en"", ""ko""))"),"15*15CM 6Pcs 캔버스 아트 보드 아마씨 유화 프레임 드로잉 보드 초보자를위한 유화 용품")</f>
        <v>15*15CM 6Pcs 캔버스 아트 보드 아마씨 유화 프레임 드로잉 보드 초보자를위한 유화 용품</v>
      </c>
      <c r="F975" s="1" t="str">
        <f>IFERROR(__xludf.DUMMYFUNCTION("CONCATENATE(GOOGLETRANSLATE(C975, ""en"", ""ja""))"),"15*15 センチメートル 6 個キャンバスアートボード亜麻仁油絵フレーム描画ボード初心者のための油絵用品")</f>
        <v>15*15 センチメートル 6 個キャンバスアートボード亜麻仁油絵フレーム描画ボード初心者のための油絵用品</v>
      </c>
    </row>
    <row r="976" ht="15.75" customHeight="1">
      <c r="A976" s="1">
        <v>2449.0</v>
      </c>
      <c r="B976" s="1" t="s">
        <v>381</v>
      </c>
      <c r="C976" s="1" t="s">
        <v>958</v>
      </c>
      <c r="D976" s="1" t="str">
        <f>IFERROR(__xludf.DUMMYFUNCTION("CONCATENATE(GOOGLETRANSLATE(C976, ""en"", ""zh-cn""))"),"Cidy 1 件标签贴纸打印机色带便利标签条热敏迷你可爱打印贴纸适用于 Tepra Lite LR5C 标签打印机")</f>
        <v>Cidy 1 件标签贴纸打印机色带便利标签条热敏迷你可爱打印贴纸适用于 Tepra Lite LR5C 标签打印机</v>
      </c>
      <c r="E976" s="1" t="str">
        <f>IFERROR(__xludf.DUMMYFUNCTION("CONCATENATE(GOOGLETRANSLATE(C976, ""en"", ""ko""))"),"Cidy 1Pcs 라벨 스티커 프린터 리본 편의 라벨 스트립 Tepra Lite LR5C 라벨 프린터 용 열 미니 귀여운 인쇄 스티커")</f>
        <v>Cidy 1Pcs 라벨 스티커 프린터 리본 편의 라벨 스트립 Tepra Lite LR5C 라벨 프린터 용 열 미니 귀여운 인쇄 스티커</v>
      </c>
      <c r="F976" s="1" t="str">
        <f>IFERROR(__xludf.DUMMYFUNCTION("CONCATENATE(GOOGLETRANSLATE(C976, ""en"", ""ja""))"),"Cidy 1 個ラベルステッカープリンタリボンコンビニエンスラベルストリップサーマルミニかわいい印刷ステッカー Tepra Lite LR5C ラベルプリンタ用")</f>
        <v>Cidy 1 個ラベルステッカープリンタリボンコンビニエンスラベルストリップサーマルミニかわいい印刷ステッカー Tepra Lite LR5C ラベルプリンタ用</v>
      </c>
    </row>
    <row r="977" ht="15.75" customHeight="1">
      <c r="A977" s="1">
        <v>2450.0</v>
      </c>
      <c r="B977" s="1" t="s">
        <v>381</v>
      </c>
      <c r="C977" s="1" t="s">
        <v>959</v>
      </c>
      <c r="D977" s="1" t="str">
        <f>IFERROR(__xludf.DUMMYFUNCTION("CONCATENATE(GOOGLETRANSLATE(C977, ""en"", ""zh-cn""))"),"儿童防蓝光眼镜玩电脑手机防辐射男女平光镜片硅胶护目镜软框")</f>
        <v>儿童防蓝光眼镜玩电脑手机防辐射男女平光镜片硅胶护目镜软框</v>
      </c>
      <c r="E977" s="1" t="str">
        <f>IFERROR(__xludf.DUMMYFUNCTION("CONCATENATE(GOOGLETRANSLATE(C977, ""en"", ""ko""))"),"어린이 안티 블루 라이트 안경 컴퓨터 전화 재생 안티 방사선 남성과 여성의 평면 렌즈 실리콘 고글 소프트 프레임")</f>
        <v>어린이 안티 블루 라이트 안경 컴퓨터 전화 재생 안티 방사선 남성과 여성의 평면 렌즈 실리콘 고글 소프트 프레임</v>
      </c>
      <c r="F977" s="1" t="str">
        <f>IFERROR(__xludf.DUMMYFUNCTION("CONCATENATE(GOOGLETRANSLATE(C977, ""en"", ""ja""))"),"子供の抗青色光メガネ、コンピュータ電話の再生抗放射線男性と女性のフラットレンズシリコーンゴーグルソフトフレーム")</f>
        <v>子供の抗青色光メガネ、コンピュータ電話の再生抗放射線男性と女性のフラットレンズシリコーンゴーグルソフトフレーム</v>
      </c>
    </row>
    <row r="978" ht="15.75" customHeight="1">
      <c r="A978" s="1">
        <v>2451.0</v>
      </c>
      <c r="B978" s="1" t="s">
        <v>381</v>
      </c>
      <c r="C978" s="1" t="s">
        <v>960</v>
      </c>
      <c r="D978" s="1" t="str">
        <f>IFERROR(__xludf.DUMMYFUNCTION("CONCATENATE(GOOGLETRANSLATE(C978, ""en"", ""zh-cn""))"),"帆布油画板白板油画画框亚克力棉帆布画板艺术创作绘画用品画板")</f>
        <v>帆布油画板白板油画画框亚克力棉帆布画板艺术创作绘画用品画板</v>
      </c>
      <c r="E978" s="1" t="str">
        <f>IFERROR(__xludf.DUMMYFUNCTION("CONCATENATE(GOOGLETRANSLATE(C978, ""en"", ""ko""))"),"캔버스 유화 보드 화이트 보드 유화 캔버스 프레임 아크릴 코튼 캔버스 Artboard 예술적 창조 그림 공급 드로잉 보드")</f>
        <v>캔버스 유화 보드 화이트 보드 유화 캔버스 프레임 아크릴 코튼 캔버스 Artboard 예술적 창조 그림 공급 드로잉 보드</v>
      </c>
      <c r="F978" s="1" t="str">
        <f>IFERROR(__xludf.DUMMYFUNCTION("CONCATENATE(GOOGLETRANSLATE(C978, ""en"", ""ja""))"),"キャンバス油絵ボード ホワイトボード油絵キャンバスフレーム アクリル綿キャンバスアートボード 芸術的創造用 絵画用品 製図板")</f>
        <v>キャンバス油絵ボード ホワイトボード油絵キャンバスフレーム アクリル綿キャンバスアートボード 芸術的創造用 絵画用品 製図板</v>
      </c>
    </row>
    <row r="979" ht="15.75" customHeight="1">
      <c r="A979" s="1">
        <v>2452.0</v>
      </c>
      <c r="B979" s="1" t="s">
        <v>381</v>
      </c>
      <c r="C979" s="1" t="s">
        <v>961</v>
      </c>
      <c r="D979" s="1" t="str">
        <f>IFERROR(__xludf.DUMMYFUNCTION("CONCATENATE(GOOGLETRANSLATE(C979, ""en"", ""zh-cn""))"),"10 件装木质黑板通用留言板套装迷你黑板便携式婚礼派对装饰品装饰部件")</f>
        <v>10 件装木质黑板通用留言板套装迷你黑板便携式婚礼派对装饰品装饰部件</v>
      </c>
      <c r="E979" s="1" t="str">
        <f>IFERROR(__xludf.DUMMYFUNCTION("CONCATENATE(GOOGLETRANSLATE(C979, ""en"", ""ko""))"),"10 Pcs 나무 칠판 범용 메시지 보드 세트 미니 칠판 휴대용 웨딩 파티 장식 장식 부품")</f>
        <v>10 Pcs 나무 칠판 범용 메시지 보드 세트 미니 칠판 휴대용 웨딩 파티 장식 장식 부품</v>
      </c>
      <c r="F979" s="1" t="str">
        <f>IFERROR(__xludf.DUMMYFUNCTION("CONCATENATE(GOOGLETRANSLATE(C979, ""en"", ""ja""))"),"10 個木製黒板ユニバーサルメッセージボードセットミニ黒板ポータブルウェディングパーティーの装飾装飾部品")</f>
        <v>10 個木製黒板ユニバーサルメッセージボードセットミニ黒板ポータブルウェディングパーティーの装飾装飾部品</v>
      </c>
    </row>
    <row r="980" ht="15.75" customHeight="1">
      <c r="A980" s="1">
        <v>2453.0</v>
      </c>
      <c r="B980" s="1" t="s">
        <v>381</v>
      </c>
      <c r="C980" s="1" t="s">
        <v>962</v>
      </c>
      <c r="D980" s="1" t="str">
        <f>IFERROR(__xludf.DUMMYFUNCTION("CONCATENATE(GOOGLETRANSLATE(C980, ""en"", ""zh-cn""))"),"10 件装画笔混合头尼龙画笔组合套装油画专业美术用品")</f>
        <v>10 件装画笔混合头尼龙画笔组合套装油画专业美术用品</v>
      </c>
      <c r="E980" s="1" t="str">
        <f>IFERROR(__xludf.DUMMYFUNCTION("CONCATENATE(GOOGLETRANSLATE(C980, ""en"", ""ko""))"),"10 Pcs 그림 브러시 혼합 머리 나일론 브러시 조합 세트 유화 직업 미술 용품")</f>
        <v>10 Pcs 그림 브러시 혼합 머리 나일론 브러시 조합 세트 유화 직업 미술 용품</v>
      </c>
      <c r="F980" s="1" t="str">
        <f>IFERROR(__xludf.DUMMYFUNCTION("CONCATENATE(GOOGLETRANSLATE(C980, ""en"", ""ja""))"),"10 個絵画ブラシ混合ヘッドナイロンブラシ組み合わせセット油絵専門画材")</f>
        <v>10 個絵画ブラシ混合ヘッドナイロンブラシ組み合わせセット油絵専門画材</v>
      </c>
    </row>
    <row r="981" ht="15.75" customHeight="1">
      <c r="A981" s="1">
        <v>2454.0</v>
      </c>
      <c r="B981" s="1" t="s">
        <v>381</v>
      </c>
      <c r="C981" s="1" t="s">
        <v>963</v>
      </c>
      <c r="D981" s="1" t="str">
        <f>IFERROR(__xludf.DUMMYFUNCTION("CONCATENATE(GOOGLETRANSLATE(C981, ""en"", ""zh-cn""))"),"12 支画笔珍珠蓝色画笔水彩亚克力画笔套装专业油画工具美术用品")</f>
        <v>12 支画笔珍珠蓝色画笔水彩亚克力画笔套装专业油画工具美术用品</v>
      </c>
      <c r="E981" s="1" t="str">
        <f>IFERROR(__xludf.DUMMYFUNCTION("CONCATENATE(GOOGLETRANSLATE(C981, ""en"", ""ko""))"),"12Pcs 그림 브러시 진주 블루 드로잉 브러시 수채화 아크릴 브러시 세트 전문 유화 도구 미술 용품")</f>
        <v>12Pcs 그림 브러시 진주 블루 드로잉 브러시 수채화 아크릴 브러시 세트 전문 유화 도구 미술 용품</v>
      </c>
      <c r="F981" s="1" t="str">
        <f>IFERROR(__xludf.DUMMYFUNCTION("CONCATENATE(GOOGLETRANSLATE(C981, ""en"", ""ja""))"),"12 個ペイントブラシパールブルー描画ブラシ水彩アクリルブラシセットプロの油絵ツール画材")</f>
        <v>12 個ペイントブラシパールブルー描画ブラシ水彩アクリルブラシセットプロの油絵ツール画材</v>
      </c>
    </row>
    <row r="982" ht="15.75" customHeight="1">
      <c r="A982" s="1">
        <v>2455.0</v>
      </c>
      <c r="B982" s="1" t="s">
        <v>381</v>
      </c>
      <c r="C982" s="1" t="s">
        <v>964</v>
      </c>
      <c r="D982" s="1" t="str">
        <f>IFERROR(__xludf.DUMMYFUNCTION("CONCATENATE(GOOGLETRANSLATE(C982, ""en"", ""zh-cn""))"),"10 件装混合头画笔尼龙画笔组合套装油画水彩画专业艺术用品")</f>
        <v>10 件装混合头画笔尼龙画笔组合套装油画水彩画专业艺术用品</v>
      </c>
      <c r="E982" s="1" t="str">
        <f>IFERROR(__xludf.DUMMYFUNCTION("CONCATENATE(GOOGLETRANSLATE(C982, ""en"", ""ko""))"),"10 Pcs 혼합 머리 그림 브러시 나일론 브러시 조합 세트 오일 수채화 그림 직업 미술 용품")</f>
        <v>10 Pcs 혼합 머리 그림 브러시 나일론 브러시 조합 세트 오일 수채화 그림 직업 미술 용품</v>
      </c>
      <c r="F982" s="1" t="str">
        <f>IFERROR(__xludf.DUMMYFUNCTION("CONCATENATE(GOOGLETRANSLATE(C982, ""en"", ""ja""))"),"10 個混合ヘッドペイントブラシナイロンブラシ組み合わせセット油水彩画職業画材")</f>
        <v>10 個混合ヘッドペイントブラシナイロンブラシ組み合わせセット油水彩画職業画材</v>
      </c>
    </row>
    <row r="983" ht="15.75" customHeight="1">
      <c r="A983" s="1">
        <v>2456.0</v>
      </c>
      <c r="B983" s="1" t="s">
        <v>381</v>
      </c>
      <c r="C983" s="1" t="s">
        <v>965</v>
      </c>
      <c r="D983" s="1" t="str">
        <f>IFERROR(__xludf.DUMMYFUNCTION("CONCATENATE(GOOGLETRANSLATE(C983, ""en"", ""zh-cn""))"),"可爱双孔卷笔刀化妆笔卷笔刀送女孩礼物学习用品必备文具")</f>
        <v>可爱双孔卷笔刀化妆笔卷笔刀送女孩礼物学习用品必备文具</v>
      </c>
      <c r="E983" s="1" t="str">
        <f>IFERROR(__xludf.DUMMYFUNCTION("CONCATENATE(GOOGLETRANSLATE(C983, ""en"", ""ko""))"),"귀여운 더블 홀 연필 깎이 메이크업 펜 연필 깎이 소녀 선물 학교 용품 필수 문구")</f>
        <v>귀여운 더블 홀 연필 깎이 메이크업 펜 연필 깎이 소녀 선물 학교 용품 필수 문구</v>
      </c>
      <c r="F983" s="1" t="str">
        <f>IFERROR(__xludf.DUMMYFUNCTION("CONCATENATE(GOOGLETRANSLATE(C983, ""en"", ""ja""))"),"かわいい二穴鉛筆削りメイクアップペン鉛筆削り女の子のギフト学用品必須の文房具を与える")</f>
        <v>かわいい二穴鉛筆削りメイクアップペン鉛筆削り女の子のギフト学用品必須の文房具を与える</v>
      </c>
    </row>
    <row r="984" ht="15.75" customHeight="1">
      <c r="A984" s="1">
        <v>2457.0</v>
      </c>
      <c r="B984" s="1" t="s">
        <v>381</v>
      </c>
      <c r="C984" s="1" t="s">
        <v>966</v>
      </c>
      <c r="D984" s="1" t="str">
        <f>IFERROR(__xludf.DUMMYFUNCTION("CONCATENATE(GOOGLETRANSLATE(C984, ""en"", ""zh-cn""))"),"25 件装点画工具带曼陀罗套装笔点画模板套件球笔粘土雕刻雕刻工具适用于粘土陶器工艺绘画岩石着色艺术绘画")</f>
        <v>25 件装点画工具带曼陀罗套装笔点画模板套件球笔粘土雕刻雕刻工具适用于粘土陶器工艺绘画岩石着色艺术绘画</v>
      </c>
      <c r="E984" s="1" t="str">
        <f>IFERROR(__xludf.DUMMYFUNCTION("CONCATENATE(GOOGLETRANSLATE(C984, ""en"", ""ko""))"),"만다라 세트가있는 25Pcs 도트 페인팅 도구 펜 도트 스텐실 키트 볼 스타일러스 클레이 조각 클레이 도자기 공예 페인팅 록스 색칠 아트 드로잉을위한 조각 도구")</f>
        <v>만다라 세트가있는 25Pcs 도트 페인팅 도구 펜 도트 스텐실 키트 볼 스타일러스 클레이 조각 클레이 도자기 공예 페인팅 록스 색칠 아트 드로잉을위한 조각 도구</v>
      </c>
      <c r="F984" s="1" t="str">
        <f>IFERROR(__xludf.DUMMYFUNCTION("CONCATENATE(GOOGLETRANSLATE(C984, ""en"", ""ja""))"),"25個 点在ペイントツール マンダラセット付き ペン 点在ステンシルキット ボールスタイラス 粘土彫刻彫刻ツール 粘土陶器クラフトペインティングロック 着色アート描画用")</f>
        <v>25個 点在ペイントツール マンダラセット付き ペン 点在ステンシルキット ボールスタイラス 粘土彫刻彫刻ツール 粘土陶器クラフトペインティングロック 着色アート描画用</v>
      </c>
    </row>
    <row r="985" ht="15.75" customHeight="1">
      <c r="A985" s="1">
        <v>2458.0</v>
      </c>
      <c r="B985" s="1" t="s">
        <v>381</v>
      </c>
      <c r="C985" s="1" t="s">
        <v>967</v>
      </c>
      <c r="D985" s="1" t="str">
        <f>IFERROR(__xludf.DUMMYFUNCTION("CONCATENATE(GOOGLETRANSLATE(C985, ""en"", ""zh-cn""))"),"6 件装尼龙画笔艺术绘画水彩笔软不同头尺寸绘画刷用品")</f>
        <v>6 件装尼龙画笔艺术绘画水彩笔软不同头尺寸绘画刷用品</v>
      </c>
      <c r="E985" s="1" t="str">
        <f>IFERROR(__xludf.DUMMYFUNCTION("CONCATENATE(GOOGLETRANSLATE(C985, ""en"", ""ko""))"),"6Pcs 나일론 그림 브러시 아트 드로잉 수채화 브러시 소프트 다른 머리 크기 그림 브러쉬 용품")</f>
        <v>6Pcs 나일론 그림 브러시 아트 드로잉 수채화 브러시 소프트 다른 머리 크기 그림 브러쉬 용품</v>
      </c>
      <c r="F985" s="1" t="str">
        <f>IFERROR(__xludf.DUMMYFUNCTION("CONCATENATE(GOOGLETRANSLATE(C985, ""en"", ""ja""))"),"6 個ナイロン絵画ブラシアート描画水彩ブラシソフト異なるヘッドサイズ絵画ブラシ用品")</f>
        <v>6 個ナイロン絵画ブラシアート描画水彩ブラシソフト異なるヘッドサイズ絵画ブラシ用品</v>
      </c>
    </row>
    <row r="986" ht="15.75" customHeight="1">
      <c r="A986" s="1">
        <v>2459.0</v>
      </c>
      <c r="B986" s="1" t="s">
        <v>381</v>
      </c>
      <c r="C986" s="1" t="s">
        <v>968</v>
      </c>
      <c r="D986" s="1" t="str">
        <f>IFERROR(__xludf.DUMMYFUNCTION("CONCATENATE(GOOGLETRANSLATE(C986, ""en"", ""zh-cn""))"),"35 件装曼陀罗打点工具模板球笔刷油漆托盘用于绘画岩石着色绘画和绘图")</f>
        <v>35 件装曼陀罗打点工具模板球笔刷油漆托盘用于绘画岩石着色绘画和绘图</v>
      </c>
      <c r="E986" s="1" t="str">
        <f>IFERROR(__xludf.DUMMYFUNCTION("CONCATENATE(GOOGLETRANSLATE(C986, ""en"", ""ko""))"),"35 PCS 만다라 도트 도구 스텐실 볼 스타일러스 브러쉬 페인트 트레이 그림 바위 색칠 그리기 및 제도")</f>
        <v>35 PCS 만다라 도트 도구 스텐실 볼 스타일러스 브러쉬 페인트 트레이 그림 바위 색칠 그리기 및 제도</v>
      </c>
      <c r="F986" s="1" t="str">
        <f>IFERROR(__xludf.DUMMYFUNCTION("CONCATENATE(GOOGLETRANSLATE(C986, ""en"", ""ja""))"),"35 個のマンダラドットツールステンシルボールスタイラスブラシペイントトレイ岩の着色描画と製図用")</f>
        <v>35 個のマンダラドットツールステンシルボールスタイラスブラシペイントトレイ岩の着色描画と製図用</v>
      </c>
    </row>
    <row r="987" ht="15.75" customHeight="1">
      <c r="A987" s="1">
        <v>2460.0</v>
      </c>
      <c r="B987" s="1" t="s">
        <v>381</v>
      </c>
      <c r="C987" s="1" t="s">
        <v>969</v>
      </c>
      <c r="D987" s="1" t="str">
        <f>IFERROR(__xludf.DUMMYFUNCTION("CONCATENATE(GOOGLETRANSLATE(C987, ""en"", ""zh-cn""))"),"64*35 厘米多功能可折叠多角度调节电脑笔记本电脑桌电视床电脑 Macbook 桌面支架")</f>
        <v>64*35 厘米多功能可折叠多角度调节电脑笔记本电脑桌电视床电脑 Macbook 桌面支架</v>
      </c>
      <c r="E987" s="1" t="str">
        <f>IFERROR(__xludf.DUMMYFUNCTION("CONCATENATE(GOOGLETRANSLATE(C987, ""en"", ""ko""))"),"64*35cm 다기능 접이식 멀티 각도 조정 컴퓨터 노트북 책상 테이블 TV 침대 컴퓨터 Mackbook 데스크탑 홀더")</f>
        <v>64*35cm 다기능 접이식 멀티 각도 조정 컴퓨터 노트북 책상 테이블 TV 침대 컴퓨터 Mackbook 데스크탑 홀더</v>
      </c>
      <c r="F987" s="1" t="str">
        <f>IFERROR(__xludf.DUMMYFUNCTION("CONCATENATE(GOOGLETRANSLATE(C987, ""en"", ""ja""))"),"64*35 センチメートル多機能折りたたみマルチ角度調整コンピュータのラップトップデスクテーブルテレビベッドコンピュータ Mackbook デスクトップホルダー")</f>
        <v>64*35 センチメートル多機能折りたたみマルチ角度調整コンピュータのラップトップデスクテーブルテレビベッドコンピュータ Mackbook デスクトップホルダー</v>
      </c>
    </row>
    <row r="988" ht="15.75" customHeight="1">
      <c r="A988" s="1">
        <v>2461.0</v>
      </c>
      <c r="B988" s="1" t="s">
        <v>381</v>
      </c>
      <c r="C988" s="1" t="s">
        <v>970</v>
      </c>
      <c r="D988" s="1" t="str">
        <f>IFERROR(__xludf.DUMMYFUNCTION("CONCATENATE(GOOGLETRANSLATE(C988, ""en"", ""zh-cn""))"),"三星 Galaxy Tab P580 触摸屏数字化仪更换件")</f>
        <v>三星 Galaxy Tab P580 触摸屏数字化仪更换件</v>
      </c>
      <c r="E988" s="1" t="str">
        <f>IFERROR(__xludf.DUMMYFUNCTION("CONCATENATE(GOOGLETRANSLATE(C988, ""en"", ""ko""))"),"삼성 갤럭시탭 P580 터치스크린 디지타이저 교체")</f>
        <v>삼성 갤럭시탭 P580 터치스크린 디지타이저 교체</v>
      </c>
      <c r="F988" s="1" t="str">
        <f>IFERROR(__xludf.DUMMYFUNCTION("CONCATENATE(GOOGLETRANSLATE(C988, ""en"", ""ja""))"),"Samsung Galaxy Tab P580用タッチスクリーンデジタイザー交換品")</f>
        <v>Samsung Galaxy Tab P580用タッチスクリーンデジタイザー交換品</v>
      </c>
    </row>
    <row r="989" ht="15.75" customHeight="1">
      <c r="A989" s="1">
        <v>2462.0</v>
      </c>
      <c r="B989" s="1" t="s">
        <v>381</v>
      </c>
      <c r="C989" s="1" t="s">
        <v>971</v>
      </c>
      <c r="D989" s="1" t="str">
        <f>IFERROR(__xludf.DUMMYFUNCTION("CONCATENATE(GOOGLETRANSLATE(C989, ""en"", ""zh-cn""))"),"8 件装彩色亚克力杆扭杆点刷实心圆棒点陶艺辅助工具曼陀罗点画工具")</f>
        <v>8 件装彩色亚克力杆扭杆点刷实心圆棒点陶艺辅助工具曼陀罗点画工具</v>
      </c>
      <c r="E989" s="1" t="str">
        <f>IFERROR(__xludf.DUMMYFUNCTION("CONCATENATE(GOOGLETRANSLATE(C989, ""en"", ""ko""))"),"8Pcs 다채로운 아크릴 막대 트위스트 바 포인트 브러시 솔리드 라운드 스틱 포인트 도자기 보조 도구 만다라 도트 도구")</f>
        <v>8Pcs 다채로운 아크릴 막대 트위스트 바 포인트 브러시 솔리드 라운드 스틱 포인트 도자기 보조 도구 만다라 도트 도구</v>
      </c>
      <c r="F989" s="1" t="str">
        <f>IFERROR(__xludf.DUMMYFUNCTION("CONCATENATE(GOOGLETRANSLATE(C989, ""en"", ""ja""))"),"8 個のカラフルなアクリルロッドツイストバーポイントブラシソリッドラウンドスティックポイント陶器補助ツール曼荼羅点在ツール")</f>
        <v>8 個のカラフルなアクリルロッドツイストバーポイントブラシソリッドラウンドスティックポイント陶器補助ツール曼荼羅点在ツール</v>
      </c>
    </row>
    <row r="990" ht="15.75" customHeight="1">
      <c r="A990" s="1">
        <v>2463.0</v>
      </c>
      <c r="B990" s="1" t="s">
        <v>381</v>
      </c>
      <c r="C990" s="1" t="s">
        <v>972</v>
      </c>
      <c r="D990" s="1" t="str">
        <f>IFERROR(__xludf.DUMMYFUNCTION("CONCATENATE(GOOGLETRANSLATE(C990, ""en"", ""zh-cn""))"),"5 件装彩色手柄打点工具螺旋杆双头尖钉笔压痕笔尖花钻工具")</f>
        <v>5 件装彩色手柄打点工具螺旋杆双头尖钉笔压痕笔尖花钻工具</v>
      </c>
      <c r="E990" s="1" t="str">
        <f>IFERROR(__xludf.DUMMYFUNCTION("CONCATENATE(GOOGLETRANSLATE(C990, ""en"", ""ko""))"),"5Pcs 색상 핸들 도트 도구 나선형 막대 더블 엔드 포인트 네일 펜 들여 쓰기 펜 포인트 꽃 드릴 도구")</f>
        <v>5Pcs 색상 핸들 도트 도구 나선형 막대 더블 엔드 포인트 네일 펜 들여 쓰기 펜 포인트 꽃 드릴 도구</v>
      </c>
      <c r="F990" s="1" t="str">
        <f>IFERROR(__xludf.DUMMYFUNCTION("CONCATENATE(GOOGLETRANSLATE(C990, ""en"", ""ja""))"),"5 個カラーハンドルドットツールスパイラルロッドダブルエンドポイントネイルペンインデントペンポイントフラワードリルツール")</f>
        <v>5 個カラーハンドルドットツールスパイラルロッドダブルエンドポイントネイルペンインデントペンポイントフラワードリルツール</v>
      </c>
    </row>
    <row r="991" ht="15.75" customHeight="1">
      <c r="A991" s="1">
        <v>2464.0</v>
      </c>
      <c r="B991" s="1" t="s">
        <v>381</v>
      </c>
      <c r="C991" s="1" t="s">
        <v>973</v>
      </c>
      <c r="D991" s="1" t="str">
        <f>IFERROR(__xludf.DUMMYFUNCTION("CONCATENATE(GOOGLETRANSLATE(C991, ""en"", ""zh-cn""))"),"得力3572 A4 500张打印纸双面2574克草稿纸书写绘图纸家庭办公用纸用品")</f>
        <v>得力3572 A4 500张打印纸双面2574克草稿纸书写绘图纸家庭办公用纸用品</v>
      </c>
      <c r="E991" s="1" t="str">
        <f>IFERROR(__xludf.DUMMYFUNCTION("CONCATENATE(GOOGLETRANSLATE(C991, ""en"", ""ko""))"),"Deli 3572 A4 500 매 프린터 용지 양면 2574g 스크래치 용지 쓰기 도면 용지 홈 오피스 용지 용품")</f>
        <v>Deli 3572 A4 500 매 프린터 용지 양면 2574g 스크래치 용지 쓰기 도면 용지 홈 오피스 용지 용품</v>
      </c>
      <c r="F991" s="1" t="str">
        <f>IFERROR(__xludf.DUMMYFUNCTION("CONCATENATE(GOOGLETRANSLATE(C991, ""en"", ""ja""))"),"デリ 3572 A4 500 枚プリンタ用紙両面 2574 グラムスクラッチ紙筆記画用紙ホームオフィス用紙用品")</f>
        <v>デリ 3572 A4 500 枚プリンタ用紙両面 2574 グラムスクラッチ紙筆記画用紙ホームオフィス用紙用品</v>
      </c>
    </row>
    <row r="992" ht="15.75" customHeight="1">
      <c r="A992" s="1">
        <v>2465.0</v>
      </c>
      <c r="B992" s="1" t="s">
        <v>381</v>
      </c>
      <c r="C992" s="1" t="s">
        <v>974</v>
      </c>
      <c r="D992" s="1" t="str">
        <f>IFERROR(__xludf.DUMMYFUNCTION("CONCATENATE(GOOGLETRANSLATE(C992, ""en"", ""zh-cn""))"),"得力A4打印纸加厚500张2000克书写绘图纸双面草稿纸打印纸办公家用纸耗材")</f>
        <v>得力A4打印纸加厚500张2000克书写绘图纸双面草稿纸打印纸办公家用纸耗材</v>
      </c>
      <c r="E992" s="1" t="str">
        <f>IFERROR(__xludf.DUMMYFUNCTION("CONCATENATE(GOOGLETRANSLATE(C992, ""en"", ""ko""))"),"델리 A4 프린터 용지 두꺼운 500 매 2000g 쓰기 도면 용지 양면 스크래치 용지 프린터 용지 사무실 홈 종이 용품")</f>
        <v>델리 A4 프린터 용지 두꺼운 500 매 2000g 쓰기 도면 용지 양면 스크래치 용지 프린터 용지 사무실 홈 종이 용품</v>
      </c>
      <c r="F992" s="1" t="str">
        <f>IFERROR(__xludf.DUMMYFUNCTION("CONCATENATE(GOOGLETRANSLATE(C992, ""en"", ""ja""))"),"デリ A4 プリンタ用紙厚手 500 枚 2000 グラム画用紙両面スクラッチ紙プリンタ用紙オフィス家庭用紙用品")</f>
        <v>デリ A4 プリンタ用紙厚手 500 枚 2000 グラム画用紙両面スクラッチ紙プリンタ用紙オフィス家庭用紙用品</v>
      </c>
    </row>
    <row r="993" ht="15.75" customHeight="1">
      <c r="A993" s="1">
        <v>2466.0</v>
      </c>
      <c r="B993" s="1" t="s">
        <v>381</v>
      </c>
      <c r="C993" s="1" t="s">
        <v>975</v>
      </c>
      <c r="D993" s="1" t="str">
        <f>IFERROR(__xludf.DUMMYFUNCTION("CONCATENATE(GOOGLETRANSLATE(C993, ""en"", ""zh-cn""))"),"编织壁挂挂毯婚礼悬挂背景波西米亚壁画纱线挂毯带流苏客厅家庭办公室装饰品")</f>
        <v>编织壁挂挂毯婚礼悬挂背景波西米亚壁画纱线挂毯带流苏客厅家庭办公室装饰品</v>
      </c>
      <c r="E993" s="1" t="str">
        <f>IFERROR(__xludf.DUMMYFUNCTION("CONCATENATE(GOOGLETRANSLATE(C993, ""en"", ""ko""))"),"짠 벽 매달려 태피스트리 웨딩 매달려 배경 보헤미안 벽 벽화 원사 태피스트리 술 거실 홈 오피스 장식")</f>
        <v>짠 벽 매달려 태피스트리 웨딩 매달려 배경 보헤미안 벽 벽화 원사 태피스트리 술 거실 홈 오피스 장식</v>
      </c>
      <c r="F993" s="1" t="str">
        <f>IFERROR(__xludf.DUMMYFUNCTION("CONCATENATE(GOOGLETRANSLATE(C993, ""en"", ""ja""))"),"織物壁掛けタペストリー ウェディングハンギング背景 ボヘミアン壁壁画糸タペストリー タッセル付き リビングルーム ホームオフィス装飾")</f>
        <v>織物壁掛けタペストリー ウェディングハンギング背景 ボヘミアン壁壁画糸タペストリー タッセル付き リビングルーム ホームオフィス装飾</v>
      </c>
    </row>
    <row r="994" ht="15.75" customHeight="1">
      <c r="A994" s="1">
        <v>2467.0</v>
      </c>
      <c r="B994" s="1" t="s">
        <v>381</v>
      </c>
      <c r="C994" s="1" t="s">
        <v>976</v>
      </c>
      <c r="D994" s="1" t="str">
        <f>IFERROR(__xludf.DUMMYFUNCTION("CONCATENATE(GOOGLETRANSLATE(C994, ""en"", ""zh-cn""))"),"创意收纳家用客厅桌面收纳垃圾桶厨房收纳盒迷你办公室垃圾桶咖啡桌纸篮")</f>
        <v>创意收纳家用客厅桌面收纳垃圾桶厨房收纳盒迷你办公室垃圾桶咖啡桌纸篮</v>
      </c>
      <c r="E994" s="1" t="str">
        <f>IFERROR(__xludf.DUMMYFUNCTION("CONCATENATE(GOOGLETRANSLATE(C994, ""en"", ""ko""))"),"크리 에이 티브 스토리지 홈 거실 데스크탑 스토리지 쓰레기통 주방 주최자 미니 오피스 쓰레기통 커피 테이블 종이 바구니")</f>
        <v>크리 에이 티브 스토리지 홈 거실 데스크탑 스토리지 쓰레기통 주방 주최자 미니 오피스 쓰레기통 커피 테이블 종이 바구니</v>
      </c>
      <c r="F994" s="1" t="str">
        <f>IFERROR(__xludf.DUMMYFUNCTION("CONCATENATE(GOOGLETRANSLATE(C994, ""en"", ""ja""))"),"クリエイティブストレージホームリビングルームデスクトップストレージゴミ箱キッチンオーガナイザーミニオフィスゴミ箱コーヒーテーブル紙バスケット")</f>
        <v>クリエイティブストレージホームリビングルームデスクトップストレージゴミ箱キッチンオーガナイザーミニオフィスゴミ箱コーヒーテーブル紙バスケット</v>
      </c>
    </row>
    <row r="995" ht="15.75" customHeight="1">
      <c r="A995" s="1">
        <v>2468.0</v>
      </c>
      <c r="B995" s="1" t="s">
        <v>381</v>
      </c>
      <c r="C995" s="1" t="s">
        <v>977</v>
      </c>
      <c r="D995" s="1" t="str">
        <f>IFERROR(__xludf.DUMMYFUNCTION("CONCATENATE(GOOGLETRANSLATE(C995, ""en"", ""zh-cn""))"),"双层垃圾桶按压式桌面垃圾桶桌面塑料办公垃圾桶垃圾箱杂物桶箱")</f>
        <v>双层垃圾桶按压式桌面垃圾桶桌面塑料办公垃圾桶垃圾箱杂物桶箱</v>
      </c>
      <c r="E995" s="1" t="str">
        <f>IFERROR(__xludf.DUMMYFUNCTION("CONCATENATE(GOOGLETRANSLATE(C995, ""en"", ""ko""))"),"더블 레이어 쓰레기통 프레싱 유형 데스크탑 쓰레기 바구니 테이블 플라스틱 사무실 쓰레기통 쓰레기통 잡화 배럴 상자")</f>
        <v>더블 레이어 쓰레기통 프레싱 유형 데스크탑 쓰레기 바구니 테이블 플라스틱 사무실 쓰레기통 쓰레기통 잡화 배럴 상자</v>
      </c>
      <c r="F995" s="1" t="str">
        <f>IFERROR(__xludf.DUMMYFUNCTION("CONCATENATE(GOOGLETRANSLATE(C995, ""en"", ""ja""))"),"二層ゴミ箱プレス式デスクトップゴミバスケットテーブルプラスチックオフィスゴミ箱ゴミ箱雑貨バレルボックス")</f>
        <v>二層ゴミ箱プレス式デスクトップゴミバスケットテーブルプラスチックオフィスゴミ箱ゴミ箱雑貨バレルボックス</v>
      </c>
    </row>
    <row r="996" ht="15.75" customHeight="1">
      <c r="A996" s="1">
        <v>2469.0</v>
      </c>
      <c r="B996" s="1" t="s">
        <v>381</v>
      </c>
      <c r="C996" s="1" t="s">
        <v>978</v>
      </c>
      <c r="D996" s="1" t="str">
        <f>IFERROR(__xludf.DUMMYFUNCTION("CONCATENATE(GOOGLETRANSLATE(C996, ""en"", ""zh-cn""))"),"4 层植物架花盆储物架户外室内花园架装饰品展示架书架带抽屉")</f>
        <v>4 层植物架花盆储物架户外室内花园架装饰品展示架书架带抽屉</v>
      </c>
      <c r="E996" s="1" t="str">
        <f>IFERROR(__xludf.DUMMYFUNCTION("CONCATENATE(GOOGLETRANSLATE(C996, ""en"", ""ko""))"),"4 레이어 식물 스탠드 꽃 냄비 스토리지 랙 야외 실내 정원 선반 장식 디스플레이 스탠드 서랍과 책장")</f>
        <v>4 레이어 식물 스탠드 꽃 냄비 스토리지 랙 야외 실내 정원 선반 장식 디스플레이 스탠드 서랍과 책장</v>
      </c>
      <c r="F996" s="1" t="str">
        <f>IFERROR(__xludf.DUMMYFUNCTION("CONCATENATE(GOOGLETRANSLATE(C996, ""en"", ""ja""))"),"4 層植物スタンド植木鉢収納ラック屋外屋内ガーデン棚装飾ディスプレイスタンド本棚引き出し付き")</f>
        <v>4 層植物スタンド植木鉢収納ラック屋外屋内ガーデン棚装飾ディスプレイスタンド本棚引き出し付き</v>
      </c>
    </row>
    <row r="997" ht="15.75" customHeight="1">
      <c r="A997" s="1">
        <v>2470.0</v>
      </c>
      <c r="B997" s="1" t="s">
        <v>381</v>
      </c>
      <c r="C997" s="1" t="s">
        <v>979</v>
      </c>
      <c r="D997" s="1" t="str">
        <f>IFERROR(__xludf.DUMMYFUNCTION("CONCATENATE(GOOGLETRANSLATE(C997, ""en"", ""zh-cn""))"),"AIMOS USB HDMI KVM 切换盒视频切换显示器 4K 分配器 KVM 切换器适用于 2 台电脑共享切换器键盘鼠标打印机即插即用")</f>
        <v>AIMOS USB HDMI KVM 切换盒视频切换显示器 4K 分配器 KVM 切换器适用于 2 台电脑共享切换器键盘鼠标打印机即插即用</v>
      </c>
      <c r="E997" s="1" t="str">
        <f>IFERROR(__xludf.DUMMYFUNCTION("CONCATENATE(GOOGLETRANSLATE(C997, ""en"", ""ko""))"),"AIMOS USB HDMI KVM 스위치 박스 비디오 스위치 디스플레이 4K 분배기 KVM 스위치 2 PC 공유 스위처 키보드 마우스 프린터 플러그 앤 플레이")</f>
        <v>AIMOS USB HDMI KVM 스위치 박스 비디오 스위치 디스플레이 4K 분배기 KVM 스위치 2 PC 공유 스위처 키보드 마우스 프린터 플러그 앤 플레이</v>
      </c>
      <c r="F997" s="1" t="str">
        <f>IFERROR(__xludf.DUMMYFUNCTION("CONCATENATE(GOOGLETRANSLATE(C997, ""en"", ""ja""))"),"AIMOS USB HDMI KVM スイッチボックス ビデオスイッチディスプレイ 4K スプリッター KVM スイッチ 2 PC 共有スイッチャー キーボード マウス プリンター プラグアンドプレイ")</f>
        <v>AIMOS USB HDMI KVM スイッチボックス ビデオスイッチディスプレイ 4K スプリッター KVM スイッチ 2 PC 共有スイッチャー キーボード マウス プリンター プラグアンドプレイ</v>
      </c>
    </row>
    <row r="998" ht="15.75" customHeight="1">
      <c r="A998" s="1">
        <v>2471.0</v>
      </c>
      <c r="B998" s="1" t="s">
        <v>381</v>
      </c>
      <c r="C998" s="1" t="s">
        <v>980</v>
      </c>
      <c r="D998" s="1" t="str">
        <f>IFERROR(__xludf.DUMMYFUNCTION("CONCATENATE(GOOGLETRANSLATE(C998, ""en"", ""zh-cn""))"),"6 个挂钩柜下马克杯架 304 不锈钢免打孔咖啡杯收纳架")</f>
        <v>6 个挂钩柜下马克杯架 304 不锈钢免打孔咖啡杯收纳架</v>
      </c>
      <c r="E998" s="1" t="str">
        <f>IFERROR(__xludf.DUMMYFUNCTION("CONCATENATE(GOOGLETRANSLATE(C998, ""en"", ""ko""))"),"캐비닛 머그 홀더 아래 후크 6개 304 스테인레스 스틸 펀치 없는 커피 컵 보관함")</f>
        <v>캐비닛 머그 홀더 아래 후크 6개 304 스테인레스 스틸 펀치 없는 커피 컵 보관함</v>
      </c>
      <c r="F998" s="1" t="str">
        <f>IFERROR(__xludf.DUMMYFUNCTION("CONCATENATE(GOOGLETRANSLATE(C998, ""en"", ""ja""))"),"6 フックアンダーキャビネットマグホルダー 304 ステンレス鋼パンチフリーコーヒーカップ収納ラック")</f>
        <v>6 フックアンダーキャビネットマグホルダー 304 ステンレス鋼パンチフリーコーヒーカップ収納ラック</v>
      </c>
    </row>
    <row r="999" ht="15.75" customHeight="1">
      <c r="A999" s="1">
        <v>2472.0</v>
      </c>
      <c r="B999" s="1" t="s">
        <v>381</v>
      </c>
      <c r="C999" s="1" t="s">
        <v>981</v>
      </c>
      <c r="D999" s="1" t="str">
        <f>IFERROR(__xludf.DUMMYFUNCTION("CONCATENATE(GOOGLETRANSLATE(C999, ""en"", ""zh-cn""))"),"壁挂挂毯室内绿色植物挂毯家庭办公室酒店墙壁装饰")</f>
        <v>壁挂挂毯室内绿色植物挂毯家庭办公室酒店墙壁装饰</v>
      </c>
      <c r="E999" s="1" t="str">
        <f>IFERROR(__xludf.DUMMYFUNCTION("CONCATENATE(GOOGLETRANSLATE(C999, ""en"", ""ko""))"),"벽걸이 태피스트리 홈 오피스 호텔을 위한 실내 녹색 식물 태피스트리 벽 장식")</f>
        <v>벽걸이 태피스트리 홈 오피스 호텔을 위한 실내 녹색 식물 태피스트리 벽 장식</v>
      </c>
      <c r="F999" s="1" t="str">
        <f>IFERROR(__xludf.DUMMYFUNCTION("CONCATENATE(GOOGLETRANSLATE(C999, ""en"", ""ja""))"),"壁掛けタペストリー屋内緑の植物タペストリー壁の装飾ホームオフィスホテル")</f>
        <v>壁掛けタペストリー屋内緑の植物タペストリー壁の装飾ホームオフィスホテル</v>
      </c>
    </row>
    <row r="1000" ht="15.75" customHeight="1">
      <c r="A1000" s="1">
        <v>2473.0</v>
      </c>
      <c r="B1000" s="1" t="s">
        <v>381</v>
      </c>
      <c r="C1000" s="1" t="s">
        <v>982</v>
      </c>
      <c r="D1000" s="1" t="str">
        <f>IFERROR(__xludf.DUMMYFUNCTION("CONCATENATE(GOOGLETRANSLATE(C1000, ""en"", ""zh-cn""))"),"多功能桌面收纳架个性化收纳架木质桌面电脑键盘多层板物品整理收纳架")</f>
        <v>多功能桌面收纳架个性化收纳架木质桌面电脑键盘多层板物品整理收纳架</v>
      </c>
      <c r="E1000" s="1" t="str">
        <f>IFERROR(__xludf.DUMMYFUNCTION("CONCATENATE(GOOGLETRANSLATE(C1000, ""en"", ""ko""))"),"다기능 데스크탑 주최자 맞춤형 스토리지 랙 나무 데스크탑 컴퓨터 키보드 다층 보드 항목 스토리지 랙 마무리")</f>
        <v>다기능 데스크탑 주최자 맞춤형 스토리지 랙 나무 데스크탑 컴퓨터 키보드 다층 보드 항목 스토리지 랙 마무리</v>
      </c>
      <c r="F1000" s="1" t="str">
        <f>IFERROR(__xludf.DUMMYFUNCTION("CONCATENATE(GOOGLETRANSLATE(C1000, ""en"", ""ja""))"),"多機能デスクトップオーガナイザーパーソナライズされた収納ラック木製デスクトップコンピュータキーボード多層ボードアイテム仕上げ収納ラック")</f>
        <v>多機能デスクトップオーガナイザーパーソナライズされた収納ラック木製デスクトップコンピュータキーボード多層ボードアイテム仕上げ収納ラック</v>
      </c>
    </row>
    <row r="1001" ht="15.75" customHeight="1">
      <c r="A1001" s="1">
        <v>2474.0</v>
      </c>
      <c r="B1001" s="1" t="s">
        <v>381</v>
      </c>
      <c r="C1001" s="1" t="s">
        <v>983</v>
      </c>
      <c r="D1001" s="1" t="str">
        <f>IFERROR(__xludf.DUMMYFUNCTION("CONCATENATE(GOOGLETRANSLATE(C1001, ""en"", ""zh-cn""))"),"57x50 毫米热敏打印机付款收据打印纸白色")</f>
        <v>57x50 毫米热敏打印机付款收据打印纸白色</v>
      </c>
      <c r="E1001" s="1" t="str">
        <f>IFERROR(__xludf.DUMMYFUNCTION("CONCATENATE(GOOGLETRANSLATE(C1001, ""en"", ""ko""))"),"열전사 프린터 흰색용 57x50mm 지불 영수증 인쇄 용지")</f>
        <v>열전사 프린터 흰색용 57x50mm 지불 영수증 인쇄 용지</v>
      </c>
      <c r="F1001" s="1" t="str">
        <f>IFERROR(__xludf.DUMMYFUNCTION("CONCATENATE(GOOGLETRANSLATE(C1001, ""en"", ""ja""))"),"57x50mm サーマルプリンター用支払い領収書印刷用紙 ホワイト")</f>
        <v>57x50mm サーマルプリンター用支払い領収書印刷用紙 ホワイト</v>
      </c>
    </row>
    <row r="1002" ht="15.75" customHeight="1">
      <c r="A1002" s="1">
        <v>2475.0</v>
      </c>
      <c r="B1002" s="1" t="s">
        <v>381</v>
      </c>
      <c r="C1002" s="1" t="s">
        <v>984</v>
      </c>
      <c r="D1002" s="1" t="str">
        <f>IFERROR(__xludf.DUMMYFUNCTION("CONCATENATE(GOOGLETRANSLATE(C1002, ""en"", ""zh-cn""))"),"得力22275加厚活页本学生笔记本简约手册办公商务布艺笔记本120页")</f>
        <v>得力22275加厚活页本学生笔记本简约手册办公商务布艺笔记本120页</v>
      </c>
      <c r="E1002" s="1" t="str">
        <f>IFERROR(__xludf.DUMMYFUNCTION("CONCATENATE(GOOGLETRANSLATE(C1002, ""en"", ""ko""))"),"Deli 22275 두꺼운 루스 리프 북 학생 노트 간단한 핸드북 사무실 비즈니스 패브릭 노트 120 페이지")</f>
        <v>Deli 22275 두꺼운 루스 리프 북 학생 노트 간단한 핸드북 사무실 비즈니스 패브릭 노트 120 페이지</v>
      </c>
      <c r="F1002" s="1" t="str">
        <f>IFERROR(__xludf.DUMMYFUNCTION("CONCATENATE(GOOGLETRANSLATE(C1002, ""en"", ""ja""))"),"デリ 22275 厚みのあるルーズリーフブック学生ノートブックシンプルなハンドブックオフィスビジネスファブリックノートブック 120 ページ")</f>
        <v>デリ 22275 厚みのあるルーズリーフブック学生ノートブックシンプルなハンドブックオフィスビジネスファブリックノートブック 120 ページ</v>
      </c>
    </row>
    <row r="1003" ht="15.75" customHeight="1">
      <c r="A1003" s="1">
        <v>2476.0</v>
      </c>
      <c r="B1003" s="1" t="s">
        <v>381</v>
      </c>
      <c r="C1003" s="1" t="s">
        <v>985</v>
      </c>
      <c r="D1003" s="1" t="str">
        <f>IFERROR(__xludf.DUMMYFUNCTION("CONCATENATE(GOOGLETRANSLATE(C1003, ""en"", ""zh-cn""))"),"皮革收纳盒家用收纳盒皮革收纳盒手机/电视遥控器家用收纳盒办公桌收纳盒")</f>
        <v>皮革收纳盒家用收纳盒皮革收纳盒手机/电视遥控器家用收纳盒办公桌收纳盒</v>
      </c>
      <c r="E1003" s="1" t="str">
        <f>IFERROR(__xludf.DUMMYFUNCTION("CONCATENATE(GOOGLETRANSLATE(C1003, ""en"", ""ko""))"),"가죽 보관함 홈 보관함 가죽 보관함 전화 / TV 원격 제어 홈 보관함 책상 보관함")</f>
        <v>가죽 보관함 홈 보관함 가죽 보관함 전화 / TV 원격 제어 홈 보관함 책상 보관함</v>
      </c>
      <c r="F1003" s="1" t="str">
        <f>IFERROR(__xludf.DUMMYFUNCTION("CONCATENATE(GOOGLETRANSLATE(C1003, ""en"", ""ja""))"),"革製収納ボックス 家庭用収納ボックス 革製収納ボックス 電話/テレビリモコン 家庭用収納ボックス デスク収納ボックス")</f>
        <v>革製収納ボックス 家庭用収納ボックス 革製収納ボックス 電話/テレビリモコン 家庭用収納ボックス デスク収納ボックス</v>
      </c>
    </row>
    <row r="1004" ht="15.75" customHeight="1">
      <c r="A1004" s="1">
        <v>2477.0</v>
      </c>
      <c r="B1004" s="1" t="s">
        <v>381</v>
      </c>
      <c r="C1004" s="1" t="s">
        <v>986</v>
      </c>
      <c r="D1004" s="1" t="str">
        <f>IFERROR(__xludf.DUMMYFUNCTION("CONCATENATE(GOOGLETRANSLATE(C1004, ""en"", ""zh-cn""))"),"适用于笔记本电脑的交流电源适配器线 3 芯电缆引线")</f>
        <v>适用于笔记本电脑的交流电源适配器线 3 芯电缆引线</v>
      </c>
      <c r="E1004" s="1" t="str">
        <f>IFERROR(__xludf.DUMMYFUNCTION("CONCATENATE(GOOGLETRANSLATE(C1004, ""en"", ""ko""))"),"노트북용 AC 전원 공급 장치 어댑터 코드 케이블 리드 3구")</f>
        <v>노트북용 AC 전원 공급 장치 어댑터 코드 케이블 리드 3구</v>
      </c>
      <c r="F1004" s="1" t="str">
        <f>IFERROR(__xludf.DUMMYFUNCTION("CONCATENATE(GOOGLETRANSLATE(C1004, ""en"", ""ja""))"),"AC 電源アダプター コード ケーブル リード 3 極 (ラップトップ用)")</f>
        <v>AC 電源アダプター コード ケーブル リード 3 極 (ラップトップ用)</v>
      </c>
    </row>
    <row r="1005" ht="15.75" customHeight="1">
      <c r="A1005" s="1">
        <v>2478.0</v>
      </c>
      <c r="B1005" s="1" t="s">
        <v>381</v>
      </c>
      <c r="C1005" s="1" t="s">
        <v>987</v>
      </c>
      <c r="D1005" s="1" t="str">
        <f>IFERROR(__xludf.DUMMYFUNCTION("CONCATENATE(GOOGLETRANSLATE(C1005, ""en"", ""zh-cn""))"),"PIPO P1 平板电脑透明屏幕保护膜")</f>
        <v>PIPO P1 平板电脑透明屏幕保护膜</v>
      </c>
      <c r="E1005" s="1" t="str">
        <f>IFERROR(__xludf.DUMMYFUNCTION("CONCATENATE(GOOGLETRANSLATE(C1005, ""en"", ""ko""))"),"PIPO P1 태블릿용 투명 화면 보호 필름 가드")</f>
        <v>PIPO P1 태블릿용 투명 화면 보호 필름 가드</v>
      </c>
      <c r="F1005" s="1" t="str">
        <f>IFERROR(__xludf.DUMMYFUNCTION("CONCATENATE(GOOGLETRANSLATE(C1005, ""en"", ""ja""))"),"PIPO P1 タブレット用クリアスクリーンプロテクターフィルムガード")</f>
        <v>PIPO P1 タブレット用クリアスクリーンプロテクターフィルムガード</v>
      </c>
    </row>
    <row r="1006" ht="15.75" customHeight="1">
      <c r="A1006" s="1">
        <v>2479.0</v>
      </c>
      <c r="B1006" s="1" t="s">
        <v>381</v>
      </c>
      <c r="C1006" s="1" t="s">
        <v>988</v>
      </c>
      <c r="D1006" s="1" t="str">
        <f>IFERROR(__xludf.DUMMYFUNCTION("CONCATENATE(GOOGLETRANSLATE(C1006, ""en"", ""zh-cn""))"),"Folio PU 皮革折叠支架卡套保护套适用于小米 Mipad 平板电脑")</f>
        <v>Folio PU 皮革折叠支架卡套保护套适用于小米 Mipad 平板电脑</v>
      </c>
      <c r="E1006" s="1" t="str">
        <f>IFERROR(__xludf.DUMMYFUNCTION("CONCATENATE(GOOGLETRANSLATE(C1006, ""en"", ""ko""))"),"Xiaomi Mipad 태블릿용 폴리오 PU 가죽 접이식 스탠드 카드 케이스 커버")</f>
        <v>Xiaomi Mipad 태블릿용 폴리오 PU 가죽 접이식 스탠드 카드 케이스 커버</v>
      </c>
      <c r="F1006" s="1" t="str">
        <f>IFERROR(__xludf.DUMMYFUNCTION("CONCATENATE(GOOGLETRANSLATE(C1006, ""en"", ""ja""))"),"Xiaomi Mipad タブレット用フォリオ PU レザー折りたたみスタンド カード ケース カバー")</f>
        <v>Xiaomi Mipad タブレット用フォリオ PU レザー折りたたみスタンド カード ケース カバー</v>
      </c>
    </row>
    <row r="1007" ht="15.75" customHeight="1">
      <c r="A1007" s="1">
        <v>2480.0</v>
      </c>
      <c r="B1007" s="1" t="s">
        <v>381</v>
      </c>
      <c r="C1007" s="1" t="s">
        <v>989</v>
      </c>
      <c r="D1007" s="1" t="str">
        <f>IFERROR(__xludf.DUMMYFUNCTION("CONCATENATE(GOOGLETRANSLATE(C1007, ""en"", ""zh-cn""))"),"透明硅胶鼠标垫凝胶腕托腕托手托适用于家庭办公台式电脑")</f>
        <v>透明硅胶鼠标垫凝胶腕托腕托手托适用于家庭办公台式电脑</v>
      </c>
      <c r="E1007" s="1" t="str">
        <f>IFERROR(__xludf.DUMMYFUNCTION("CONCATENATE(GOOGLETRANSLATE(C1007, ""en"", ""ko""))"),"홈 오피스 데스크탑 PC 컴퓨터 용 투명 실리콘 마우스 패드 젤 손목 받침대 손목 받침대 손 받침대")</f>
        <v>홈 오피스 데스크탑 PC 컴퓨터 용 투명 실리콘 마우스 패드 젤 손목 받침대 손목 받침대 손 받침대</v>
      </c>
      <c r="F1007" s="1" t="str">
        <f>IFERROR(__xludf.DUMMYFUNCTION("CONCATENATE(GOOGLETRANSLATE(C1007, ""en"", ""ja""))"),"透明シリコンマウスパッドゲルリストレストリストサポートハンドレストホームオフィスデスクトップPCコンピュータ用")</f>
        <v>透明シリコンマウスパッドゲルリストレストリストサポートハンドレストホームオフィスデスクトップPCコンピュータ用</v>
      </c>
    </row>
    <row r="1008" ht="15.75" customHeight="1">
      <c r="A1008" s="1">
        <v>2481.0</v>
      </c>
      <c r="B1008" s="1" t="s">
        <v>381</v>
      </c>
      <c r="C1008" s="1" t="s">
        <v>990</v>
      </c>
      <c r="D1008" s="1" t="str">
        <f>IFERROR(__xludf.DUMMYFUNCTION("CONCATENATE(GOOGLETRANSLATE(C1008, ""en"", ""zh-cn""))"),"三折对开 PU 皮革支架保护套适用于 ALLDOCUBE CUBE IWORK 8 平板电脑")</f>
        <v>三折对开 PU 皮革支架保护套适用于 ALLDOCUBE CUBE IWORK 8 平板电脑</v>
      </c>
      <c r="E1008" s="1" t="str">
        <f>IFERROR(__xludf.DUMMYFUNCTION("CONCATENATE(GOOGLETRANSLATE(C1008, ""en"", ""ko""))"),"ALLDOCUBE CUBE IWORK 8 태블릿용 3단 폴리오 PU 가죽 스탠드 케이스 커버")</f>
        <v>ALLDOCUBE CUBE IWORK 8 태블릿용 3단 폴리오 PU 가죽 스탠드 케이스 커버</v>
      </c>
      <c r="F1008" s="1" t="str">
        <f>IFERROR(__xludf.DUMMYFUNCTION("CONCATENATE(GOOGLETRANSLATE(C1008, ""en"", ""ja""))"),"ALLDOCUBE CUBE IWORK 8 タブレット用三つ折りフォリオ PU レザースタンドケースカバー")</f>
        <v>ALLDOCUBE CUBE IWORK 8 タブレット用三つ折りフォリオ PU レザースタンドケースカバー</v>
      </c>
    </row>
    <row r="1009" ht="15.75" customHeight="1">
      <c r="A1009" s="1">
        <v>2482.0</v>
      </c>
      <c r="B1009" s="1" t="s">
        <v>381</v>
      </c>
      <c r="C1009" s="1" t="s">
        <v>991</v>
      </c>
      <c r="D1009" s="1" t="str">
        <f>IFERROR(__xludf.DUMMYFUNCTION("CONCATENATE(GOOGLETRANSLATE(C1009, ""en"", ""zh-cn""))"),"PIPO P9 折叠支架对开 PU 皮革保护套")</f>
        <v>PIPO P9 折叠支架对开 PU 皮革保护套</v>
      </c>
      <c r="E1009" s="1" t="str">
        <f>IFERROR(__xludf.DUMMYFUNCTION("CONCATENATE(GOOGLETRANSLATE(C1009, ""en"", ""ko""))"),"PIPO P9용 접이식 스탠드 폴리오 PU 가죽 케이스 커버")</f>
        <v>PIPO P9용 접이식 스탠드 폴리오 PU 가죽 케이스 커버</v>
      </c>
      <c r="F1009" s="1" t="str">
        <f>IFERROR(__xludf.DUMMYFUNCTION("CONCATENATE(GOOGLETRANSLATE(C1009, ""en"", ""ja""))"),"PIPO P9用折りたたみスタンドフォリオPUレザーケースカバー")</f>
        <v>PIPO P9用折りたたみスタンドフォリオPUレザーケースカバー</v>
      </c>
    </row>
    <row r="1010" ht="15.75" customHeight="1">
      <c r="A1010" s="1">
        <v>2483.0</v>
      </c>
      <c r="B1010" s="1" t="s">
        <v>381</v>
      </c>
      <c r="C1010" s="1" t="s">
        <v>992</v>
      </c>
      <c r="D1010" s="1" t="str">
        <f>IFERROR(__xludf.DUMMYFUNCTION("CONCATENATE(GOOGLETRANSLATE(C1010, ""en"", ""zh-cn""))"),"NUSIGN NSYP022 办公文档文件书籍收纳盒桌面收纳盒")</f>
        <v>NUSIGN NSYP022 办公文档文件书籍收纳盒桌面收纳盒</v>
      </c>
      <c r="E1010" s="1" t="str">
        <f>IFERROR(__xludf.DUMMYFUNCTION("CONCATENATE(GOOGLETRANSLATE(C1010, ""en"", ""ko""))"),"NUSIGN NSYP022 사무실 문서 파일 책 보관함 데스크탑 주최자 홀더")</f>
        <v>NUSIGN NSYP022 사무실 문서 파일 책 보관함 데스크탑 주최자 홀더</v>
      </c>
      <c r="F1010" s="1" t="str">
        <f>IFERROR(__xludf.DUMMYFUNCTION("CONCATENATE(GOOGLETRANSLATE(C1010, ""en"", ""ja""))"),"NUSIGN NSYP022 オフィスドキュメントファイル書籍収納ボックスデスクトップオーガナイザーホルダー")</f>
        <v>NUSIGN NSYP022 オフィスドキュメントファイル書籍収納ボックスデスクトップオーガナイザーホルダー</v>
      </c>
    </row>
    <row r="1011" ht="15.75" customHeight="1">
      <c r="A1011" s="1">
        <v>2484.0</v>
      </c>
      <c r="B1011" s="1" t="s">
        <v>381</v>
      </c>
      <c r="C1011" s="1" t="s">
        <v>993</v>
      </c>
      <c r="D1011" s="1" t="str">
        <f>IFERROR(__xludf.DUMMYFUNCTION("CONCATENATE(GOOGLETRANSLATE(C1011, ""en"", ""zh-cn""))"),"Wicute O-WF8.5便携式8.5寸液晶手写板数字绘图板手写板电子手写板超薄板带笔")</f>
        <v>Wicute O-WF8.5便携式8.5寸液晶手写板数字绘图板手写板电子手写板超薄板带笔</v>
      </c>
      <c r="E1011" s="1" t="str">
        <f>IFERROR(__xludf.DUMMYFUNCTION("CONCATENATE(GOOGLETRANSLATE(C1011, ""en"", ""ko""))"),"Wicute O-WF8.5 휴대용 8.5 인치 LCD 쓰기 태블릿 디지털 그리기 태블릿 필기 패드 전자 태블릿 보드 펜이있는 초박형 보드")</f>
        <v>Wicute O-WF8.5 휴대용 8.5 인치 LCD 쓰기 태블릿 디지털 그리기 태블릿 필기 패드 전자 태블릿 보드 펜이있는 초박형 보드</v>
      </c>
      <c r="F1011" s="1" t="str">
        <f>IFERROR(__xludf.DUMMYFUNCTION("CONCATENATE(GOOGLETRANSLATE(C1011, ""en"", ""ja""))"),"Wicute O-WF8.5 ポータブル 8.5 インチ LCD ライティングタブレット デジタル描画タブレット 手書きパッド 電子タブレットボード 超薄型ボード ペン付き")</f>
        <v>Wicute O-WF8.5 ポータブル 8.5 インチ LCD ライティングタブレット デジタル描画タブレット 手書きパッド 電子タブレットボード 超薄型ボード ペン付き</v>
      </c>
    </row>
    <row r="1012" ht="15.75" customHeight="1">
      <c r="A1012" s="1">
        <v>2485.0</v>
      </c>
      <c r="B1012" s="1" t="s">
        <v>381</v>
      </c>
      <c r="C1012" s="1" t="s">
        <v>994</v>
      </c>
      <c r="D1012" s="1" t="str">
        <f>IFERROR(__xludf.DUMMYFUNCTION("CONCATENATE(GOOGLETRANSLATE(C1012, ""en"", ""zh-cn""))"),"后壳盖和高清平板电脑屏幕保护膜适用于联想 Tab 3 8 Plus")</f>
        <v>后壳盖和高清平板电脑屏幕保护膜适用于联想 Tab 3 8 Plus</v>
      </c>
      <c r="E1012" s="1" t="str">
        <f>IFERROR(__xludf.DUMMYFUNCTION("CONCATENATE(GOOGLETRANSLATE(C1012, ""en"", ""ko""))"),"Lenovo Tab 3 8 Plus용 후면 케이스 커버 및 HD 태블릿 화면 보호 필름")</f>
        <v>Lenovo Tab 3 8 Plus용 후면 케이스 커버 및 HD 태블릿 화면 보호 필름</v>
      </c>
      <c r="F1012" s="1" t="str">
        <f>IFERROR(__xludf.DUMMYFUNCTION("CONCATENATE(GOOGLETRANSLATE(C1012, ""en"", ""ja""))"),"Lenovo Tab 3 8 Plus用バックケースカバーとHDタブレットスクリーンプロテクター")</f>
        <v>Lenovo Tab 3 8 Plus用バックケースカバーとHDタブレットスクリーンプロテクター</v>
      </c>
    </row>
    <row r="1013" ht="15.75" customHeight="1">
      <c r="A1013" s="1">
        <v>2486.0</v>
      </c>
      <c r="B1013" s="1" t="s">
        <v>381</v>
      </c>
      <c r="C1013" s="1" t="s">
        <v>995</v>
      </c>
      <c r="D1013" s="1" t="str">
        <f>IFERROR(__xludf.DUMMYFUNCTION("CONCATENATE(GOOGLETRANSLATE(C1013, ""en"", ""zh-cn""))"),"铁质读书资料架电脑显示器支架手稿夹打字阅读架办公学习阅读书")</f>
        <v>铁质读书资料架电脑显示器支架手稿夹打字阅读架办公学习阅读书</v>
      </c>
      <c r="E1013" s="1" t="str">
        <f>IFERROR(__xludf.DUMMYFUNCTION("CONCATENATE(GOOGLETRANSLATE(C1013, ""en"", ""ko""))"),"철 독서 데이터 프레임 컴퓨터 모니터 브래킷 원고 클립 사무실 학습 독서 책을위한 독서 프레임 입력")</f>
        <v>철 독서 데이터 프레임 컴퓨터 모니터 브래킷 원고 클립 사무실 학습 독서 책을위한 독서 프레임 입력</v>
      </c>
      <c r="F1013" s="1" t="str">
        <f>IFERROR(__xludf.DUMMYFUNCTION("CONCATENATE(GOOGLETRANSLATE(C1013, ""en"", ""ja""))"),"アイロン読書データフレームコンピュータモニターブラケット原稿クリップタイピング読書フレームオフィス学習読書本")</f>
        <v>アイロン読書データフレームコンピュータモニターブラケット原稿クリップタイピング読書フレームオフィス学習読書本</v>
      </c>
    </row>
    <row r="1014" ht="15.75" customHeight="1">
      <c r="A1014" s="1">
        <v>2487.0</v>
      </c>
      <c r="B1014" s="1" t="s">
        <v>381</v>
      </c>
      <c r="C1014" s="1" t="s">
        <v>996</v>
      </c>
      <c r="D1014" s="1" t="str">
        <f>IFERROR(__xludf.DUMMYFUNCTION("CONCATENATE(GOOGLETRANSLATE(C1014, ""en"", ""zh-cn""))"),"A5经理文件夹PU夹公文包A4文件活页笔记本多功能文件夹记事本礼品套装")</f>
        <v>A5经理文件夹PU夹公文包A4文件活页笔记本多功能文件夹记事本礼品套装</v>
      </c>
      <c r="E1014" s="1" t="str">
        <f>IFERROR(__xludf.DUMMYFUNCTION("CONCATENATE(GOOGLETRANSLATE(C1014, ""en"", ""ko""))"),"A5 관리자 파일 폴더 PU 클립 서류 가방 A4 파일 루스 리프 노트 다기능 폴더 메모장 선물 세트")</f>
        <v>A5 관리자 파일 폴더 PU 클립 서류 가방 A4 파일 루스 리프 노트 다기능 폴더 메모장 선물 세트</v>
      </c>
      <c r="F1014" s="1" t="str">
        <f>IFERROR(__xludf.DUMMYFUNCTION("CONCATENATE(GOOGLETRANSLATE(C1014, ""en"", ""ja""))"),"A5 マネージャー ファイル フォルダー PU クリップ ブリーフケース A4 ファイル ルーズリーフ ノートブック 多機能フォルダー メモ帳 ギフト セット")</f>
        <v>A5 マネージャー ファイル フォルダー PU クリップ ブリーフケース A4 ファイル ルーズリーフ ノートブック 多機能フォルダー メモ帳 ギフト セット</v>
      </c>
    </row>
    <row r="1015" ht="15.75" customHeight="1">
      <c r="A1015" s="1">
        <v>2488.0</v>
      </c>
      <c r="B1015" s="1" t="s">
        <v>381</v>
      </c>
      <c r="C1015" s="1" t="s">
        <v>997</v>
      </c>
      <c r="D1015" s="1" t="str">
        <f>IFERROR(__xludf.DUMMYFUNCTION("CONCATENATE(GOOGLETRANSLATE(C1015, ""en"", ""zh-cn""))"),"水泥笔筒桌面办公文具收纳混凝土笔筒")</f>
        <v>水泥笔筒桌面办公文具收纳混凝土笔筒</v>
      </c>
      <c r="E1015" s="1" t="str">
        <f>IFERROR(__xludf.DUMMYFUNCTION("CONCATENATE(GOOGLETRANSLATE(C1015, ""en"", ""ko""))"),"시멘트 펜 홀더 데스크탑 오피스 문구 보관 콘크리트 펜 홀더")</f>
        <v>시멘트 펜 홀더 데스크탑 오피스 문구 보관 콘크리트 펜 홀더</v>
      </c>
      <c r="F1015" s="1" t="str">
        <f>IFERROR(__xludf.DUMMYFUNCTION("CONCATENATE(GOOGLETRANSLATE(C1015, ""en"", ""ja""))"),"セメントペンホルダーデスクトップオフィス文具収納コンクリートペンホルダー")</f>
        <v>セメントペンホルダーデスクトップオフィス文具収納コンクリートペンホルダー</v>
      </c>
    </row>
    <row r="1016" ht="15.75" customHeight="1">
      <c r="A1016" s="1">
        <v>2489.0</v>
      </c>
      <c r="B1016" s="1" t="s">
        <v>381</v>
      </c>
      <c r="C1016" s="1" t="s">
        <v>998</v>
      </c>
      <c r="D1016" s="1" t="str">
        <f>IFERROR(__xludf.DUMMYFUNCTION("CONCATENATE(GOOGLETRANSLATE(C1016, ""en"", ""zh-cn""))"),"得力9128音乐书+笔筒组合多功能结构设计书桌收纳")</f>
        <v>得力9128音乐书+笔筒组合多功能结构设计书桌收纳</v>
      </c>
      <c r="E1016" s="1" t="str">
        <f>IFERROR(__xludf.DUMMYFUNCTION("CONCATENATE(GOOGLETRANSLATE(C1016, ""en"", ""ko""))"),"Deli 9128 악보집 + 펜 홀더 조합 다기능 구조 디자인 책상 보관함")</f>
        <v>Deli 9128 악보집 + 펜 홀더 조합 다기능 구조 디자인 책상 보관함</v>
      </c>
      <c r="F1016" s="1" t="str">
        <f>IFERROR(__xludf.DUMMYFUNCTION("CONCATENATE(GOOGLETRANSLATE(C1016, ""en"", ""ja""))"),"Deli 9128 ミュージックブック + ペンホルダーの組み合わせ多機能構造デザインデスクストレージ")</f>
        <v>Deli 9128 ミュージックブック + ペンホルダーの組み合わせ多機能構造デザインデスクストレージ</v>
      </c>
    </row>
    <row r="1017" ht="15.75" customHeight="1">
      <c r="A1017" s="1">
        <v>2490.0</v>
      </c>
      <c r="B1017" s="1" t="s">
        <v>381</v>
      </c>
      <c r="C1017" s="1" t="s">
        <v>999</v>
      </c>
      <c r="D1017" s="1" t="str">
        <f>IFERROR(__xludf.DUMMYFUNCTION("CONCATENATE(GOOGLETRANSLATE(C1017, ""en"", ""zh-cn""))"),"Vention HDMI线视频线4K 3D HD2.0弯头设计音视频同步HDR 18Gbps带宽1M 2M 3M")</f>
        <v>Vention HDMI线视频线4K 3D HD2.0弯头设计音视频同步HDR 18Gbps带宽1M 2M 3M</v>
      </c>
      <c r="E1017" s="1" t="str">
        <f>IFERROR(__xludf.DUMMYFUNCTION("CONCATENATE(GOOGLETRANSLATE(C1017, ""en"", ""ko""))"),"Vention HDMI 케이블 비디오 케이블 4K 3D HD2.0 팔꿈치 디자인 오디오 Vido 동기식 HDR 18Gbps 대역폭 1M 2M 3M")</f>
        <v>Vention HDMI 케이블 비디오 케이블 4K 3D HD2.0 팔꿈치 디자인 오디오 Vido 동기식 HDR 18Gbps 대역폭 1M 2M 3M</v>
      </c>
      <c r="F1017" s="1" t="str">
        <f>IFERROR(__xludf.DUMMYFUNCTION("CONCATENATE(GOOGLETRANSLATE(C1017, ""en"", ""ja""))"),"Vention HDMI ケーブルビデオケーブル 4K 3D HD2.0 エルボデザインオーディオ Vido 同期 HDR 18Gbps 帯域幅 1M 2M 3M")</f>
        <v>Vention HDMI ケーブルビデオケーブル 4K 3D HD2.0 エルボデザインオーディオ Vido 同期 HDR 18Gbps 帯域幅 1M 2M 3M</v>
      </c>
    </row>
    <row r="1018" ht="15.75" customHeight="1">
      <c r="A1018" s="1">
        <v>2491.0</v>
      </c>
      <c r="B1018" s="1" t="s">
        <v>381</v>
      </c>
      <c r="C1018" s="1" t="s">
        <v>1000</v>
      </c>
      <c r="D1018" s="1" t="str">
        <f>IFERROR(__xludf.DUMMYFUNCTION("CONCATENATE(GOOGLETRANSLATE(C1018, ""en"", ""zh-cn""))"),"显示器笔记本电脑支架桌面存储支架桌面小桌子电脑立板架展示架适合家庭办公室")</f>
        <v>显示器笔记本电脑支架桌面存储支架桌面小桌子电脑立板架展示架适合家庭办公室</v>
      </c>
      <c r="E1018" s="1" t="str">
        <f>IFERROR(__xludf.DUMMYFUNCTION("CONCATENATE(GOOGLETRANSLATE(C1018, ""en"", ""ko""))"),"모니터 노트북 스탠드 데스크탑 스토리지 브래킷 홈 오피스 용 데스크탑 소형 테이블 컴퓨터 라이저 선반 디스플레이")</f>
        <v>모니터 노트북 스탠드 데스크탑 스토리지 브래킷 홈 오피스 용 데스크탑 소형 테이블 컴퓨터 라이저 선반 디스플레이</v>
      </c>
      <c r="F1018" s="1" t="str">
        <f>IFERROR(__xludf.DUMMYFUNCTION("CONCATENATE(GOOGLETRANSLATE(C1018, ""en"", ""ja""))"),"モニターラップトップスタンドデスクトップ収納ブラケットデスクトップ小さなテーブルコンピュータライザー棚ディスプレイホームオフィス用")</f>
        <v>モニターラップトップスタンドデスクトップ収納ブラケットデスクトップ小さなテーブルコンピュータライザー棚ディスプレイホームオフィス用</v>
      </c>
    </row>
    <row r="1019" ht="15.75" customHeight="1">
      <c r="A1019" s="1">
        <v>2492.0</v>
      </c>
      <c r="B1019" s="1" t="s">
        <v>381</v>
      </c>
      <c r="C1019" s="1" t="s">
        <v>1001</v>
      </c>
      <c r="D1019" s="1" t="str">
        <f>IFERROR(__xludf.DUMMYFUNCTION("CONCATENATE(GOOGLETRANSLATE(C1019, ""en"", ""zh-cn""))"),"1.5M 圆形卷尺自动伸缩尺 PVC 黑色卷尺适用于家庭办公文具用品")</f>
        <v>1.5M 圆形卷尺自动伸缩尺 PVC 黑色卷尺适用于家庭办公文具用品</v>
      </c>
      <c r="E1019" s="1" t="str">
        <f>IFERROR(__xludf.DUMMYFUNCTION("CONCATENATE(GOOGLETRANSLATE(C1019, ""en"", ""ko""))"),"1.5M 라운드 줄자 눈금자 홈 오피스 문구 용품에 대한 자동 텔레스코픽 눈금자 PVC 검은 줄자")</f>
        <v>1.5M 라운드 줄자 눈금자 홈 오피스 문구 용품에 대한 자동 텔레스코픽 눈금자 PVC 검은 줄자</v>
      </c>
      <c r="F1019" s="1" t="str">
        <f>IFERROR(__xludf.DUMMYFUNCTION("CONCATENATE(GOOGLETRANSLATE(C1019, ""en"", ""ja""))"),"1.5 メートルラウンド巻尺定規自動伸縮定規 PVC 黒巻尺ホームオフィス文具用品")</f>
        <v>1.5 メートルラウンド巻尺定規自動伸縮定規 PVC 黒巻尺ホームオフィス文具用品</v>
      </c>
    </row>
    <row r="1020" ht="15.75" customHeight="1">
      <c r="A1020" s="1">
        <v>2493.0</v>
      </c>
      <c r="B1020" s="1" t="s">
        <v>381</v>
      </c>
      <c r="C1020" s="1" t="s">
        <v>1002</v>
      </c>
      <c r="D1020" s="1" t="str">
        <f>IFERROR(__xludf.DUMMYFUNCTION("CONCATENATE(GOOGLETRANSLATE(C1020, ""en"", ""zh-cn""))"),"360 度旋转 PU 支架皮套 适用于奥苏 ME173x 平板电脑")</f>
        <v>360 度旋转 PU 支架皮套 适用于奥苏 ME173x 平板电脑</v>
      </c>
      <c r="E1020" s="1" t="str">
        <f>IFERROR(__xludf.DUMMYFUNCTION("CONCATENATE(GOOGLETRANSLATE(C1020, ""en"", ""ko""))"),"Ausu ME173x 태블릿용 360도 회전 PU 스탠드 가죽 케이스")</f>
        <v>Ausu ME173x 태블릿용 360도 회전 PU 스탠드 가죽 케이스</v>
      </c>
      <c r="F1020" s="1" t="str">
        <f>IFERROR(__xludf.DUMMYFUNCTION("CONCATENATE(GOOGLETRANSLATE(C1020, ""en"", ""ja""))"),"Ausu ME173x タブレット用 360 度回転 PU スタンド レザー ケース")</f>
        <v>Ausu ME173x タブレット用 360 度回転 PU スタンド レザー ケース</v>
      </c>
    </row>
    <row r="1021" ht="15.75" customHeight="1">
      <c r="A1021" s="1">
        <v>2494.0</v>
      </c>
      <c r="B1021" s="1" t="s">
        <v>381</v>
      </c>
      <c r="C1021" s="1" t="s">
        <v>1003</v>
      </c>
      <c r="D1021" s="1" t="str">
        <f>IFERROR(__xludf.DUMMYFUNCTION("CONCATENATE(GOOGLETRANSLATE(C1021, ""en"", ""zh-cn""))"),"三星 P5200 360 度旋转波点 PU 皮套 ")</f>
        <v>三星 P5200 360 度旋转波点 PU 皮套 </v>
      </c>
      <c r="E1021" s="1" t="str">
        <f>IFERROR(__xludf.DUMMYFUNCTION("CONCATENATE(GOOGLETRANSLATE(C1021, ""en"", ""ko""))"),"삼성 P5200용 360도 회전 웨이브 포인트 PU 가죽 케이스 ")</f>
        <v>삼성 P5200용 360도 회전 웨이브 포인트 PU 가죽 케이스 </v>
      </c>
      <c r="F1021" s="1" t="str">
        <f>IFERROR(__xludf.DUMMYFUNCTION("CONCATENATE(GOOGLETRANSLATE(C1021, ""en"", ""ja""))"),"Samsung P5200用360度回転ウェーブポイントPUレザーケース ")</f>
        <v>Samsung P5200用360度回転ウェーブポイントPUレザーケース </v>
      </c>
    </row>
    <row r="1022" ht="15.75" customHeight="1">
      <c r="A1022" s="1">
        <v>2495.0</v>
      </c>
      <c r="B1022" s="1" t="s">
        <v>381</v>
      </c>
      <c r="C1022" s="1" t="s">
        <v>1004</v>
      </c>
      <c r="D1022" s="1" t="str">
        <f>IFERROR(__xludf.DUMMYFUNCTION("CONCATENATE(GOOGLETRANSLATE(C1022, ""en"", ""zh-cn""))"),"16GB USB2.0 巧克力冰淇淋模型闪存盘 U 盘")</f>
        <v>16GB USB2.0 巧克力冰淇淋模型闪存盘 U 盘</v>
      </c>
      <c r="E1022" s="1" t="str">
        <f>IFERROR(__xludf.DUMMYFUNCTION("CONCATENATE(GOOGLETRANSLATE(C1022, ""en"", ""ko""))"),"16GB USB2.0 초콜릿 아이스크림 모델 플래시 드라이브 메모리 U 디스크")</f>
        <v>16GB USB2.0 초콜릿 아이스크림 모델 플래시 드라이브 메모리 U 디스크</v>
      </c>
      <c r="F1022" s="1" t="str">
        <f>IFERROR(__xludf.DUMMYFUNCTION("CONCATENATE(GOOGLETRANSLATE(C1022, ""en"", ""ja""))"),"16GB USB2.0 チョコレートアイスクリームモデルフラッシュドライブメモリ U ディスク")</f>
        <v>16GB USB2.0 チョコレートアイスクリームモデルフラッシュドライブメモリ U ディスク</v>
      </c>
    </row>
    <row r="1023" ht="15.75" customHeight="1">
      <c r="A1023" s="1">
        <v>2496.0</v>
      </c>
      <c r="B1023" s="1" t="s">
        <v>381</v>
      </c>
      <c r="C1023" s="1" t="s">
        <v>1005</v>
      </c>
      <c r="D1023" s="1" t="str">
        <f>IFERROR(__xludf.DUMMYFUNCTION("CONCATENATE(GOOGLETRANSLATE(C1023, ""en"", ""zh-cn""))"),"适用于 PIPO M9 Pro 3G 的内部 LCD 显示屏更换维修零件 ")</f>
        <v>适用于 PIPO M9 Pro 3G 的内部 LCD 显示屏更换维修零件 </v>
      </c>
      <c r="E1023" s="1" t="str">
        <f>IFERROR(__xludf.DUMMYFUNCTION("CONCATENATE(GOOGLETRANSLATE(C1023, ""en"", ""ko""))"),"PIPO M9 Pro 3G용 내부 LCD 디스플레이 화면 교체 수리부품 ")</f>
        <v>PIPO M9 Pro 3G용 내부 LCD 디스플레이 화면 교체 수리부품 </v>
      </c>
      <c r="F1023" s="1" t="str">
        <f>IFERROR(__xludf.DUMMYFUNCTION("CONCATENATE(GOOGLETRANSLATE(C1023, ""en"", ""ja""))"),"PIPO M9 Pro 3G 用インナー LCD ディスプレイ画面交換修理部品 ")</f>
        <v>PIPO M9 Pro 3G 用インナー LCD ディスプレイ画面交換修理部品 </v>
      </c>
    </row>
    <row r="1024" ht="15.75" customHeight="1">
      <c r="A1024" s="1">
        <v>2497.0</v>
      </c>
      <c r="B1024" s="1" t="s">
        <v>381</v>
      </c>
      <c r="C1024" s="1" t="s">
        <v>1006</v>
      </c>
      <c r="D1024" s="1" t="str">
        <f>IFERROR(__xludf.DUMMYFUNCTION("CONCATENATE(GOOGLETRANSLATE(C1024, ""en"", ""zh-cn""))"),"明强单层可堆叠文件架北欧风格金属架桌面收纳件家庭办公桌面收纳用品")</f>
        <v>明强单层可堆叠文件架北欧风格金属架桌面收纳件家庭办公桌面收纳用品</v>
      </c>
      <c r="E1024" s="1" t="str">
        <f>IFERROR(__xludf.DUMMYFUNCTION("CONCATENATE(GOOGLETRANSLATE(C1024, ""en"", ""ko""))"),"MingQiang 단일 레이어 쌓을 수있는 파일 랙 북유럽 스타일의 금속 랙 데스크탑 주최자 홈 오피스 데스크탑 스토리지 용품")</f>
        <v>MingQiang 단일 레이어 쌓을 수있는 파일 랙 북유럽 스타일의 금속 랙 데스크탑 주최자 홈 오피스 데스크탑 스토리지 용품</v>
      </c>
      <c r="F1024" s="1" t="str">
        <f>IFERROR(__xludf.DUMMYFUNCTION("CONCATENATE(GOOGLETRANSLATE(C1024, ""en"", ""ja""))"),"MingQiang 単層積み重ね可能なファイルラック北欧スタイルのメタルラックデスクトップオーガナイザーホームオフィスデスクトップストレージ用品")</f>
        <v>MingQiang 単層積み重ね可能なファイルラック北欧スタイルのメタルラックデスクトップオーガナイザーホームオフィスデスクトップストレージ用品</v>
      </c>
    </row>
    <row r="1025" ht="15.75" customHeight="1">
      <c r="A1025" s="1">
        <v>2498.0</v>
      </c>
      <c r="B1025" s="1" t="s">
        <v>381</v>
      </c>
      <c r="C1025" s="1" t="s">
        <v>1007</v>
      </c>
      <c r="D1025" s="1" t="str">
        <f>IFERROR(__xludf.DUMMYFUNCTION("CONCATENATE(GOOGLETRANSLATE(C1025, ""en"", ""zh-cn""))"),"熟食店 1 卷价格标签纸白色标签纸超市杂货店标签打印机用纸贴纸")</f>
        <v>熟食店 1 卷价格标签纸白色标签纸超市杂货店标签打印机用纸贴纸</v>
      </c>
      <c r="E1025" s="1" t="str">
        <f>IFERROR(__xludf.DUMMYFUNCTION("CONCATENATE(GOOGLETRANSLATE(C1025, ""en"", ""ko""))"),"델리 1 롤 가격 라벨 종이 흰색 태그 종이 슈퍼마켓 식료품 점 라벨 프린터 용 종이 스티커")</f>
        <v>델리 1 롤 가격 라벨 종이 흰색 태그 종이 슈퍼마켓 식료품 점 라벨 프린터 용 종이 스티커</v>
      </c>
      <c r="F1025" s="1" t="str">
        <f>IFERROR(__xludf.DUMMYFUNCTION("CONCATENATE(GOOGLETRANSLATE(C1025, ""en"", ""ja""))"),"デリ 1 ロール価格ラベル紙白タグ紙スーパーマーケット食料品店紙ステッカーラベルプリンタ用")</f>
        <v>デリ 1 ロール価格ラベル紙白タグ紙スーパーマーケット食料品店紙ステッカーラベルプリンタ用</v>
      </c>
    </row>
    <row r="1026" ht="15.75" customHeight="1">
      <c r="A1026" s="1">
        <v>2499.0</v>
      </c>
      <c r="B1026" s="1" t="s">
        <v>381</v>
      </c>
      <c r="C1026" s="1" t="s">
        <v>1008</v>
      </c>
      <c r="D1026" s="1" t="str">
        <f>IFERROR(__xludf.DUMMYFUNCTION("CONCATENATE(GOOGLETRANSLATE(C1026, ""en"", ""zh-cn""))"),"熟食店 1 卷标签纸白色价格标签纸超市杂货店标签打印机贴纸")</f>
        <v>熟食店 1 卷标签纸白色价格标签纸超市杂货店标签打印机贴纸</v>
      </c>
      <c r="E1026" s="1" t="str">
        <f>IFERROR(__xludf.DUMMYFUNCTION("CONCATENATE(GOOGLETRANSLATE(C1026, ""en"", ""ko""))"),"델리 1 롤 라벨 용지 흰색 가격표 종이 슈퍼마켓 식료품 점 라벨 프린터 용 종이 스티커")</f>
        <v>델리 1 롤 라벨 용지 흰색 가격표 종이 슈퍼마켓 식료품 점 라벨 프린터 용 종이 스티커</v>
      </c>
      <c r="F1026" s="1" t="str">
        <f>IFERROR(__xludf.DUMMYFUNCTION("CONCATENATE(GOOGLETRANSLATE(C1026, ""en"", ""ja""))"),"デリ 1 ロールラベル紙白値札紙スーパーマーケット食料品店紙ステッカーラベルプリンタ用")</f>
        <v>デリ 1 ロールラベル紙白値札紙スーパーマーケット食料品店紙ステッカーラベルプリンタ用</v>
      </c>
    </row>
    <row r="1027" ht="15.75" customHeight="1">
      <c r="A1027" s="1">
        <v>2500.0</v>
      </c>
      <c r="B1027" s="1" t="s">
        <v>381</v>
      </c>
      <c r="C1027" s="1" t="s">
        <v>1009</v>
      </c>
      <c r="D1027" s="1" t="str">
        <f>IFERROR(__xludf.DUMMYFUNCTION("CONCATENATE(GOOGLETRANSLATE(C1027, ""en"", ""zh-cn""))"),"USB 2.0 网络摄像头自动对焦网络摄像头带麦克风适用于笔记本电脑台式机")</f>
        <v>USB 2.0 网络摄像头自动对焦网络摄像头带麦克风适用于笔记本电脑台式机</v>
      </c>
      <c r="E1027" s="1" t="str">
        <f>IFERROR(__xludf.DUMMYFUNCTION("CONCATENATE(GOOGLETRANSLATE(C1027, ""en"", ""ko""))"),"USB 2.0 웹캠 자동 초점 웹 카메라 캠(노트북 데스크탑용 마이크 포함)")</f>
        <v>USB 2.0 웹캠 자동 초점 웹 카메라 캠(노트북 데스크탑용 마이크 포함)</v>
      </c>
      <c r="F1027" s="1" t="str">
        <f>IFERROR(__xludf.DUMMYFUNCTION("CONCATENATE(GOOGLETRANSLATE(C1027, ""en"", ""ja""))"),"USB 2.0 ウェブカメラ オートフォーカス ウェブカメラ カム マイク付き ラップトップ デスクトップ用")</f>
        <v>USB 2.0 ウェブカメラ オートフォーカス ウェブカメラ カム マイク付き ラップトップ デスクトップ用</v>
      </c>
    </row>
    <row r="1028" ht="15.75" customHeight="1">
      <c r="A1028" s="1">
        <v>2501.0</v>
      </c>
      <c r="B1028" s="1" t="s">
        <v>381</v>
      </c>
      <c r="C1028" s="1" t="s">
        <v>1010</v>
      </c>
      <c r="D1028" s="1" t="str">
        <f>IFERROR(__xludf.DUMMYFUNCTION("CONCATENATE(GOOGLETRANSLATE(C1028, ""en"", ""zh-cn""))"),"1 支圆珠笔按压设计笔休闲办公减压指尖陀螺玩具圆珠笔办公学校用")</f>
        <v>1 支圆珠笔按压设计笔休闲办公减压指尖陀螺玩具圆珠笔办公学校用</v>
      </c>
      <c r="E1028" s="1" t="str">
        <f>IFERROR(__xludf.DUMMYFUNCTION("CONCATENATE(GOOGLETRANSLATE(C1028, ""en"", ""ko""))"),"1Pcs 볼펜 누르면 디자인 펜 캐주얼 사무실 감압 손가락 끝 자이로 장난감 볼펜 사무실 학교")</f>
        <v>1Pcs 볼펜 누르면 디자인 펜 캐주얼 사무실 감압 손가락 끝 자이로 장난감 볼펜 사무실 학교</v>
      </c>
      <c r="F1028" s="1" t="str">
        <f>IFERROR(__xludf.DUMMYFUNCTION("CONCATENATE(GOOGLETRANSLATE(C1028, ""en"", ""ja""))"),"1 個ボールペンプレスデザインペンカジュアルオフィス減圧指先ジャイロおもちゃボールペンオフィススクール")</f>
        <v>1 個ボールペンプレスデザインペンカジュアルオフィス減圧指先ジャイロおもちゃボールペンオフィススクール</v>
      </c>
    </row>
    <row r="1029" ht="15.75" customHeight="1">
      <c r="A1029" s="1">
        <v>2502.0</v>
      </c>
      <c r="B1029" s="1" t="s">
        <v>381</v>
      </c>
      <c r="C1029" s="1" t="s">
        <v>1011</v>
      </c>
      <c r="D1029" s="1" t="str">
        <f>IFERROR(__xludf.DUMMYFUNCTION("CONCATENATE(GOOGLETRANSLATE(C1029, ""en"", ""zh-cn""))"),"SIMAX3D® 黑色/白色塑料 CNC Openbuilds 轮，带轴承惰轮齿轮 Perlin 轮，适用于 3D 打印机")</f>
        <v>SIMAX3D® 黑色/白色塑料 CNC Openbuilds 轮，带轴承惰轮齿轮 Perlin 轮，适用于 3D 打印机</v>
      </c>
      <c r="E1029" s="1" t="str">
        <f>IFERROR(__xludf.DUMMYFUNCTION("CONCATENATE(GOOGLETRANSLATE(C1029, ""en"", ""ko""))"),"SIMAX3D® 검정색/흰색 플라스틱 CNC Openbuilds 휠(베어링 포함) 아이들러 풀리 기어 3D 프린터용 Perlin 휠")</f>
        <v>SIMAX3D® 검정색/흰색 플라스틱 CNC Openbuilds 휠(베어링 포함) 아이들러 풀리 기어 3D 프린터용 Perlin 휠</v>
      </c>
      <c r="F1029" s="1" t="str">
        <f>IFERROR(__xludf.DUMMYFUNCTION("CONCATENATE(GOOGLETRANSLATE(C1029, ""en"", ""ja""))"),"SIMAX3D® ブラック/ホワイト プラスチック CNC Openbuilds ホイール ベアリング アイドラー プーリー ギア パーリン ホイール付き 3D プリンター用")</f>
        <v>SIMAX3D® ブラック/ホワイト プラスチック CNC Openbuilds ホイール ベアリング アイドラー プーリー ギア パーリン ホイール付き 3D プリンター用</v>
      </c>
    </row>
    <row r="1030" ht="15.75" customHeight="1">
      <c r="A1030" s="1">
        <v>2503.0</v>
      </c>
      <c r="B1030" s="1" t="s">
        <v>381</v>
      </c>
      <c r="C1030" s="1" t="s">
        <v>1012</v>
      </c>
      <c r="D1030" s="1" t="str">
        <f>IFERROR(__xludf.DUMMYFUNCTION("CONCATENATE(GOOGLETRANSLATE(C1030, ""en"", ""zh-cn""))"),"20cm显卡8针母头转2*8P(6+2)针延长电源线公头")</f>
        <v>20cm显卡8针母头转2*8P(6+2)针延长电源线公头</v>
      </c>
      <c r="E1030" s="1" t="str">
        <f>IFERROR(__xludf.DUMMYFUNCTION("CONCATENATE(GOOGLETRANSLATE(C1030, ""en"", ""ko""))"),"20cm 그래픽 카드 8핀 암 - 2*8P(6+2)핀 연장 전원 케이블 수")</f>
        <v>20cm 그래픽 카드 8핀 암 - 2*8P(6+2)핀 연장 전원 케이블 수</v>
      </c>
      <c r="F1030" s="1" t="str">
        <f>IFERROR(__xludf.DUMMYFUNCTION("CONCATENATE(GOOGLETRANSLATE(C1030, ""en"", ""ja""))"),"20cm グラフィックス カード 8 ピン メス - 2*8P(6+2) ピン延長電源ケーブル オス")</f>
        <v>20cm グラフィックス カード 8 ピン メス - 2*8P(6+2) ピン延長電源ケーブル オス</v>
      </c>
    </row>
    <row r="1031" ht="15.75" customHeight="1">
      <c r="A1031" s="1">
        <v>2504.0</v>
      </c>
      <c r="B1031" s="1" t="s">
        <v>381</v>
      </c>
      <c r="C1031" s="1" t="s">
        <v>1013</v>
      </c>
      <c r="D1031" s="1" t="str">
        <f>IFERROR(__xludf.DUMMYFUNCTION("CONCATENATE(GOOGLETRANSLATE(C1031, ""en"", ""zh-cn""))"),"多功能画板夹手动卷笔刀元素描绘艺术磨铅笔神器")</f>
        <v>多功能画板夹手动卷笔刀元素描绘艺术磨铅笔神器</v>
      </c>
      <c r="E1031" s="1" t="str">
        <f>IFERROR(__xludf.DUMMYFUNCTION("CONCATENATE(GOOGLETRANSLATE(C1031, ""en"", ""ko""))"),"다기능 드로잉 보드 클립 수동 연필 깎이 요소 묘사 예술 연삭 연필 유물")</f>
        <v>다기능 드로잉 보드 클립 수동 연필 깎이 요소 묘사 예술 연삭 연필 유물</v>
      </c>
      <c r="F1031" s="1" t="str">
        <f>IFERROR(__xludf.DUMMYFUNCTION("CONCATENATE(GOOGLETRANSLATE(C1031, ""en"", ""ja""))"),"多機能製図板クリップ手動鉛筆削り要素を描いたアート研削鉛筆アーティファクト")</f>
        <v>多機能製図板クリップ手動鉛筆削り要素を描いたアート研削鉛筆アーティファクト</v>
      </c>
    </row>
    <row r="1032" ht="15.75" customHeight="1">
      <c r="A1032" s="1">
        <v>2505.0</v>
      </c>
      <c r="B1032" s="1" t="s">
        <v>381</v>
      </c>
      <c r="C1032" s="1" t="s">
        <v>1014</v>
      </c>
      <c r="D1032" s="1" t="str">
        <f>IFERROR(__xludf.DUMMYFUNCTION("CONCATENATE(GOOGLETRANSLATE(C1032, ""en"", ""zh-cn""))"),"六角钻石尺子三角尺子透明绗缝缝纫拼布工艺刻度尺子DIY手工裁缝家用缝纫工具")</f>
        <v>六角钻石尺子三角尺子透明绗缝缝纫拼布工艺刻度尺子DIY手工裁缝家用缝纫工具</v>
      </c>
      <c r="E1032" s="1" t="str">
        <f>IFERROR(__xludf.DUMMYFUNCTION("CONCATENATE(GOOGLETRANSLATE(C1032, ""en"", ""ko""))"),"육각형 다이아몬드 눈금자 삼각형 눈금자 투명 퀼트 봉제 패치 워크 공예 규모 눈금자 DIY 수제 재단사 홈 봉제 도구")</f>
        <v>육각형 다이아몬드 눈금자 삼각형 눈금자 투명 퀼트 봉제 패치 워크 공예 규모 눈금자 DIY 수제 재단사 홈 봉제 도구</v>
      </c>
      <c r="F1032" s="1" t="str">
        <f>IFERROR(__xludf.DUMMYFUNCTION("CONCATENATE(GOOGLETRANSLATE(C1032, ""en"", ""ja""))"),"六角ダイヤモンド定規三角定規透明キルティング縫製パッチワーククラフトスケール定規 DIY 手作りテーラーホーム縫製ツール")</f>
        <v>六角ダイヤモンド定規三角定規透明キルティング縫製パッチワーククラフトスケール定規 DIY 手作りテーラーホーム縫製ツール</v>
      </c>
    </row>
    <row r="1033" ht="15.75" customHeight="1">
      <c r="A1033" s="1">
        <v>2506.0</v>
      </c>
      <c r="B1033" s="1" t="s">
        <v>381</v>
      </c>
      <c r="C1033" s="1" t="s">
        <v>1015</v>
      </c>
      <c r="D1033" s="1" t="str">
        <f>IFERROR(__xludf.DUMMYFUNCTION("CONCATENATE(GOOGLETRANSLATE(C1033, ""en"", ""zh-cn""))"),"得力 5354 1 件票据文件夹财务票据收集器 A5 纸质文件文件夹 PP 材质小文件夹办公学校用品")</f>
        <v>得力 5354 1 件票据文件夹财务票据收集器 A5 纸质文件文件夹 PP 材质小文件夹办公学校用品</v>
      </c>
      <c r="E1033" s="1" t="str">
        <f>IFERROR(__xludf.DUMMYFUNCTION("CONCATENATE(GOOGLETRANSLATE(C1033, ""en"", ""ko""))"),"델리 5354 1PCS 빌 파일 폴더 금융 빌 수집기 A5 종이 문서 폴더 PP 소재 작은 파일 폴더 사무실 학교 용품")</f>
        <v>델리 5354 1PCS 빌 파일 폴더 금융 빌 수집기 A5 종이 문서 폴더 PP 소재 작은 파일 폴더 사무실 학교 용품</v>
      </c>
      <c r="F1033" s="1" t="str">
        <f>IFERROR(__xludf.DUMMYFUNCTION("CONCATENATE(GOOGLETRANSLATE(C1033, ""en"", ""ja""))"),"デリ 5354 1 個請求書ファイルフォルダー財務請求書コレクター A5 紙ドキュメントフォルダー PP 素材小さなファイルフォルダーオフィス学用品")</f>
        <v>デリ 5354 1 個請求書ファイルフォルダー財務請求書コレクター A5 紙ドキュメントフォルダー PP 素材小さなファイルフォルダーオフィス学用品</v>
      </c>
    </row>
    <row r="1034" ht="15.75" customHeight="1">
      <c r="A1034" s="1">
        <v>2507.0</v>
      </c>
      <c r="B1034" s="1" t="s">
        <v>381</v>
      </c>
      <c r="C1034" s="1" t="s">
        <v>1016</v>
      </c>
      <c r="D1034" s="1" t="str">
        <f>IFERROR(__xludf.DUMMYFUNCTION("CONCATENATE(GOOGLETRANSLATE(C1034, ""en"", ""zh-cn""))"),"7寸英制三角尺17CM 30CM公制三角尺角度量角器金属测速直尺测量尺公制英制尺子木工测量工具")</f>
        <v>7寸英制三角尺17CM 30CM公制三角尺角度量角器金属测速直尺测量尺公制英制尺子木工测量工具</v>
      </c>
      <c r="E1034" s="1" t="str">
        <f>IFERROR(__xludf.DUMMYFUNCTION("CONCATENATE(GOOGLETRANSLATE(C1034, ""en"", ""ko""))"),"7 인치 영어 삼각형 눈금자 17CM 30CM 미터법 삼각형 눈금자 각도 각도기 금속 속도 사각형 측정 눈금자 미터법 영어 눈금자 목수 측정 도구")</f>
        <v>7 인치 영어 삼각형 눈금자 17CM 30CM 미터법 삼각형 눈금자 각도 각도기 금속 속도 사각형 측정 눈금자 미터법 영어 눈금자 목수 측정 도구</v>
      </c>
      <c r="F1034" s="1" t="str">
        <f>IFERROR(__xludf.DUMMYFUNCTION("CONCATENATE(GOOGLETRANSLATE(C1034, ""en"", ""ja""))"),"7 インチ英語三角定規 17 センチメートル 30 センチメートルメトリック三角定規角度分度器金属スピード直角測定定規メトリック英語定規大工測定ツール")</f>
        <v>7 インチ英語三角定規 17 センチメートル 30 センチメートルメトリック三角定規角度分度器金属スピード直角測定定規メトリック英語定規大工測定ツール</v>
      </c>
    </row>
    <row r="1035" ht="15.75" customHeight="1">
      <c r="A1035" s="1">
        <v>2508.0</v>
      </c>
      <c r="B1035" s="1" t="s">
        <v>381</v>
      </c>
      <c r="C1035" s="1" t="s">
        <v>1017</v>
      </c>
      <c r="D1035" s="1" t="str">
        <f>IFERROR(__xludf.DUMMYFUNCTION("CONCATENATE(GOOGLETRANSLATE(C1035, ""en"", ""zh-cn""))"),"公制加厚不锈钢塑料架尺便携式 30m/50m 手摇曲柄钢架尺钢数字卷尺")</f>
        <v>公制加厚不锈钢塑料架尺便携式 30m/50m 手摇曲柄钢架尺钢数字卷尺</v>
      </c>
      <c r="E1035" s="1" t="str">
        <f>IFERROR(__xludf.DUMMYFUNCTION("CONCATENATE(GOOGLETRANSLATE(C1035, ""en"", ""ko""))"),"미터법 두꺼운 스테인레스 스틸 플라스틱 선반 눈금자 휴대용 30m/50m 핸드 크랭크 강철 프레임 눈금자 강철 디지털 줄자")</f>
        <v>미터법 두꺼운 스테인레스 스틸 플라스틱 선반 눈금자 휴대용 30m/50m 핸드 크랭크 강철 프레임 눈금자 강철 디지털 줄자</v>
      </c>
      <c r="F1035" s="1" t="str">
        <f>IFERROR(__xludf.DUMMYFUNCTION("CONCATENATE(GOOGLETRANSLATE(C1035, ""en"", ""ja""))"),"メトリック厚いステンレス鋼プラスチック棚定規ポータブル 30 メートル/50 メートルハンドクランク鋼フレーム定規鋼デジタル巻尺")</f>
        <v>メトリック厚いステンレス鋼プラスチック棚定規ポータブル 30 メートル/50 メートルハンドクランク鋼フレーム定規鋼デジタル巻尺</v>
      </c>
    </row>
    <row r="1036" ht="15.75" customHeight="1">
      <c r="A1036" s="1">
        <v>2509.0</v>
      </c>
      <c r="B1036" s="1" t="s">
        <v>381</v>
      </c>
      <c r="C1036" s="1" t="s">
        <v>1018</v>
      </c>
      <c r="D1036" s="1" t="str">
        <f>IFERROR(__xludf.DUMMYFUNCTION("CONCATENATE(GOOGLETRANSLATE(C1036, ""en"", ""zh-cn""))"),"H&amp;B HB-WB2 20色画笔彩色软头漫画手绘笔钢笔套装")</f>
        <v>H&amp;B HB-WB2 20色画笔彩色软头漫画手绘笔钢笔套装</v>
      </c>
      <c r="E1036" s="1" t="str">
        <f>IFERROR(__xludf.DUMMYFUNCTION("CONCATENATE(GOOGLETRANSLATE(C1036, ""en"", ""ko""))"),"H&amp;B HB-WB2 20 색 페인팅 브러쉬 컬러 소프트 헤드 만화 손으로 그린 ​​펜 만년필 세트")</f>
        <v>H&amp;B HB-WB2 20 색 페인팅 브러쉬 컬러 소프트 헤드 만화 손으로 그린 ​​펜 만년필 세트</v>
      </c>
      <c r="F1036" s="1" t="str">
        <f>IFERROR(__xludf.DUMMYFUNCTION("CONCATENATE(GOOGLETRANSLATE(C1036, ""en"", ""ja""))"),"H&amp;B HB-WB2 20色ペイントブラシカラーソフトヘッドコミック手描きペン万年筆セット")</f>
        <v>H&amp;B HB-WB2 20色ペイントブラシカラーソフトヘッドコミック手描きペン万年筆セット</v>
      </c>
    </row>
    <row r="1037" ht="15.75" customHeight="1">
      <c r="A1037" s="1">
        <v>2510.0</v>
      </c>
      <c r="B1037" s="1" t="s">
        <v>381</v>
      </c>
      <c r="C1037" s="1" t="s">
        <v>1019</v>
      </c>
      <c r="D1037" s="1" t="str">
        <f>IFERROR(__xludf.DUMMYFUNCTION("CONCATENATE(GOOGLETRANSLATE(C1037, ""en"", ""zh-cn""))"),"皮革商务信用 ID 名片夹格子图案金属框架盒卡盒办公用品")</f>
        <v>皮革商务信用 ID 名片夹格子图案金属框架盒卡盒办公用品</v>
      </c>
      <c r="E1037" s="1" t="str">
        <f>IFERROR(__xludf.DUMMYFUNCTION("CONCATENATE(GOOGLETRANSLATE(C1037, ""en"", ""ko""))"),"가죽 비즈니스 신용 ID 이름 카드 소지자 격자 무늬 패턴 금속 프레임 케이스 카드 상자 사무용품")</f>
        <v>가죽 비즈니스 신용 ID 이름 카드 소지자 격자 무늬 패턴 금속 프레임 케이스 카드 상자 사무용품</v>
      </c>
      <c r="F1037" s="1" t="str">
        <f>IFERROR(__xludf.DUMMYFUNCTION("CONCATENATE(GOOGLETRANSLATE(C1037, ""en"", ""ja""))"),"革ビジネスクレジット ID ネームカードホルダーチェック柄金属フレームケースカードボックス事務用品")</f>
        <v>革ビジネスクレジット ID ネームカードホルダーチェック柄金属フレームケースカードボックス事務用品</v>
      </c>
    </row>
    <row r="1038" ht="15.75" customHeight="1">
      <c r="A1038" s="1">
        <v>2511.0</v>
      </c>
      <c r="B1038" s="1" t="s">
        <v>381</v>
      </c>
      <c r="C1038" s="1" t="s">
        <v>1020</v>
      </c>
      <c r="D1038" s="1" t="str">
        <f>IFERROR(__xludf.DUMMYFUNCTION("CONCATENATE(GOOGLETRANSLATE(C1038, ""en"", ""zh-cn""))"),"幼儿园儿童素描便携式固体水彩颜料套装")</f>
        <v>幼儿园儿童素描便携式固体水彩颜料套装</v>
      </c>
      <c r="E1038" s="1" t="str">
        <f>IFERROR(__xludf.DUMMYFUNCTION("CONCATENATE(GOOGLETRANSLATE(C1038, ""en"", ""ko""))"),"유치원에 있는 아이들의 스케치를 위한 휴대용 고체 수채화 물감 세트")</f>
        <v>유치원에 있는 아이들의 스케치를 위한 휴대용 고체 수채화 물감 세트</v>
      </c>
      <c r="F1038" s="1" t="str">
        <f>IFERROR(__xludf.DUMMYFUNCTION("CONCATENATE(GOOGLETRANSLATE(C1038, ""en"", ""ja""))"),"幼稚園の子供のスケッチのためのポータブル固形水彩絵の具セット")</f>
        <v>幼稚園の子供のスケッチのためのポータブル固形水彩絵の具セット</v>
      </c>
    </row>
    <row r="1039" ht="15.75" customHeight="1">
      <c r="A1039" s="1">
        <v>2512.0</v>
      </c>
      <c r="B1039" s="1" t="s">
        <v>381</v>
      </c>
      <c r="C1039" s="1" t="s">
        <v>1021</v>
      </c>
      <c r="D1039" s="1" t="str">
        <f>IFERROR(__xludf.DUMMYFUNCTION("CONCATENATE(GOOGLETRANSLATE(C1039, ""en"", ""zh-cn""))"),"BIANYO BN-8024 24/36格保湿水彩绘画调色板专业无毒塑料调色板绘画美术文具用品")</f>
        <v>BIANYO BN-8024 24/36格保湿水彩绘画调色板专业无毒塑料调色板绘画美术文具用品</v>
      </c>
      <c r="E1039" s="1" t="str">
        <f>IFERROR(__xludf.DUMMYFUNCTION("CONCATENATE(GOOGLETRANSLATE(C1039, ""en"", ""ko""))"),"BIANYO BN-8024 24/36 그리드 모이스춰 라이징 수채화 물감 팔레트 전문 무독성 플라스틱 팔레트 페인팅 미술 문구 용품")</f>
        <v>BIANYO BN-8024 24/36 그리드 모이스춰 라이징 수채화 물감 팔레트 전문 무독성 플라스틱 팔레트 페인팅 미술 문구 용품</v>
      </c>
      <c r="F1039" s="1" t="str">
        <f>IFERROR(__xludf.DUMMYFUNCTION("CONCATENATE(GOOGLETRANSLATE(C1039, ""en"", ""ja""))"),"BIANYO BN-8024 24/36 グリッド保湿水彩画パレットプロフェッショナル非毒性プラスチックパレット絵画アート文具用品")</f>
        <v>BIANYO BN-8024 24/36 グリッド保湿水彩画パレットプロフェッショナル非毒性プラスチックパレット絵画アート文具用品</v>
      </c>
    </row>
    <row r="1040" ht="15.75" customHeight="1">
      <c r="A1040" s="1">
        <v>2513.0</v>
      </c>
      <c r="B1040" s="1" t="s">
        <v>381</v>
      </c>
      <c r="C1040" s="1" t="s">
        <v>1022</v>
      </c>
      <c r="D1040" s="1" t="str">
        <f>IFERROR(__xludf.DUMMYFUNCTION("CONCATENATE(GOOGLETRANSLATE(C1040, ""en"", ""zh-cn""))"),"MK52 热床铁板 253.8*241mm 带 2 块 3D 打印机用 PEI 粘合剂")</f>
        <v>MK52 热床铁板 253.8*241mm 带 2 块 3D 打印机用 PEI 粘合剂</v>
      </c>
      <c r="E1040" s="1" t="str">
        <f>IFERROR(__xludf.DUMMYFUNCTION("CONCATENATE(GOOGLETRANSLATE(C1040, ""en"", ""ko""))"),"MK52 핫 베드 철판 253.8*241mm, 3D 프린터용 접착 PEI 2개 포함")</f>
        <v>MK52 핫 베드 철판 253.8*241mm, 3D 프린터용 접착 PEI 2개 포함</v>
      </c>
      <c r="F1040" s="1" t="str">
        <f>IFERROR(__xludf.DUMMYFUNCTION("CONCATENATE(GOOGLETRANSLATE(C1040, ""en"", ""ja""))"),"MK52 ホットベッド鉄板 253.8*241mm 2 個接着剤 PEI 付き 3D プリンタ用")</f>
        <v>MK52 ホットベッド鉄板 253.8*241mm 2 個接着剤 PEI 付き 3D プリンタ用</v>
      </c>
    </row>
    <row r="1041" ht="15.75" customHeight="1">
      <c r="A1041" s="1">
        <v>2514.0</v>
      </c>
      <c r="B1041" s="1" t="s">
        <v>381</v>
      </c>
      <c r="C1041" s="1" t="s">
        <v>1023</v>
      </c>
      <c r="D1041" s="1" t="str">
        <f>IFERROR(__xludf.DUMMYFUNCTION("CONCATENATE(GOOGLETRANSLATE(C1041, ""en"", ""zh-cn""))"),"Puny Tap 笔彩铅伴侣尼龙毛发存储绘画刷 6 件套装")</f>
        <v>Puny Tap 笔彩铅伴侣尼龙毛发存储绘画刷 6 件套装</v>
      </c>
      <c r="E1041" s="1" t="str">
        <f>IFERROR(__xludf.DUMMYFUNCTION("CONCATENATE(GOOGLETRANSLATE(C1041, ""en"", ""ko""))"),"작은 수돗물 컬러 리드 동반자 나일론 헤어 스토리지 페인트 브러시 6 슈트")</f>
        <v>작은 수돗물 컬러 리드 동반자 나일론 헤어 스토리지 페인트 브러시 6 슈트</v>
      </c>
      <c r="F1041" s="1" t="str">
        <f>IFERROR(__xludf.DUMMYFUNCTION("CONCATENATE(GOOGLETRANSLATE(C1041, ""en"", ""ja""))"),"プニータップペン カラーリードコンパニオン ナイロンヘアストレージ ペイントブラシ 6 スーツ")</f>
        <v>プニータップペン カラーリードコンパニオン ナイロンヘアストレージ ペイントブラシ 6 スーツ</v>
      </c>
    </row>
    <row r="1042" ht="15.75" customHeight="1">
      <c r="A1042" s="1">
        <v>2515.0</v>
      </c>
      <c r="B1042" s="1" t="s">
        <v>381</v>
      </c>
      <c r="C1042" s="1" t="s">
        <v>1024</v>
      </c>
      <c r="D1042" s="1" t="str">
        <f>IFERROR(__xludf.DUMMYFUNCTION("CONCATENATE(GOOGLETRANSLATE(C1042, ""en"", ""zh-cn""))"),"2019 新款黑色 PU 皮革和不锈钢商务名片盒办公用品")</f>
        <v>2019 新款黑色 PU 皮革和不锈钢商务名片盒办公用品</v>
      </c>
      <c r="E1042" s="1" t="str">
        <f>IFERROR(__xludf.DUMMYFUNCTION("CONCATENATE(GOOGLETRANSLATE(C1042, ""en"", ""ko""))"),"사무용품을 위한 2019 새로운 까만 PU 가죽 &amp; 스테인리스 기업 이름 카드 상자 홀더")</f>
        <v>사무용품을 위한 2019 새로운 까만 PU 가죽 &amp; 스테인리스 기업 이름 카드 상자 홀더</v>
      </c>
      <c r="F1042" s="1" t="str">
        <f>IFERROR(__xludf.DUMMYFUNCTION("CONCATENATE(GOOGLETRANSLATE(C1042, ""en"", ""ja""))"),"2019 新ブラック PU レザー &amp; ステンレス鋼ビジネス名刺ケースホルダー事務用品")</f>
        <v>2019 新ブラック PU レザー &amp; ステンレス鋼ビジネス名刺ケースホルダー事務用品</v>
      </c>
    </row>
    <row r="1043" ht="15.75" customHeight="1">
      <c r="A1043" s="1">
        <v>2516.0</v>
      </c>
      <c r="B1043" s="1" t="s">
        <v>381</v>
      </c>
      <c r="C1043" s="1" t="s">
        <v>1025</v>
      </c>
      <c r="D1043" s="1" t="str">
        <f>IFERROR(__xludf.DUMMYFUNCTION("CONCATENATE(GOOGLETRANSLATE(C1043, ""en"", ""zh-cn""))"),"便携式木制折叠尺1M/2M多功能绘画绘图测量仪模型模板尺木工测量工具")</f>
        <v>便携式木制折叠尺1M/2M多功能绘画绘图测量仪模型模板尺木工测量工具</v>
      </c>
      <c r="E1043" s="1" t="str">
        <f>IFERROR(__xludf.DUMMYFUNCTION("CONCATENATE(GOOGLETRANSLATE(C1043, ""en"", ""ko""))"),"휴대용 나무 접는 눈금자 1M/2M 다기능 그림 그리기 측정 도구 모델 템플릿 눈금자 목수 측정 도구")</f>
        <v>휴대용 나무 접는 눈금자 1M/2M 다기능 그림 그리기 측정 도구 모델 템플릿 눈금자 목수 측정 도구</v>
      </c>
      <c r="F1043" s="1" t="str">
        <f>IFERROR(__xludf.DUMMYFUNCTION("CONCATENATE(GOOGLETRANSLATE(C1043, ""en"", ""ja""))"),"ポータブル木製折りたたみ定規 1 メートル/2 メートル多機能絵画描画測定器モデルテンプレート定規大工測定ツール")</f>
        <v>ポータブル木製折りたたみ定規 1 メートル/2 メートル多機能絵画描画測定器モデルテンプレート定規大工測定ツール</v>
      </c>
    </row>
    <row r="1044" ht="15.75" customHeight="1">
      <c r="A1044" s="1">
        <v>2517.0</v>
      </c>
      <c r="B1044" s="1" t="s">
        <v>381</v>
      </c>
      <c r="C1044" s="1" t="s">
        <v>1026</v>
      </c>
      <c r="D1044" s="1" t="str">
        <f>IFERROR(__xludf.DUMMYFUNCTION("CONCATENATE(GOOGLETRANSLATE(C1044, ""en"", ""zh-cn""))"),"14003 3N圆管圆筒弹簧测功机弹簧秤3N特殊规格教学仪器")</f>
        <v>14003 3N圆管圆筒弹簧测功机弹簧秤3N特殊规格教学仪器</v>
      </c>
      <c r="E1044" s="1" t="str">
        <f>IFERROR(__xludf.DUMMYFUNCTION("CONCATENATE(GOOGLETRANSLATE(C1044, ""en"", ""ko""))"),"14003 3N 원형 튜브 실린더 스프링 동력계 스프링 밸런스 3N 특수 사양 교육 장비")</f>
        <v>14003 3N 원형 튜브 실린더 스프링 동력계 스프링 밸런스 3N 특수 사양 교육 장비</v>
      </c>
      <c r="F1044" s="1" t="str">
        <f>IFERROR(__xludf.DUMMYFUNCTION("CONCATENATE(GOOGLETRANSLATE(C1044, ""en"", ""ja""))"),"14003 3N 丸管シリンダースプリングダイナモメータースプリングバランス 3N 特別仕様教育機器")</f>
        <v>14003 3N 丸管シリンダースプリングダイナモメータースプリングバランス 3N 特別仕様教育機器</v>
      </c>
    </row>
    <row r="1045" ht="15.75" customHeight="1">
      <c r="A1045" s="1">
        <v>2518.0</v>
      </c>
      <c r="B1045" s="1" t="s">
        <v>381</v>
      </c>
      <c r="C1045" s="1" t="s">
        <v>1027</v>
      </c>
      <c r="D1045" s="1" t="str">
        <f>IFERROR(__xludf.DUMMYFUNCTION("CONCATENATE(GOOGLETRANSLATE(C1045, ""en"", ""zh-cn""))"),"汇胜HS872方形订书机标准订书机办公学习用品中型装订机")</f>
        <v>汇胜HS872方形订书机标准订书机办公学习用品中型装订机</v>
      </c>
      <c r="E1045" s="1" t="str">
        <f>IFERROR(__xludf.DUMMYFUNCTION("CONCATENATE(GOOGLETRANSLATE(C1045, ""en"", ""ko""))"),"Huisheng HS872 정사각형 스테이플러 표준 스테이플러 사무실 및 학교 용품 중간 바인딩 기계")</f>
        <v>Huisheng HS872 정사각형 스테이플러 표준 스테이플러 사무실 및 학교 용품 중간 바인딩 기계</v>
      </c>
      <c r="F1045" s="1" t="str">
        <f>IFERROR(__xludf.DUMMYFUNCTION("CONCATENATE(GOOGLETRANSLATE(C1045, ""en"", ""ja""))"),"Huisheng HS872 スクエアホッチキス標準ホッチキスオフィスおよび学用品中綴じ機")</f>
        <v>Huisheng HS872 スクエアホッチキス標準ホッチキスオフィスおよび学用品中綴じ機</v>
      </c>
    </row>
    <row r="1046" ht="15.75" customHeight="1">
      <c r="A1046" s="1">
        <v>2519.0</v>
      </c>
      <c r="B1046" s="1" t="s">
        <v>381</v>
      </c>
      <c r="C1046" s="1" t="s">
        <v>1028</v>
      </c>
      <c r="D1046" s="1" t="str">
        <f>IFERROR(__xludf.DUMMYFUNCTION("CONCATENATE(GOOGLETRANSLATE(C1046, ""en"", ""zh-cn""))"),"KEPU J21030 50cm木杆直尺直尺物理力学实验器材天平测量工具学校教学仪器")</f>
        <v>KEPU J21030 50cm木杆直尺直尺物理力学实验器材天平测量工具学校教学仪器</v>
      </c>
      <c r="E1046" s="1" t="str">
        <f>IFERROR(__xludf.DUMMYFUNCTION("CONCATENATE(GOOGLETRANSLATE(C1046, ""en"", ""ko""))"),"KEPU J21030 50cm 나무 레버 눈금자 직선 눈금자 물리 역학 실험 장비 균형 측정 도구 학교 교육 도구")</f>
        <v>KEPU J21030 50cm 나무 레버 눈금자 직선 눈금자 물리 역학 실험 장비 균형 측정 도구 학교 교육 도구</v>
      </c>
      <c r="F1046" s="1" t="str">
        <f>IFERROR(__xludf.DUMMYFUNCTION("CONCATENATE(GOOGLETRANSLATE(C1046, ""en"", ""ja""))"),"KEPU J21030 50 センチメートル木製レバー定規ストレート定規物理力学実験装置バランス測定ツール学校教材")</f>
        <v>KEPU J21030 50 センチメートル木製レバー定規ストレート定規物理力学実験装置バランス測定ツール学校教材</v>
      </c>
    </row>
    <row r="1047" ht="15.75" customHeight="1">
      <c r="A1047" s="1">
        <v>2520.0</v>
      </c>
      <c r="B1047" s="1" t="s">
        <v>381</v>
      </c>
      <c r="C1047" s="1" t="s">
        <v>1029</v>
      </c>
      <c r="D1047" s="1" t="str">
        <f>IFERROR(__xludf.DUMMYFUNCTION("CONCATENATE(GOOGLETRANSLATE(C1047, ""en"", ""zh-cn""))"),"1 件 10N 棒盒弹簧测力计测力计天平物理实验学校教学仪器")</f>
        <v>1 件 10N 棒盒弹簧测力计测力计天平物理实验学校教学仪器</v>
      </c>
      <c r="E1047" s="1" t="str">
        <f>IFERROR(__xludf.DUMMYFUNCTION("CONCATENATE(GOOGLETRANSLATE(C1047, ""en"", ""ko""))"),"1 Pcs 10N 바 박스 스프링 동력계 미터 포스 게이지 밸런스 물리학 실험 학교 교육 도구")</f>
        <v>1 Pcs 10N 바 박스 스프링 동력계 미터 포스 게이지 밸런스 물리학 실험 학교 교육 도구</v>
      </c>
      <c r="F1047" s="1" t="str">
        <f>IFERROR(__xludf.DUMMYFUNCTION("CONCATENATE(GOOGLETRANSLATE(C1047, ""en"", ""ja""))"),"1 個 10N バーボックススプリングダイナモメーターメーターフォースゲージバランス物理実験学校教材")</f>
        <v>1 個 10N バーボックススプリングダイナモメーターメーターフォースゲージバランス物理実験学校教材</v>
      </c>
    </row>
    <row r="1048" ht="15.75" customHeight="1">
      <c r="A1048" s="1">
        <v>2521.0</v>
      </c>
      <c r="B1048" s="1" t="s">
        <v>381</v>
      </c>
      <c r="C1048" s="1" t="s">
        <v>1030</v>
      </c>
      <c r="D1048" s="1" t="str">
        <f>IFERROR(__xludf.DUMMYFUNCTION("CONCATENATE(GOOGLETRANSLATE(C1048, ""en"", ""zh-cn""))"),"1 件 5N 棒盒弹簧测力计测力计天平物理实验学校教学仪器")</f>
        <v>1 件 5N 棒盒弹簧测力计测力计天平物理实验学校教学仪器</v>
      </c>
      <c r="E1048" s="1" t="str">
        <f>IFERROR(__xludf.DUMMYFUNCTION("CONCATENATE(GOOGLETRANSLATE(C1048, ""en"", ""ko""))"),"1 Pcs 5N 바 박스 스프링 동력계 미터 포스 게이지 밸런스 물리학 실험 학교 교육 도구")</f>
        <v>1 Pcs 5N 바 박스 스프링 동력계 미터 포스 게이지 밸런스 물리학 실험 학교 교육 도구</v>
      </c>
      <c r="F1048" s="1" t="str">
        <f>IFERROR(__xludf.DUMMYFUNCTION("CONCATENATE(GOOGLETRANSLATE(C1048, ""en"", ""ja""))"),"1 個 5N バーボックススプリングダイナモメーターメーターフォースゲージバランス物理実験学校教材")</f>
        <v>1 個 5N バーボックススプリングダイナモメーターメーターフォースゲージバランス物理実験学校教材</v>
      </c>
    </row>
    <row r="1049" ht="15.75" customHeight="1">
      <c r="A1049" s="1">
        <v>2522.0</v>
      </c>
      <c r="B1049" s="1" t="s">
        <v>381</v>
      </c>
      <c r="C1049" s="1" t="s">
        <v>1031</v>
      </c>
      <c r="D1049" s="1" t="str">
        <f>IFERROR(__xludf.DUMMYFUNCTION("CONCATENATE(GOOGLETRANSLATE(C1049, ""en"", ""zh-cn""))"),"A1 艺术切割雕刻板 皮革打孔版套装")</f>
        <v>A1 艺术切割雕刻板 皮革打孔版套装</v>
      </c>
      <c r="E1049" s="1" t="str">
        <f>IFERROR(__xludf.DUMMYFUNCTION("CONCATENATE(GOOGLETRANSLATE(C1049, ""en"", ""ko""))"),"A1 아트 커팅 보드 커팅 및 조각 보드 가죽 펀칭 버전 세트")</f>
        <v>A1 아트 커팅 보드 커팅 및 조각 보드 가죽 펀칭 버전 세트</v>
      </c>
      <c r="F1049" s="1" t="str">
        <f>IFERROR(__xludf.DUMMYFUNCTION("CONCATENATE(GOOGLETRANSLATE(C1049, ""en"", ""ja""))"),"A1 アートカッティングボードと彫刻ボードレザーパンチングバージョンセット")</f>
        <v>A1 アートカッティングボードと彫刻ボードレザーパンチングバージョンセット</v>
      </c>
    </row>
    <row r="1050" ht="15.75" customHeight="1">
      <c r="A1050" s="1">
        <v>2523.0</v>
      </c>
      <c r="B1050" s="1" t="s">
        <v>381</v>
      </c>
      <c r="C1050" s="1" t="s">
        <v>1032</v>
      </c>
      <c r="D1050" s="1" t="str">
        <f>IFERROR(__xludf.DUMMYFUNCTION("CONCATENATE(GOOGLETRANSLATE(C1050, ""en"", ""zh-cn""))"),"FLSUN® 4PCS 8x15x24mm LM8UU 3D 打印机直线滚珠轴承")</f>
        <v>FLSUN® 4PCS 8x15x24mm LM8UU 3D 打印机直线滚珠轴承</v>
      </c>
      <c r="E1050" s="1" t="str">
        <f>IFERROR(__xludf.DUMMYFUNCTION("CONCATENATE(GOOGLETRANSLATE(C1050, ""en"", ""ko""))"),"3D 프린터용 FLSUN® 4PCS 8x15x24mm LM8UU 선형 볼 베어링")</f>
        <v>3D 프린터용 FLSUN® 4PCS 8x15x24mm LM8UU 선형 볼 베어링</v>
      </c>
      <c r="F1050" s="1" t="str">
        <f>IFERROR(__xludf.DUMMYFUNCTION("CONCATENATE(GOOGLETRANSLATE(C1050, ""en"", ""ja""))"),"FLSUN® 3D プリンター用 4 個 8x15x24mm LM8UU リニア ボール ベアリング")</f>
        <v>FLSUN® 3D プリンター用 4 個 8x15x24mm LM8UU リニア ボール ベアリング</v>
      </c>
    </row>
    <row r="1051" ht="15.75" customHeight="1">
      <c r="A1051" s="1">
        <v>2524.0</v>
      </c>
      <c r="B1051" s="1" t="s">
        <v>381</v>
      </c>
      <c r="C1051" s="1" t="s">
        <v>1033</v>
      </c>
      <c r="D1051" s="1" t="str">
        <f>IFERROR(__xludf.DUMMYFUNCTION("CONCATENATE(GOOGLETRANSLATE(C1051, ""en"", ""zh-cn""))"),"A4 13 层扩展文件夹 A4 纸质塑料文件夹，带口袋按扣文件整理器套装文件夹标签适合学校办公室家庭")</f>
        <v>A4 13 层扩展文件夹 A4 纸质塑料文件夹，带口袋按扣文件整理器套装文件夹标签适合学校办公室家庭</v>
      </c>
      <c r="E1051" s="1" t="str">
        <f>IFERROR(__xludf.DUMMYFUNCTION("CONCATENATE(GOOGLETRANSLATE(C1051, ""en"", ""ko""))"),"A4 13 레이어 확장 파일 폴더 A4 종이 Placstic 파일 폴더(포켓 스냅 클로저 포함) 문서 주최자 학교 사무실 홈용 파일 폴더 라벨 설정")</f>
        <v>A4 13 레이어 확장 파일 폴더 A4 종이 Placstic 파일 폴더(포켓 스냅 클로저 포함) 문서 주최자 학교 사무실 홈용 파일 폴더 라벨 설정</v>
      </c>
      <c r="F1051" s="1" t="str">
        <f>IFERROR(__xludf.DUMMYFUNCTION("CONCATENATE(GOOGLETRANSLATE(C1051, ""en"", ""ja""))"),"A4 13 層拡張ファイルフォルダー A4 紙プラスチックファイルフォルダーポケットスナップ閉鎖ドキュメントオーガナイザーセットファイルフォルダーラベル学校オフィスホーム")</f>
        <v>A4 13 層拡張ファイルフォルダー A4 紙プラスチックファイルフォルダーポケットスナップ閉鎖ドキュメントオーガナイザーセットファイルフォルダーラベル学校オフィスホーム</v>
      </c>
    </row>
    <row r="1052" ht="15.75" customHeight="1">
      <c r="A1052" s="1">
        <v>2525.0</v>
      </c>
      <c r="B1052" s="1" t="s">
        <v>381</v>
      </c>
      <c r="C1052" s="1" t="s">
        <v>1034</v>
      </c>
      <c r="D1052" s="1" t="str">
        <f>IFERROR(__xludf.DUMMYFUNCTION("CONCATENATE(GOOGLETRANSLATE(C1052, ""en"", ""zh-cn""))"),"A4 扩展文件夹 5 层手风琴文件整理器塑料文件夹口袋按扣文件整理器套装或学校办公室家用")</f>
        <v>A4 扩展文件夹 5 层手风琴文件整理器塑料文件夹口袋按扣文件整理器套装或学校办公室家用</v>
      </c>
      <c r="E1052" s="1" t="str">
        <f>IFERROR(__xludf.DUMMYFUNCTION("CONCATENATE(GOOGLETRANSLATE(C1052, ""en"", ""ko""))"),"A4 확장 파일 폴더 5 레이어 아코디언 문서 주최자 Placstic 파일 폴더 포켓 스냅 클로저 문서 주최자 세트 또는 학교 사무실 홈")</f>
        <v>A4 확장 파일 폴더 5 레이어 아코디언 문서 주최자 Placstic 파일 폴더 포켓 스냅 클로저 문서 주최자 세트 또는 학교 사무실 홈</v>
      </c>
      <c r="F1052" s="1" t="str">
        <f>IFERROR(__xludf.DUMMYFUNCTION("CONCATENATE(GOOGLETRANSLATE(C1052, ""en"", ""ja""))"),"A4 拡張ファイルフォルダー 5 層アコーディオンドキュメントオーガナイザープラスチックファイルフォルダーポケットスナップ閉鎖ドキュメントオーガナイザーセットまたは学校オフィスホーム")</f>
        <v>A4 拡張ファイルフォルダー 5 層アコーディオンドキュメントオーガナイザープラスチックファイルフォルダーポケットスナップ閉鎖ドキュメントオーガナイザーセットまたは学校オフィスホーム</v>
      </c>
    </row>
    <row r="1053" ht="15.75" customHeight="1">
      <c r="A1053" s="1">
        <v>2526.0</v>
      </c>
      <c r="B1053" s="1" t="s">
        <v>381</v>
      </c>
      <c r="C1053" s="1" t="s">
        <v>1035</v>
      </c>
      <c r="D1053" s="1" t="str">
        <f>IFERROR(__xludf.DUMMYFUNCTION("CONCATENATE(GOOGLETRANSLATE(C1053, ""en"", ""zh-cn""))"),"20 件文件夹透明 A4/A5/B6/B5 文件整理器塑料文件袋带拉链适用于学校办公室")</f>
        <v>20 件文件夹透明 A4/A5/B6/B5 文件整理器塑料文件袋带拉链适用于学校办公室</v>
      </c>
      <c r="E1053" s="1" t="str">
        <f>IFERROR(__xludf.DUMMYFUNCTION("CONCATENATE(GOOGLETRANSLATE(C1053, ""en"", ""ko""))"),"20Pcs 파일 폴더 투명 A4/A5/B6/B5 문서 주최자 학교 사무실에 대 한 지퍼와 플라스틱 파일 포켓")</f>
        <v>20Pcs 파일 폴더 투명 A4/A5/B6/B5 문서 주최자 학교 사무실에 대 한 지퍼와 플라스틱 파일 포켓</v>
      </c>
      <c r="F1053" s="1" t="str">
        <f>IFERROR(__xludf.DUMMYFUNCTION("CONCATENATE(GOOGLETRANSLATE(C1053, ""en"", ""ja""))"),"20 個ファイルフォルダー透明 A4/A5/B6/B5 ドキュメントオーガナイザープラスチックファイルポケットジッパー付き学校オフィス用")</f>
        <v>20 個ファイルフォルダー透明 A4/A5/B6/B5 ドキュメントオーガナイザープラスチックファイルポケットジッパー付き学校オフィス用</v>
      </c>
    </row>
    <row r="1054" ht="15.75" customHeight="1">
      <c r="A1054" s="1">
        <v>2527.0</v>
      </c>
      <c r="B1054" s="1" t="s">
        <v>381</v>
      </c>
      <c r="C1054" s="1" t="s">
        <v>1036</v>
      </c>
      <c r="D1054" s="1" t="str">
        <f>IFERROR(__xludf.DUMMYFUNCTION("CONCATENATE(GOOGLETRANSLATE(C1054, ""en"", ""zh-cn""))"),"20 件装 A4 透明文件夹，带口袋按扣文件整理器塑料文件袋适用于学校办公室")</f>
        <v>20 件装 A4 透明文件夹，带口袋按扣文件整理器塑料文件袋适用于学校办公室</v>
      </c>
      <c r="E1054" s="1" t="str">
        <f>IFERROR(__xludf.DUMMYFUNCTION("CONCATENATE(GOOGLETRANSLATE(C1054, ""en"", ""ko""))"),"20Pcs A4 투명 파일 폴더 포켓 스냅 클로저 문서 주최자 학교 사무실에 대 한 플라스틱 파일 포켓")</f>
        <v>20Pcs A4 투명 파일 폴더 포켓 스냅 클로저 문서 주최자 학교 사무실에 대 한 플라스틱 파일 포켓</v>
      </c>
      <c r="F1054" s="1" t="str">
        <f>IFERROR(__xludf.DUMMYFUNCTION("CONCATENATE(GOOGLETRANSLATE(C1054, ""en"", ""ja""))"),"20 個 A4 透明ファイルフォルダー ポケットスナップ開閉ドキュメントオーガナイザープラスチックファイルポケット学校オフィス用")</f>
        <v>20 個 A4 透明ファイルフォルダー ポケットスナップ開閉ドキュメントオーガナイザープラスチックファイルポケット学校オフィス用</v>
      </c>
    </row>
    <row r="1055" ht="15.75" customHeight="1">
      <c r="A1055" s="1">
        <v>2528.0</v>
      </c>
      <c r="B1055" s="1" t="s">
        <v>381</v>
      </c>
      <c r="C1055" s="1" t="s">
        <v>1037</v>
      </c>
      <c r="D1055" s="1" t="str">
        <f>IFERROR(__xludf.DUMMYFUNCTION("CONCATENATE(GOOGLETRANSLATE(C1055, ""en"", ""zh-cn""))"),"4G WIFI 智能插头无线遥控电器电源插座支持 Amazon Echo 和 Google Home")</f>
        <v>4G WIFI 智能插头无线遥控电器电源插座支持 Amazon Echo 和 Google Home</v>
      </c>
      <c r="E1055" s="1" t="str">
        <f>IFERROR(__xludf.DUMMYFUNCTION("CONCATENATE(GOOGLETRANSLATE(C1055, ""en"", ""ko""))"),"4G WIFI 스마트 플러그 무선 원격 제어 기기 전원 소켓 지원 Amazon Echo 및 Google 홈")</f>
        <v>4G WIFI 스마트 플러그 무선 원격 제어 기기 전원 소켓 지원 Amazon Echo 및 Google 홈</v>
      </c>
      <c r="F1055" s="1" t="str">
        <f>IFERROR(__xludf.DUMMYFUNCTION("CONCATENATE(GOOGLETRANSLATE(C1055, ""en"", ""ja""))"),"4G WIFI スマート プラグ ワイヤレス リモート コントロール アプライアンス電源ソケット サポート Amazon Echo および Google Home")</f>
        <v>4G WIFI スマート プラグ ワイヤレス リモート コントロール アプライアンス電源ソケット サポート Amazon Echo および Google Home</v>
      </c>
    </row>
    <row r="1056" ht="15.75" customHeight="1">
      <c r="A1056" s="1">
        <v>2529.0</v>
      </c>
      <c r="B1056" s="1" t="s">
        <v>381</v>
      </c>
      <c r="C1056" s="1" t="s">
        <v>1038</v>
      </c>
      <c r="D1056" s="1" t="str">
        <f>IFERROR(__xludf.DUMMYFUNCTION("CONCATENATE(GOOGLETRANSLATE(C1056, ""en"", ""zh-cn""))"),"USB 3.0 PCI-E Express 1x 至 16x 扩展器转接板卡适配器 SATA 电缆")</f>
        <v>USB 3.0 PCI-E Express 1x 至 16x 扩展器转接板卡适配器 SATA 电缆</v>
      </c>
      <c r="E1056" s="1" t="str">
        <f>IFERROR(__xludf.DUMMYFUNCTION("CONCATENATE(GOOGLETRANSLATE(C1056, ""en"", ""ko""))"),"USB 3.0 PCI-E Express 1x ~ 16x 확장 라이저 보드 카드 어댑터 SATA 케이블")</f>
        <v>USB 3.0 PCI-E Express 1x ~ 16x 확장 라이저 보드 카드 어댑터 SATA 케이블</v>
      </c>
      <c r="F1056" s="1" t="str">
        <f>IFERROR(__xludf.DUMMYFUNCTION("CONCATENATE(GOOGLETRANSLATE(C1056, ""en"", ""ja""))"),"USB 3.0 PCI-E Express 1x to16x エクステンダー ライザー ボード カード アダプター SATA ケーブル")</f>
        <v>USB 3.0 PCI-E Express 1x to16x エクステンダー ライザー ボード カード アダプター SATA ケーブル</v>
      </c>
    </row>
    <row r="1057" ht="15.75" customHeight="1">
      <c r="A1057" s="1">
        <v>2530.0</v>
      </c>
      <c r="B1057" s="1" t="s">
        <v>381</v>
      </c>
      <c r="C1057" s="1" t="s">
        <v>1039</v>
      </c>
      <c r="D1057" s="1" t="str">
        <f>IFERROR(__xludf.DUMMYFUNCTION("CONCATENATE(GOOGLETRANSLATE(C1057, ""en"", ""zh-cn""))"),"Vention HDMI 转 VGA 转换器白色 0.15m 电缆长度 3.5mm 音频线")</f>
        <v>Vention HDMI 转 VGA 转换器白色 0.15m 电缆长度 3.5mm 音频线</v>
      </c>
      <c r="E1057" s="1" t="str">
        <f>IFERROR(__xludf.DUMMYFUNCTION("CONCATENATE(GOOGLETRANSLATE(C1057, ""en"", ""ko""))"),"Vention HDMI - VGA 변환기 흰색 0.15m 케이블 길이 3.5mm 오디오 케이블")</f>
        <v>Vention HDMI - VGA 변환기 흰색 0.15m 케이블 길이 3.5mm 오디오 케이블</v>
      </c>
      <c r="F1057" s="1" t="str">
        <f>IFERROR(__xludf.DUMMYFUNCTION("CONCATENATE(GOOGLETRANSLATE(C1057, ""en"", ""ja""))"),"Vention HDMI - VGA コンバーター ホワイト 0.15m ケーブル長 3.5mm オーディオ ケーブル")</f>
        <v>Vention HDMI - VGA コンバーター ホワイト 0.15m ケーブル長 3.5mm オーディオ ケーブル</v>
      </c>
    </row>
    <row r="1058" ht="15.75" customHeight="1">
      <c r="A1058" s="1">
        <v>2531.0</v>
      </c>
      <c r="B1058" s="1" t="s">
        <v>381</v>
      </c>
      <c r="C1058" s="1" t="s">
        <v>1040</v>
      </c>
      <c r="D1058" s="1" t="str">
        <f>IFERROR(__xludf.DUMMYFUNCTION("CONCATENATE(GOOGLETRANSLATE(C1058, ""en"", ""zh-cn""))"),"PCIE 1X 至 16X 4 针扩展转接卡适配器电缆适用于矿机卡电缆")</f>
        <v>PCIE 1X 至 16X 4 针扩展转接卡适配器电缆适用于矿机卡电缆</v>
      </c>
      <c r="E1058" s="1" t="str">
        <f>IFERROR(__xludf.DUMMYFUNCTION("CONCATENATE(GOOGLETRANSLATE(C1058, ""en"", ""ko""))"),"광부용 PCIE 1X ~ 16X 4 핀 익스텐더 라이저 카드 어댑터 케이블 카드 케이블")</f>
        <v>광부용 PCIE 1X ~ 16X 4 핀 익스텐더 라이저 카드 어댑터 케이블 카드 케이블</v>
      </c>
      <c r="F1058" s="1" t="str">
        <f>IFERROR(__xludf.DUMMYFUNCTION("CONCATENATE(GOOGLETRANSLATE(C1058, ""en"", ""ja""))"),"PCIE 1X に 16X 4 ピンエクステンダーライザーカードアダプターケーブルカードケーブルマイナー用")</f>
        <v>PCIE 1X に 16X 4 ピンエクステンダーライザーカードアダプターケーブルカードケーブルマイナー用</v>
      </c>
    </row>
    <row r="1059" ht="15.75" customHeight="1">
      <c r="A1059" s="1">
        <v>2532.0</v>
      </c>
      <c r="B1059" s="1" t="s">
        <v>381</v>
      </c>
      <c r="C1059" s="1" t="s">
        <v>1041</v>
      </c>
      <c r="D1059" s="1" t="str">
        <f>IFERROR(__xludf.DUMMYFUNCTION("CONCATENATE(GOOGLETRANSLATE(C1059, ""en"", ""zh-cn""))"),"32GB USB 2.0 USB 闪存驱动器防水扣设计铝制记忆棒 USB 笔驱动器")</f>
        <v>32GB USB 2.0 USB 闪存驱动器防水扣设计铝制记忆棒 USB 笔驱动器</v>
      </c>
      <c r="E1059" s="1" t="str">
        <f>IFERROR(__xludf.DUMMYFUNCTION("CONCATENATE(GOOGLETRANSLATE(C1059, ""en"", ""ko""))"),"32GB USB 2.0 USB 플래시 드라이브 방수 버클 디자인 알루미늄 메모리 스틱 USB 펜 드라이브")</f>
        <v>32GB USB 2.0 USB 플래시 드라이브 방수 버클 디자인 알루미늄 메모리 스틱 USB 펜 드라이브</v>
      </c>
      <c r="F1059" s="1" t="str">
        <f>IFERROR(__xludf.DUMMYFUNCTION("CONCATENATE(GOOGLETRANSLATE(C1059, ""en"", ""ja""))"),"32GB USB 2.0 USBフラッシュドライブ防水バックルデザインアルミニウムメモリースティックUSBペンドライブ")</f>
        <v>32GB USB 2.0 USBフラッシュドライブ防水バックルデザインアルミニウムメモリースティックUSBペンドライブ</v>
      </c>
    </row>
    <row r="1060" ht="15.75" customHeight="1">
      <c r="A1060" s="1">
        <v>2533.0</v>
      </c>
      <c r="B1060" s="1" t="s">
        <v>381</v>
      </c>
      <c r="C1060" s="1" t="s">
        <v>1042</v>
      </c>
      <c r="D1060" s="1" t="str">
        <f>IFERROR(__xludf.DUMMYFUNCTION("CONCATENATE(GOOGLETRANSLATE(C1060, ""en"", ""zh-cn""))"),"300*300mm 黑色方形磨砂表面热床平台贴纸，带 1:1 坐标，适用于 3D 打印机")</f>
        <v>300*300mm 黑色方形磨砂表面热床平台贴纸，带 1:1 坐标，适用于 3D 打印机</v>
      </c>
      <c r="E1060" s="1" t="str">
        <f>IFERROR(__xludf.DUMMYFUNCTION("CONCATENATE(GOOGLETRANSLATE(C1060, ""en"", ""ko""))"),"300*300mm 블랙 스퀘어 스크럽 표면 3D 프린터용 1:1 좌표가 있는 핫 베드 플랫폼 스티커 시트")</f>
        <v>300*300mm 블랙 스퀘어 스크럽 표면 3D 프린터용 1:1 좌표가 있는 핫 베드 플랫폼 스티커 시트</v>
      </c>
      <c r="F1060" s="1" t="str">
        <f>IFERROR(__xludf.DUMMYFUNCTION("CONCATENATE(GOOGLETRANSLATE(C1060, ""en"", ""ja""))"),"300*300 ミリメートル黒正方形スクラブ表面ホットベッドプラットフォームステッカーシート 1:1 座標 3D プリンタ用")</f>
        <v>300*300 ミリメートル黒正方形スクラブ表面ホットベッドプラットフォームステッカーシート 1:1 座標 3D プリンタ用</v>
      </c>
    </row>
    <row r="1061" ht="15.75" customHeight="1">
      <c r="A1061" s="1">
        <v>2534.0</v>
      </c>
      <c r="B1061" s="1" t="s">
        <v>381</v>
      </c>
      <c r="C1061" s="1" t="s">
        <v>1043</v>
      </c>
      <c r="D1061" s="1" t="str">
        <f>IFERROR(__xludf.DUMMYFUNCTION("CONCATENATE(GOOGLETRANSLATE(C1061, ""en"", ""zh-cn""))"),"MX3 阿拉伯语 2.4G 无线迷你键盘空中鼠标遥控器")</f>
        <v>MX3 阿拉伯语 2.4G 无线迷你键盘空中鼠标遥控器</v>
      </c>
      <c r="E1061" s="1" t="str">
        <f>IFERROR(__xludf.DUMMYFUNCTION("CONCATENATE(GOOGLETRANSLATE(C1061, ""en"", ""ko""))"),"MX3 아랍어 2.4G 무선 미니 키보드 에어 마우스 원격 제어")</f>
        <v>MX3 아랍어 2.4G 무선 미니 키보드 에어 마우스 원격 제어</v>
      </c>
      <c r="F1061" s="1" t="str">
        <f>IFERROR(__xludf.DUMMYFUNCTION("CONCATENATE(GOOGLETRANSLATE(C1061, ""en"", ""ja""))"),"MX3 アラビア語 2.4G ワイヤレス ミニ キーボード エア マウス リモコン")</f>
        <v>MX3 アラビア語 2.4G ワイヤレス ミニ キーボード エア マウス リモコン</v>
      </c>
    </row>
    <row r="1062" ht="15.75" customHeight="1">
      <c r="A1062" s="1">
        <v>2535.0</v>
      </c>
      <c r="B1062" s="1" t="s">
        <v>381</v>
      </c>
      <c r="C1062" s="1" t="s">
        <v>1044</v>
      </c>
      <c r="D1062" s="1" t="str">
        <f>IFERROR(__xludf.DUMMYFUNCTION("CONCATENATE(GOOGLETRANSLATE(C1062, ""en"", ""zh-cn""))"),"YUXI MS800 32G Micro USB 闪存盘 USB2.0 OTG U 盘 适用于平板手机")</f>
        <v>YUXI MS800 32G Micro USB 闪存盘 USB2.0 OTG U 盘 适用于平板手机</v>
      </c>
      <c r="E1062" s="1" t="str">
        <f>IFERROR(__xludf.DUMMYFUNCTION("CONCATENATE(GOOGLETRANSLATE(C1062, ""en"", ""ko""))"),"태블릿 휴대폰용 YUXI MS800 32G 마이크로 USB 플래시 드라이브 USB2.0 OTG U 디스크")</f>
        <v>태블릿 휴대폰용 YUXI MS800 32G 마이크로 USB 플래시 드라이브 USB2.0 OTG U 디스크</v>
      </c>
      <c r="F1062" s="1" t="str">
        <f>IFERROR(__xludf.DUMMYFUNCTION("CONCATENATE(GOOGLETRANSLATE(C1062, ""en"", ""ja""))"),"YUXI MS800 32 グラムマイクロ USB フラッシュドライブ USB2.0 OTG U ディスクタブレット携帯電話用")</f>
        <v>YUXI MS800 32 グラムマイクロ USB フラッシュドライブ USB2.0 OTG U ディスクタブレット携帯電話用</v>
      </c>
    </row>
    <row r="1063" ht="15.75" customHeight="1">
      <c r="A1063" s="1">
        <v>2536.0</v>
      </c>
      <c r="B1063" s="1" t="s">
        <v>381</v>
      </c>
      <c r="C1063" s="1" t="s">
        <v>1045</v>
      </c>
      <c r="D1063" s="1" t="str">
        <f>IFERROR(__xludf.DUMMYFUNCTION("CONCATENATE(GOOGLETRANSLATE(C1063, ""en"", ""zh-cn""))"),"USB 3.0 PCI-E Express 1x 至 16x 延长线延长器转接卡适配器 SATA 电缆")</f>
        <v>USB 3.0 PCI-E Express 1x 至 16x 延长线延长器转接卡适配器 SATA 电缆</v>
      </c>
      <c r="E1063" s="1" t="str">
        <f>IFERROR(__xludf.DUMMYFUNCTION("CONCATENATE(GOOGLETRANSLATE(C1063, ""en"", ""ko""))"),"USB 3.0 PCI-E Express 1x to16x 연장 케이블 연장 라이저 카드 어댑터 SATA 케이블")</f>
        <v>USB 3.0 PCI-E Express 1x to16x 연장 케이블 연장 라이저 카드 어댑터 SATA 케이블</v>
      </c>
      <c r="F1063" s="1" t="str">
        <f>IFERROR(__xludf.DUMMYFUNCTION("CONCATENATE(GOOGLETRANSLATE(C1063, ""en"", ""ja""))"),"USB 3.0 PCI-E Express 1x to16x 延長ケーブル エクステンダー ライザー カード アダプター SATA ケーブル")</f>
        <v>USB 3.0 PCI-E Express 1x to16x 延長ケーブル エクステンダー ライザー カード アダプター SATA ケーブル</v>
      </c>
    </row>
    <row r="1064" ht="15.75" customHeight="1">
      <c r="A1064" s="1">
        <v>2537.0</v>
      </c>
      <c r="B1064" s="1" t="s">
        <v>381</v>
      </c>
      <c r="C1064" s="1" t="s">
        <v>1046</v>
      </c>
      <c r="D1064" s="1" t="str">
        <f>IFERROR(__xludf.DUMMYFUNCTION("CONCATENATE(GOOGLETRANSLATE(C1064, ""en"", ""zh-cn""))"),"平板电脑多角度金字塔支架")</f>
        <v>平板电脑多角度金字塔支架</v>
      </c>
      <c r="E1064" s="1" t="str">
        <f>IFERROR(__xludf.DUMMYFUNCTION("CONCATENATE(GOOGLETRANSLATE(C1064, ""en"", ""ko""))"),"태블릿 폰용 멀티 앵글 피라미드 스탠드 지지대")</f>
        <v>태블릿 폰용 멀티 앵글 피라미드 스탠드 지지대</v>
      </c>
      <c r="F1064" s="1" t="str">
        <f>IFERROR(__xludf.DUMMYFUNCTION("CONCATENATE(GOOGLETRANSLATE(C1064, ""en"", ""ja""))"),"タブレット電話用マルチアングルピラミッドスタンドサポートホルダー")</f>
        <v>タブレット電話用マルチアングルピラミッドスタンドサポートホルダー</v>
      </c>
    </row>
    <row r="1065" ht="15.75" customHeight="1">
      <c r="A1065" s="1">
        <v>2538.0</v>
      </c>
      <c r="B1065" s="1" t="s">
        <v>381</v>
      </c>
      <c r="C1065" s="1" t="s">
        <v>1047</v>
      </c>
      <c r="D1065" s="1" t="str">
        <f>IFERROR(__xludf.DUMMYFUNCTION("CONCATENATE(GOOGLETRANSLATE(C1065, ""en"", ""zh-cn""))"),"20 件装 A5 尺寸书写日记本日记笔记本每日记事本 40 页带横格纸书写")</f>
        <v>20 件装 A5 尺寸书写日记本日记笔记本每日记事本 40 页带横格纸书写</v>
      </c>
      <c r="E1065" s="1" t="str">
        <f>IFERROR(__xludf.DUMMYFUNCTION("CONCATENATE(GOOGLETRANSLATE(C1065, ""en"", ""ko""))"),"20Pcs A5 크기 쓰기 저널 일기 노트 일일 메모장 40 페이지 줄 지어 종이로 쓰기")</f>
        <v>20Pcs A5 크기 쓰기 저널 일기 노트 일일 메모장 40 페이지 줄 지어 종이로 쓰기</v>
      </c>
      <c r="F1065" s="1" t="str">
        <f>IFERROR(__xludf.DUMMYFUNCTION("CONCATENATE(GOOGLETRANSLATE(C1065, ""en"", ""ja""))"),"20 個 A5 サイズライティングジャーナル日記ノートブック毎日のメモ帳 40 ページ書き込み罫線入り紙")</f>
        <v>20 個 A5 サイズライティングジャーナル日記ノートブック毎日のメモ帳 40 ページ書き込み罫線入り紙</v>
      </c>
    </row>
    <row r="1066" ht="15.75" customHeight="1">
      <c r="A1066" s="1">
        <v>2539.0</v>
      </c>
      <c r="B1066" s="1" t="s">
        <v>381</v>
      </c>
      <c r="C1066" s="1" t="s">
        <v>1048</v>
      </c>
      <c r="D1066" s="1" t="str">
        <f>IFERROR(__xludf.DUMMYFUNCTION("CONCATENATE(GOOGLETRANSLATE(C1066, ""en"", ""zh-cn""))"),"MHD IP810 通用入耳式低音耳机带麦克风适用于平板电脑手机")</f>
        <v>MHD IP810 通用入耳式低音耳机带麦克风适用于平板电脑手机</v>
      </c>
      <c r="E1066" s="1" t="str">
        <f>IFERROR(__xludf.DUMMYFUNCTION("CONCATENATE(GOOGLETRANSLATE(C1066, ""en"", ""ko""))"),"MHD IP810 태블릿 휴대폰용 마이크가 포함된 범용 인이어 베이스 헤드폰")</f>
        <v>MHD IP810 태블릿 휴대폰용 마이크가 포함된 범용 인이어 베이스 헤드폰</v>
      </c>
      <c r="F1066" s="1" t="str">
        <f>IFERROR(__xludf.DUMMYFUNCTION("CONCATENATE(GOOGLETRANSLATE(C1066, ""en"", ""ja""))"),"MHD IP810 タブレット携帯電話用マイク付きユニバーサルインイヤー低音ヘッドフォン")</f>
        <v>MHD IP810 タブレット携帯電話用マイク付きユニバーサルインイヤー低音ヘッドフォン</v>
      </c>
    </row>
    <row r="1067" ht="15.75" customHeight="1">
      <c r="A1067" s="1">
        <v>2540.0</v>
      </c>
      <c r="B1067" s="1" t="s">
        <v>381</v>
      </c>
      <c r="C1067" s="1" t="s">
        <v>1049</v>
      </c>
      <c r="D1067" s="1" t="str">
        <f>IFERROR(__xludf.DUMMYFUNCTION("CONCATENATE(GOOGLETRANSLATE(C1067, ""en"", ""zh-cn""))"),"MHD IP820 通用入耳式低音耳机带麦克风适用于平板电脑手机")</f>
        <v>MHD IP820 通用入耳式低音耳机带麦克风适用于平板电脑手机</v>
      </c>
      <c r="E1067" s="1" t="str">
        <f>IFERROR(__xludf.DUMMYFUNCTION("CONCATENATE(GOOGLETRANSLATE(C1067, ""en"", ""ko""))"),"MHD IP820 범용 이어폰형 베이스 헤드폰(마이크 포함) 태블릿 휴대폰용")</f>
        <v>MHD IP820 범용 이어폰형 베이스 헤드폰(마이크 포함) 태블릿 휴대폰용</v>
      </c>
      <c r="F1067" s="1" t="str">
        <f>IFERROR(__xludf.DUMMYFUNCTION("CONCATENATE(GOOGLETRANSLATE(C1067, ""en"", ""ja""))"),"MHD IP820 タブレット携帯電話用マイク付きユニバーサルインイヤー低音ヘッドフォン")</f>
        <v>MHD IP820 タブレット携帯電話用マイク付きユニバーサルインイヤー低音ヘッドフォン</v>
      </c>
    </row>
    <row r="1068" ht="15.75" customHeight="1">
      <c r="A1068" s="1">
        <v>2541.0</v>
      </c>
      <c r="B1068" s="1" t="s">
        <v>381</v>
      </c>
      <c r="C1068" s="1" t="s">
        <v>1050</v>
      </c>
      <c r="D1068" s="1" t="str">
        <f>IFERROR(__xludf.DUMMYFUNCTION("CONCATENATE(GOOGLETRANSLATE(C1068, ""en"", ""zh-cn""))"),"MHD IP640 通用入耳式耳机带麦克风适用于平板电脑手机")</f>
        <v>MHD IP640 通用入耳式耳机带麦克风适用于平板电脑手机</v>
      </c>
      <c r="E1068" s="1" t="str">
        <f>IFERROR(__xludf.DUMMYFUNCTION("CONCATENATE(GOOGLETRANSLATE(C1068, ""en"", ""ko""))"),"태블릿 휴대폰용 MHD IP640 범용 이어폰형 헤드폰(마이크 포함)")</f>
        <v>태블릿 휴대폰용 MHD IP640 범용 이어폰형 헤드폰(마이크 포함)</v>
      </c>
      <c r="F1068" s="1" t="str">
        <f>IFERROR(__xludf.DUMMYFUNCTION("CONCATENATE(GOOGLETRANSLATE(C1068, ""en"", ""ja""))"),"MHD IP640 タブレット携帯電話用マイク付きユニバーサルインイヤーヘッドフォン")</f>
        <v>MHD IP640 タブレット携帯電話用マイク付きユニバーサルインイヤーヘッドフォン</v>
      </c>
    </row>
    <row r="1069" ht="15.75" customHeight="1">
      <c r="A1069" s="1">
        <v>2542.0</v>
      </c>
      <c r="B1069" s="1" t="s">
        <v>381</v>
      </c>
      <c r="C1069" s="1" t="s">
        <v>1051</v>
      </c>
      <c r="D1069" s="1" t="str">
        <f>IFERROR(__xludf.DUMMYFUNCTION("CONCATENATE(GOOGLETRANSLATE(C1069, ""en"", ""zh-cn""))"),"无线标签打印机便携式袖珍D11标签打印机热敏标签纸家用办公标签贴纸")</f>
        <v>无线标签打印机便携式袖珍D11标签打印机热敏标签纸家用办公标签贴纸</v>
      </c>
      <c r="E1069" s="1" t="str">
        <f>IFERROR(__xludf.DUMMYFUNCTION("CONCATENATE(GOOGLETRANSLATE(C1069, ""en"", ""ko""))"),"무선 라벨 프린터 용 라벨 스티커 용지 휴대용 포켓 D11 라벨 프린터 가정용 사무실 용 열전 사 라벨 용지")</f>
        <v>무선 라벨 프린터 용 라벨 스티커 용지 휴대용 포켓 D11 라벨 프린터 가정용 사무실 용 열전 사 라벨 용지</v>
      </c>
      <c r="F1069" s="1" t="str">
        <f>IFERROR(__xludf.DUMMYFUNCTION("CONCATENATE(GOOGLETRANSLATE(C1069, ""en"", ""ja""))"),"ワイヤレスラベルプリンタ用ラベルステッカー紙ポータブルポケットD11ラベルプリンタ感熱ラベル紙家庭用オフィス用")</f>
        <v>ワイヤレスラベルプリンタ用ラベルステッカー紙ポータブルポケットD11ラベルプリンタ感熱ラベル紙家庭用オフィス用</v>
      </c>
    </row>
    <row r="1070" ht="15.75" customHeight="1">
      <c r="A1070" s="1">
        <v>2543.0</v>
      </c>
      <c r="B1070" s="1" t="s">
        <v>381</v>
      </c>
      <c r="C1070" s="1" t="s">
        <v>1052</v>
      </c>
      <c r="D1070" s="1" t="str">
        <f>IFERROR(__xludf.DUMMYFUNCTION("CONCATENATE(GOOGLETRANSLATE(C1070, ""en"", ""zh-cn""))"),"Fizz FZ210008 办公及家居用品多功能笔筒")</f>
        <v>Fizz FZ210008 办公及家居用品多功能笔筒</v>
      </c>
      <c r="E1070" s="1" t="str">
        <f>IFERROR(__xludf.DUMMYFUNCTION("CONCATENATE(GOOGLETRANSLATE(C1070, ""en"", ""ko""))"),"Fizz FZ210008 사무실 및 가정 용품의 다기능 펜 홀더")</f>
        <v>Fizz FZ210008 사무실 및 가정 용품의 다기능 펜 홀더</v>
      </c>
      <c r="F1070" s="1" t="str">
        <f>IFERROR(__xludf.DUMMYFUNCTION("CONCATENATE(GOOGLETRANSLATE(C1070, ""en"", ""ja""))"),"Fizz FZ210008 オフィスおよび家庭用品の多機能ペンホルダー")</f>
        <v>Fizz FZ210008 オフィスおよび家庭用品の多機能ペンホルダー</v>
      </c>
    </row>
    <row r="1071" ht="15.75" customHeight="1">
      <c r="A1071" s="1">
        <v>2544.0</v>
      </c>
      <c r="B1071" s="1" t="s">
        <v>381</v>
      </c>
      <c r="C1071" s="1" t="s">
        <v>1053</v>
      </c>
      <c r="D1071" s="1" t="str">
        <f>IFERROR(__xludf.DUMMYFUNCTION("CONCATENATE(GOOGLETRANSLATE(C1071, ""en"", ""zh-cn""))"),"Fizz FZ332015 办公会议时间管理笔记本效率手册")</f>
        <v>Fizz FZ332015 办公会议时间管理笔记本效率手册</v>
      </c>
      <c r="E1071" s="1" t="str">
        <f>IFERROR(__xludf.DUMMYFUNCTION("CONCATENATE(GOOGLETRANSLATE(C1071, ""en"", ""ko""))"),"Fizz FZ332015 사무실 회의용 시간 관리 노트북 효율성 매뉴얼")</f>
        <v>Fizz FZ332015 사무실 회의용 시간 관리 노트북 효율성 매뉴얼</v>
      </c>
      <c r="F1071" s="1" t="str">
        <f>IFERROR(__xludf.DUMMYFUNCTION("CONCATENATE(GOOGLETRANSLATE(C1071, ""en"", ""ja""))"),"Fizz FZ332015 オフィス会議用時間管理ノート効率マニュアル")</f>
        <v>Fizz FZ332015 オフィス会議用時間管理ノート効率マニュアル</v>
      </c>
    </row>
    <row r="1072" ht="15.75" customHeight="1">
      <c r="A1072" s="1">
        <v>2545.0</v>
      </c>
      <c r="B1072" s="1" t="s">
        <v>381</v>
      </c>
      <c r="C1072" s="1" t="s">
        <v>1054</v>
      </c>
      <c r="D1072" s="1" t="str">
        <f>IFERROR(__xludf.DUMMYFUNCTION("CONCATENATE(GOOGLETRANSLATE(C1072, ""en"", ""zh-cn""))"),"Fizz FZ330001 A5 学生和会议皮革笔记本")</f>
        <v>Fizz FZ330001 A5 学生和会议皮革笔记本</v>
      </c>
      <c r="E1072" s="1" t="str">
        <f>IFERROR(__xludf.DUMMYFUNCTION("CONCATENATE(GOOGLETRANSLATE(C1072, ""en"", ""ko""))"),"학생 및 회의용 Fizz FZ330001 A5 가죽 노트북")</f>
        <v>학생 및 회의용 Fizz FZ330001 A5 가죽 노트북</v>
      </c>
      <c r="F1072" s="1" t="str">
        <f>IFERROR(__xludf.DUMMYFUNCTION("CONCATENATE(GOOGLETRANSLATE(C1072, ""en"", ""ja""))"),"フィズ FZ330001 A5 レザー ノートブック 学生および会議用")</f>
        <v>フィズ FZ330001 A5 レザー ノートブック 学生および会議用</v>
      </c>
    </row>
    <row r="1073" ht="15.75" customHeight="1">
      <c r="A1073" s="1">
        <v>2546.0</v>
      </c>
      <c r="B1073" s="1" t="s">
        <v>381</v>
      </c>
      <c r="C1073" s="1" t="s">
        <v>1055</v>
      </c>
      <c r="D1073" s="1" t="str">
        <f>IFERROR(__xludf.DUMMYFUNCTION("CONCATENATE(GOOGLETRANSLATE(C1073, ""en"", ""zh-cn""))"),"FaSoLa DZ-117 迷你卷尺可爱带PU卷尺测量胸围臀围腰围软直尺")</f>
        <v>FaSoLa DZ-117 迷你卷尺可爱带PU卷尺测量胸围臀围腰围软直尺</v>
      </c>
      <c r="E1073" s="1" t="str">
        <f>IFERROR(__xludf.DUMMYFUNCTION("CONCATENATE(GOOGLETRANSLATE(C1073, ""en"", ""ko""))"),"FaSoLa DZ-117 미니 줄자 귀여운 PU 측정 테이프로 가슴 둘레 엉덩이 둘레 허리 소프트 스트레이트 눈금자 측정")</f>
        <v>FaSoLa DZ-117 미니 줄자 귀여운 PU 측정 테이프로 가슴 둘레 엉덩이 둘레 허리 소프트 스트레이트 눈금자 측정</v>
      </c>
      <c r="F1073" s="1" t="str">
        <f>IFERROR(__xludf.DUMMYFUNCTION("CONCATENATE(GOOGLETRANSLATE(C1073, ""en"", ""ja""))"),"FaSoLa ミニメジャー かわいいPU付きメジャーテープ バスト・ヒップ・ウエスト周囲を測る ソフトストレート定規 DZ-117")</f>
        <v>FaSoLa ミニメジャー かわいいPU付きメジャーテープ バスト・ヒップ・ウエスト周囲を測る ソフトストレート定規 DZ-117</v>
      </c>
    </row>
    <row r="1074" ht="15.75" customHeight="1">
      <c r="A1074" s="1">
        <v>2547.0</v>
      </c>
      <c r="B1074" s="1" t="s">
        <v>381</v>
      </c>
      <c r="C1074" s="1" t="s">
        <v>1056</v>
      </c>
      <c r="D1074" s="1" t="str">
        <f>IFERROR(__xludf.DUMMYFUNCTION("CONCATENATE(GOOGLETRANSLATE(C1074, ""en"", ""zh-cn""))"),"大理石哑光硬壳保护壳适用于 Macbook Air Pro 11 12 13 15 '' Retina")</f>
        <v>大理石哑光硬壳保护壳适用于 Macbook Air Pro 11 12 13 15 '' Retina</v>
      </c>
      <c r="E1074" s="1" t="str">
        <f>IFERROR(__xludf.DUMMYFUNCTION("CONCATENATE(GOOGLETRANSLATE(C1074, ""en"", ""ko""))"),"Macbook Air Pro 11 12 13 15'' Retina용 대리석 매트 하드 케이스 커버 셸")</f>
        <v>Macbook Air Pro 11 12 13 15'' Retina용 대리석 매트 하드 케이스 커버 셸</v>
      </c>
      <c r="F1074" s="1" t="str">
        <f>IFERROR(__xludf.DUMMYFUNCTION("CONCATENATE(GOOGLETRANSLATE(C1074, ""en"", ""ja""))"),"大理石マットハードケースカバーシェル Macbook Air Pro 11 12 13 15 ''網膜用")</f>
        <v>大理石マットハードケースカバーシェル Macbook Air Pro 11 12 13 15 ''網膜用</v>
      </c>
    </row>
    <row r="1075" ht="15.75" customHeight="1">
      <c r="A1075" s="1">
        <v>2548.0</v>
      </c>
      <c r="B1075" s="1" t="s">
        <v>381</v>
      </c>
      <c r="C1075" s="1" t="s">
        <v>1057</v>
      </c>
      <c r="D1075" s="1" t="str">
        <f>IFERROR(__xludf.DUMMYFUNCTION("CONCATENATE(GOOGLETRANSLATE(C1075, ""en"", ""zh-cn""))"),"EVA 便携式保护壳适用于 8 英寸三星 Tab A T350")</f>
        <v>EVA 便携式保护壳适用于 8 英寸三星 Tab A T350</v>
      </c>
      <c r="E1075" s="1" t="str">
        <f>IFERROR(__xludf.DUMMYFUNCTION("CONCATENATE(GOOGLETRANSLATE(C1075, ""en"", ""ko""))"),"8인치 삼성 탭 A T350용 EVA 휴대용 보호 쉘")</f>
        <v>8인치 삼성 탭 A T350용 EVA 휴대용 보호 쉘</v>
      </c>
      <c r="F1075" s="1" t="str">
        <f>IFERROR(__xludf.DUMMYFUNCTION("CONCATENATE(GOOGLETRANSLATE(C1075, ""en"", ""ja""))"),"8 インチ Samsung Tab A T350 用 EVA ポータブル保護シェル")</f>
        <v>8 インチ Samsung Tab A T350 用 EVA ポータブル保護シェル</v>
      </c>
    </row>
    <row r="1076" ht="15.75" customHeight="1">
      <c r="A1076" s="1">
        <v>2549.0</v>
      </c>
      <c r="B1076" s="1" t="s">
        <v>381</v>
      </c>
      <c r="C1076" s="1" t="s">
        <v>1058</v>
      </c>
      <c r="D1076" s="1" t="str">
        <f>IFERROR(__xludf.DUMMYFUNCTION("CONCATENATE(GOOGLETRANSLATE(C1076, ""en"", ""zh-cn""))"),"MHD IP670 通用入耳式重低音耳机带麦克风适用于平板电脑手机")</f>
        <v>MHD IP670 通用入耳式重低音耳机带麦克风适用于平板电脑手机</v>
      </c>
      <c r="E1076" s="1" t="str">
        <f>IFERROR(__xludf.DUMMYFUNCTION("CONCATENATE(GOOGLETRANSLATE(C1076, ""en"", ""ko""))"),"MHD IP670 태블릿 휴대폰용 마이크가 포함된 범용 인이어 중저음 헤드폰")</f>
        <v>MHD IP670 태블릿 휴대폰용 마이크가 포함된 범용 인이어 중저음 헤드폰</v>
      </c>
      <c r="F1076" s="1" t="str">
        <f>IFERROR(__xludf.DUMMYFUNCTION("CONCATENATE(GOOGLETRANSLATE(C1076, ""en"", ""ja""))"),"MHD IP670 ユニバーサル インイヤー重低音ヘッドフォン タブレット携帯電話用マイク付き")</f>
        <v>MHD IP670 ユニバーサル インイヤー重低音ヘッドフォン タブレット携帯電話用マイク付き</v>
      </c>
    </row>
    <row r="1077" ht="15.75" customHeight="1">
      <c r="A1077" s="1">
        <v>2550.0</v>
      </c>
      <c r="B1077" s="1" t="s">
        <v>381</v>
      </c>
      <c r="C1077" s="1" t="s">
        <v>1059</v>
      </c>
      <c r="D1077" s="1" t="str">
        <f>IFERROR(__xludf.DUMMYFUNCTION("CONCATENATE(GOOGLETRANSLATE(C1077, ""en"", ""zh-cn""))"),"REXLIS 1/ 1.8/ 3M 3 针公对母麦克风音频线")</f>
        <v>REXLIS 1/ 1.8/ 3M 3 针公对母麦克风音频线</v>
      </c>
      <c r="E1077" s="1" t="str">
        <f>IFERROR(__xludf.DUMMYFUNCTION("CONCATENATE(GOOGLETRANSLATE(C1077, ""en"", ""ko""))"),"REXLIS 1/ 1.8/ 3M 3핀 수-암 마이크 오디오 케이블")</f>
        <v>REXLIS 1/ 1.8/ 3M 3핀 수-암 마이크 오디오 케이블</v>
      </c>
      <c r="F1077" s="1" t="str">
        <f>IFERROR(__xludf.DUMMYFUNCTION("CONCATENATE(GOOGLETRANSLATE(C1077, ""en"", ""ja""))"),"REXLIS 1/1.8/3M 3 ピン オス - メス マイク オーディオ ケーブル")</f>
        <v>REXLIS 1/1.8/3M 3 ピン オス - メス マイク オーディオ ケーブル</v>
      </c>
    </row>
    <row r="1078" ht="15.75" customHeight="1">
      <c r="A1078" s="1">
        <v>2551.0</v>
      </c>
      <c r="B1078" s="1" t="s">
        <v>381</v>
      </c>
      <c r="C1078" s="1" t="s">
        <v>1060</v>
      </c>
      <c r="D1078" s="1" t="str">
        <f>IFERROR(__xludf.DUMMYFUNCTION("CONCATENATE(GOOGLETRANSLATE(C1078, ""en"", ""zh-cn""))"),"S5 无线私人模式蓝牙 4.1 入耳式耳机 平板手机无线耳机")</f>
        <v>S5 无线私人模式蓝牙 4.1 入耳式耳机 平板手机无线耳机</v>
      </c>
      <c r="E1078" s="1" t="str">
        <f>IFERROR(__xludf.DUMMYFUNCTION("CONCATENATE(GOOGLETRANSLATE(C1078, ""en"", ""ko""))"),"S5 무선 개인 모드 블루투스 4.1 태블릿 휴대폰용 이어폰 무선 헤드셋")</f>
        <v>S5 무선 개인 모드 블루투스 4.1 태블릿 휴대폰용 이어폰 무선 헤드셋</v>
      </c>
      <c r="F1078" s="1" t="str">
        <f>IFERROR(__xludf.DUMMYFUNCTION("CONCATENATE(GOOGLETRANSLATE(C1078, ""en"", ""ja""))"),"S5 ワイヤレスプライベートモード Bluetooth 4.1 インイヤーイヤホンワイヤレスヘッドセットタブレット携帯電話用")</f>
        <v>S5 ワイヤレスプライベートモード Bluetooth 4.1 インイヤーイヤホンワイヤレスヘッドセットタブレット携帯電話用</v>
      </c>
    </row>
    <row r="1079" ht="15.75" customHeight="1">
      <c r="A1079" s="1">
        <v>2552.0</v>
      </c>
      <c r="B1079" s="1" t="s">
        <v>381</v>
      </c>
      <c r="C1079" s="1" t="s">
        <v>1061</v>
      </c>
      <c r="D1079" s="1" t="str">
        <f>IFERROR(__xludf.DUMMYFUNCTION("CONCATENATE(GOOGLETRANSLATE(C1079, ""en"", ""zh-cn""))"),"协海格风扇比例1:10设计比例工程直尺")</f>
        <v>协海格风扇比例1:10设计比例工程直尺</v>
      </c>
      <c r="E1079" s="1" t="str">
        <f>IFERROR(__xludf.DUMMYFUNCTION("CONCATENATE(GOOGLETRANSLATE(C1079, ""en"", ""ko""))"),"XIEHAIGE 팬 스케일 1:10 엔지니어링용 디자인 스케일 직선 눈금자")</f>
        <v>XIEHAIGE 팬 스케일 1:10 엔지니어링용 디자인 스케일 직선 눈금자</v>
      </c>
      <c r="F1079" s="1" t="str">
        <f>IFERROR(__xludf.DUMMYFUNCTION("CONCATENATE(GOOGLETRANSLATE(C1079, ""en"", ""ja""))"),"XIEHAIGE ファンスケール 1:10 デザインスケールストレート定規エンジニアリング用")</f>
        <v>XIEHAIGE ファンスケール 1:10 デザインスケールストレート定規エンジニアリング用</v>
      </c>
    </row>
    <row r="1080" ht="15.75" customHeight="1">
      <c r="A1080" s="1">
        <v>2553.0</v>
      </c>
      <c r="B1080" s="1" t="s">
        <v>381</v>
      </c>
      <c r="C1080" s="1" t="s">
        <v>1062</v>
      </c>
      <c r="D1080" s="1" t="str">
        <f>IFERROR(__xludf.DUMMYFUNCTION("CONCATENATE(GOOGLETRANSLATE(C1080, ""en"", ""zh-cn""))"),"宇杰2合1 20CM、30cm切割直尺 防割尺 常规尺 拼贴尺 文具办公用品")</f>
        <v>宇杰2合1 20CM、30cm切割直尺 防割尺 常规尺 拼贴尺 文具办公用品</v>
      </c>
      <c r="E1080" s="1" t="str">
        <f>IFERROR(__xludf.DUMMYFUNCTION("CONCATENATE(GOOGLETRANSLATE(C1080, ""en"", ""ko""))"),"Yujie 2 in 1 20CM 및 30cm 절단 직선 눈금자 절단 방지 규칙 일반 규칙 콜라주 규칙 문구 사무용품")</f>
        <v>Yujie 2 in 1 20CM 및 30cm 절단 직선 눈금자 절단 방지 규칙 일반 규칙 콜라주 규칙 문구 사무용품</v>
      </c>
      <c r="F1080" s="1" t="str">
        <f>IFERROR(__xludf.DUMMYFUNCTION("CONCATENATE(GOOGLETRANSLATE(C1080, ""en"", ""ja""))"),"Yujie 2 in 1 20 センチメートルと 30 センチメートル切断ストレート定規抗切断ルール通常ルールコラージュルール文具事務用品")</f>
        <v>Yujie 2 in 1 20 センチメートルと 30 センチメートル切断ストレート定規抗切断ルール通常ルールコラージュルール文具事務用品</v>
      </c>
    </row>
    <row r="1081" ht="15.75" customHeight="1">
      <c r="A1081" s="1">
        <v>2554.0</v>
      </c>
      <c r="B1081" s="1" t="s">
        <v>381</v>
      </c>
      <c r="C1081" s="1" t="s">
        <v>1063</v>
      </c>
      <c r="D1081" s="1" t="str">
        <f>IFERROR(__xludf.DUMMYFUNCTION("CONCATENATE(GOOGLETRANSLATE(C1081, ""en"", ""zh-cn""))"),"MDH JBM-A8 终极铝合金线控耳机适用于 MID/MP3/MP4/CD/iPhone/Android")</f>
        <v>MDH JBM-A8 终极铝合金线控耳机适用于 MID/MP3/MP4/CD/iPhone/Android</v>
      </c>
      <c r="E1081" s="1" t="str">
        <f>IFERROR(__xludf.DUMMYFUNCTION("CONCATENATE(GOOGLETRANSLATE(C1081, ""en"", ""ko""))"),"MID/MP3/MP4/CD/아이폰/안드로이드용 MDH JBM-A8 최고의 알루미늄 합금 와이어 헤드셋")</f>
        <v>MID/MP3/MP4/CD/아이폰/안드로이드용 MDH JBM-A8 최고의 알루미늄 합금 와이어 헤드셋</v>
      </c>
      <c r="F1081" s="1" t="str">
        <f>IFERROR(__xludf.DUMMYFUNCTION("CONCATENATE(GOOGLETRANSLATE(C1081, ""en"", ""ja""))"),"MDH JBM-A8 MID/MP3/MP4/CD/iPhone/Android 用究極のアルミニウム合金ワイヤー ヘッドセット")</f>
        <v>MDH JBM-A8 MID/MP3/MP4/CD/iPhone/Android 用究極のアルミニウム合金ワイヤー ヘッドセット</v>
      </c>
    </row>
    <row r="1082" ht="15.75" customHeight="1">
      <c r="A1082" s="1">
        <v>2555.0</v>
      </c>
      <c r="B1082" s="1" t="s">
        <v>381</v>
      </c>
      <c r="C1082" s="1" t="s">
        <v>1064</v>
      </c>
      <c r="D1082" s="1" t="str">
        <f>IFERROR(__xludf.DUMMYFUNCTION("CONCATENATE(GOOGLETRANSLATE(C1082, ""en"", ""zh-cn""))"),"MDH MJ900 平板手机全铝合金线控耳机")</f>
        <v>MDH MJ900 平板手机全铝合金线控耳机</v>
      </c>
      <c r="E1082" s="1" t="str">
        <f>IFERROR(__xludf.DUMMYFUNCTION("CONCATENATE(GOOGLETRANSLATE(C1082, ""en"", ""ko""))"),"MDH MJ900 태블릿 휴대폰용 모든 알루미늄 합금 와이어 Eadset")</f>
        <v>MDH MJ900 태블릿 휴대폰용 모든 알루미늄 합금 와이어 Eadset</v>
      </c>
      <c r="F1082" s="1" t="str">
        <f>IFERROR(__xludf.DUMMYFUNCTION("CONCATENATE(GOOGLETRANSLATE(C1082, ""en"", ""ja""))"),"MDH MJ900 タブレット携帯電話用全アルミニウム合金ワイヤー ヘッドセット")</f>
        <v>MDH MJ900 タブレット携帯電話用全アルミニウム合金ワイヤー ヘッドセット</v>
      </c>
    </row>
    <row r="1083" ht="15.75" customHeight="1">
      <c r="A1083" s="1">
        <v>2556.0</v>
      </c>
      <c r="B1083" s="1" t="s">
        <v>381</v>
      </c>
      <c r="C1083" s="1" t="s">
        <v>1065</v>
      </c>
      <c r="D1083" s="1" t="str">
        <f>IFERROR(__xludf.DUMMYFUNCTION("CONCATENATE(GOOGLETRANSLATE(C1083, ""en"", ""zh-cn""))"),"超薄 USB 3.1 Type-C 公头连接器转 VGA 适配器适用于 MacBook")</f>
        <v>超薄 USB 3.1 Type-C 公头连接器转 VGA 适配器适用于 MacBook</v>
      </c>
      <c r="E1083" s="1" t="str">
        <f>IFERROR(__xludf.DUMMYFUNCTION("CONCATENATE(GOOGLETRANSLATE(C1083, ""en"", ""ko""))"),"MacBook용 VGA 어댑터에 연결되는 초박형 USB 3.1 Type-C 수 커넥터")</f>
        <v>MacBook용 VGA 어댑터에 연결되는 초박형 USB 3.1 Type-C 수 커넥터</v>
      </c>
      <c r="F1083" s="1" t="str">
        <f>IFERROR(__xludf.DUMMYFUNCTION("CONCATENATE(GOOGLETRANSLATE(C1083, ""en"", ""ja""))"),"超薄型 USB 3.1 Type-C オスコネクタ - VGA アダプタ (MacBook 用)")</f>
        <v>超薄型 USB 3.1 Type-C オスコネクタ - VGA アダプタ (MacBook 用)</v>
      </c>
    </row>
    <row r="1084" ht="15.75" customHeight="1">
      <c r="A1084" s="1">
        <v>2557.0</v>
      </c>
      <c r="B1084" s="1" t="s">
        <v>381</v>
      </c>
      <c r="C1084" s="1" t="s">
        <v>1066</v>
      </c>
      <c r="D1084" s="1" t="str">
        <f>IFERROR(__xludf.DUMMYFUNCTION("CONCATENATE(GOOGLETRANSLATE(C1084, ""en"", ""zh-cn""))"),"折叠支架对开 PU 皮革保护套适用于台电 X1 Pro 4G 平板电脑")</f>
        <v>折叠支架对开 PU 皮革保护套适用于台电 X1 Pro 4G 平板电脑</v>
      </c>
      <c r="E1084" s="1" t="str">
        <f>IFERROR(__xludf.DUMMYFUNCTION("CONCATENATE(GOOGLETRANSLATE(C1084, ""en"", ""ko""))"),"Teclast X1 Pro 4G 태블릿용 접이식 스탠드 폴리오 PU 가죽 케이스 커버")</f>
        <v>Teclast X1 Pro 4G 태블릿용 접이식 스탠드 폴리오 PU 가죽 케이스 커버</v>
      </c>
      <c r="F1084" s="1" t="str">
        <f>IFERROR(__xludf.DUMMYFUNCTION("CONCATENATE(GOOGLETRANSLATE(C1084, ""en"", ""ja""))"),"Teclast X1 Pro 4Gタブレット用折りたたみスタンドフォリオPUレザーケースカバー")</f>
        <v>Teclast X1 Pro 4Gタブレット用折りたたみスタンドフォリオPUレザーケースカバー</v>
      </c>
    </row>
    <row r="1085" ht="15.75" customHeight="1">
      <c r="A1085" s="1">
        <v>2558.0</v>
      </c>
      <c r="B1085" s="1" t="s">
        <v>381</v>
      </c>
      <c r="C1085" s="1" t="s">
        <v>1067</v>
      </c>
      <c r="D1085" s="1" t="str">
        <f>IFERROR(__xludf.DUMMYFUNCTION("CONCATENATE(GOOGLETRANSLATE(C1085, ""en"", ""zh-cn""))"),"Hero 981钢笔金属绘图笔杆铱金学生商务笔")</f>
        <v>Hero 981钢笔金属绘图笔杆铱金学生商务笔</v>
      </c>
      <c r="E1085" s="1" t="str">
        <f>IFERROR(__xludf.DUMMYFUNCTION("CONCATENATE(GOOGLETRANSLATE(C1085, ""en"", ""ko""))"),"Hero 981 만년필 금속 드로잉 펜 폴 이리듐 골드 학생 비즈니스 펜")</f>
        <v>Hero 981 만년필 금속 드로잉 펜 폴 이리듐 골드 학생 비즈니스 펜</v>
      </c>
      <c r="F1085" s="1" t="str">
        <f>IFERROR(__xludf.DUMMYFUNCTION("CONCATENATE(GOOGLETRANSLATE(C1085, ""en"", ""ja""))"),"ヒーロー 981 万年筆メタル描画ペンポールイリジウムゴールド学生ビジネスペン")</f>
        <v>ヒーロー 981 万年筆メタル描画ペンポールイリジウムゴールド学生ビジネスペン</v>
      </c>
    </row>
    <row r="1086" ht="15.75" customHeight="1">
      <c r="A1086" s="1">
        <v>2559.0</v>
      </c>
      <c r="B1086" s="1" t="s">
        <v>381</v>
      </c>
      <c r="C1086" s="1" t="s">
        <v>1068</v>
      </c>
      <c r="D1086" s="1" t="str">
        <f>IFERROR(__xludf.DUMMYFUNCTION("CONCATENATE(GOOGLETRANSLATE(C1086, ""en"", ""zh-cn""))"),"新型小学生笔筒姿势矫正器带指窝式笔筒")</f>
        <v>新型小学生笔筒姿势矫正器带指窝式笔筒</v>
      </c>
      <c r="E1086" s="1" t="str">
        <f>IFERROR(__xludf.DUMMYFUNCTION("CONCATENATE(GOOGLETRANSLATE(C1086, ""en"", ""ko""))"),"손가락 둥지 유형의 펜 홀더가있는 초등 학생을위한 새로운 종류의 펜 홀더 자세 교정기")</f>
        <v>손가락 둥지 유형의 펜 홀더가있는 초등 학생을위한 새로운 종류의 펜 홀더 자세 교정기</v>
      </c>
      <c r="F1086" s="1" t="str">
        <f>IFERROR(__xludf.DUMMYFUNCTION("CONCATENATE(GOOGLETRANSLATE(C1086, ""en"", ""ja""))"),"新しい種類のペンホルダー姿勢矯正装置指の巣タイプのペンホルダー付き小学生")</f>
        <v>新しい種類のペンホルダー姿勢矯正装置指の巣タイプのペンホルダー付き小学生</v>
      </c>
    </row>
    <row r="1087" ht="15.75" customHeight="1">
      <c r="A1087" s="1">
        <v>2560.0</v>
      </c>
      <c r="B1087" s="1" t="s">
        <v>381</v>
      </c>
      <c r="C1087" s="1" t="s">
        <v>1069</v>
      </c>
      <c r="D1087" s="1" t="str">
        <f>IFERROR(__xludf.DUMMYFUNCTION("CONCATENATE(GOOGLETRANSLATE(C1087, ""en"", ""zh-cn""))"),"NC文具收纳盒可拆卸文具收纳盒桌面办公收纳盒文具收纳客厅宿舍小件收纳")</f>
        <v>NC文具收纳盒可拆卸文具收纳盒桌面办公收纳盒文具收纳客厅宿舍小件收纳</v>
      </c>
      <c r="E1087" s="1" t="str">
        <f>IFERROR(__xludf.DUMMYFUNCTION("CONCATENATE(GOOGLETRANSLATE(C1087, ""en"", ""ko""))"),"NC 편지지 보관함 분리형 편지지 보관함 데스크탑 오피스 주최자 편지지 보관함 거실 기숙사 작은 조각 보관함")</f>
        <v>NC 편지지 보관함 분리형 편지지 보관함 데스크탑 오피스 주최자 편지지 보관함 거실 기숙사 작은 조각 보관함</v>
      </c>
      <c r="F1087" s="1" t="str">
        <f>IFERROR(__xludf.DUMMYFUNCTION("CONCATENATE(GOOGLETRANSLATE(C1087, ""en"", ""ja""))"),"NC 文具収納ボックス取り外し可能な文具収納ボックスデスクトップオフィスオーガナイザー文具収納リビングルーム寮小物収納")</f>
        <v>NC 文具収納ボックス取り外し可能な文具収納ボックスデスクトップオフィスオーガナイザー文具収納リビングルーム寮小物収納</v>
      </c>
    </row>
    <row r="1088" ht="15.75" customHeight="1">
      <c r="A1088" s="1">
        <v>2561.0</v>
      </c>
      <c r="B1088" s="1" t="s">
        <v>381</v>
      </c>
      <c r="C1088" s="1" t="s">
        <v>1070</v>
      </c>
      <c r="D1088" s="1" t="str">
        <f>IFERROR(__xludf.DUMMYFUNCTION("CONCATENATE(GOOGLETRANSLATE(C1088, ""en"", ""zh-cn""))"),"Fothwin 18.5V 65W 3.5A 笔记本电脑交流电源适配器 Cahrger 接口 7.4*5.0 上网本充电器 适用于惠普")</f>
        <v>Fothwin 18.5V 65W 3.5A 笔记本电脑交流电源适配器 Cahrger 接口 7.4*5.0 上网本充电器 适用于惠普</v>
      </c>
      <c r="E1088" s="1" t="str">
        <f>IFERROR(__xludf.DUMMYFUNCTION("CONCATENATE(GOOGLETRANSLATE(C1088, ""en"", ""ko""))"),"Fothwin 18.5V 65W 3.5A 노트북 Ac 전원 어댑터 Cahrger 인터페이스 7.4*5.0 HP용 넷북 충전기")</f>
        <v>Fothwin 18.5V 65W 3.5A 노트북 Ac 전원 어댑터 Cahrger 인터페이스 7.4*5.0 HP용 넷북 충전기</v>
      </c>
      <c r="F1088" s="1" t="str">
        <f>IFERROR(__xludf.DUMMYFUNCTION("CONCATENATE(GOOGLETRANSLATE(C1088, ""en"", ""ja""))"),"Fothwin 18.5V 65 ワット 3.5A ラップトップ AC 電源アダプタ Cahrger インターフェイス 7.4*5.0 ネットブック充電器 HP")</f>
        <v>Fothwin 18.5V 65 ワット 3.5A ラップトップ AC 電源アダプタ Cahrger インターフェイス 7.4*5.0 ネットブック充電器 HP</v>
      </c>
    </row>
    <row r="1089" ht="15.75" customHeight="1">
      <c r="A1089" s="1">
        <v>2562.0</v>
      </c>
      <c r="B1089" s="1" t="s">
        <v>381</v>
      </c>
      <c r="C1089" s="1" t="s">
        <v>1071</v>
      </c>
      <c r="D1089" s="1" t="str">
        <f>IFERROR(__xludf.DUMMYFUNCTION("CONCATENATE(GOOGLETRANSLATE(C1089, ""en"", ""zh-cn""))"),"H678 镂空多功能小笔筒简约桌面收纳盒塑料办公学生收纳筒")</f>
        <v>H678 镂空多功能小笔筒简约桌面收纳盒塑料办公学生收纳筒</v>
      </c>
      <c r="E1089" s="1" t="str">
        <f>IFERROR(__xludf.DUMMYFUNCTION("CONCATENATE(GOOGLETRANSLATE(C1089, ""en"", ""ko""))"),"H678 중공 다기능 소형 펜 홀더 간단한 데스크탑 보관함 플라스틱 사무실 학생 보관 튜브")</f>
        <v>H678 중공 다기능 소형 펜 홀더 간단한 데스크탑 보관함 플라스틱 사무실 학생 보관 튜브</v>
      </c>
      <c r="F1089" s="1" t="str">
        <f>IFERROR(__xludf.DUMMYFUNCTION("CONCATENATE(GOOGLETRANSLATE(C1089, ""en"", ""ja""))"),"H678 中空多機能小型ペンホルダーシンプルなデスクトップ収納ボックスプラスチックオフィス学生収納チューブ")</f>
        <v>H678 中空多機能小型ペンホルダーシンプルなデスクトップ収納ボックスプラスチックオフィス学生収納チューブ</v>
      </c>
    </row>
    <row r="1090" ht="15.75" customHeight="1">
      <c r="A1090" s="1">
        <v>2563.0</v>
      </c>
      <c r="B1090" s="1" t="s">
        <v>381</v>
      </c>
      <c r="C1090" s="1" t="s">
        <v>1072</v>
      </c>
      <c r="D1090" s="1" t="str">
        <f>IFERROR(__xludf.DUMMYFUNCTION("CONCATENATE(GOOGLETRANSLATE(C1090, ""en"", ""zh-cn""))"),"中国风樱花系列金属镂空学生书签10张")</f>
        <v>中国风樱花系列金属镂空学生书签10张</v>
      </c>
      <c r="E1090" s="1" t="str">
        <f>IFERROR(__xludf.DUMMYFUNCTION("CONCATENATE(GOOGLETRANSLATE(C1090, ""en"", ""ko""))"),"학생용 중국 스타일 벚꽃 시리즈 금속 중공 책갈피 10개")</f>
        <v>학생용 중국 스타일 벚꽃 시리즈 금속 중공 책갈피 10개</v>
      </c>
      <c r="F1090" s="1" t="str">
        <f>IFERROR(__xludf.DUMMYFUNCTION("CONCATENATE(GOOGLETRANSLATE(C1090, ""en"", ""ja""))"),"中国風桜シリーズ金属中空しおり学生用 10 個")</f>
        <v>中国風桜シリーズ金属中空しおり学生用 10 個</v>
      </c>
    </row>
    <row r="1091" ht="15.75" customHeight="1">
      <c r="A1091" s="1">
        <v>2564.0</v>
      </c>
      <c r="B1091" s="1" t="s">
        <v>381</v>
      </c>
      <c r="C1091" s="1" t="s">
        <v>1073</v>
      </c>
      <c r="D1091" s="1" t="str">
        <f>IFERROR(__xludf.DUMMYFUNCTION("CONCATENATE(GOOGLETRANSLATE(C1091, ""en"", ""zh-cn""))"),"Folio 岩纹皮革保护套带折叠支架适用于 FNF ifive X2")</f>
        <v>Folio 岩纹皮革保护套带折叠支架适用于 FNF ifive X2</v>
      </c>
      <c r="E1091" s="1" t="str">
        <f>IFERROR(__xludf.DUMMYFUNCTION("CONCATENATE(GOOGLETRANSLATE(C1091, ""en"", ""ko""))"),"FNF ifive X2용 접이식 스탠드가 포함된 Folio Rock Grain 가죽 케이스")</f>
        <v>FNF ifive X2용 접이식 스탠드가 포함된 Folio Rock Grain 가죽 케이스</v>
      </c>
      <c r="F1091" s="1" t="str">
        <f>IFERROR(__xludf.DUMMYFUNCTION("CONCATENATE(GOOGLETRANSLATE(C1091, ""en"", ""ja""))"),"FNF ifive X2用折りたたみスタンド付きフォリオロックグレインレザーケース")</f>
        <v>FNF ifive X2用折りたたみスタンド付きフォリオロックグレインレザーケース</v>
      </c>
    </row>
    <row r="1092" ht="15.75" customHeight="1">
      <c r="A1092" s="1">
        <v>2565.0</v>
      </c>
      <c r="B1092" s="1" t="s">
        <v>381</v>
      </c>
      <c r="C1092" s="1" t="s">
        <v>1074</v>
      </c>
      <c r="D1092" s="1" t="str">
        <f>IFERROR(__xludf.DUMMYFUNCTION("CONCATENATE(GOOGLETRANSLATE(C1092, ""en"", ""zh-cn""))"),"现代 T10 专用对开折叠支架 PU 皮革保护套 ")</f>
        <v>现代 T10 专用对开折叠支架 PU 皮革保护套 </v>
      </c>
      <c r="E1092" s="1" t="str">
        <f>IFERROR(__xludf.DUMMYFUNCTION("CONCATENATE(GOOGLETRANSLATE(C1092, ""en"", ""ko""))"),"현대 T10용 특수 폴리오 접이식 스탠드 PU 가죽 케이스 커버 ")</f>
        <v>현대 T10용 특수 폴리오 접이식 스탠드 PU 가죽 케이스 커버 </v>
      </c>
      <c r="F1092" s="1" t="str">
        <f>IFERROR(__xludf.DUMMYFUNCTION("CONCATENATE(GOOGLETRANSLATE(C1092, ""en"", ""ja""))"),"ヒュンダイ T10 用特別フォリオ折りたたみスタンド PU レザーケースカバー ")</f>
        <v>ヒュンダイ T10 用特別フォリオ折りたたみスタンド PU レザーケースカバー </v>
      </c>
    </row>
    <row r="1093" ht="15.75" customHeight="1">
      <c r="A1093" s="1">
        <v>2566.0</v>
      </c>
      <c r="B1093" s="1" t="s">
        <v>381</v>
      </c>
      <c r="C1093" s="1" t="s">
        <v>1075</v>
      </c>
      <c r="D1093" s="1" t="str">
        <f>IFERROR(__xludf.DUMMYFUNCTION("CONCATENATE(GOOGLETRANSLATE(C1093, ""en"", ""zh-cn""))"),"创意新款铅笔图案硅胶笔袋创意儿童卡通拉链文具盒")</f>
        <v>创意新款铅笔图案硅胶笔袋创意儿童卡通拉链文具盒</v>
      </c>
      <c r="E1093" s="1" t="str">
        <f>IFERROR(__xludf.DUMMYFUNCTION("CONCATENATE(GOOGLETRANSLATE(C1093, ""en"", ""ko""))"),"창조적 인 새로운 연필 패턴 실리콘 연필 케이스 창조적 인 어린이 만화 지퍼 편지지 상자")</f>
        <v>창조적 인 새로운 연필 패턴 실리콘 연필 케이스 창조적 인 어린이 만화 지퍼 편지지 상자</v>
      </c>
      <c r="F1093" s="1" t="str">
        <f>IFERROR(__xludf.DUMMYFUNCTION("CONCATENATE(GOOGLETRANSLATE(C1093, ""en"", ""ja""))"),"クリエイティブな新しい鉛筆パターンシリコン鉛筆ケースクリエイティブ子供の漫画ジッパー文具箱")</f>
        <v>クリエイティブな新しい鉛筆パターンシリコン鉛筆ケースクリエイティブ子供の漫画ジッパー文具箱</v>
      </c>
    </row>
    <row r="1094" ht="15.75" customHeight="1">
      <c r="A1094" s="1">
        <v>2567.0</v>
      </c>
      <c r="B1094" s="1" t="s">
        <v>381</v>
      </c>
      <c r="C1094" s="1" t="s">
        <v>1076</v>
      </c>
      <c r="D1094" s="1" t="str">
        <f>IFERROR(__xludf.DUMMYFUNCTION("CONCATENATE(GOOGLETRANSLATE(C1094, ""en"", ""zh-cn""))"),"简约商务笔记本可拆卸笔记本办公厚日历带中号备忘录")</f>
        <v>简约商务笔记本可拆卸笔记本办公厚日历带中号备忘录</v>
      </c>
      <c r="E1094" s="1" t="str">
        <f>IFERROR(__xludf.DUMMYFUNCTION("CONCATENATE(GOOGLETRANSLATE(C1094, ""en"", ""ko""))"),"중형 메모가 포함된 간단한 비즈니스 노트북 이동식 노트북 사무실 두꺼운 달력")</f>
        <v>중형 메모가 포함된 간단한 비즈니스 노트북 이동식 노트북 사무실 두꺼운 달력</v>
      </c>
      <c r="F1094" s="1" t="str">
        <f>IFERROR(__xludf.DUMMYFUNCTION("CONCATENATE(GOOGLETRANSLATE(C1094, ""en"", ""ja""))"),"シンプルなビジネスノートブック取り外し可能なノートブックオフィス厚いカレンダー中型メモランダム付き")</f>
        <v>シンプルなビジネスノートブック取り外し可能なノートブックオフィス厚いカレンダー中型メモランダム付き</v>
      </c>
    </row>
    <row r="1095" ht="15.75" customHeight="1">
      <c r="A1095" s="1">
        <v>2568.0</v>
      </c>
      <c r="B1095" s="1" t="s">
        <v>381</v>
      </c>
      <c r="C1095" s="1" t="s">
        <v>1077</v>
      </c>
      <c r="D1095" s="1" t="str">
        <f>IFERROR(__xludf.DUMMYFUNCTION("CONCATENATE(GOOGLETRANSLATE(C1095, ""en"", ""zh-cn""))"),"创意透明网状笔袋B6收纳袋便携大容量学生考试文具袋")</f>
        <v>创意透明网状笔袋B6收纳袋便携大容量学生考试文具袋</v>
      </c>
      <c r="E1095" s="1" t="str">
        <f>IFERROR(__xludf.DUMMYFUNCTION("CONCATENATE(GOOGLETRANSLATE(C1095, ""en"", ""ko""))"),"크리 에이 티브 투명 메쉬 연필 케이스 B6 보관 가방 학생 시험을위한 휴대용 대용량 편지지 가방")</f>
        <v>크리 에이 티브 투명 메쉬 연필 케이스 B6 보관 가방 학생 시험을위한 휴대용 대용량 편지지 가방</v>
      </c>
      <c r="F1095" s="1" t="str">
        <f>IFERROR(__xludf.DUMMYFUNCTION("CONCATENATE(GOOGLETRANSLATE(C1095, ""en"", ""ja""))"),"クリエイティブ透明メッシュ鉛筆ケース B6 収納袋ポータブル大容量文具バッグ学生の試験用")</f>
        <v>クリエイティブ透明メッシュ鉛筆ケース B6 収納袋ポータブル大容量文具バッグ学生の試験用</v>
      </c>
    </row>
    <row r="1096" ht="15.75" customHeight="1">
      <c r="A1096" s="1">
        <v>2569.0</v>
      </c>
      <c r="B1096" s="1" t="s">
        <v>381</v>
      </c>
      <c r="C1096" s="1" t="s">
        <v>1078</v>
      </c>
      <c r="D1096" s="1" t="str">
        <f>IFERROR(__xludf.DUMMYFUNCTION("CONCATENATE(GOOGLETRANSLATE(C1096, ""en"", ""zh-cn""))"),"齐心A828夹子文件夹双折资料夹加厚A4扁夹")</f>
        <v>齐心A828夹子文件夹双折资料夹加厚A4扁夹</v>
      </c>
      <c r="E1096" s="1" t="str">
        <f>IFERROR(__xludf.DUMMYFUNCTION("CONCATENATE(GOOGLETRANSLATE(C1096, ""en"", ""ko""))"),"Comix A828 클립 파일 폴더 이중 접이식 데이터 클립 두꺼워지는 A4 플랫 클립")</f>
        <v>Comix A828 클립 파일 폴더 이중 접이식 데이터 클립 두꺼워지는 A4 플랫 클립</v>
      </c>
      <c r="F1096" s="1" t="str">
        <f>IFERROR(__xludf.DUMMYFUNCTION("CONCATENATE(GOOGLETRANSLATE(C1096, ""en"", ""ja""))"),"コミックス A828 クリップ ファイル フォルダー 二つ折りデータ クリップ 増粘 A4 フラット クリップ")</f>
        <v>コミックス A828 クリップ ファイル フォルダー 二つ折りデータ クリップ 増粘 A4 フラット クリップ</v>
      </c>
    </row>
    <row r="1097" ht="15.75" customHeight="1">
      <c r="A1097" s="1">
        <v>2570.0</v>
      </c>
      <c r="B1097" s="1" t="s">
        <v>381</v>
      </c>
      <c r="C1097" s="1" t="s">
        <v>1079</v>
      </c>
      <c r="D1097" s="1" t="str">
        <f>IFERROR(__xludf.DUMMYFUNCTION("CONCATENATE(GOOGLETRANSLATE(C1097, ""en"", ""zh-cn""))"),"Fothwin 笔记本电脑交流电源适配器笔记本电脑充电器 19V 3.42A 65W 美规插头 5.5*2.5mm 笔记本充电器适用于联想")</f>
        <v>Fothwin 笔记本电脑交流电源适配器笔记本电脑充电器 19V 3.42A 65W 美规插头 5.5*2.5mm 笔记本充电器适用于联想</v>
      </c>
      <c r="E1097" s="1" t="str">
        <f>IFERROR(__xludf.DUMMYFUNCTION("CONCATENATE(GOOGLETRANSLATE(C1097, ""en"", ""ko""))"),"Fothwin 노트북 AC 전원 어댑터 노트북 충전기 Lenovo 용 19V 3.42A 65W 미국 플러그 5.5*2.5mm 노트북 충전기")</f>
        <v>Fothwin 노트북 AC 전원 어댑터 노트북 충전기 Lenovo 용 19V 3.42A 65W 미국 플러그 5.5*2.5mm 노트북 충전기</v>
      </c>
      <c r="F1097" s="1" t="str">
        <f>IFERROR(__xludf.DUMMYFUNCTION("CONCATENATE(GOOGLETRANSLATE(C1097, ""en"", ""ja""))"),"Fothwin ラップトップ AC 電源アダプタラップトップ充電器 19V 3.42A 65 ワット米国プラグ 5.5*2.5 ミリメートルノートブック充電器レノボ")</f>
        <v>Fothwin ラップトップ AC 電源アダプタラップトップ充電器 19V 3.42A 65 ワット米国プラグ 5.5*2.5 ミリメートルノートブック充電器レノボ</v>
      </c>
    </row>
    <row r="1098" ht="15.75" customHeight="1">
      <c r="A1098" s="1">
        <v>2571.0</v>
      </c>
      <c r="B1098" s="1" t="s">
        <v>381</v>
      </c>
      <c r="C1098" s="1" t="s">
        <v>1080</v>
      </c>
      <c r="D1098" s="1" t="str">
        <f>IFERROR(__xludf.DUMMYFUNCTION("CONCATENATE(GOOGLETRANSLATE(C1098, ""en"", ""zh-cn""))"),"50 件/批 100x80 毫米卧式参展商学生工作卡套圈卡盒")</f>
        <v>50 件/批 100x80 毫米卧式参展商学生工作卡套圈卡盒</v>
      </c>
      <c r="E1098" s="1" t="str">
        <f>IFERROR(__xludf.DUMMYFUNCTION("CONCATENATE(GOOGLETRANSLATE(C1098, ""en"", ""ko""))"),"50 개/몫 100x80mm 수평 유형 전시자 학생 작업 카드 페럴 카드 케이스")</f>
        <v>50 개/몫 100x80mm 수평 유형 전시자 학생 작업 카드 페럴 카드 케이스</v>
      </c>
      <c r="F1098" s="1" t="str">
        <f>IFERROR(__xludf.DUMMYFUNCTION("CONCATENATE(GOOGLETRANSLATE(C1098, ""en"", ""ja""))"),"50 ピース/ロット 100 × 80 ミリメートル横型出展者学生ワークカードフェルールカードケース")</f>
        <v>50 ピース/ロット 100 × 80 ミリメートル横型出展者学生ワークカードフェルールカードケース</v>
      </c>
    </row>
    <row r="1099" ht="15.75" customHeight="1">
      <c r="A1099" s="1">
        <v>2572.0</v>
      </c>
      <c r="B1099" s="1" t="s">
        <v>381</v>
      </c>
      <c r="C1099" s="1" t="s">
        <v>1081</v>
      </c>
      <c r="D1099" s="1" t="str">
        <f>IFERROR(__xludf.DUMMYFUNCTION("CONCATENATE(GOOGLETRANSLATE(C1099, ""en"", ""zh-cn""))"),"对开式三折支架 PU 皮革保护套适用于昂达 V989 Air")</f>
        <v>对开式三折支架 PU 皮革保护套适用于昂达 V989 Air</v>
      </c>
      <c r="E1099" s="1" t="str">
        <f>IFERROR(__xludf.DUMMYFUNCTION("CONCATENATE(GOOGLETRANSLATE(C1099, ""en"", ""ko""))"),"Onda V989 Air용 Folio 삼중 접이식 스탠드 PU 가죽 케이스 커버")</f>
        <v>Onda V989 Air용 Folio 삼중 접이식 스탠드 PU 가죽 케이스 커버</v>
      </c>
      <c r="F1099" s="1" t="str">
        <f>IFERROR(__xludf.DUMMYFUNCTION("CONCATENATE(GOOGLETRANSLATE(C1099, ""en"", ""ja""))"),"Onda V989 Air 用フォリオ三つ折りスタンド PU レザーケースカバー")</f>
        <v>Onda V989 Air 用フォリオ三つ折りスタンド PU レザーケースカバー</v>
      </c>
    </row>
    <row r="1100" ht="15.75" customHeight="1">
      <c r="A1100" s="1">
        <v>2573.0</v>
      </c>
      <c r="B1100" s="1" t="s">
        <v>381</v>
      </c>
      <c r="C1100" s="1" t="s">
        <v>1082</v>
      </c>
      <c r="D1100" s="1" t="str">
        <f>IFERROR(__xludf.DUMMYFUNCTION("CONCATENATE(GOOGLETRANSLATE(C1100, ""en"", ""zh-cn""))"),"塑料绘画工具盒三层水粉颜料盒黑色绘画")</f>
        <v>塑料绘画工具盒三层水粉颜料盒黑色绘画</v>
      </c>
      <c r="E1100" s="1" t="str">
        <f>IFERROR(__xludf.DUMMYFUNCTION("CONCATENATE(GOOGLETRANSLATE(C1100, ""en"", ""ko""))"),"플라스틱 그림 도구 상자 3층 구아슈 페인트 상자 검정 그림")</f>
        <v>플라스틱 그림 도구 상자 3층 구아슈 페인트 상자 검정 그림</v>
      </c>
      <c r="F1100" s="1" t="str">
        <f>IFERROR(__xludf.DUMMYFUNCTION("CONCATENATE(GOOGLETRANSLATE(C1100, ""en"", ""ja""))"),"プラスチック塗装ツールボックス三層ガッシュペイントボックス黒塗装")</f>
        <v>プラスチック塗装ツールボックス三層ガッシュペイントボックス黒塗装</v>
      </c>
    </row>
    <row r="1101" ht="15.75" customHeight="1">
      <c r="A1101" s="1">
        <v>2574.0</v>
      </c>
      <c r="B1101" s="1" t="s">
        <v>381</v>
      </c>
      <c r="C1101" s="1" t="s">
        <v>1083</v>
      </c>
      <c r="D1101" s="1" t="str">
        <f>IFERROR(__xludf.DUMMYFUNCTION("CONCATENATE(GOOGLETRANSLATE(C1101, ""en"", ""zh-cn""))"),"Cube i10 平板电脑 PU 皮革折叠保护壳")</f>
        <v>Cube i10 平板电脑 PU 皮革折叠保护壳</v>
      </c>
      <c r="E1101" s="1" t="str">
        <f>IFERROR(__xludf.DUMMYFUNCTION("CONCATENATE(GOOGLETRANSLATE(C1101, ""en"", ""ko""))"),"Cube i10 태블릿용 PU 가죽 접이식 케이스")</f>
        <v>Cube i10 태블릿용 PU 가죽 접이식 케이스</v>
      </c>
      <c r="F1101" s="1" t="str">
        <f>IFERROR(__xludf.DUMMYFUNCTION("CONCATENATE(GOOGLETRANSLATE(C1101, ""en"", ""ja""))"),"Cube i10 タブレット用 PU レザー折りたたみケース")</f>
        <v>Cube i10 タブレット用 PU レザー折りたたみケース</v>
      </c>
    </row>
    <row r="1102" ht="15.75" customHeight="1">
      <c r="A1102" s="1">
        <v>2575.0</v>
      </c>
      <c r="B1102" s="1" t="s">
        <v>381</v>
      </c>
      <c r="C1102" s="1" t="s">
        <v>1084</v>
      </c>
      <c r="D1102" s="1" t="str">
        <f>IFERROR(__xludf.DUMMYFUNCTION("CONCATENATE(GOOGLETRANSLATE(C1102, ""en"", ""zh-cn""))"),"香薰USB台式小风扇")</f>
        <v>香薰USB台式小风扇</v>
      </c>
      <c r="E1102" s="1" t="str">
        <f>IFERROR(__xludf.DUMMYFUNCTION("CONCATENATE(GOOGLETRANSLATE(C1102, ""en"", ""ko""))"),"아로마테라피 USB 데스크탑 소형 팬")</f>
        <v>아로마테라피 USB 데스크탑 소형 팬</v>
      </c>
      <c r="F1102" s="1" t="str">
        <f>IFERROR(__xludf.DUMMYFUNCTION("CONCATENATE(GOOGLETRANSLATE(C1102, ""en"", ""ja""))"),"アロマセラピーUSB卓上小型扇風機")</f>
        <v>アロマセラピーUSB卓上小型扇風機</v>
      </c>
    </row>
    <row r="1103" ht="15.75" customHeight="1">
      <c r="A1103" s="1">
        <v>2576.0</v>
      </c>
      <c r="B1103" s="1" t="s">
        <v>381</v>
      </c>
      <c r="C1103" s="1" t="s">
        <v>1085</v>
      </c>
      <c r="D1103" s="1" t="str">
        <f>IFERROR(__xludf.DUMMYFUNCTION("CONCATENATE(GOOGLETRANSLATE(C1103, ""en"", ""zh-cn""))"),"BUBM 防水运动腰包包口袋钱包跑步慢跑包")</f>
        <v>BUBM 防水运动腰包包口袋钱包跑步慢跑包</v>
      </c>
      <c r="E1103" s="1" t="str">
        <f>IFERROR(__xludf.DUMMYFUNCTION("CONCATENATE(GOOGLETRANSLATE(C1103, ""en"", ""ko""))"),"BUBM 방수 스포츠 허리 벨트 가방 팩 포켓 지갑 러닝 조깅 파우치")</f>
        <v>BUBM 방수 스포츠 허리 벨트 가방 팩 포켓 지갑 러닝 조깅 파우치</v>
      </c>
      <c r="F1103" s="1" t="str">
        <f>IFERROR(__xludf.DUMMYFUNCTION("CONCATENATE(GOOGLETRANSLATE(C1103, ""en"", ""ja""))"),"BUBM 防水スポーツウエストベルトバッグパックポケット財布ランニングジョギングポーチ")</f>
        <v>BUBM 防水スポーツウエストベルトバッグパックポケット財布ランニングジョギングポーチ</v>
      </c>
    </row>
    <row r="1104" ht="15.75" customHeight="1">
      <c r="A1104" s="1">
        <v>2577.0</v>
      </c>
      <c r="B1104" s="1" t="s">
        <v>381</v>
      </c>
      <c r="C1104" s="1" t="s">
        <v>1086</v>
      </c>
      <c r="D1104" s="1" t="str">
        <f>IFERROR(__xludf.DUMMYFUNCTION("CONCATENATE(GOOGLETRANSLATE(C1104, ""en"", ""zh-cn""))"),"3.5-10 英寸手机平板通用铝合金支架")</f>
        <v>3.5-10 英寸手机平板通用铝合金支架</v>
      </c>
      <c r="E1104" s="1" t="str">
        <f>IFERROR(__xludf.DUMMYFUNCTION("CONCATENATE(GOOGLETRANSLATE(C1104, ""en"", ""ko""))"),"3.5-10인치 핸드폰 태블릿용 범용 알루미늄 합금 스탠드 홀더")</f>
        <v>3.5-10인치 핸드폰 태블릿용 범용 알루미늄 합금 스탠드 홀더</v>
      </c>
      <c r="F1104" s="1" t="str">
        <f>IFERROR(__xludf.DUMMYFUNCTION("CONCATENATE(GOOGLETRANSLATE(C1104, ""en"", ""ja""))"),"3.5-10インチの携帯電話タブレット用ユニバーサルアルミニウム合金スタンドホルダー")</f>
        <v>3.5-10インチの携帯電話タブレット用ユニバーサルアルミニウム合金スタンドホルダー</v>
      </c>
    </row>
    <row r="1105" ht="15.75" customHeight="1">
      <c r="A1105" s="1">
        <v>2578.0</v>
      </c>
      <c r="B1105" s="1" t="s">
        <v>381</v>
      </c>
      <c r="C1105" s="1" t="s">
        <v>1087</v>
      </c>
      <c r="D1105" s="1" t="str">
        <f>IFERROR(__xludf.DUMMYFUNCTION("CONCATENATE(GOOGLETRANSLATE(C1105, ""en"", ""zh-cn""))"),"VPACK 收纳盒办公桌收纳盒文具收纳笔筒 6 色办公学校用品")</f>
        <v>VPACK 收纳盒办公桌收纳盒文具收纳笔筒 6 色办公学校用品</v>
      </c>
      <c r="E1105" s="1" t="str">
        <f>IFERROR(__xludf.DUMMYFUNCTION("CONCATENATE(GOOGLETRANSLATE(C1105, ""en"", ""ko""))"),"VPACK 보관함 책상 주최자 편지지 보관 펜 홀더 6 색 사무용품")</f>
        <v>VPACK 보관함 책상 주최자 편지지 보관 펜 홀더 6 색 사무용품</v>
      </c>
      <c r="F1105" s="1" t="str">
        <f>IFERROR(__xludf.DUMMYFUNCTION("CONCATENATE(GOOGLETRANSLATE(C1105, ""en"", ""ja""))"),"VPACK 収納ボックス デスクオーガナイザー 文具収納ペンホルダー 6 色オフィス学用品")</f>
        <v>VPACK 収納ボックス デスクオーガナイザー 文具収納ペンホルダー 6 色オフィス学用品</v>
      </c>
    </row>
    <row r="1106" ht="15.75" customHeight="1">
      <c r="A1106" s="1">
        <v>2579.0</v>
      </c>
      <c r="B1106" s="1" t="s">
        <v>381</v>
      </c>
      <c r="C1106" s="1" t="s">
        <v>1088</v>
      </c>
      <c r="D1106" s="1" t="str">
        <f>IFERROR(__xludf.DUMMYFUNCTION("CONCATENATE(GOOGLETRANSLATE(C1106, ""en"", ""zh-cn""))"),"5 件装天使帆布印刷画现代艺术墙画家居装饰带框适合家庭办公室")</f>
        <v>5 件装天使帆布印刷画现代艺术墙画家居装饰带框适合家庭办公室</v>
      </c>
      <c r="E1106" s="1" t="str">
        <f>IFERROR(__xludf.DUMMYFUNCTION("CONCATENATE(GOOGLETRANSLATE(C1106, ""en"", ""ko""))"),"5PCS 천사 캔버스 인쇄 그림 현대 미술 벽 그림 홈 장식 장식 홈 오피스에 대 한 액자")</f>
        <v>5PCS 천사 캔버스 인쇄 그림 현대 미술 벽 그림 홈 장식 장식 홈 오피스에 대 한 액자</v>
      </c>
      <c r="F1106" s="1" t="str">
        <f>IFERROR(__xludf.DUMMYFUNCTION("CONCATENATE(GOOGLETRANSLATE(C1106, ""en"", ""ja""))"),"5 個の天使キャンバスプリント絵画モダンアート壁絵家の装飾装飾フレーム付きホームオフィス用")</f>
        <v>5 個の天使キャンバスプリント絵画モダンアート壁絵家の装飾装飾フレーム付きホームオフィス用</v>
      </c>
    </row>
    <row r="1107" ht="15.75" customHeight="1">
      <c r="A1107" s="1">
        <v>2580.0</v>
      </c>
      <c r="B1107" s="1" t="s">
        <v>381</v>
      </c>
      <c r="C1107" s="1" t="s">
        <v>1089</v>
      </c>
      <c r="D1107" s="1" t="str">
        <f>IFERROR(__xludf.DUMMYFUNCTION("CONCATENATE(GOOGLETRANSLATE(C1107, ""en"", ""zh-cn""))"),"PD 36W USB2.0 Type C 车载充电器，带快充 3.0 适用于手机平板电脑")</f>
        <v>PD 36W USB2.0 Type C 车载充电器，带快充 3.0 适用于手机平板电脑</v>
      </c>
      <c r="E1107" s="1" t="str">
        <f>IFERROR(__xludf.DUMMYFUNCTION("CONCATENATE(GOOGLETRANSLATE(C1107, ""en"", ""ko""))"),"핸드폰 태블릿용 빠른 충전 3.0 기능이 있는 PD 36W USB2.0 유형 C 차량용 충전기")</f>
        <v>핸드폰 태블릿용 빠른 충전 3.0 기능이 있는 PD 36W USB2.0 유형 C 차량용 충전기</v>
      </c>
      <c r="F1107" s="1" t="str">
        <f>IFERROR(__xludf.DUMMYFUNCTION("CONCATENATE(GOOGLETRANSLATE(C1107, ""en"", ""ja""))"),"PD 36W USB2.0 タイプ C 車の充電器、急速充電 3.0 携帯電話タブレット用")</f>
        <v>PD 36W USB2.0 タイプ C 車の充電器、急速充電 3.0 携帯電話タブレット用</v>
      </c>
    </row>
    <row r="1108" ht="15.75" customHeight="1">
      <c r="A1108" s="1">
        <v>2581.0</v>
      </c>
      <c r="B1108" s="1" t="s">
        <v>381</v>
      </c>
      <c r="C1108" s="1" t="s">
        <v>1090</v>
      </c>
      <c r="D1108" s="1" t="str">
        <f>IFERROR(__xludf.DUMMYFUNCTION("CONCATENATE(GOOGLETRANSLATE(C1108, ""en"", ""zh-cn""))"),"便携式无线 Hifi 立体声蓝牙运动耳机耳机麦克风 SD AUX")</f>
        <v>便携式无线 Hifi 立体声蓝牙运动耳机耳机麦克风 SD AUX</v>
      </c>
      <c r="E1108" s="1" t="str">
        <f>IFERROR(__xludf.DUMMYFUNCTION("CONCATENATE(GOOGLETRANSLATE(C1108, ""en"", ""ko""))"),"휴대용 무선 Hifi 스테레오 블루투스 스포츠 헤드폰 헤드셋 마이크 SD AUX")</f>
        <v>휴대용 무선 Hifi 스테레오 블루투스 스포츠 헤드폰 헤드셋 마이크 SD AUX</v>
      </c>
      <c r="F1108" s="1" t="str">
        <f>IFERROR(__xludf.DUMMYFUNCTION("CONCATENATE(GOOGLETRANSLATE(C1108, ""en"", ""ja""))"),"ポータブルワイヤレス Hifi ステレオ Bluetooth スポーツヘッドフォンヘッドセットマイク SD AUX")</f>
        <v>ポータブルワイヤレス Hifi ステレオ Bluetooth スポーツヘッドフォンヘッドセットマイク SD AUX</v>
      </c>
    </row>
    <row r="1109" ht="15.75" customHeight="1">
      <c r="A1109" s="1">
        <v>2582.0</v>
      </c>
      <c r="B1109" s="1" t="s">
        <v>381</v>
      </c>
      <c r="C1109" s="1" t="s">
        <v>1091</v>
      </c>
      <c r="D1109" s="1" t="str">
        <f>IFERROR(__xludf.DUMMYFUNCTION("CONCATENATE(GOOGLETRANSLATE(C1109, ""en"", ""zh-cn""))"),"40 齿 MK7/MK8 3D 打印机不锈钢挤出机送料轮 ")</f>
        <v>40 齿 MK7/MK8 3D 打印机不锈钢挤出机送料轮 </v>
      </c>
      <c r="E1109" s="1" t="str">
        <f>IFERROR(__xludf.DUMMYFUNCTION("CONCATENATE(GOOGLETRANSLATE(C1109, ""en"", ""ko""))"),"40개 치아 MK7/MK8 3D 프린터용 스테인레스 스틸 압출기 공급 휠 ")</f>
        <v>40개 치아 MK7/MK8 3D 프린터용 스테인레스 스틸 압출기 공급 휠 </v>
      </c>
      <c r="F1109" s="1" t="str">
        <f>IFERROR(__xludf.DUMMYFUNCTION("CONCATENATE(GOOGLETRANSLATE(C1109, ""en"", ""ja""))"),"3D プリンター用 40 歯 MK7/MK8 ステンレス鋼エクストゥルダー供給ホイール ")</f>
        <v>3D プリンター用 40 歯 MK7/MK8 ステンレス鋼エクストゥルダー供給ホイール </v>
      </c>
    </row>
    <row r="1110" ht="15.75" customHeight="1">
      <c r="A1110" s="1">
        <v>2583.0</v>
      </c>
      <c r="B1110" s="1" t="s">
        <v>381</v>
      </c>
      <c r="C1110" s="1" t="s">
        <v>1092</v>
      </c>
      <c r="D1110" s="1" t="str">
        <f>IFERROR(__xludf.DUMMYFUNCTION("CONCATENATE(GOOGLETRANSLATE(C1110, ""en"", ""zh-cn""))"),"USB 3.0 母头转 3.5 毫米公头音频端口适配器白色")</f>
        <v>USB 3.0 母头转 3.5 毫米公头音频端口适配器白色</v>
      </c>
      <c r="E1110" s="1" t="str">
        <f>IFERROR(__xludf.DUMMYFUNCTION("CONCATENATE(GOOGLETRANSLATE(C1110, ""en"", ""ko""))"),"USB 3.0 암-3.5mm 수 오디오 포트 어댑터 화이트")</f>
        <v>USB 3.0 암-3.5mm 수 오디오 포트 어댑터 화이트</v>
      </c>
      <c r="F1110" s="1" t="str">
        <f>IFERROR(__xludf.DUMMYFUNCTION("CONCATENATE(GOOGLETRANSLATE(C1110, ""en"", ""ja""))"),"USB 3.0 メス - 3.5mm オス オーディオ ポート アダプタ ホワイト")</f>
        <v>USB 3.0 メス - 3.5mm オス オーディオ ポート アダプタ ホワイト</v>
      </c>
    </row>
    <row r="1111" ht="15.75" customHeight="1">
      <c r="A1111" s="1">
        <v>2584.0</v>
      </c>
      <c r="B1111" s="1" t="s">
        <v>381</v>
      </c>
      <c r="C1111" s="1" t="s">
        <v>1093</v>
      </c>
      <c r="D1111" s="1" t="str">
        <f>IFERROR(__xludf.DUMMYFUNCTION("CONCATENATE(GOOGLETRANSLATE(C1111, ""en"", ""zh-cn""))"),"4 件装 2018 年日历计划经典议程笔记本个人日记办公室学校用品")</f>
        <v>4 件装 2018 年日历计划经典议程笔记本个人日记办公室学校用品</v>
      </c>
      <c r="E1111" s="1" t="str">
        <f>IFERROR(__xludf.DUMMYFUNCTION("CONCATENATE(GOOGLETRANSLATE(C1111, ""en"", ""ko""))"),"4Pcs 2018 년 달력 계획 클래식 의제 노트 개인 일기 사무실 학교 용품")</f>
        <v>4Pcs 2018 년 달력 계획 클래식 의제 노트 개인 일기 사무실 학교 용품</v>
      </c>
      <c r="F1111" s="1" t="str">
        <f>IFERROR(__xludf.DUMMYFUNCTION("CONCATENATE(GOOGLETRANSLATE(C1111, ""en"", ""ja""))"),"4 個 2018 年カレンダープランクラシックアジェンダノートブック個人日記オフィス学用品")</f>
        <v>4 個 2018 年カレンダープランクラシックアジェンダノートブック個人日記オフィス学用品</v>
      </c>
    </row>
    <row r="1112" ht="15.75" customHeight="1">
      <c r="A1112" s="1">
        <v>2585.0</v>
      </c>
      <c r="B1112" s="1" t="s">
        <v>381</v>
      </c>
      <c r="C1112" s="1" t="s">
        <v>1094</v>
      </c>
      <c r="D1112" s="1" t="str">
        <f>IFERROR(__xludf.DUMMYFUNCTION("CONCATENATE(GOOGLETRANSLATE(C1112, ""en"", ""zh-cn""))"),"Geeetech® 3D 打印机智能控制器适配器适用于 Megatronics 板 LCD2004/12864")</f>
        <v>Geeetech® 3D 打印机智能控制器适配器适用于 Megatronics 板 LCD2004/12864</v>
      </c>
      <c r="E1112" s="1" t="str">
        <f>IFERROR(__xludf.DUMMYFUNCTION("CONCATENATE(GOOGLETRANSLATE(C1112, ""en"", ""ko""))"),"Megatronics 보드 LCD2004/12864용 Geeetech® 3D 프린터 스마트 컨트롤러 어댑터")</f>
        <v>Megatronics 보드 LCD2004/12864용 Geeetech® 3D 프린터 스마트 컨트롤러 어댑터</v>
      </c>
      <c r="F1112" s="1" t="str">
        <f>IFERROR(__xludf.DUMMYFUNCTION("CONCATENATE(GOOGLETRANSLATE(C1112, ""en"", ""ja""))"),"Geeetech® 3D プリンター スマート コントローラー アダプター メガトロニクス ボード LCD2004/12864 用")</f>
        <v>Geeetech® 3D プリンター スマート コントローラー アダプター メガトロニクス ボード LCD2004/12864 用</v>
      </c>
    </row>
    <row r="1113" ht="15.75" customHeight="1">
      <c r="A1113" s="1">
        <v>2586.0</v>
      </c>
      <c r="B1113" s="1" t="s">
        <v>381</v>
      </c>
      <c r="C1113" s="1" t="s">
        <v>1095</v>
      </c>
      <c r="D1113" s="1" t="str">
        <f>IFERROR(__xludf.DUMMYFUNCTION("CONCATENATE(GOOGLETRANSLATE(C1113, ""en"", ""zh-cn""))"),"20 件装 3x3 便签纸明亮便签彩色超级粘力记事本 100 件适用于办公室学校文具用品")</f>
        <v>20 件装 3x3 便签纸明亮便签彩色超级粘力记事本 100 件适用于办公室学校文具用品</v>
      </c>
      <c r="E1113" s="1" t="str">
        <f>IFERROR(__xludf.DUMMYFUNCTION("CONCATENATE(GOOGLETRANSLATE(C1113, ""en"", ""ko""))"),"20 팩 3x3 스티커 메모 밝은 스티커 다채로운 슈퍼 스티커 전원 메모 패드 100Pcs 사무실 학교 문구 용품")</f>
        <v>20 팩 3x3 스티커 메모 밝은 스티커 다채로운 슈퍼 스티커 전원 메모 패드 100Pcs 사무실 학교 문구 용품</v>
      </c>
      <c r="F1113" s="1" t="str">
        <f>IFERROR(__xludf.DUMMYFUNCTION("CONCATENATE(GOOGLETRANSLATE(C1113, ""en"", ""ja""))"),"20 パック 3x3 付箋明るい付箋カラフルなスーパー粘着パワーメモパッド 100 個オフィス学校文具用品")</f>
        <v>20 パック 3x3 付箋明るい付箋カラフルなスーパー粘着パワーメモパッド 100 個オフィス学校文具用品</v>
      </c>
    </row>
    <row r="1114" ht="15.75" customHeight="1">
      <c r="A1114" s="1">
        <v>2587.0</v>
      </c>
      <c r="B1114" s="1" t="s">
        <v>381</v>
      </c>
      <c r="C1114" s="1" t="s">
        <v>1096</v>
      </c>
      <c r="D1114" s="1" t="str">
        <f>IFERROR(__xludf.DUMMYFUNCTION("CONCATENATE(GOOGLETRANSLATE(C1114, ""en"", ""zh-cn""))"),"15.6 英寸防水笔记本电脑包包适用于联想 MacBook 苹果小米笔记本电脑")</f>
        <v>15.6 英寸防水笔记本电脑包包适用于联想 MacBook 苹果小米笔记本电脑</v>
      </c>
      <c r="E1114" s="1" t="str">
        <f>IFERROR(__xludf.DUMMYFUNCTION("CONCATENATE(GOOGLETRANSLATE(C1114, ""en"", ""ko""))"),"레노버 맥북 애플 샤오미 노트북용 15.6인치 방수 노트북 슬리브 가방 케이스")</f>
        <v>레노버 맥북 애플 샤오미 노트북용 15.6인치 방수 노트북 슬리브 가방 케이스</v>
      </c>
      <c r="F1114" s="1" t="str">
        <f>IFERROR(__xludf.DUMMYFUNCTION("CONCATENATE(GOOGLETRANSLATE(C1114, ""en"", ""ja""))"),"15.6 ""防水ノートブックスリーブバッグケース Lenovo MacBook Apple xiaomi ラップトップ用")</f>
        <v>15.6 "防水ノートブックスリーブバッグケース Lenovo MacBook Apple xiaomi ラップトップ用</v>
      </c>
    </row>
    <row r="1115" ht="15.75" customHeight="1">
      <c r="A1115" s="1">
        <v>2588.0</v>
      </c>
      <c r="B1115" s="1" t="s">
        <v>381</v>
      </c>
      <c r="C1115" s="1" t="s">
        <v>1097</v>
      </c>
      <c r="D1115" s="1" t="str">
        <f>IFERROR(__xludf.DUMMYFUNCTION("CONCATENATE(GOOGLETRANSLATE(C1115, ""en"", ""zh-cn""))"),"Well Star WT-N10 手持迷你 USB 啄木鸟风扇带底座 LED 灯风扇可充电空气冷却器静音冷却风扇适合家庭办公室学生宿舍户外旅行")</f>
        <v>Well Star WT-N10 手持迷你 USB 啄木鸟风扇带底座 LED 灯风扇可充电空气冷却器静音冷却风扇适合家庭办公室学生宿舍户外旅行</v>
      </c>
      <c r="E1115" s="1" t="str">
        <f>IFERROR(__xludf.DUMMYFUNCTION("CONCATENATE(GOOGLETRANSLATE(C1115, ""en"", ""ko""))"),"Well Star WT-N10 기본 LED 조명 램프 팬이 장착된 휴대용 미니 USB 딱따구리 팬 홈 오피스 학생 기숙사 야외 여행을 위한 충전식 공기 냉각기 자동 냉각 팬")</f>
        <v>Well Star WT-N10 기본 LED 조명 램프 팬이 장착된 휴대용 미니 USB 딱따구리 팬 홈 오피스 학생 기숙사 야외 여행을 위한 충전식 공기 냉각기 자동 냉각 팬</v>
      </c>
      <c r="F1115" s="1" t="str">
        <f>IFERROR(__xludf.DUMMYFUNCTION("CONCATENATE(GOOGLETRANSLATE(C1115, ""en"", ""ja""))"),"Well Star WT-N10 ハンドヘルド ミニ USB キツツキファン ベース付き LED ライトランプファン 充電式空気クーラー サイレント冷却ファン ホーム オフィス 学生寮 アウトドア 旅行用")</f>
        <v>Well Star WT-N10 ハンドヘルド ミニ USB キツツキファン ベース付き LED ライトランプファン 充電式空気クーラー サイレント冷却ファン ホーム オフィス 学生寮 アウトドア 旅行用</v>
      </c>
    </row>
    <row r="1116" ht="15.75" customHeight="1">
      <c r="A1116" s="1">
        <v>2589.0</v>
      </c>
      <c r="B1116" s="1" t="s">
        <v>381</v>
      </c>
      <c r="C1116" s="1" t="s">
        <v>1098</v>
      </c>
      <c r="D1116" s="1" t="str">
        <f>IFERROR(__xludf.DUMMYFUNCTION("CONCATENATE(GOOGLETRANSLATE(C1116, ""en"", ""zh-cn""))"),"Well Star WT-F02便携式手持迷你风扇创意桌面迷你风扇USB充电小风扇带可分离支架手机支架 ")</f>
        <v>Well Star WT-F02便携式手持迷你风扇创意桌面迷你风扇USB充电小风扇带可分离支架手机支架 </v>
      </c>
      <c r="E1116" s="1" t="str">
        <f>IFERROR(__xludf.DUMMYFUNCTION("CONCATENATE(GOOGLETRANSLATE(C1116, ""en"", ""ko""))"),"Well Star WT-F02 휴대용 휴대용 미니 팬 크리 에이 티브 데스크탑 미니 팬 USB 분리형 브래킷 휴대 전화 홀더가있는 소형 팬 충전 ")</f>
        <v>Well Star WT-F02 휴대용 휴대용 미니 팬 크리 에이 티브 데스크탑 미니 팬 USB 분리형 브래킷 휴대 전화 홀더가있는 소형 팬 충전 </v>
      </c>
      <c r="F1116" s="1" t="str">
        <f>IFERROR(__xludf.DUMMYFUNCTION("CONCATENATE(GOOGLETRANSLATE(C1116, ""en"", ""ja""))"),"Well Star WT-F02 ポータブルハンドヘルドミニファンクリエイティブデスクトップミニファン USB 充電小型ファン分離可能なブラケット付き携帯電話ホルダー ")</f>
        <v>Well Star WT-F02 ポータブルハンドヘルドミニファンクリエイティブデスクトップミニファン USB 充電小型ファン分離可能なブラケット付き携帯電話ホルダー </v>
      </c>
    </row>
    <row r="1117" ht="15.75" customHeight="1">
      <c r="A1117" s="1">
        <v>2590.0</v>
      </c>
      <c r="B1117" s="1" t="s">
        <v>381</v>
      </c>
      <c r="C1117" s="1" t="s">
        <v>1099</v>
      </c>
      <c r="D1117" s="1" t="str">
        <f>IFERROR(__xludf.DUMMYFUNCTION("CONCATENATE(GOOGLETRANSLATE(C1117, ""en"", ""zh-cn""))"),"50 支装 HB Pencli 绘图书写素描绘画铅笔套装木质美术用品文具学校办公室")</f>
        <v>50 支装 HB Pencli 绘图书写素描绘画铅笔套装木质美术用品文具学校办公室</v>
      </c>
      <c r="E1117" s="1" t="str">
        <f>IFERROR(__xludf.DUMMYFUNCTION("CONCATENATE(GOOGLETRANSLATE(C1117, ""en"", ""ko""))"),"50 Pcs HB Pencli 그리기 쓰기 스케치 그림 연필 세트 나무 미술 용품 ​​편지지 학교 사무실")</f>
        <v>50 Pcs HB Pencli 그리기 쓰기 스케치 그림 연필 세트 나무 미술 용품 ​​편지지 학교 사무실</v>
      </c>
      <c r="F1117" s="1" t="str">
        <f>IFERROR(__xludf.DUMMYFUNCTION("CONCATENATE(GOOGLETRANSLATE(C1117, ""en"", ""ja""))"),"50 個 HB Pencli 描画書き込みスケッチ絵画鉛筆セット木製画材文具学校オフィス")</f>
        <v>50 個 HB Pencli 描画書き込みスケッチ絵画鉛筆セット木製画材文具学校オフィス</v>
      </c>
    </row>
    <row r="1118" ht="15.75" customHeight="1">
      <c r="A1118" s="1">
        <v>2591.0</v>
      </c>
      <c r="B1118" s="1" t="s">
        <v>381</v>
      </c>
      <c r="C1118" s="1" t="s">
        <v>1100</v>
      </c>
      <c r="D1118" s="1" t="str">
        <f>IFERROR(__xludf.DUMMYFUNCTION("CONCATENATE(GOOGLETRANSLATE(C1118, ""en"", ""zh-cn""))"),"加厚帆布 4K 画板包多功能肩背包防水手提包艺术家绘画用品")</f>
        <v>加厚帆布 4K 画板包多功能肩背包防水手提包艺术家绘画用品</v>
      </c>
      <c r="E1118" s="1" t="str">
        <f>IFERROR(__xludf.DUMMYFUNCTION("CONCATENATE(GOOGLETRANSLATE(C1118, ""en"", ""ko""))"),"두꺼운 캔버스 4K 드로잉 보드 가방 다기능 어깨 배낭 방수 핸드 캐리 가방 아티스트 그림 용품")</f>
        <v>두꺼운 캔버스 4K 드로잉 보드 가방 다기능 어깨 배낭 방수 핸드 캐리 가방 아티스트 그림 용품</v>
      </c>
      <c r="F1118" s="1" t="str">
        <f>IFERROR(__xludf.DUMMYFUNCTION("CONCATENATE(GOOGLETRANSLATE(C1118, ""en"", ""ja""))"),"厚手のキャンバス 4K 製図ボードバッグ多機能ショルダーバックパック防水ハンドキャリーバッグアーティスト絵画用品")</f>
        <v>厚手のキャンバス 4K 製図ボードバッグ多機能ショルダーバックパック防水ハンドキャリーバッグアーティスト絵画用品</v>
      </c>
    </row>
    <row r="1119" ht="15.75" customHeight="1">
      <c r="A1119" s="1">
        <v>2592.0</v>
      </c>
      <c r="B1119" s="1" t="s">
        <v>381</v>
      </c>
      <c r="C1119" s="1" t="s">
        <v>1101</v>
      </c>
      <c r="D1119" s="1" t="str">
        <f>IFERROR(__xludf.DUMMYFUNCTION("CONCATENATE(GOOGLETRANSLATE(C1119, ""en"", ""zh-cn""))"),"俄罗斯硅胶键盘套适用于 12.5 英寸 13.3 英寸 AIR 笔记本电脑配件")</f>
        <v>俄罗斯硅胶键盘套适用于 12.5 英寸 13.3 英寸 AIR 笔记本电脑配件</v>
      </c>
      <c r="E1119" s="1" t="str">
        <f>IFERROR(__xludf.DUMMYFUNCTION("CONCATENATE(GOOGLETRANSLATE(C1119, ""en"", ""ko""))"),"12.5 인치 13.3 인치 에어 노트북 노트북 액세서리 용 러시아어 실리콘 키보드 커버")</f>
        <v>12.5 인치 13.3 인치 에어 노트북 노트북 액세서리 용 러시아어 실리콘 키보드 커버</v>
      </c>
      <c r="F1119" s="1" t="str">
        <f>IFERROR(__xludf.DUMMYFUNCTION("CONCATENATE(GOOGLETRANSLATE(C1119, ""en"", ""ja""))"),"ロシアシリコンキーボードカバー 12.5 インチ 13.3 インチ空気ラップトップノートブックアクセサリー")</f>
        <v>ロシアシリコンキーボードカバー 12.5 インチ 13.3 インチ空気ラップトップノートブックアクセサリー</v>
      </c>
    </row>
    <row r="1120" ht="15.75" customHeight="1">
      <c r="A1120" s="1">
        <v>2593.0</v>
      </c>
      <c r="B1120" s="1" t="s">
        <v>381</v>
      </c>
      <c r="C1120" s="1" t="s">
        <v>1102</v>
      </c>
      <c r="D1120" s="1" t="str">
        <f>IFERROR(__xludf.DUMMYFUNCTION("CONCATENATE(GOOGLETRANSLATE(C1120, ""en"", ""zh-cn""))"),"网络线存储箱充电器电线管理电缆存储盒办公室整理器电源板电线盒充电器插座")</f>
        <v>网络线存储箱充电器电线管理电缆存储盒办公室整理器电源板电线盒充电器插座</v>
      </c>
      <c r="E1120" s="1" t="str">
        <f>IFERROR(__xludf.DUMMYFUNCTION("CONCATENATE(GOOGLETRANSLATE(C1120, ""en"", ""ko""))"),"네트워크 라인 보관함 충전기 와이어 관리 케이블 보관함 사무실 주최자 전원 스트립 와이어 케이스 충전기 소켓")</f>
        <v>네트워크 라인 보관함 충전기 와이어 관리 케이블 보관함 사무실 주최자 전원 스트립 와이어 케이스 충전기 소켓</v>
      </c>
      <c r="F1120" s="1" t="str">
        <f>IFERROR(__xludf.DUMMYFUNCTION("CONCATENATE(GOOGLETRANSLATE(C1120, ""en"", ""ja""))"),"ネットワークラインストレージビン充電器ワイヤー管理ケーブルストレージボックスオフィスオーガナイザー電源タップワイヤーケース充電器ソケット")</f>
        <v>ネットワークラインストレージビン充電器ワイヤー管理ケーブルストレージボックスオフィスオーガナイザー電源タップワイヤーケース充電器ソケット</v>
      </c>
    </row>
    <row r="1121" ht="15.75" customHeight="1">
      <c r="A1121" s="1">
        <v>2594.0</v>
      </c>
      <c r="B1121" s="1" t="s">
        <v>381</v>
      </c>
      <c r="C1121" s="1" t="s">
        <v>1103</v>
      </c>
      <c r="D1121" s="1" t="str">
        <f>IFERROR(__xludf.DUMMYFUNCTION("CONCATENATE(GOOGLETRANSLATE(C1121, ""en"", ""zh-cn""))"),"LISEN 4寸多功能数码配件收纳袋随机发货")</f>
        <v>LISEN 4寸多功能数码配件收纳袋随机发货</v>
      </c>
      <c r="E1121" s="1" t="str">
        <f>IFERROR(__xludf.DUMMYFUNCTION("CONCATENATE(GOOGLETRANSLATE(C1121, ""en"", ""ko""))"),"LISEN 4인치 다기능 디지털 액세서리 보관 가방 무작위 배송")</f>
        <v>LISEN 4인치 다기능 디지털 액세서리 보관 가방 무작위 배송</v>
      </c>
      <c r="F1121" s="1" t="str">
        <f>IFERROR(__xludf.DUMMYFUNCTION("CONCATENATE(GOOGLETRANSLATE(C1121, ""en"", ""ja""))"),"LISEN 4 インチ多機能デジタルアクセサリー収納袋ランダム出荷")</f>
        <v>LISEN 4 インチ多機能デジタルアクセサリー収納袋ランダム出荷</v>
      </c>
    </row>
    <row r="1122" ht="15.75" customHeight="1">
      <c r="A1122" s="1">
        <v>2595.0</v>
      </c>
      <c r="B1122" s="1" t="s">
        <v>381</v>
      </c>
      <c r="C1122" s="1" t="s">
        <v>1104</v>
      </c>
      <c r="D1122" s="1" t="str">
        <f>IFERROR(__xludf.DUMMYFUNCTION("CONCATENATE(GOOGLETRANSLATE(C1122, ""en"", ""zh-cn""))"),"LISEN 多功能数码配件收纳包 随机发货")</f>
        <v>LISEN 多功能数码配件收纳包 随机发货</v>
      </c>
      <c r="E1122" s="1" t="str">
        <f>IFERROR(__xludf.DUMMYFUNCTION("CONCATENATE(GOOGLETRANSLATE(C1122, ""en"", ""ko""))"),"LISEN 다기능 디지털 액세서리 보관 가방 무작위 배송")</f>
        <v>LISEN 다기능 디지털 액세서리 보관 가방 무작위 배송</v>
      </c>
      <c r="F1122" s="1" t="str">
        <f>IFERROR(__xludf.DUMMYFUNCTION("CONCATENATE(GOOGLETRANSLATE(C1122, ""en"", ""ja""))"),"LISEN 多機能デジタル アクセサリー収納バッグ ランダム発送")</f>
        <v>LISEN 多機能デジタル アクセサリー収納バッグ ランダム発送</v>
      </c>
    </row>
    <row r="1123" ht="15.75" customHeight="1">
      <c r="A1123" s="1">
        <v>2596.0</v>
      </c>
      <c r="B1123" s="1" t="s">
        <v>381</v>
      </c>
      <c r="C1123" s="1" t="s">
        <v>1105</v>
      </c>
      <c r="D1123" s="1" t="str">
        <f>IFERROR(__xludf.DUMMYFUNCTION("CONCATENATE(GOOGLETRANSLATE(C1123, ""en"", ""zh-cn""))"),"LISEN 8寸多功能数码配件收纳袋随机发货")</f>
        <v>LISEN 8寸多功能数码配件收纳袋随机发货</v>
      </c>
      <c r="E1123" s="1" t="str">
        <f>IFERROR(__xludf.DUMMYFUNCTION("CONCATENATE(GOOGLETRANSLATE(C1123, ""en"", ""ko""))"),"LISEN 8인치 다기능 디지털 액세서리 보관 가방 무작위 배송")</f>
        <v>LISEN 8인치 다기능 디지털 액세서리 보관 가방 무작위 배송</v>
      </c>
      <c r="F1123" s="1" t="str">
        <f>IFERROR(__xludf.DUMMYFUNCTION("CONCATENATE(GOOGLETRANSLATE(C1123, ""en"", ""ja""))"),"LISEN 8 インチ多機能デジタルアクセサリー収納袋ランダム出荷")</f>
        <v>LISEN 8 インチ多機能デジタルアクセサリー収納袋ランダム出荷</v>
      </c>
    </row>
    <row r="1124" ht="15.75" customHeight="1">
      <c r="A1124" s="1">
        <v>2597.0</v>
      </c>
      <c r="B1124" s="1" t="s">
        <v>381</v>
      </c>
      <c r="C1124" s="1" t="s">
        <v>1106</v>
      </c>
      <c r="D1124" s="1" t="str">
        <f>IFERROR(__xludf.DUMMYFUNCTION("CONCATENATE(GOOGLETRANSLATE(C1124, ""en"", ""zh-cn""))"),"PU 皮革折叠支架保护套适用于 Aoson M701FD 平板电脑")</f>
        <v>PU 皮革折叠支架保护套适用于 Aoson M701FD 平板电脑</v>
      </c>
      <c r="E1124" s="1" t="str">
        <f>IFERROR(__xludf.DUMMYFUNCTION("CONCATENATE(GOOGLETRANSLATE(C1124, ""en"", ""ko""))"),"Aoson M701FD 태블릿용 PU 가죽 접이식 스탠드 케이스 커버")</f>
        <v>Aoson M701FD 태블릿용 PU 가죽 접이식 스탠드 케이스 커버</v>
      </c>
      <c r="F1124" s="1" t="str">
        <f>IFERROR(__xludf.DUMMYFUNCTION("CONCATENATE(GOOGLETRANSLATE(C1124, ""en"", ""ja""))"),"Aoson M701FD タブレット用 PU レザー折りたたみスタンド ケース カバー")</f>
        <v>Aoson M701FD タブレット用 PU レザー折りたたみスタンド ケース カバー</v>
      </c>
    </row>
    <row r="1125" ht="15.75" customHeight="1">
      <c r="A1125" s="1">
        <v>2598.0</v>
      </c>
      <c r="B1125" s="1" t="s">
        <v>381</v>
      </c>
      <c r="C1125" s="1" t="s">
        <v>1107</v>
      </c>
      <c r="D1125" s="1" t="str">
        <f>IFERROR(__xludf.DUMMYFUNCTION("CONCATENATE(GOOGLETRANSLATE(C1125, ""en"", ""zh-cn""))"),"小米Mipad 2纳米防爆防震屏幕保护膜")</f>
        <v>小米Mipad 2纳米防爆防震屏幕保护膜</v>
      </c>
      <c r="E1125" s="1" t="str">
        <f>IFERROR(__xludf.DUMMYFUNCTION("CONCATENATE(GOOGLETRANSLATE(C1125, ""en"", ""ko""))"),"Xiaomi Mipad 2용 나노 폭발 방지 충격 방지 화면 보호기")</f>
        <v>Xiaomi Mipad 2용 나노 폭발 방지 충격 방지 화면 보호기</v>
      </c>
      <c r="F1125" s="1" t="str">
        <f>IFERROR(__xludf.DUMMYFUNCTION("CONCATENATE(GOOGLETRANSLATE(C1125, ""en"", ""ja""))"),"Xiaomi Mipad 2 用ナノ防爆耐衝撃スクリーン プロテクター")</f>
        <v>Xiaomi Mipad 2 用ナノ防爆耐衝撃スクリーン プロテクター</v>
      </c>
    </row>
    <row r="1126" ht="15.75" customHeight="1">
      <c r="A1126" s="1">
        <v>2599.0</v>
      </c>
      <c r="B1126" s="1" t="s">
        <v>381</v>
      </c>
      <c r="C1126" s="1" t="s">
        <v>1108</v>
      </c>
      <c r="D1126" s="1" t="str">
        <f>IFERROR(__xludf.DUMMYFUNCTION("CONCATENATE(GOOGLETRANSLATE(C1126, ""en"", ""zh-cn""))"),"Zhuting S9010 9支尼龙实用书写毛笔用品")</f>
        <v>Zhuting S9010 9支尼龙实用书写毛笔用品</v>
      </c>
      <c r="E1126" s="1" t="str">
        <f>IFERROR(__xludf.DUMMYFUNCTION("CONCATENATE(GOOGLETRANSLATE(C1126, ""en"", ""ko""))"),"Zhuting S9010 9Pcs 나일론 실용 붓 용품")</f>
        <v>Zhuting S9010 9Pcs 나일론 실용 붓 용품</v>
      </c>
      <c r="F1126" s="1" t="str">
        <f>IFERROR(__xludf.DUMMYFUNCTION("CONCATENATE(GOOGLETRANSLATE(C1126, ""en"", ""ja""))"),"Zhuting S9010 9 個ナイロン実用筆記用具")</f>
        <v>Zhuting S9010 9 個ナイロン実用筆記用具</v>
      </c>
    </row>
    <row r="1127" ht="15.75" customHeight="1">
      <c r="A1127" s="1">
        <v>2600.0</v>
      </c>
      <c r="B1127" s="1" t="s">
        <v>381</v>
      </c>
      <c r="C1127" s="1" t="s">
        <v>1109</v>
      </c>
      <c r="D1127" s="1" t="str">
        <f>IFERROR(__xludf.DUMMYFUNCTION("CONCATENATE(GOOGLETRANSLATE(C1127, ""en"", ""zh-cn""))"),"朱婷 ZN 0015A 12支短杆铜管尼龙毛笔用品")</f>
        <v>朱婷 ZN 0015A 12支短杆铜管尼龙毛笔用品</v>
      </c>
      <c r="E1127" s="1" t="str">
        <f>IFERROR(__xludf.DUMMYFUNCTION("CONCATENATE(GOOGLETRANSLATE(C1127, ""en"", ""ko""))"),"Zhuting ZN 0015A 12 Pcs 짧은 막대 구리 튜브 나일론 쓰기 브러쉬 용품")</f>
        <v>Zhuting ZN 0015A 12 Pcs 짧은 막대 구리 튜브 나일론 쓰기 브러쉬 용품</v>
      </c>
      <c r="F1127" s="1" t="str">
        <f>IFERROR(__xludf.DUMMYFUNCTION("CONCATENATE(GOOGLETRANSLATE(C1127, ""en"", ""ja""))"),"Zhuting ZN 0015A 12 個ショートロッド銅管ナイロン筆記用ブラシ用品")</f>
        <v>Zhuting ZN 0015A 12 個ショートロッド銅管ナイロン筆記用ブラシ用品</v>
      </c>
    </row>
    <row r="1128" ht="15.75" customHeight="1">
      <c r="A1128" s="1">
        <v>2601.0</v>
      </c>
      <c r="B1128" s="1" t="s">
        <v>381</v>
      </c>
      <c r="C1128" s="1" t="s">
        <v>1110</v>
      </c>
      <c r="D1128" s="1" t="str">
        <f>IFERROR(__xludf.DUMMYFUNCTION("CONCATENATE(GOOGLETRANSLATE(C1128, ""en"", ""zh-cn""))"),"折叠支架 PU 皮革保护套适用于 10.6 英寸 ALLDOCUBE Cube Talk11 U81 平板电脑")</f>
        <v>折叠支架 PU 皮革保护套适用于 10.6 英寸 ALLDOCUBE Cube Talk11 U81 平板电脑</v>
      </c>
      <c r="E1128" s="1" t="str">
        <f>IFERROR(__xludf.DUMMYFUNCTION("CONCATENATE(GOOGLETRANSLATE(C1128, ""en"", ""ko""))"),"10.6인치 ALLDOCUBE Cube Talk11 U81 태블릿용 접이식 스탠드 PU 가죽 케이스 커버")</f>
        <v>10.6인치 ALLDOCUBE Cube Talk11 U81 태블릿용 접이식 스탠드 PU 가죽 케이스 커버</v>
      </c>
      <c r="F1128" s="1" t="str">
        <f>IFERROR(__xludf.DUMMYFUNCTION("CONCATENATE(GOOGLETRANSLATE(C1128, ""en"", ""ja""))"),"10.6インチALLDOCUBE Cube Talk11 U81タブレット用折りたたみスタンドPUレザーケースカバー")</f>
        <v>10.6インチALLDOCUBE Cube Talk11 U81タブレット用折りたたみスタンドPUレザーケースカバー</v>
      </c>
    </row>
    <row r="1129" ht="15.75" customHeight="1">
      <c r="A1129" s="1">
        <v>2602.0</v>
      </c>
      <c r="B1129" s="1" t="s">
        <v>381</v>
      </c>
      <c r="C1129" s="1" t="s">
        <v>1111</v>
      </c>
      <c r="D1129" s="1" t="str">
        <f>IFERROR(__xludf.DUMMYFUNCTION("CONCATENATE(GOOGLETRANSLATE(C1129, ""en"", ""zh-cn""))"),"高品质便携式笔记本电脑支架铝合金适用于 MacBook 平板电脑支架带冷却功能")</f>
        <v>高品质便携式笔记本电脑支架铝合金适用于 MacBook 平板电脑支架带冷却功能</v>
      </c>
      <c r="E1129" s="1" t="str">
        <f>IFERROR(__xludf.DUMMYFUNCTION("CONCATENATE(GOOGLETRANSLATE(C1129, ""en"", ""ko""))"),"냉각 기능이 있는 MacBook 태블릿 홀더용 고품질 휴대용 노트북 스탠드 알루미늄 합금")</f>
        <v>냉각 기능이 있는 MacBook 태블릿 홀더용 고품질 휴대용 노트북 스탠드 알루미늄 합금</v>
      </c>
      <c r="F1129" s="1" t="str">
        <f>IFERROR(__xludf.DUMMYFUNCTION("CONCATENATE(GOOGLETRANSLATE(C1129, ""en"", ""ja""))"),"高品質ポータブルラップトップスタンドアルミニウム合金 MacBook タブレットホルダー用冷却機能")</f>
        <v>高品質ポータブルラップトップスタンドアルミニウム合金 MacBook タブレットホルダー用冷却機能</v>
      </c>
    </row>
    <row r="1130" ht="15.75" customHeight="1">
      <c r="A1130" s="1">
        <v>2603.0</v>
      </c>
      <c r="B1130" s="1" t="s">
        <v>381</v>
      </c>
      <c r="C1130" s="1" t="s">
        <v>1112</v>
      </c>
      <c r="D1130" s="1" t="str">
        <f>IFERROR(__xludf.DUMMYFUNCTION("CONCATENATE(GOOGLETRANSLATE(C1130, ""en"", ""zh-cn""))"),"Allwin 661A1 A1 PVC长方形切割垫五层白色芯垫切割垫工具布料皮革纸工艺DIY工具")</f>
        <v>Allwin 661A1 A1 PVC长方形切割垫五层白色芯垫切割垫工具布料皮革纸工艺DIY工具</v>
      </c>
      <c r="E1130" s="1" t="str">
        <f>IFERROR(__xludf.DUMMYFUNCTION("CONCATENATE(GOOGLETRANSLATE(C1130, ""en"", ""ko""))"),"Allwin 661A1 A1 PVC 직사각형 커팅 매트 5 층 흰색 코어 패드 커팅 매트 도구 패브릭 가죽 종이 공예 DIY 도구")</f>
        <v>Allwin 661A1 A1 PVC 직사각형 커팅 매트 5 층 흰색 코어 패드 커팅 매트 도구 패브릭 가죽 종이 공예 DIY 도구</v>
      </c>
      <c r="F1130" s="1" t="str">
        <f>IFERROR(__xludf.DUMMYFUNCTION("CONCATENATE(GOOGLETRANSLATE(C1130, ""en"", ""ja""))"),"Allwin 661A1 A1 PVC 長方形カッティングマット 5 層白コアパッドカッティングマットツール生地レザーペーパークラフト DIY ツール")</f>
        <v>Allwin 661A1 A1 PVC 長方形カッティングマット 5 層白コアパッドカッティングマットツール生地レザーペーパークラフト DIY ツール</v>
      </c>
    </row>
    <row r="1131" ht="15.75" customHeight="1">
      <c r="A1131" s="1">
        <v>2604.0</v>
      </c>
      <c r="B1131" s="1" t="s">
        <v>381</v>
      </c>
      <c r="C1131" s="1" t="s">
        <v>1113</v>
      </c>
      <c r="D1131" s="1" t="str">
        <f>IFERROR(__xludf.DUMMYFUNCTION("CONCATENATE(GOOGLETRANSLATE(C1131, ""en"", ""zh-cn""))"),"Jordan&amp;Judy JJ-YD0026 彩色图钉 活页夹 金属图钉 地图绘图图钉 工艺品 办公配件 学校用品 文具")</f>
        <v>Jordan&amp;Judy JJ-YD0026 彩色图钉 活页夹 金属图钉 地图绘图图钉 工艺品 办公配件 学校用品 文具</v>
      </c>
      <c r="E1131" s="1" t="str">
        <f>IFERROR(__xludf.DUMMYFUNCTION("CONCATENATE(GOOGLETRANSLATE(C1131, ""en"", ""ko""))"),"Jordan &amp; Judy JJ-YD0026 컬러 푸시 핀 바인더 클립 금속 엄지 압정지도 그리기 푸시 핀 공예 사무용품 학교 용품 편지지")</f>
        <v>Jordan &amp; Judy JJ-YD0026 컬러 푸시 핀 바인더 클립 금속 엄지 압정지도 그리기 푸시 핀 공예 사무용품 학교 용품 편지지</v>
      </c>
      <c r="F1131" s="1" t="str">
        <f>IFERROR(__xludf.DUMMYFUNCTION("CONCATENATE(GOOGLETRANSLATE(C1131, ""en"", ""ja""))"),"Jordan&amp;Judy JJ-YD0026 カラープッシュピン バインダークリップ 金属製画鋲 地図描画プッシュピン 工芸品 オフィスアクセサリー 学用品 文房具")</f>
        <v>Jordan&amp;Judy JJ-YD0026 カラープッシュピン バインダークリップ 金属製画鋲 地図描画プッシュピン 工芸品 オフィスアクセサリー 学用品 文房具</v>
      </c>
    </row>
    <row r="1132" ht="15.75" customHeight="1">
      <c r="A1132" s="1">
        <v>2605.0</v>
      </c>
      <c r="B1132" s="1" t="s">
        <v>381</v>
      </c>
      <c r="C1132" s="1" t="s">
        <v>1114</v>
      </c>
      <c r="D1132" s="1" t="str">
        <f>IFERROR(__xludf.DUMMYFUNCTION("CONCATENATE(GOOGLETRANSLATE(C1132, ""en"", ""zh-cn""))"),"复古金属经典印章密封印章艺术和工艺品婚礼邀请函")</f>
        <v>复古金属经典印章密封印章艺术和工艺品婚礼邀请函</v>
      </c>
      <c r="E1132" s="1" t="str">
        <f>IFERROR(__xludf.DUMMYFUNCTION("CONCATENATE(GOOGLETRANSLATE(C1132, ""en"", ""ko""))"),"예술과 공예 결혼식 초대장을 위한 빈티지 금속 클래식 인감 씰링 인감 스탬프")</f>
        <v>예술과 공예 결혼식 초대장을 위한 빈티지 금속 클래식 인감 씰링 인감 스탬프</v>
      </c>
      <c r="F1132" s="1" t="str">
        <f>IFERROR(__xludf.DUMMYFUNCTION("CONCATENATE(GOOGLETRANSLATE(C1132, ""en"", ""ja""))"),"ヴィンテージメタルクラシックシールシールシールスタンプ美術工芸品結婚式の招待状")</f>
        <v>ヴィンテージメタルクラシックシールシールシールスタンプ美術工芸品結婚式の招待状</v>
      </c>
    </row>
    <row r="1133" ht="15.75" customHeight="1">
      <c r="A1133" s="1">
        <v>2606.0</v>
      </c>
      <c r="B1133" s="1" t="s">
        <v>381</v>
      </c>
      <c r="C1133" s="1" t="s">
        <v>1115</v>
      </c>
      <c r="D1133" s="1" t="str">
        <f>IFERROR(__xludf.DUMMYFUNCTION("CONCATENATE(GOOGLETRANSLATE(C1133, ""en"", ""zh-cn""))"),"Jordan&amp;Judy JJ-YD0031 3 件装涂鸦笔记本记事本素描涂鸦笔记本作画绘画办公学习用品文具礼品")</f>
        <v>Jordan&amp;Judy JJ-YD0031 3 件装涂鸦笔记本记事本素描涂鸦笔记本作画绘画办公学习用品文具礼品</v>
      </c>
      <c r="E1133" s="1" t="str">
        <f>IFERROR(__xludf.DUMMYFUNCTION("CONCATENATE(GOOGLETRANSLATE(C1133, ""en"", ""ko""))"),"Jordan &amp; Judy JJ-YD0031 3PCS 낙서 노트 메모장 스케치 낙서 노트 그림 그리기 사무실 학교 용품 편지지 선물")</f>
        <v>Jordan &amp; Judy JJ-YD0031 3PCS 낙서 노트 메모장 스케치 낙서 노트 그림 그리기 사무실 학교 용품 편지지 선물</v>
      </c>
      <c r="F1133" s="1" t="str">
        <f>IFERROR(__xludf.DUMMYFUNCTION("CONCATENATE(GOOGLETRANSLATE(C1133, ""en"", ""ja""))"),"ジョーダン &amp; ジュディ JJ-YD0031 3 個落書きノートブックメモ帳スケッチ落書きノートノート描画絵画オフィス学用品文具ギフト")</f>
        <v>ジョーダン &amp; ジュディ JJ-YD0031 3 個落書きノートブックメモ帳スケッチ落書きノートノート描画絵画オフィス学用品文具ギフト</v>
      </c>
    </row>
    <row r="1134" ht="15.75" customHeight="1">
      <c r="A1134" s="1">
        <v>2607.0</v>
      </c>
      <c r="B1134" s="1" t="s">
        <v>381</v>
      </c>
      <c r="C1134" s="1" t="s">
        <v>1116</v>
      </c>
      <c r="D1134" s="1" t="str">
        <f>IFERROR(__xludf.DUMMYFUNCTION("CONCATENATE(GOOGLETRANSLATE(C1134, ""en"", ""zh-cn""))"),"Touchlecai A3/A4绘画纸记号笔专用手绘纸书双面绘画不透水30页纸适合绘画初学者")</f>
        <v>Touchlecai A3/A4绘画纸记号笔专用手绘纸书双面绘画不透水30页纸适合绘画初学者</v>
      </c>
      <c r="E1134" s="1" t="str">
        <f>IFERROR(__xludf.DUMMYFUNCTION("CONCATENATE(GOOGLETRANSLATE(C1134, ""en"", ""ko""))"),"Touchlecai A3/A4 그림 용지 마커 전용 손으로 그린 ​​종이 책 양면 그림 불침투성 30 페이지 그리기 초보 예술가를 위한 종이")</f>
        <v>Touchlecai A3/A4 그림 용지 마커 전용 손으로 그린 ​​종이 책 양면 그림 불침투성 30 페이지 그리기 초보 예술가를 위한 종이</v>
      </c>
      <c r="F1134" s="1" t="str">
        <f>IFERROR(__xludf.DUMMYFUNCTION("CONCATENATE(GOOGLETRANSLATE(C1134, ""en"", ""ja""))"),"Touchlecai A3/A4 画用紙マーカー専用 手描き紙本 両面絵画 不浸透性 30 ページ用紙 描画初心者向け")</f>
        <v>Touchlecai A3/A4 画用紙マーカー専用 手描き紙本 両面絵画 不浸透性 30 ページ用紙 描画初心者向け</v>
      </c>
    </row>
    <row r="1135" ht="15.75" customHeight="1">
      <c r="A1135" s="1">
        <v>2608.0</v>
      </c>
      <c r="B1135" s="1" t="s">
        <v>381</v>
      </c>
      <c r="C1135" s="1" t="s">
        <v>1117</v>
      </c>
      <c r="D1135" s="1" t="str">
        <f>IFERROR(__xludf.DUMMYFUNCTION("CONCATENATE(GOOGLETRANSLATE(C1135, ""en"", ""zh-cn""))"),"锐艺A38K9K一次性中性可撕绘画纸着色水粉绘画纸")</f>
        <v>锐艺A38K9K一次性中性可撕绘画纸着色水粉绘画纸</v>
      </c>
      <c r="E1135" s="1" t="str">
        <f>IFERROR(__xludf.DUMMYFUNCTION("CONCATENATE(GOOGLETRANSLATE(C1135, ""en"", ""ko""))"),"Ruiyi A38K9K 일회용 중립 찢을 수 있는 도화지 색칠용 구아슈 그림 용지")</f>
        <v>Ruiyi A38K9K 일회용 중립 찢을 수 있는 도화지 색칠용 구아슈 그림 용지</v>
      </c>
      <c r="F1135" s="1" t="str">
        <f>IFERROR(__xludf.DUMMYFUNCTION("CONCATENATE(GOOGLETRANSLATE(C1135, ""en"", ""ja""))"),"Ruiyi A38K9K 使い捨て中性引き裂き画用紙ぬりえガッシュ画用紙")</f>
        <v>Ruiyi A38K9K 使い捨て中性引き裂き画用紙ぬりえガッシュ画用紙</v>
      </c>
    </row>
    <row r="1136" ht="15.75" customHeight="1">
      <c r="A1136" s="1">
        <v>2609.0</v>
      </c>
      <c r="B1136" s="1" t="s">
        <v>381</v>
      </c>
      <c r="C1136" s="1" t="s">
        <v>1118</v>
      </c>
      <c r="D1136" s="1" t="str">
        <f>IFERROR(__xludf.DUMMYFUNCTION("CONCATENATE(GOOGLETRANSLATE(C1136, ""en"", ""zh-cn""))"),"Fothwin 19.5V 3.33A 65W 接口 4.5×3.0mm 笔记本电脑交流电源适配器笔记本充电器适用于惠普")</f>
        <v>Fothwin 19.5V 3.33A 65W 接口 4.5×3.0mm 笔记本电脑交流电源适配器笔记本充电器适用于惠普</v>
      </c>
      <c r="E1136" s="1" t="str">
        <f>IFERROR(__xludf.DUMMYFUNCTION("CONCATENATE(GOOGLETRANSLATE(C1136, ""en"", ""ko""))"),"HP용 Fothwin 19.5V 3.33A 65W 인터페이스 4.5×3.0mm 노트북 AC 전원 어댑터 노트북 충전기")</f>
        <v>HP용 Fothwin 19.5V 3.33A 65W 인터페이스 4.5×3.0mm 노트북 AC 전원 어댑터 노트북 충전기</v>
      </c>
      <c r="F1136" s="1" t="str">
        <f>IFERROR(__xludf.DUMMYFUNCTION("CONCATENATE(GOOGLETRANSLATE(C1136, ""en"", ""ja""))"),"Fothwin 19.5V 3.33A 65 ワットインターフェイス 4.5 × 3.0 ミリメートルラップトップ AC 電源アダプタノートブック充電器 HP")</f>
        <v>Fothwin 19.5V 3.33A 65 ワットインターフェイス 4.5 × 3.0 ミリメートルラップトップ AC 電源アダプタノートブック充電器 HP</v>
      </c>
    </row>
    <row r="1137" ht="15.75" customHeight="1">
      <c r="A1137" s="1">
        <v>2610.0</v>
      </c>
      <c r="B1137" s="1" t="s">
        <v>381</v>
      </c>
      <c r="C1137" s="1" t="s">
        <v>1119</v>
      </c>
      <c r="D1137" s="1" t="str">
        <f>IFERROR(__xludf.DUMMYFUNCTION("CONCATENATE(GOOGLETRANSLATE(C1137, ""en"", ""zh-cn""))"),"50 件/批 115x68 毫米立式参展商学生工作卡套圈卡盒")</f>
        <v>50 件/批 115x68 毫米立式参展商学生工作卡套圈卡盒</v>
      </c>
      <c r="E1137" s="1" t="str">
        <f>IFERROR(__xludf.DUMMYFUNCTION("CONCATENATE(GOOGLETRANSLATE(C1137, ""en"", ""ko""))"),"50 개/몫 115x68mm 세로 형태 전시자 학생 작업 카드 페럴 카드 케이스")</f>
        <v>50 개/몫 115x68mm 세로 형태 전시자 학생 작업 카드 페럴 카드 케이스</v>
      </c>
      <c r="F1137" s="1" t="str">
        <f>IFERROR(__xludf.DUMMYFUNCTION("CONCATENATE(GOOGLETRANSLATE(C1137, ""en"", ""ja""))"),"50 ピース/ロット 115 × 68 ミリメートル縦型フォーム出展者学生ワークカードフェルールカードケース")</f>
        <v>50 ピース/ロット 115 × 68 ミリメートル縦型フォーム出展者学生ワークカードフェルールカードケース</v>
      </c>
    </row>
    <row r="1138" ht="15.75" customHeight="1">
      <c r="A1138" s="1">
        <v>2611.0</v>
      </c>
      <c r="B1138" s="1" t="s">
        <v>381</v>
      </c>
      <c r="C1138" s="1" t="s">
        <v>1120</v>
      </c>
      <c r="D1138" s="1" t="str">
        <f>IFERROR(__xludf.DUMMYFUNCTION("CONCATENATE(GOOGLETRANSLATE(C1138, ""en"", ""zh-cn""))"),"3 层办公室铁丝网文件托盘网状办公桌托盘收纳架信件存储")</f>
        <v>3 层办公室铁丝网文件托盘网状办公桌托盘收纳架信件存储</v>
      </c>
      <c r="E1138" s="1" t="str">
        <f>IFERROR(__xludf.DUMMYFUNCTION("CONCATENATE(GOOGLETRANSLATE(C1138, ""en"", ""ko""))"),"3단 사무실 철조망 파일 트레이 메쉬 데스크 트레이 정리 선반 편지 보관함")</f>
        <v>3단 사무실 철조망 파일 트레이 메쉬 데스크 트레이 정리 선반 편지 보관함</v>
      </c>
      <c r="F1138" s="1" t="str">
        <f>IFERROR(__xludf.DUMMYFUNCTION("CONCATENATE(GOOGLETRANSLATE(C1138, ""en"", ""ja""))"),"3層オフィス有刺鉄線ファイルトレイメッシュデスクトレイオーガナイザー棚レターストレージ")</f>
        <v>3層オフィス有刺鉄線ファイルトレイメッシュデスクトレイオーガナイザー棚レターストレージ</v>
      </c>
    </row>
    <row r="1139" ht="15.75" customHeight="1">
      <c r="A1139" s="1">
        <v>2612.0</v>
      </c>
      <c r="B1139" s="1" t="s">
        <v>381</v>
      </c>
      <c r="C1139" s="1" t="s">
        <v>1121</v>
      </c>
      <c r="D1139" s="1" t="str">
        <f>IFERROR(__xludf.DUMMYFUNCTION("CONCATENATE(GOOGLETRANSLATE(C1139, ""en"", ""zh-cn""))"),"USB 3.1 Type-C 公头转 VGA 母头适配器电缆转换器 ")</f>
        <v>USB 3.1 Type-C 公头转 VGA 母头适配器电缆转换器 </v>
      </c>
      <c r="E1139" s="1" t="str">
        <f>IFERROR(__xludf.DUMMYFUNCTION("CONCATENATE(GOOGLETRANSLATE(C1139, ""en"", ""ko""))"),"USB 3.1 Type-C Male-VGA Female 어댑터 케이블 변환기 ")</f>
        <v>USB 3.1 Type-C Male-VGA Female 어댑터 케이블 변환기 </v>
      </c>
      <c r="F1139" s="1" t="str">
        <f>IFERROR(__xludf.DUMMYFUNCTION("CONCATENATE(GOOGLETRANSLATE(C1139, ""en"", ""ja""))"),"USB 3.1 Type-C オス - VGA メス アダプター ケーブル コンバーター ")</f>
        <v>USB 3.1 Type-C オス - VGA メス アダプター ケーブル コンバーター </v>
      </c>
    </row>
    <row r="1140" ht="15.75" customHeight="1">
      <c r="A1140" s="1">
        <v>2613.0</v>
      </c>
      <c r="B1140" s="1" t="s">
        <v>381</v>
      </c>
      <c r="C1140" s="1" t="s">
        <v>1122</v>
      </c>
      <c r="D1140" s="1" t="str">
        <f>IFERROR(__xludf.DUMMYFUNCTION("CONCATENATE(GOOGLETRANSLATE(C1140, ""en"", ""zh-cn""))"),"PIPO P1 3G 内屏更换维修零件")</f>
        <v>PIPO P1 3G 内屏更换维修零件</v>
      </c>
      <c r="E1140" s="1" t="str">
        <f>IFERROR(__xludf.DUMMYFUNCTION("CONCATENATE(GOOGLETRANSLATE(C1140, ""en"", ""ko""))"),"PIPO P1 3G용 내부 화면 교체 수리 부품")</f>
        <v>PIPO P1 3G용 내부 화면 교체 수리 부품</v>
      </c>
      <c r="F1140" s="1" t="str">
        <f>IFERROR(__xludf.DUMMYFUNCTION("CONCATENATE(GOOGLETRANSLATE(C1140, ""en"", ""ja""))"),"PIPO P1 3G用インナースクリーン交換修理部品")</f>
        <v>PIPO P1 3G用インナースクリーン交換修理部品</v>
      </c>
    </row>
    <row r="1141" ht="15.75" customHeight="1">
      <c r="A1141" s="1">
        <v>2614.0</v>
      </c>
      <c r="B1141" s="1" t="s">
        <v>381</v>
      </c>
      <c r="C1141" s="1" t="s">
        <v>1123</v>
      </c>
      <c r="D1141" s="1" t="str">
        <f>IFERROR(__xludf.DUMMYFUNCTION("CONCATENATE(GOOGLETRANSLATE(C1141, ""en"", ""zh-cn""))"),"Well Star WT-M6 便携式迷你 USB 风扇手持充电台式空气冷却风扇适合家庭办公室学生宿舍户外旅行")</f>
        <v>Well Star WT-M6 便携式迷你 USB 风扇手持充电台式空气冷却风扇适合家庭办公室学生宿舍户外旅行</v>
      </c>
      <c r="E1141" s="1" t="str">
        <f>IFERROR(__xludf.DUMMYFUNCTION("CONCATENATE(GOOGLETRANSLATE(C1141, ""en"", ""ko""))"),"Well Star WT-M6 휴대용 미니 USB 팬 홈 오피스 학생 기숙사 야외 여행을위한 휴대용 충전식 데스크탑 공기 냉각 팬")</f>
        <v>Well Star WT-M6 휴대용 미니 USB 팬 홈 오피스 학생 기숙사 야외 여행을위한 휴대용 충전식 데스크탑 공기 냉각 팬</v>
      </c>
      <c r="F1141" s="1" t="str">
        <f>IFERROR(__xludf.DUMMYFUNCTION("CONCATENATE(GOOGLETRANSLATE(C1141, ""en"", ""ja""))"),"Well Star WT-M6 ポータブルミニ USB ファンハンドヘルド充電式デスクトップ空冷ファンホームオフィス学生寮屋外旅行")</f>
        <v>Well Star WT-M6 ポータブルミニ USB ファンハンドヘルド充電式デスクトップ空冷ファンホームオフィス学生寮屋外旅行</v>
      </c>
    </row>
    <row r="1142" ht="15.75" customHeight="1">
      <c r="A1142" s="1">
        <v>2615.0</v>
      </c>
      <c r="B1142" s="1" t="s">
        <v>381</v>
      </c>
      <c r="C1142" s="1" t="s">
        <v>1124</v>
      </c>
      <c r="D1142" s="1" t="str">
        <f>IFERROR(__xludf.DUMMYFUNCTION("CONCATENATE(GOOGLETRANSLATE(C1142, ""en"", ""zh-cn""))"),"支架翻盖对开保护套 PU 皮革平板电脑保护套适用于 12.2 英寸 Teclast Tbook12 Pro 平板电脑")</f>
        <v>支架翻盖对开保护套 PU 皮革平板电脑保护套适用于 12.2 英寸 Teclast Tbook12 Pro 平板电脑</v>
      </c>
      <c r="E1142" s="1" t="str">
        <f>IFERROR(__xludf.DUMMYFUNCTION("CONCATENATE(GOOGLETRANSLATE(C1142, ""en"", ""ko""))"),"스탠드 플립 폴리오 커버 12.2 인치 Teclast Tbook12 Pro 태블릿 용 PU 가죽 태블릿 케이스 커버")</f>
        <v>스탠드 플립 폴리오 커버 12.2 인치 Teclast Tbook12 Pro 태블릿 용 PU 가죽 태블릿 케이스 커버</v>
      </c>
      <c r="F1142" s="1" t="str">
        <f>IFERROR(__xludf.DUMMYFUNCTION("CONCATENATE(GOOGLETRANSLATE(C1142, ""en"", ""ja""))"),"スタンドフリップフォリオカバー PU レザータブレットケースカバー 12.2 インチ Teclast Tbook12 Pro タブレット用")</f>
        <v>スタンドフリップフォリオカバー PU レザータブレットケースカバー 12.2 インチ Teclast Tbook12 Pro タブレット用</v>
      </c>
    </row>
    <row r="1143" ht="15.75" customHeight="1">
      <c r="A1143" s="1">
        <v>2616.0</v>
      </c>
      <c r="B1143" s="1" t="s">
        <v>381</v>
      </c>
      <c r="C1143" s="1" t="s">
        <v>1125</v>
      </c>
      <c r="D1143" s="1" t="str">
        <f>IFERROR(__xludf.DUMMYFUNCTION("CONCATENATE(GOOGLETRANSLATE(C1143, ""en"", ""zh-cn""))"),"圣诞文具套装 6 x 蜡笔 2 x 锋利铅笔 1 x 铁笔盒 绘图笔记本 橡胶尺 ")</f>
        <v>圣诞文具套装 6 x 蜡笔 2 x 锋利铅笔 1 x 铁笔盒 绘图笔记本 橡胶尺 </v>
      </c>
      <c r="E1143" s="1" t="str">
        <f>IFERROR(__xludf.DUMMYFUNCTION("CONCATENATE(GOOGLETRANSLATE(C1143, ""en"", ""ko""))"),"크리스마스 문구 세트 6 x 크레용 2 x 연필 샤프 1 x 철 펜 상자 드로잉 노트 고무 눈금자 ")</f>
        <v>크리스마스 문구 세트 6 x 크레용 2 x 연필 샤프 1 x 철 펜 상자 드로잉 노트 고무 눈금자 </v>
      </c>
      <c r="F1143" s="1" t="str">
        <f>IFERROR(__xludf.DUMMYFUNCTION("CONCATENATE(GOOGLETRANSLATE(C1143, ""en"", ""ja""))"),"クリスマス文具セット 6 x クレヨン 2 x 鉛筆シャープ 1 x 鉄ペンボックス 描画ノート ゴム定規 ")</f>
        <v>クリスマス文具セット 6 x クレヨン 2 x 鉛筆シャープ 1 x 鉄ペンボックス 描画ノート ゴム定規 </v>
      </c>
    </row>
    <row r="1144" ht="15.75" customHeight="1">
      <c r="A1144" s="1">
        <v>2617.0</v>
      </c>
      <c r="B1144" s="1" t="s">
        <v>381</v>
      </c>
      <c r="C1144" s="1" t="s">
        <v>1126</v>
      </c>
      <c r="D1144" s="1" t="str">
        <f>IFERROR(__xludf.DUMMYFUNCTION("CONCATENATE(GOOGLETRANSLATE(C1144, ""en"", ""zh-cn""))"),"1/ 1.8/ 3M REXLIS TR042WF RCA 公头至佳能麦克风混音器数据延长线")</f>
        <v>1/ 1.8/ 3M REXLIS TR042WF RCA 公头至佳能麦克风混音器数据延长线</v>
      </c>
      <c r="E1144" s="1" t="str">
        <f>IFERROR(__xludf.DUMMYFUNCTION("CONCATENATE(GOOGLETRANSLATE(C1144, ""en"", ""ko""))"),"1/ 1.8/ 3M REXLIS TR042WF RCA 남성-캐논 마이크 믹서 데이터 연장 케이블")</f>
        <v>1/ 1.8/ 3M REXLIS TR042WF RCA 남성-캐논 마이크 믹서 데이터 연장 케이블</v>
      </c>
      <c r="F1144" s="1" t="str">
        <f>IFERROR(__xludf.DUMMYFUNCTION("CONCATENATE(GOOGLETRANSLATE(C1144, ""en"", ""ja""))"),"1/1.8/3M REXLIS TR042WF RCA オス - キャノンマイクミキサーデータ延長ケーブル")</f>
        <v>1/1.8/3M REXLIS TR042WF RCA オス - キャノンマイクミキサーデータ延長ケーブル</v>
      </c>
    </row>
    <row r="1145" ht="15.75" customHeight="1">
      <c r="A1145" s="1">
        <v>2618.0</v>
      </c>
      <c r="B1145" s="1" t="s">
        <v>381</v>
      </c>
      <c r="C1145" s="1" t="s">
        <v>1127</v>
      </c>
      <c r="D1145" s="1" t="str">
        <f>IFERROR(__xludf.DUMMYFUNCTION("CONCATENATE(GOOGLETRANSLATE(C1145, ""en"", ""zh-cn""))"),"2019 婚礼宾客签名簿情侣木制笔记本复古激光切割木质日记本婚礼装饰")</f>
        <v>2019 婚礼宾客签名簿情侣木制笔记本复古激光切割木质日记本婚礼装饰</v>
      </c>
      <c r="E1145" s="1" t="str">
        <f>IFERROR(__xludf.DUMMYFUNCTION("CONCATENATE(GOOGLETRANSLATE(C1145, ""en"", ""ko""))"),"2019 결혼식 게스트 서명 도서 커플 나무 노트북 빈티지 레이저 컷 나무 저널 웨딩 장식")</f>
        <v>2019 결혼식 게스트 서명 도서 커플 나무 노트북 빈티지 레이저 컷 나무 저널 웨딩 장식</v>
      </c>
      <c r="F1145" s="1" t="str">
        <f>IFERROR(__xludf.DUMMYFUNCTION("CONCATENATE(GOOGLETRANSLATE(C1145, ""en"", ""ja""))"),"2019 結婚式のゲストの署名本カップル木製ノートブックヴィンテージレーザーカット木製ジャーナル結婚式の装飾")</f>
        <v>2019 結婚式のゲストの署名本カップル木製ノートブックヴィンテージレーザーカット木製ジャーナル結婚式の装飾</v>
      </c>
    </row>
    <row r="1146" ht="15.75" customHeight="1">
      <c r="A1146" s="1">
        <v>2619.0</v>
      </c>
      <c r="B1146" s="1" t="s">
        <v>381</v>
      </c>
      <c r="C1146" s="1" t="s">
        <v>1128</v>
      </c>
      <c r="D1146" s="1" t="str">
        <f>IFERROR(__xludf.DUMMYFUNCTION("CONCATENATE(GOOGLETRANSLATE(C1146, ""en"", ""zh-cn""))"),"5 件 16T GT2 铝制正时驱动滑轮适用于 DIY 3D 打印机")</f>
        <v>5 件 16T GT2 铝制正时驱动滑轮适用于 DIY 3D 打印机</v>
      </c>
      <c r="E1146" s="1" t="str">
        <f>IFERROR(__xludf.DUMMYFUNCTION("CONCATENATE(GOOGLETRANSLATE(C1146, ""en"", ""ko""))"),"DIY 3D 프린터용 5Pcs 16T GT2 알루미늄 타이밍 드라이브 풀리")</f>
        <v>DIY 3D 프린터용 5Pcs 16T GT2 알루미늄 타이밍 드라이브 풀리</v>
      </c>
      <c r="F1146" s="1" t="str">
        <f>IFERROR(__xludf.DUMMYFUNCTION("CONCATENATE(GOOGLETRANSLATE(C1146, ""en"", ""ja""))"),"DIY 3D プリンター用 5 個 16T GT2 アルミ タイミング ドライブ プーリー")</f>
        <v>DIY 3D プリンター用 5 個 16T GT2 アルミ タイミング ドライブ プーリー</v>
      </c>
    </row>
    <row r="1147" ht="15.75" customHeight="1">
      <c r="A1147" s="1">
        <v>2620.0</v>
      </c>
      <c r="B1147" s="1" t="s">
        <v>381</v>
      </c>
      <c r="C1147" s="1" t="s">
        <v>1129</v>
      </c>
      <c r="D1147" s="1" t="str">
        <f>IFERROR(__xludf.DUMMYFUNCTION("CONCATENATE(GOOGLETRANSLATE(C1147, ""en"", ""zh-cn""))"),"10 件 16T GT2 铝制正时驱动滑轮适用于 DIY 3D 打印机")</f>
        <v>10 件 16T GT2 铝制正时驱动滑轮适用于 DIY 3D 打印机</v>
      </c>
      <c r="E1147" s="1" t="str">
        <f>IFERROR(__xludf.DUMMYFUNCTION("CONCATENATE(GOOGLETRANSLATE(C1147, ""en"", ""ko""))"),"DIY 3D 프린터용 10개 16T GT2 알루미늄 타이밍 드라이브 풀리")</f>
        <v>DIY 3D 프린터용 10개 16T GT2 알루미늄 타이밍 드라이브 풀리</v>
      </c>
      <c r="F1147" s="1" t="str">
        <f>IFERROR(__xludf.DUMMYFUNCTION("CONCATENATE(GOOGLETRANSLATE(C1147, ""en"", ""ja""))"),"10 個 16T GT2 アルミタイミングドライブプーリー DIY 3D プリンタ用")</f>
        <v>10 個 16T GT2 アルミタイミングドライブプーリー DIY 3D プリンタ用</v>
      </c>
    </row>
    <row r="1148" ht="15.75" customHeight="1">
      <c r="A1148" s="1">
        <v>2621.0</v>
      </c>
      <c r="B1148" s="1" t="s">
        <v>381</v>
      </c>
      <c r="C1148" s="1" t="s">
        <v>1130</v>
      </c>
      <c r="D1148" s="1" t="str">
        <f>IFERROR(__xludf.DUMMYFUNCTION("CONCATENATE(GOOGLETRANSLATE(C1148, ""en"", ""zh-cn""))"),"LISEN 6寸多功能数码配件收纳袋随机发货")</f>
        <v>LISEN 6寸多功能数码配件收纳袋随机发货</v>
      </c>
      <c r="E1148" s="1" t="str">
        <f>IFERROR(__xludf.DUMMYFUNCTION("CONCATENATE(GOOGLETRANSLATE(C1148, ""en"", ""ko""))"),"LISEN 6인치 다기능 디지털 액세서리 보관 가방 무작위 배송")</f>
        <v>LISEN 6인치 다기능 디지털 액세서리 보관 가방 무작위 배송</v>
      </c>
      <c r="F1148" s="1" t="str">
        <f>IFERROR(__xludf.DUMMYFUNCTION("CONCATENATE(GOOGLETRANSLATE(C1148, ""en"", ""ja""))"),"LISEN 6 インチ多機能デジタルアクセサリー収納袋ランダム出荷")</f>
        <v>LISEN 6 インチ多機能デジタルアクセサリー収納袋ランダム出荷</v>
      </c>
    </row>
    <row r="1149" ht="15.75" customHeight="1">
      <c r="A1149" s="1">
        <v>2622.0</v>
      </c>
      <c r="B1149" s="1" t="s">
        <v>381</v>
      </c>
      <c r="C1149" s="1" t="s">
        <v>1131</v>
      </c>
      <c r="D1149" s="1" t="str">
        <f>IFERROR(__xludf.DUMMYFUNCTION("CONCATENATE(GOOGLETRANSLATE(C1149, ""en"", ""zh-cn""))"),"Well Star WT-016 小熊迷你 USB 风扇七彩灯光模式手持小风扇便携式冷风机静音散热风扇适合家庭办公室学生宿舍户外旅行")</f>
        <v>Well Star WT-016 小熊迷你 USB 风扇七彩灯光模式手持小风扇便携式冷风机静音散热风扇适合家庭办公室学生宿舍户外旅行</v>
      </c>
      <c r="E1149" s="1" t="str">
        <f>IFERROR(__xludf.DUMMYFUNCTION("CONCATENATE(GOOGLETRANSLATE(C1149, ""en"", ""ko""))"),"Well Star WT-016 다채로운 조명 모드가 포함된 리틀 베어 미니 USB 팬 휴대용 소형 팬 홈 오피스 학생 기숙사 야외 여행을 위한 휴대용 공기 냉각기 자동 냉각 팬")</f>
        <v>Well Star WT-016 다채로운 조명 모드가 포함된 리틀 베어 미니 USB 팬 휴대용 소형 팬 홈 오피스 학생 기숙사 야외 여행을 위한 휴대용 공기 냉각기 자동 냉각 팬</v>
      </c>
      <c r="F1149" s="1" t="str">
        <f>IFERROR(__xludf.DUMMYFUNCTION("CONCATENATE(GOOGLETRANSLATE(C1149, ""en"", ""ja""))"),"Well Star WT-016 リトルベア ミニ USB ファン カラフルなライトモード付き ハンドヘルド小型ファン ポータブル空気クーラー サイレント冷却ファン 自宅 オフィス 学生寮 アウトドア 旅行用")</f>
        <v>Well Star WT-016 リトルベア ミニ USB ファン カラフルなライトモード付き ハンドヘルド小型ファン ポータブル空気クーラー サイレント冷却ファン 自宅 オフィス 学生寮 アウトドア 旅行用</v>
      </c>
    </row>
    <row r="1150" ht="15.75" customHeight="1">
      <c r="A1150" s="1">
        <v>2623.0</v>
      </c>
      <c r="B1150" s="1" t="s">
        <v>381</v>
      </c>
      <c r="C1150" s="1" t="s">
        <v>1132</v>
      </c>
      <c r="D1150" s="1" t="str">
        <f>IFERROR(__xludf.DUMMYFUNCTION("CONCATENATE(GOOGLETRANSLATE(C1150, ""en"", ""zh-cn""))"),"1/ 1.8/ 3M REXLIS TR042WM RCA 公头至佳能麦克风混音器音频延长线")</f>
        <v>1/ 1.8/ 3M REXLIS TR042WM RCA 公头至佳能麦克风混音器音频延长线</v>
      </c>
      <c r="E1150" s="1" t="str">
        <f>IFERROR(__xludf.DUMMYFUNCTION("CONCATENATE(GOOGLETRANSLATE(C1150, ""en"", ""ko""))"),"1/ 1.8/ 3M REXLIS TR042WM RCA 남성-캐논 마이크 믹서 오디오 연장 케이블")</f>
        <v>1/ 1.8/ 3M REXLIS TR042WM RCA 남성-캐논 마이크 믹서 오디오 연장 케이블</v>
      </c>
      <c r="F1150" s="1" t="str">
        <f>IFERROR(__xludf.DUMMYFUNCTION("CONCATENATE(GOOGLETRANSLATE(C1150, ""en"", ""ja""))"),"1/1.8/3M REXLIS TR042WM RCA オス - キャノンマイクミキサーオーディオ延長ケーブル")</f>
        <v>1/1.8/3M REXLIS TR042WM RCA オス - キャノンマイクミキサーオーディオ延長ケーブル</v>
      </c>
    </row>
    <row r="1151" ht="15.75" customHeight="1">
      <c r="A1151" s="1">
        <v>2624.0</v>
      </c>
      <c r="B1151" s="1" t="s">
        <v>381</v>
      </c>
      <c r="C1151" s="1" t="s">
        <v>1133</v>
      </c>
      <c r="D1151" s="1" t="str">
        <f>IFERROR(__xludf.DUMMYFUNCTION("CONCATENATE(GOOGLETRANSLATE(C1151, ""en"", ""zh-cn""))"),"0.4mm 3D 打印机挤出喷嘴，适用于 1.75mm 长丝")</f>
        <v>0.4mm 3D 打印机挤出喷嘴，适用于 1.75mm 长丝</v>
      </c>
      <c r="E1151" s="1" t="str">
        <f>IFERROR(__xludf.DUMMYFUNCTION("CONCATENATE(GOOGLETRANSLATE(C1151, ""en"", ""ko""))"),"1.75mm 필라멘트용 0.4mm 3D 프린터 압출기 노즐")</f>
        <v>1.75mm 필라멘트용 0.4mm 3D 프린터 압출기 노즐</v>
      </c>
      <c r="F1151" s="1" t="str">
        <f>IFERROR(__xludf.DUMMYFUNCTION("CONCATENATE(GOOGLETRANSLATE(C1151, ""en"", ""ja""))"),"1.75mmフィラメント用0.4mm 3Dプリンター押出機ノズル")</f>
        <v>1.75mmフィラメント用0.4mm 3Dプリンター押出機ノズル</v>
      </c>
    </row>
    <row r="1152" ht="15.75" customHeight="1">
      <c r="A1152" s="1">
        <v>2625.0</v>
      </c>
      <c r="B1152" s="1" t="s">
        <v>381</v>
      </c>
      <c r="C1152" s="1" t="s">
        <v>1134</v>
      </c>
      <c r="D1152" s="1" t="str">
        <f>IFERROR(__xludf.DUMMYFUNCTION("CONCATENATE(GOOGLETRANSLATE(C1152, ""en"", ""zh-cn""))"),"便携式手持迷你 USB 风扇可充电冷风机空调风扇静音冷却风扇适合办公室家庭旅行")</f>
        <v>便携式手持迷你 USB 风扇可充电冷风机空调风扇静音冷却风扇适合办公室家庭旅行</v>
      </c>
      <c r="E1152" s="1" t="str">
        <f>IFERROR(__xludf.DUMMYFUNCTION("CONCATENATE(GOOGLETRANSLATE(C1152, ""en"", ""ko""))"),"휴대용 핸드 헬드 미니 USB 팬 충전식 공기 냉각기 에어컨 팬 사무실 홈 여행용 자동 냉각 팬")</f>
        <v>휴대용 핸드 헬드 미니 USB 팬 충전식 공기 냉각기 에어컨 팬 사무실 홈 여행용 자동 냉각 팬</v>
      </c>
      <c r="F1152" s="1" t="str">
        <f>IFERROR(__xludf.DUMMYFUNCTION("CONCATENATE(GOOGLETRANSLATE(C1152, ""en"", ""ja""))"),"ポータブルハンドヘルドミニ USB ファン充電式エアクーラー空調ファンサイレント冷却ファンオフィスホーム旅行用")</f>
        <v>ポータブルハンドヘルドミニ USB ファン充電式エアクーラー空調ファンサイレント冷却ファンオフィスホーム旅行用</v>
      </c>
    </row>
    <row r="1153" ht="15.75" customHeight="1">
      <c r="A1153" s="1">
        <v>2626.0</v>
      </c>
      <c r="B1153" s="1" t="s">
        <v>381</v>
      </c>
      <c r="C1153" s="1" t="s">
        <v>1135</v>
      </c>
      <c r="D1153" s="1" t="str">
        <f>IFERROR(__xludf.DUMMYFUNCTION("CONCATENATE(GOOGLETRANSLATE(C1153, ""en"", ""zh-cn""))"),"Well Star WT-F20 迷你手持底座风扇可充电 USB 风扇带挂绳 3 档便携式桌面冷却风扇适用于家庭办公室户外")</f>
        <v>Well Star WT-F20 迷你手持底座风扇可充电 USB 风扇带挂绳 3 档便携式桌面冷却风扇适用于家庭办公室户外</v>
      </c>
      <c r="E1153" s="1" t="str">
        <f>IFERROR(__xludf.DUMMYFUNCTION("CONCATENATE(GOOGLETRANSLATE(C1153, ""en"", ""ko""))"),"Well Star WT-F20 미니 휴대용 기본 팬 끈 ​​3 기어가 있는 충전식 USB 팬 홈 오피스 야외용 휴대용 데스크탑 냉각 팬")</f>
        <v>Well Star WT-F20 미니 휴대용 기본 팬 끈 ​​3 기어가 있는 충전식 USB 팬 홈 오피스 야외용 휴대용 데스크탑 냉각 팬</v>
      </c>
      <c r="F1153" s="1" t="str">
        <f>IFERROR(__xludf.DUMMYFUNCTION("CONCATENATE(GOOGLETRANSLATE(C1153, ""en"", ""ja""))"),"Well Star WT-F20 ミニハンドヘルドベースファン充電式 USB ファンストラップ付き 3 ギアポータブルデスクトップ冷却ファン家庭用オフィス屋外用")</f>
        <v>Well Star WT-F20 ミニハンドヘルドベースファン充電式 USB ファンストラップ付き 3 ギアポータブルデスクトップ冷却ファン家庭用オフィス屋外用</v>
      </c>
    </row>
    <row r="1154" ht="15.75" customHeight="1">
      <c r="A1154" s="1">
        <v>2627.0</v>
      </c>
      <c r="B1154" s="1" t="s">
        <v>381</v>
      </c>
      <c r="C1154" s="1" t="s">
        <v>1136</v>
      </c>
      <c r="D1154" s="1" t="str">
        <f>IFERROR(__xludf.DUMMYFUNCTION("CONCATENATE(GOOGLETRANSLATE(C1154, ""en"", ""zh-cn""))"),"通用 3.5 毫米 12V 2A 美式电源适配器 平板电脑交流充电器")</f>
        <v>通用 3.5 毫米 12V 2A 美式电源适配器 平板电脑交流充电器</v>
      </c>
      <c r="E1154" s="1" t="str">
        <f>IFERROR(__xludf.DUMMYFUNCTION("CONCATENATE(GOOGLETRANSLATE(C1154, ""en"", ""ko""))"),"태블릿용 범용 3.5mm 12V 2A 미국 전원 어댑터 AC 충전기")</f>
        <v>태블릿용 범용 3.5mm 12V 2A 미국 전원 어댑터 AC 충전기</v>
      </c>
      <c r="F1154" s="1" t="str">
        <f>IFERROR(__xludf.DUMMYFUNCTION("CONCATENATE(GOOGLETRANSLATE(C1154, ""en"", ""ja""))"),"ユニバーサル 3.5 ミリメートル 12 V 2A 米国電源アダプタ AC 充電器タブレット用")</f>
        <v>ユニバーサル 3.5 ミリメートル 12 V 2A 米国電源アダプタ AC 充電器タブレット用</v>
      </c>
    </row>
    <row r="1155" ht="15.75" customHeight="1">
      <c r="A1155" s="1">
        <v>2628.0</v>
      </c>
      <c r="B1155" s="1" t="s">
        <v>381</v>
      </c>
      <c r="C1155" s="1" t="s">
        <v>1137</v>
      </c>
      <c r="D1155" s="1" t="str">
        <f>IFERROR(__xludf.DUMMYFUNCTION("CONCATENATE(GOOGLETRANSLATE(C1155, ""en"", ""zh-cn""))"),"M200 USB 3 色 LED 背光有线游戏键盘")</f>
        <v>M200 USB 3 色 LED 背光有线游戏键盘</v>
      </c>
      <c r="E1155" s="1" t="str">
        <f>IFERROR(__xludf.DUMMYFUNCTION("CONCATENATE(GOOGLETRANSLATE(C1155, ""en"", ""ko""))"),"M200 USB 3색 LED 백라이트 유선 게이밍 키보드")</f>
        <v>M200 USB 3색 LED 백라이트 유선 게이밍 키보드</v>
      </c>
      <c r="F1155" s="1" t="str">
        <f>IFERROR(__xludf.DUMMYFUNCTION("CONCATENATE(GOOGLETRANSLATE(C1155, ""en"", ""ja""))"),"M200 USB 3 色 LED バックライト付き有線ゲーミング キーボード")</f>
        <v>M200 USB 3 色 LED バックライト付き有線ゲーミング キーボード</v>
      </c>
    </row>
    <row r="1156" ht="15.75" customHeight="1">
      <c r="A1156" s="1">
        <v>2629.0</v>
      </c>
      <c r="B1156" s="1" t="s">
        <v>381</v>
      </c>
      <c r="C1156" s="1" t="s">
        <v>1138</v>
      </c>
      <c r="D1156" s="1" t="str">
        <f>IFERROR(__xludf.DUMMYFUNCTION("CONCATENATE(GOOGLETRANSLATE(C1156, ""en"", ""zh-cn""))"),"4 尺寸黄铜喷嘴 3.0 毫米/1.75 毫米 ABS/PLA 长丝挤出机喷嘴，适用于 3D 打印机")</f>
        <v>4 尺寸黄铜喷嘴 3.0 毫米/1.75 毫米 ABS/PLA 长丝挤出机喷嘴，适用于 3D 打印机</v>
      </c>
      <c r="E1156" s="1" t="str">
        <f>IFERROR(__xludf.DUMMYFUNCTION("CONCATENATE(GOOGLETRANSLATE(C1156, ""en"", ""ko""))"),"3D 프린터용 4 크기 황동 노즐 3.0mm/1.75mm ABS/PLA 필라멘트 압출기 노즐")</f>
        <v>3D 프린터용 4 크기 황동 노즐 3.0mm/1.75mm ABS/PLA 필라멘트 압출기 노즐</v>
      </c>
      <c r="F1156" s="1" t="str">
        <f>IFERROR(__xludf.DUMMYFUNCTION("CONCATENATE(GOOGLETRANSLATE(C1156, ""en"", ""ja""))"),"4 サイズ真鍮ノズル 3.0 ミリメートル/1.75 ミリメートル ABS/PLA フィラメント押出機ノズル 3D プリンタ用")</f>
        <v>4 サイズ真鍮ノズル 3.0 ミリメートル/1.75 ミリメートル ABS/PLA フィラメント押出機ノズル 3D プリンタ用</v>
      </c>
    </row>
    <row r="1157" ht="15.75" customHeight="1">
      <c r="A1157" s="1">
        <v>2630.0</v>
      </c>
      <c r="B1157" s="1" t="s">
        <v>381</v>
      </c>
      <c r="C1157" s="1" t="s">
        <v>1139</v>
      </c>
      <c r="D1157" s="1" t="str">
        <f>IFERROR(__xludf.DUMMYFUNCTION("CONCATENATE(GOOGLETRANSLATE(C1157, ""en"", ""zh-cn""))"),"V5 塑料盖外壳适用于 30 x 10 冷却风扇 3D 打印机挤出机 DIY")</f>
        <v>V5 塑料盖外壳适用于 30 x 10 冷却风扇 3D 打印机挤出机 DIY</v>
      </c>
      <c r="E1157" s="1" t="str">
        <f>IFERROR(__xludf.DUMMYFUNCTION("CONCATENATE(GOOGLETRANSLATE(C1157, ""en"", ""ko""))"),"30x10 냉각 팬 3D 프린터 압출기 DIY용 V5 플라스틱 커버 셸 케이스")</f>
        <v>30x10 냉각 팬 3D 프린터 압출기 DIY용 V5 플라스틱 커버 셸 케이스</v>
      </c>
      <c r="F1157" s="1" t="str">
        <f>IFERROR(__xludf.DUMMYFUNCTION("CONCATENATE(GOOGLETRANSLATE(C1157, ""en"", ""ja""))"),"V5 プラスチックカバーシェルケース 30 × 10 冷却ファン 3D プリンタ押出機 DIY 用")</f>
        <v>V5 プラスチックカバーシェルケース 30 × 10 冷却ファン 3D プリンタ押出機 DIY 用</v>
      </c>
    </row>
    <row r="1158" ht="15.75" customHeight="1">
      <c r="A1158" s="1">
        <v>2631.0</v>
      </c>
      <c r="B1158" s="1" t="s">
        <v>381</v>
      </c>
      <c r="C1158" s="1" t="s">
        <v>1140</v>
      </c>
      <c r="D1158" s="1" t="str">
        <f>IFERROR(__xludf.DUMMYFUNCTION("CONCATENATE(GOOGLETRANSLATE(C1158, ""en"", ""zh-cn""))"),"V6 塑料盖外壳适用于 30*10 冷却风扇 3D 打印机挤出机")</f>
        <v>V6 塑料盖外壳适用于 30*10 冷却风扇 3D 打印机挤出机</v>
      </c>
      <c r="E1158" s="1" t="str">
        <f>IFERROR(__xludf.DUMMYFUNCTION("CONCATENATE(GOOGLETRANSLATE(C1158, ""en"", ""ko""))"),"30*10 냉각 팬 3D 프린터 압출기용 V6 플라스틱 커버 셸 케이스")</f>
        <v>30*10 냉각 팬 3D 프린터 압출기용 V6 플라스틱 커버 셸 케이스</v>
      </c>
      <c r="F1158" s="1" t="str">
        <f>IFERROR(__xludf.DUMMYFUNCTION("CONCATENATE(GOOGLETRANSLATE(C1158, ""en"", ""ja""))"),"V6 プラスチックカバーシェルケース 30*10 冷却ファン 3D プリンタ押出機")</f>
        <v>V6 プラスチックカバーシェルケース 30*10 冷却ファン 3D プリンタ押出機</v>
      </c>
    </row>
    <row r="1159" ht="15.75" customHeight="1">
      <c r="A1159" s="1">
        <v>2632.0</v>
      </c>
      <c r="B1159" s="1" t="s">
        <v>381</v>
      </c>
      <c r="C1159" s="1" t="s">
        <v>1141</v>
      </c>
      <c r="D1159" s="1" t="str">
        <f>IFERROR(__xludf.DUMMYFUNCTION("CONCATENATE(GOOGLETRANSLATE(C1159, ""en"", ""zh-cn""))"),"超值防水素描笔袋大容量袋多色收纳盒学生文具用品")</f>
        <v>超值防水素描笔袋大容量袋多色收纳盒学生文具用品</v>
      </c>
      <c r="E1159" s="1" t="str">
        <f>IFERROR(__xludf.DUMMYFUNCTION("CONCATENATE(GOOGLETRANSLATE(C1159, ""en"", ""ko""))"),"훌륭한 가치 방수 스케치 연필 케이스 대용량 가방 학생 문구 용품을위한 멀티 컬러 보관 상자")</f>
        <v>훌륭한 가치 방수 스케치 연필 케이스 대용량 가방 학생 문구 용품을위한 멀티 컬러 보관 상자</v>
      </c>
      <c r="F1159" s="1" t="str">
        <f>IFERROR(__xludf.DUMMYFUNCTION("CONCATENATE(GOOGLETRANSLATE(C1159, ""en"", ""ja""))"),"素晴らしい価値防水スケッチ鉛筆ケース大容量バッグマルチカラー収納ボックス学生文具用品")</f>
        <v>素晴らしい価値防水スケッチ鉛筆ケース大容量バッグマルチカラー収納ボックス学生文具用品</v>
      </c>
    </row>
    <row r="1160" ht="15.75" customHeight="1">
      <c r="A1160" s="1">
        <v>2633.0</v>
      </c>
      <c r="B1160" s="1" t="s">
        <v>381</v>
      </c>
      <c r="C1160" s="1" t="s">
        <v>1142</v>
      </c>
      <c r="D1160" s="1" t="str">
        <f>IFERROR(__xludf.DUMMYFUNCTION("CONCATENATE(GOOGLETRANSLATE(C1160, ""en"", ""zh-cn""))"),"米德尔无尘粉笔水溶性儿童粉笔多功能棕榈台球粉幼儿园儿童用12支装")</f>
        <v>米德尔无尘粉笔水溶性儿童粉笔多功能棕榈台球粉幼儿园儿童用12支装</v>
      </c>
      <c r="E1160" s="1" t="str">
        <f>IFERROR(__xludf.DUMMYFUNCTION("CONCATENATE(GOOGLETRANSLATE(C1160, ""en"", ""ko""))"),"Mideer 먼지없는 분필 수용성 어린이 분필 다기능 팜 당구 분필 보육원 12 Pcs")</f>
        <v>Mideer 먼지없는 분필 수용성 어린이 분필 다기능 팜 당구 분필 보육원 12 Pcs</v>
      </c>
      <c r="F1160" s="1" t="str">
        <f>IFERROR(__xludf.DUMMYFUNCTION("CONCATENATE(GOOGLETRANSLATE(C1160, ""en"", ""ja""))"),"Mideer 防塵チョーク 水溶性 子供用チョーク 多機能 パームビリヤードチョーク 保育園用 12個")</f>
        <v>Mideer 防塵チョーク 水溶性 子供用チョーク 多機能 パームビリヤードチョーク 保育園用 12個</v>
      </c>
    </row>
    <row r="1161" ht="15.75" customHeight="1">
      <c r="A1161" s="1">
        <v>2634.0</v>
      </c>
      <c r="B1161" s="1" t="s">
        <v>381</v>
      </c>
      <c r="C1161" s="1" t="s">
        <v>1143</v>
      </c>
      <c r="D1161" s="1" t="str">
        <f>IFERROR(__xludf.DUMMYFUNCTION("CONCATENATE(GOOGLETRANSLATE(C1161, ""en"", ""zh-cn""))"),"64GB USB2.0 闪存盘可爱卡通漫画动物模型笔驱动器记忆棒礼物")</f>
        <v>64GB USB2.0 闪存盘可爱卡通漫画动物模型笔驱动器记忆棒礼物</v>
      </c>
      <c r="E1161" s="1" t="str">
        <f>IFERROR(__xludf.DUMMYFUNCTION("CONCATENATE(GOOGLETRANSLATE(C1161, ""en"", ""ko""))"),"64GB USB2.0 플래시 드라이브 사랑스러운 만화 만화 동물 모델 펜 드라이브 메모리 스틱 선물")</f>
        <v>64GB USB2.0 플래시 드라이브 사랑스러운 만화 만화 동물 모델 펜 드라이브 메모리 스틱 선물</v>
      </c>
      <c r="F1161" s="1" t="str">
        <f>IFERROR(__xludf.DUMMYFUNCTION("CONCATENATE(GOOGLETRANSLATE(C1161, ""en"", ""ja""))"),"64GB USB2.0フラッシュドライブ素敵な漫画コミック動物モデルペンドライブメモリスティックギフト")</f>
        <v>64GB USB2.0フラッシュドライブ素敵な漫画コミック動物モデルペンドライブメモリスティックギフト</v>
      </c>
    </row>
    <row r="1162" ht="15.75" customHeight="1">
      <c r="A1162" s="1">
        <v>2635.0</v>
      </c>
      <c r="B1162" s="1" t="s">
        <v>381</v>
      </c>
      <c r="C1162" s="1" t="s">
        <v>1144</v>
      </c>
      <c r="D1162" s="1" t="str">
        <f>IFERROR(__xludf.DUMMYFUNCTION("CONCATENATE(GOOGLETRANSLATE(C1162, ""en"", ""zh-cn""))"),"Rosy Posy T-805透明塑料画笔可换笔初学者新款画笔硬笔书法字帖笔")</f>
        <v>Rosy Posy T-805透明塑料画笔可换笔初学者新款画笔硬笔书法字帖笔</v>
      </c>
      <c r="E1162" s="1" t="str">
        <f>IFERROR(__xludf.DUMMYFUNCTION("CONCATENATE(GOOGLETRANSLATE(C1162, ""en"", ""ko""))"),"Rosy Posy T-805 투명 플라스틱 그림 브러시는 펜을 변경할 수 있습니다 초보자 새로운 그림 브러시 하드 펜 서예 카피북 펜")</f>
        <v>Rosy Posy T-805 투명 플라스틱 그림 브러시는 펜을 변경할 수 있습니다 초보자 새로운 그림 브러시 하드 펜 서예 카피북 펜</v>
      </c>
      <c r="F1162" s="1" t="str">
        <f>IFERROR(__xludf.DUMMYFUNCTION("CONCATENATE(GOOGLETRANSLATE(C1162, ""en"", ""ja""))"),"バラ色の花束 T-805 透明プラスチックペイントブラシペンを変更することができ初心者新しいペイントブラシハードペン書道コピーブックペン")</f>
        <v>バラ色の花束 T-805 透明プラスチックペイントブラシペンを変更することができ初心者新しいペイントブラシハードペン書道コピーブックペン</v>
      </c>
    </row>
    <row r="1163" ht="15.75" customHeight="1">
      <c r="A1163" s="1">
        <v>2636.0</v>
      </c>
      <c r="B1163" s="1" t="s">
        <v>381</v>
      </c>
      <c r="C1163" s="1" t="s">
        <v>1145</v>
      </c>
      <c r="D1163" s="1" t="str">
        <f>IFERROR(__xludf.DUMMYFUNCTION("CONCATENATE(GOOGLETRANSLATE(C1163, ""en"", ""zh-cn""))"),"适用于 10.1 英寸 Alldocube iPlay 20 iPlay 20 Pro 平板电脑钢化玻璃屏幕保护膜")</f>
        <v>适用于 10.1 英寸 Alldocube iPlay 20 iPlay 20 Pro 平板电脑钢化玻璃屏幕保护膜</v>
      </c>
      <c r="E1163" s="1" t="str">
        <f>IFERROR(__xludf.DUMMYFUNCTION("CONCATENATE(GOOGLETRANSLATE(C1163, ""en"", ""ko""))"),"10.1인치 Alldocube iPlay 20 iPlay 20 Pro 태블릿용 강화 유리 화면 보호기")</f>
        <v>10.1인치 Alldocube iPlay 20 iPlay 20 Pro 태블릿용 강화 유리 화면 보호기</v>
      </c>
      <c r="F1163" s="1" t="str">
        <f>IFERROR(__xludf.DUMMYFUNCTION("CONCATENATE(GOOGLETRANSLATE(C1163, ""en"", ""ja""))"),"強化ガラススクリーンプロテクター 10.1 インチ Alldocube iPlay 20 iPlay 20 Pro タブレット用")</f>
        <v>強化ガラススクリーンプロテクター 10.1 インチ Alldocube iPlay 20 iPlay 20 Pro タブレット用</v>
      </c>
    </row>
    <row r="1164" ht="15.75" customHeight="1">
      <c r="A1164" s="1">
        <v>2637.0</v>
      </c>
      <c r="B1164" s="1" t="s">
        <v>381</v>
      </c>
      <c r="C1164" s="1" t="s">
        <v>1146</v>
      </c>
      <c r="D1164" s="1" t="str">
        <f>IFERROR(__xludf.DUMMYFUNCTION("CONCATENATE(GOOGLETRANSLATE(C1164, ""en"", ""zh-cn""))"),"USB3.0 Type-C 外置 CD DVD 光驱高速数据传输外置 DVD-RW 播放器外置刻录机刻录机适用于电脑 PC 笔记本电脑 XD002")</f>
        <v>USB3.0 Type-C 外置 CD DVD 光驱高速数据传输外置 DVD-RW 播放器外置刻录机刻录机适用于电脑 PC 笔记本电脑 XD002</v>
      </c>
      <c r="E1164" s="1" t="str">
        <f>IFERROR(__xludf.DUMMYFUNCTION("CONCATENATE(GOOGLETRANSLATE(C1164, ""en"", ""ko""))"),"USB3.0 Type-C 외부 CD DVD 광학 드라이브 고속 데이터 전송 외부 DVD-RW 플레이어 컴퓨터 PC 노트북 XD002용 외부 버너 작가 재작성기")</f>
        <v>USB3.0 Type-C 외부 CD DVD 광학 드라이브 고속 데이터 전송 외부 DVD-RW 플레이어 컴퓨터 PC 노트북 XD002용 외부 버너 작가 재작성기</v>
      </c>
      <c r="F1164" s="1" t="str">
        <f>IFERROR(__xludf.DUMMYFUNCTION("CONCATENATE(GOOGLETRANSLATE(C1164, ""en"", ""ja""))"),"USB3.0 Type-C 外部 CD DVD 光学ドライブ高速データ転送外部 DVD-RW プレーヤー外部バーナーライターリライターコンピュータ PC ラップトップ XD002")</f>
        <v>USB3.0 Type-C 外部 CD DVD 光学ドライブ高速データ転送外部 DVD-RW プレーヤー外部バーナーライターリライターコンピュータ PC ラップトップ XD002</v>
      </c>
    </row>
    <row r="1165" ht="15.75" customHeight="1">
      <c r="A1165" s="1">
        <v>2638.0</v>
      </c>
      <c r="B1165" s="1" t="s">
        <v>381</v>
      </c>
      <c r="C1165" s="1" t="s">
        <v>1147</v>
      </c>
      <c r="D1165" s="1" t="str">
        <f>IFERROR(__xludf.DUMMYFUNCTION("CONCATENATE(GOOGLETRANSLATE(C1165, ""en"", ""zh-cn""))"),"Fizz FZ005219批量销售桶形文件夹圆形办公装订文件夹徽章夹文具")</f>
        <v>Fizz FZ005219批量销售桶形文件夹圆形办公装订文件夹徽章夹文具</v>
      </c>
      <c r="E1165" s="1" t="str">
        <f>IFERROR(__xludf.DUMMYFUNCTION("CONCATENATE(GOOGLETRANSLATE(C1165, ""en"", ""ko""))"),"Fizz FZ005219 볼륨 판매 배럴 폴더 원형 사무실 바인딩 폴더 배지 클립 문구")</f>
        <v>Fizz FZ005219 볼륨 판매 배럴 폴더 원형 사무실 바인딩 폴더 배지 클립 문구</v>
      </c>
      <c r="F1165" s="1" t="str">
        <f>IFERROR(__xludf.DUMMYFUNCTION("CONCATENATE(GOOGLETRANSLATE(C1165, ""en"", ""ja""))"),"フィズ FZ005219 ボリュームセールバレルフォルダー丸型オフィス製本フォルダーバッジクリップ文具")</f>
        <v>フィズ FZ005219 ボリュームセールバレルフォルダー丸型オフィス製本フォルダーバッジクリップ文具</v>
      </c>
    </row>
    <row r="1166" ht="15.75" customHeight="1">
      <c r="A1166" s="1">
        <v>2639.0</v>
      </c>
      <c r="B1166" s="1" t="s">
        <v>381</v>
      </c>
      <c r="C1166" s="1" t="s">
        <v>1148</v>
      </c>
      <c r="D1166" s="1" t="str">
        <f>IFERROR(__xludf.DUMMYFUNCTION("CONCATENATE(GOOGLETRANSLATE(C1166, ""en"", ""zh-cn""))"),"857 A4 便携式切纸机​​塑料切纸机和修剪器文具相纸切割垫工具")</f>
        <v>857 A4 便携式切纸机​​塑料切纸机和修剪器文具相纸切割垫工具</v>
      </c>
      <c r="E1166" s="1" t="str">
        <f>IFERROR(__xludf.DUMMYFUNCTION("CONCATENATE(GOOGLETRANSLATE(C1166, ""en"", ""ko""))"),"857 A4 휴대용 종이 커터 플라스틱 종이 커터 및 트리머 편지지 인화지 커팅 매트 도구")</f>
        <v>857 A4 휴대용 종이 커터 플라스틱 종이 커터 및 트리머 편지지 인화지 커팅 매트 도구</v>
      </c>
      <c r="F1166" s="1" t="str">
        <f>IFERROR(__xludf.DUMMYFUNCTION("CONCATENATE(GOOGLETRANSLATE(C1166, ""en"", ""ja""))"),"857 A4 ポータブルペーパーカッタープラスチックペーパーカッターとトリマー文具写真用紙カッティングマットツール")</f>
        <v>857 A4 ポータブルペーパーカッタープラスチックペーパーカッターとトリマー文具写真用紙カッティングマットツール</v>
      </c>
    </row>
    <row r="1167" ht="15.75" customHeight="1">
      <c r="A1167" s="1">
        <v>2640.0</v>
      </c>
      <c r="B1167" s="1" t="s">
        <v>381</v>
      </c>
      <c r="C1167" s="1" t="s">
        <v>1149</v>
      </c>
      <c r="D1167" s="1" t="str">
        <f>IFERROR(__xludf.DUMMYFUNCTION("CONCATENATE(GOOGLETRANSLATE(C1167, ""en"", ""zh-cn""))"),"Tvird存储卡读卡器Y型黑刻SD卡TF卡通四接口C型苹果安卓USB接口")</f>
        <v>Tvird存储卡读卡器Y型黑刻SD卡TF卡通四接口C型苹果安卓USB接口</v>
      </c>
      <c r="E1167" s="1" t="str">
        <f>IFERROR(__xludf.DUMMYFUNCTION("CONCATENATE(GOOGLETRANSLATE(C1167, ""en"", ""ko""))"),"Tvird 메모리 카드 리더 Y 유형 검정색 새겨진 SD 카드 TF 만화 4개 인터페이스 유형 C Apple Android USB 인터페이스")</f>
        <v>Tvird 메모리 카드 리더 Y 유형 검정색 새겨진 SD 카드 TF 만화 4개 인터페이스 유형 C Apple Android USB 인터페이스</v>
      </c>
      <c r="F1167" s="1" t="str">
        <f>IFERROR(__xludf.DUMMYFUNCTION("CONCATENATE(GOOGLETRANSLATE(C1167, ""en"", ""ja""))"),"Tvird メモリカードリーダー Y タイプ黒刻印 SD カード TF 漫画 4 つのインターフェイスタイプ C Apple Android USB インターフェイス")</f>
        <v>Tvird メモリカードリーダー Y タイプ黒刻印 SD カード TF 漫画 4 つのインターフェイスタイプ C Apple Android USB インターフェイス</v>
      </c>
    </row>
    <row r="1168" ht="15.75" customHeight="1">
      <c r="A1168" s="1">
        <v>2641.0</v>
      </c>
      <c r="B1168" s="1" t="s">
        <v>381</v>
      </c>
      <c r="C1168" s="1" t="s">
        <v>1150</v>
      </c>
      <c r="D1168" s="1" t="str">
        <f>IFERROR(__xludf.DUMMYFUNCTION("CONCATENATE(GOOGLETRANSLATE(C1168, ""en"", ""zh-cn""))"),"ZSMC 适用于 HP CF350A 墨盒 HP M176N 紧凑型墨盒 130A MFP M177FW 墨盒插头打印机耗材")</f>
        <v>ZSMC 适用于 HP CF350A 墨盒 HP M176N 紧凑型墨盒 130A MFP M177FW 墨盒插头打印机耗材</v>
      </c>
      <c r="E1168" s="1" t="str">
        <f>IFERROR(__xludf.DUMMYFUNCTION("CONCATENATE(GOOGLETRANSLATE(C1168, ""en"", ""ko""))"),"HP CF350A 톤 카트리지용 ZSMC HP M176N 컴팩트 톤 카트리지 130A MFP M177FW 잉크 카트리지 플러그 프린터 소모품")</f>
        <v>HP CF350A 톤 카트리지용 ZSMC HP M176N 컴팩트 톤 카트리지 130A MFP M177FW 잉크 카트리지 플러그 프린터 소모품</v>
      </c>
      <c r="F1168" s="1" t="str">
        <f>IFERROR(__xludf.DUMMYFUNCTION("CONCATENATE(GOOGLETRANSLATE(C1168, ""en"", ""ja""))"),"ZSMC HP CF350A トーンカートリッジ HP M176N コンパクトトーンカートリッジ 130A MFP M177FW インクカートリッジプラグプリンタ用品")</f>
        <v>ZSMC HP CF350A トーンカートリッジ HP M176N コンパクトトーンカートリッジ 130A MFP M177FW インクカートリッジプラグプリンタ用品</v>
      </c>
    </row>
    <row r="1169" ht="15.75" customHeight="1">
      <c r="A1169" s="1">
        <v>2642.0</v>
      </c>
      <c r="B1169" s="1" t="s">
        <v>381</v>
      </c>
      <c r="C1169" s="1" t="s">
        <v>1151</v>
      </c>
      <c r="D1169" s="1" t="str">
        <f>IFERROR(__xludf.DUMMYFUNCTION("CONCATENATE(GOOGLETRANSLATE(C1169, ""en"", ""zh-cn""))"),"ZSMC 适用墨盒插头 兄弟 TN221/TN241/TN251/TN261/TN281/TN291 打印机耗材墨粉盒")</f>
        <v>ZSMC 适用墨盒插头 兄弟 TN221/TN241/TN251/TN261/TN281/TN291 打印机耗材墨粉盒</v>
      </c>
      <c r="E1169" s="1" t="str">
        <f>IFERROR(__xludf.DUMMYFUNCTION("CONCATENATE(GOOGLETRANSLATE(C1169, ""en"", ""ko""))"),"ZSMC 적용 가능한 잉크 카트리지 플러그 Brother TN221/TN241/TN251/TN261/TN281/TN291 프린터 소모품용 토너 카트리지")</f>
        <v>ZSMC 적용 가능한 잉크 카트리지 플러그 Brother TN221/TN241/TN251/TN261/TN281/TN291 프린터 소모품용 토너 카트리지</v>
      </c>
      <c r="F1169" s="1" t="str">
        <f>IFERROR(__xludf.DUMMYFUNCTION("CONCATENATE(GOOGLETRANSLATE(C1169, ""en"", ""ja""))"),"ZSMC 該当するインクカートリッジプラグブラザー TN221/TN241/TN251/TN261/TN281/TN291 トナーカートリッジプリンタ用品")</f>
        <v>ZSMC 該当するインクカートリッジプラグブラザー TN221/TN241/TN251/TN261/TN281/TN291 トナーカートリッジプリンタ用品</v>
      </c>
    </row>
    <row r="1170" ht="15.75" customHeight="1">
      <c r="A1170" s="1">
        <v>2643.0</v>
      </c>
      <c r="B1170" s="1" t="s">
        <v>381</v>
      </c>
      <c r="C1170" s="1" t="s">
        <v>1152</v>
      </c>
      <c r="D1170" s="1" t="str">
        <f>IFERROR(__xludf.DUMMYFUNCTION("CONCATENATE(GOOGLETRANSLATE(C1170, ""en"", ""zh-cn""))"),"FONENG 1M Micro USB 平板手机充电线")</f>
        <v>FONENG 1M Micro USB 平板手机充电线</v>
      </c>
      <c r="E1170" s="1" t="str">
        <f>IFERROR(__xludf.DUMMYFUNCTION("CONCATENATE(GOOGLETRANSLATE(C1170, ""en"", ""ko""))"),"FONENG 1M 태블릿 휴대폰용 마이크로 USB 충전 케이블 라인")</f>
        <v>FONENG 1M 태블릿 휴대폰용 마이크로 USB 충전 케이블 라인</v>
      </c>
      <c r="F1170" s="1" t="str">
        <f>IFERROR(__xludf.DUMMYFUNCTION("CONCATENATE(GOOGLETRANSLATE(C1170, ""en"", ""ja""))"),"FONENG タブレット携帯電話用 1M マイクロ USB 充電ケーブルライン")</f>
        <v>FONENG タブレット携帯電話用 1M マイクロ USB 充電ケーブルライン</v>
      </c>
    </row>
    <row r="1171" ht="15.75" customHeight="1">
      <c r="A1171" s="1">
        <v>2644.0</v>
      </c>
      <c r="B1171" s="1" t="s">
        <v>381</v>
      </c>
      <c r="C1171" s="1" t="s">
        <v>1153</v>
      </c>
      <c r="D1171" s="1" t="str">
        <f>IFERROR(__xludf.DUMMYFUNCTION("CONCATENATE(GOOGLETRANSLATE(C1171, ""en"", ""zh-cn""))"),"FONENG 1M Micro USB 数据线 平板手机数据充电")</f>
        <v>FONENG 1M Micro USB 数据线 平板手机数据充电</v>
      </c>
      <c r="E1171" s="1" t="str">
        <f>IFERROR(__xludf.DUMMYFUNCTION("CONCATENATE(GOOGLETRANSLATE(C1171, ""en"", ""ko""))"),"FONENG 1M 마이크로 USB 케이블 날짜 태블릿 휴대폰용 충전")</f>
        <v>FONENG 1M 마이크로 USB 케이블 날짜 태블릿 휴대폰용 충전</v>
      </c>
      <c r="F1171" s="1" t="str">
        <f>IFERROR(__xludf.DUMMYFUNCTION("CONCATENATE(GOOGLETRANSLATE(C1171, ""en"", ""ja""))"),"FONENG 1M マイクロ USB ケーブル タブレット携帯電話用日付充電")</f>
        <v>FONENG 1M マイクロ USB ケーブル タブレット携帯電話用日付充電</v>
      </c>
    </row>
    <row r="1172" ht="15.75" customHeight="1">
      <c r="A1172" s="1">
        <v>2645.0</v>
      </c>
      <c r="B1172" s="1" t="s">
        <v>381</v>
      </c>
      <c r="C1172" s="1" t="s">
        <v>1154</v>
      </c>
      <c r="D1172" s="1" t="str">
        <f>IFERROR(__xludf.DUMMYFUNCTION("CONCATENATE(GOOGLETRANSLATE(C1172, ""en"", ""zh-cn""))"),"适用于平板电脑手机的 USB 3.1 Type-C 转 Micro USB 母头适配器")</f>
        <v>适用于平板电脑手机的 USB 3.1 Type-C 转 Micro USB 母头适配器</v>
      </c>
      <c r="E1172" s="1" t="str">
        <f>IFERROR(__xludf.DUMMYFUNCTION("CONCATENATE(GOOGLETRANSLATE(C1172, ""en"", ""ko""))"),"태블릿 휴대폰용 USB 3.1 Type-C - 마이크로 USB 암 어댑터")</f>
        <v>태블릿 휴대폰용 USB 3.1 Type-C - 마이크로 USB 암 어댑터</v>
      </c>
      <c r="F1172" s="1" t="str">
        <f>IFERROR(__xludf.DUMMYFUNCTION("CONCATENATE(GOOGLETRANSLATE(C1172, ""en"", ""ja""))"),"タブレット携帯電話用USB 3.1 Type-C - Micro USBメスアダプター")</f>
        <v>タブレット携帯電話用USB 3.1 Type-C - Micro USBメスアダプター</v>
      </c>
    </row>
    <row r="1173" ht="15.75" customHeight="1">
      <c r="A1173" s="1">
        <v>2646.0</v>
      </c>
      <c r="B1173" s="1" t="s">
        <v>381</v>
      </c>
      <c r="C1173" s="1" t="s">
        <v>1155</v>
      </c>
      <c r="D1173" s="1" t="str">
        <f>IFERROR(__xludf.DUMMYFUNCTION("CONCATENATE(GOOGLETRANSLATE(C1173, ""en"", ""zh-cn""))"),"BIDENUO G680 金属线耳机 3.5mm 入耳式耳机 适用于平板手机")</f>
        <v>BIDENUO G680 金属线耳机 3.5mm 入耳式耳机 适用于平板手机</v>
      </c>
      <c r="E1173" s="1" t="str">
        <f>IFERROR(__xludf.DUMMYFUNCTION("CONCATENATE(GOOGLETRANSLATE(C1173, ""en"", ""ko""))"),"태블릿 폰용 BIDENUO G680 메탈 와이어 헤드셋 3.5mm 이어폰형 이어폰")</f>
        <v>태블릿 폰용 BIDENUO G680 메탈 와이어 헤드셋 3.5mm 이어폰형 이어폰</v>
      </c>
      <c r="F1173" s="1" t="str">
        <f>IFERROR(__xludf.DUMMYFUNCTION("CONCATENATE(GOOGLETRANSLATE(C1173, ""en"", ""ja""))"),"BIDENUO G680 金属ワイヤーヘッドセット 3.5 ミリメートルインイヤーイヤホンタブレット電話用")</f>
        <v>BIDENUO G680 金属ワイヤーヘッドセット 3.5 ミリメートルインイヤーイヤホンタブレット電話用</v>
      </c>
    </row>
    <row r="1174" ht="15.75" customHeight="1">
      <c r="A1174" s="1">
        <v>2647.0</v>
      </c>
      <c r="B1174" s="1" t="s">
        <v>381</v>
      </c>
      <c r="C1174" s="1" t="s">
        <v>1156</v>
      </c>
      <c r="D1174" s="1" t="str">
        <f>IFERROR(__xludf.DUMMYFUNCTION("CONCATENATE(GOOGLETRANSLATE(C1174, ""en"", ""zh-cn""))"),"TIANSTON 原装 1M 铝制尼龙金属插头 USB Type-C 数据线同步充电线  ")</f>
        <v>TIANSTON 原装 1M 铝制尼龙金属插头 USB Type-C 数据线同步充电线  </v>
      </c>
      <c r="E1174" s="1" t="str">
        <f>IFERROR(__xludf.DUMMYFUNCTION("CONCATENATE(GOOGLETRANSLATE(C1174, ""en"", ""ko""))"),"TIANSTON 기존 1M 알루미늄 나일론 금속 플러그 Usb Type-C 케이블 동기화 충전 케이블  ")</f>
        <v>TIANSTON 기존 1M 알루미늄 나일론 금속 플러그 Usb Type-C 케이블 동기화 충전 케이블  </v>
      </c>
      <c r="F1174" s="1" t="str">
        <f>IFERROR(__xludf.DUMMYFUNCTION("CONCATENATE(GOOGLETRANSLATE(C1174, ""en"", ""ja""))"),"TIANSTON オリジナル 1 メートルアルミニウムナイロン金属プラグ USB Type-C ケーブル同期充電ケーブル  ")</f>
        <v>TIANSTON オリジナル 1 メートルアルミニウムナイロン金属プラグ USB Type-C ケーブル同期充電ケーブル  </v>
      </c>
    </row>
    <row r="1175" ht="15.75" customHeight="1">
      <c r="A1175" s="1">
        <v>2648.0</v>
      </c>
      <c r="B1175" s="1" t="s">
        <v>381</v>
      </c>
      <c r="C1175" s="1" t="s">
        <v>1157</v>
      </c>
      <c r="D1175" s="1" t="str">
        <f>IFERROR(__xludf.DUMMYFUNCTION("CONCATENATE(GOOGLETRANSLATE(C1175, ""en"", ""zh-cn""))"),"学生笔袋可爱笔袋一拉链可拆卸学校学生文具用品儿童礼品笔袋")</f>
        <v>学生笔袋可爱笔袋一拉链可拆卸学校学生文具用品儿童礼品笔袋</v>
      </c>
      <c r="E1175" s="1" t="str">
        <f>IFERROR(__xludf.DUMMYFUNCTION("CONCATENATE(GOOGLETRANSLATE(C1175, ""en"", ""ko""))"),"학생 펜 가방 하나의 지퍼가있는 귀여운 연필 케이스 이동식 학교 학생 문구 용품 어린이 선물 연필 가방")</f>
        <v>학생 펜 가방 하나의 지퍼가있는 귀여운 연필 케이스 이동식 학교 학생 문구 용품 어린이 선물 연필 가방</v>
      </c>
      <c r="F1175" s="1" t="str">
        <f>IFERROR(__xludf.DUMMYFUNCTION("CONCATENATE(GOOGLETRANSLATE(C1175, ""en"", ""ja""))"),"学生ペンバッグかわいい鉛筆ケース 1 つのジッパー付き取り外し可能学校学生文具用品子供ギフト鉛筆バッグ")</f>
        <v>学生ペンバッグかわいい鉛筆ケース 1 つのジッパー付き取り外し可能学校学生文具用品子供ギフト鉛筆バッグ</v>
      </c>
    </row>
    <row r="1176" ht="15.75" customHeight="1">
      <c r="A1176" s="1">
        <v>2649.0</v>
      </c>
      <c r="B1176" s="1" t="s">
        <v>381</v>
      </c>
      <c r="C1176" s="1" t="s">
        <v>1158</v>
      </c>
      <c r="D1176" s="1" t="str">
        <f>IFERROR(__xludf.DUMMYFUNCTION("CONCATENATE(GOOGLETRANSLATE(C1176, ""en"", ""zh-cn""))"),"A5切割图手动模型切割垫纸切割垫手动DIY工具切菜板耐用PVC工艺卡适合学生家庭办公室")</f>
        <v>A5切割图手动模型切割垫纸切割垫手动DIY工具切菜板耐用PVC工艺卡适合学生家庭办公室</v>
      </c>
      <c r="E1176" s="1" t="str">
        <f>IFERROR(__xludf.DUMMYFUNCTION("CONCATENATE(GOOGLETRANSLATE(C1176, ""en"", ""ko""))"),"A5 커팅 맵 수동 모델 커팅 패드 종이 커팅 패드 수동 DIY 도구 커팅 보드 학생 홈 오피스를위한 내구성 PVC 공예 카드")</f>
        <v>A5 커팅 맵 수동 모델 커팅 패드 종이 커팅 패드 수동 DIY 도구 커팅 보드 학생 홈 오피스를위한 내구성 PVC 공예 카드</v>
      </c>
      <c r="F1176" s="1" t="str">
        <f>IFERROR(__xludf.DUMMYFUNCTION("CONCATENATE(GOOGLETRANSLATE(C1176, ""en"", ""ja""))"),"A5 カッティングマップマニュアルモデルカッティングパッド紙カッティングパッドマニュアル DIY ツールまな板耐久性のある PVC クラフトカード学生ホームオフィス")</f>
        <v>A5 カッティングマップマニュアルモデルカッティングパッド紙カッティングパッドマニュアル DIY ツールまな板耐久性のある PVC クラフトカード学生ホームオフィス</v>
      </c>
    </row>
    <row r="1177" ht="15.75" customHeight="1">
      <c r="A1177" s="1">
        <v>2650.0</v>
      </c>
      <c r="B1177" s="1" t="s">
        <v>381</v>
      </c>
      <c r="C1177" s="1" t="s">
        <v>1159</v>
      </c>
      <c r="D1177" s="1" t="str">
        <f>IFERROR(__xludf.DUMMYFUNCTION("CONCATENATE(GOOGLETRANSLATE(C1177, ""en"", ""zh-cn""))"),"Earldom 5V 6.2A 4 端口 HUB USB 充电器")</f>
        <v>Earldom 5V 6.2A 4 端口 HUB USB 充电器</v>
      </c>
      <c r="E1177" s="1" t="str">
        <f>IFERROR(__xludf.DUMMYFUNCTION("CONCATENATE(GOOGLETRANSLATE(C1177, ""en"", ""ko""))"),"Earldom 5V 6.2A 4 포트 허브 USB 충전기")</f>
        <v>Earldom 5V 6.2A 4 포트 허브 USB 충전기</v>
      </c>
      <c r="F1177" s="1" t="str">
        <f>IFERROR(__xludf.DUMMYFUNCTION("CONCATENATE(GOOGLETRANSLATE(C1177, ""en"", ""ja""))"),"Earldom 5V 6.2A 4 ポート ハブ USB 充電器")</f>
        <v>Earldom 5V 6.2A 4 ポート ハブ USB 充電器</v>
      </c>
    </row>
    <row r="1178" ht="15.75" customHeight="1">
      <c r="A1178" s="1">
        <v>2651.0</v>
      </c>
      <c r="B1178" s="1" t="s">
        <v>381</v>
      </c>
      <c r="C1178" s="1" t="s">
        <v>1160</v>
      </c>
      <c r="D1178" s="1" t="str">
        <f>IFERROR(__xludf.DUMMYFUNCTION("CONCATENATE(GOOGLETRANSLATE(C1178, ""en"", ""zh-cn""))"),"Earldom 5V 6.2A 4 USB 端口充电器适配器适用于平板电脑手机")</f>
        <v>Earldom 5V 6.2A 4 USB 端口充电器适配器适用于平板电脑手机</v>
      </c>
      <c r="E1178" s="1" t="str">
        <f>IFERROR(__xludf.DUMMYFUNCTION("CONCATENATE(GOOGLETRANSLATE(C1178, ""en"", ""ko""))"),"태블릿 전화용 Earldom 5V 6.2A 4 USB 포트 충전기 어댑터")</f>
        <v>태블릿 전화용 Earldom 5V 6.2A 4 USB 포트 충전기 어댑터</v>
      </c>
      <c r="F1178" s="1" t="str">
        <f>IFERROR(__xludf.DUMMYFUNCTION("CONCATENATE(GOOGLETRANSLATE(C1178, ""en"", ""ja""))"),"Earldom 5V 6.2A 4 USB ポート充電アダプター タブレット電話用")</f>
        <v>Earldom 5V 6.2A 4 USB ポート充電アダプター タブレット電話用</v>
      </c>
    </row>
    <row r="1179" ht="15.75" customHeight="1">
      <c r="A1179" s="1">
        <v>2652.0</v>
      </c>
      <c r="B1179" s="1" t="s">
        <v>381</v>
      </c>
      <c r="C1179" s="1" t="s">
        <v>1161</v>
      </c>
      <c r="D1179" s="1" t="str">
        <f>IFERROR(__xludf.DUMMYFUNCTION("CONCATENATE(GOOGLETRANSLATE(C1179, ""en"", ""zh-cn""))"),"可拆卸可爱铅笔盒一拉链学校学生文具用品儿童礼品铅笔袋")</f>
        <v>可拆卸可爱铅笔盒一拉链学校学生文具用品儿童礼品铅笔袋</v>
      </c>
      <c r="E1179" s="1" t="str">
        <f>IFERROR(__xludf.DUMMYFUNCTION("CONCATENATE(GOOGLETRANSLATE(C1179, ""en"", ""ko""))"),"하나의 지퍼가있는 이동식 귀여운 연필 케이스 학교 학생 문구 용품 어린이 선물 연필 가방")</f>
        <v>하나의 지퍼가있는 이동식 귀여운 연필 케이스 학교 학생 문구 용품 어린이 선물 연필 가방</v>
      </c>
      <c r="F1179" s="1" t="str">
        <f>IFERROR(__xludf.DUMMYFUNCTION("CONCATENATE(GOOGLETRANSLATE(C1179, ""en"", ""ja""))"),"取り外し可能なかわいい鉛筆ケース 1 つのジッパー付き学校学生文具用品子供ギフト鉛筆バッグ")</f>
        <v>取り外し可能なかわいい鉛筆ケース 1 つのジッパー付き学校学生文具用品子供ギフト鉛筆バッグ</v>
      </c>
    </row>
    <row r="1180" ht="15.75" customHeight="1">
      <c r="A1180" s="1">
        <v>2653.0</v>
      </c>
      <c r="B1180" s="1" t="s">
        <v>381</v>
      </c>
      <c r="C1180" s="1" t="s">
        <v>1162</v>
      </c>
      <c r="D1180" s="1" t="str">
        <f>IFERROR(__xludf.DUMMYFUNCTION("CONCATENATE(GOOGLETRANSLATE(C1180, ""en"", ""zh-cn""))"),"折叠支架 PU 皮套 适用于 Newsmy F9 平板电脑")</f>
        <v>折叠支架 PU 皮套 适用于 Newsmy F9 平板电脑</v>
      </c>
      <c r="E1180" s="1" t="str">
        <f>IFERROR(__xludf.DUMMYFUNCTION("CONCATENATE(GOOGLETRANSLATE(C1180, ""en"", ""ko""))"),"Newsmy F9 태블릿용 접이식 스탠드 PU 가죽 케이스 커버")</f>
        <v>Newsmy F9 태블릿용 접이식 스탠드 PU 가죽 케이스 커버</v>
      </c>
      <c r="F1180" s="1" t="str">
        <f>IFERROR(__xludf.DUMMYFUNCTION("CONCATENATE(GOOGLETRANSLATE(C1180, ""en"", ""ja""))"),"Newsmy F9タブレット用折りたたみスタンドPUレザーケースカバー")</f>
        <v>Newsmy F9タブレット用折りたたみスタンドPUレザーケースカバー</v>
      </c>
    </row>
    <row r="1181" ht="15.75" customHeight="1">
      <c r="A1181" s="1">
        <v>2654.0</v>
      </c>
      <c r="B1181" s="1" t="s">
        <v>381</v>
      </c>
      <c r="C1181" s="1" t="s">
        <v>1163</v>
      </c>
      <c r="D1181" s="1" t="str">
        <f>IFERROR(__xludf.DUMMYFUNCTION("CONCATENATE(GOOGLETRANSLATE(C1181, ""en"", ""zh-cn""))"),"折叠支架 PU 皮套 适用于 Vido W8c 平板电脑")</f>
        <v>折叠支架 PU 皮套 适用于 Vido W8c 平板电脑</v>
      </c>
      <c r="E1181" s="1" t="str">
        <f>IFERROR(__xludf.DUMMYFUNCTION("CONCATENATE(GOOGLETRANSLATE(C1181, ""en"", ""ko""))"),"Vido W8c 태블릿용 접이식 스탠드 PU 가죽 케이스 커버")</f>
        <v>Vido W8c 태블릿용 접이식 스탠드 PU 가죽 케이스 커버</v>
      </c>
      <c r="F1181" s="1" t="str">
        <f>IFERROR(__xludf.DUMMYFUNCTION("CONCATENATE(GOOGLETRANSLATE(C1181, ""en"", ""ja""))"),"Vido W8c タブレット用折りたたみスタンド PU レザー ケース カバー")</f>
        <v>Vido W8c タブレット用折りたたみスタンド PU レザー ケース カバー</v>
      </c>
    </row>
    <row r="1182" ht="15.75" customHeight="1">
      <c r="A1182" s="1">
        <v>2655.0</v>
      </c>
      <c r="B1182" s="1" t="s">
        <v>381</v>
      </c>
      <c r="C1182" s="1" t="s">
        <v>1164</v>
      </c>
      <c r="D1182" s="1" t="str">
        <f>IFERROR(__xludf.DUMMYFUNCTION("CONCATENATE(GOOGLETRANSLATE(C1182, ""en"", ""zh-cn""))"),"适用于台电 P98HD 通用透明屏幕保护膜")</f>
        <v>适用于台电 P98HD 通用透明屏幕保护膜</v>
      </c>
      <c r="E1182" s="1" t="str">
        <f>IFERROR(__xludf.DUMMYFUNCTION("CONCATENATE(GOOGLETRANSLATE(C1182, ""en"", ""ko""))"),"Teclast P98HD용 범용 투명 스크린 보호 필름")</f>
        <v>Teclast P98HD용 범용 투명 스크린 보호 필름</v>
      </c>
      <c r="F1182" s="1" t="str">
        <f>IFERROR(__xludf.DUMMYFUNCTION("CONCATENATE(GOOGLETRANSLATE(C1182, ""en"", ""ja""))"),"Teclast P98HD 用ユニバーサル透明スクリーンプロテクターフィルム")</f>
        <v>Teclast P98HD 用ユニバーサル透明スクリーンプロテクターフィルム</v>
      </c>
    </row>
    <row r="1183" ht="15.75" customHeight="1">
      <c r="A1183" s="1">
        <v>2656.0</v>
      </c>
      <c r="B1183" s="1" t="s">
        <v>381</v>
      </c>
      <c r="C1183" s="1" t="s">
        <v>1165</v>
      </c>
      <c r="D1183" s="1" t="str">
        <f>IFERROR(__xludf.DUMMYFUNCTION("CONCATENATE(GOOGLETRANSLATE(C1183, ""en"", ""zh-cn""))"),"适用于 VOYO Winpad A1 通用透明屏幕保护膜")</f>
        <v>适用于 VOYO Winpad A1 通用透明屏幕保护膜</v>
      </c>
      <c r="E1183" s="1" t="str">
        <f>IFERROR(__xludf.DUMMYFUNCTION("CONCATENATE(GOOGLETRANSLATE(C1183, ""en"", ""ko""))"),"VOYO Winpad A1용 범용 투명 스크린 보호 필름")</f>
        <v>VOYO Winpad A1용 범용 투명 스크린 보호 필름</v>
      </c>
      <c r="F1183" s="1" t="str">
        <f>IFERROR(__xludf.DUMMYFUNCTION("CONCATENATE(GOOGLETRANSLATE(C1183, ""en"", ""ja""))"),"VOYO Winpad A1 用ユニバーサル透明スクリーン保護フィルム")</f>
        <v>VOYO Winpad A1 用ユニバーサル透明スクリーン保護フィルム</v>
      </c>
    </row>
    <row r="1184" ht="15.75" customHeight="1">
      <c r="A1184" s="1">
        <v>2657.0</v>
      </c>
      <c r="B1184" s="1" t="s">
        <v>381</v>
      </c>
      <c r="C1184" s="1" t="s">
        <v>1166</v>
      </c>
      <c r="D1184" s="1" t="str">
        <f>IFERROR(__xludf.DUMMYFUNCTION("CONCATENATE(GOOGLETRANSLATE(C1184, ""en"", ""zh-cn""))"),"联想 A3500 通用透明屏幕保护膜")</f>
        <v>联想 A3500 通用透明屏幕保护膜</v>
      </c>
      <c r="E1184" s="1" t="str">
        <f>IFERROR(__xludf.DUMMYFUNCTION("CONCATENATE(GOOGLETRANSLATE(C1184, ""en"", ""ko""))"),"Lenovo A3500용 범용 투명 화면 보호 필름")</f>
        <v>Lenovo A3500용 범용 투명 화면 보호 필름</v>
      </c>
      <c r="F1184" s="1" t="str">
        <f>IFERROR(__xludf.DUMMYFUNCTION("CONCATENATE(GOOGLETRANSLATE(C1184, ""en"", ""ja""))"),"Lenovo A3500用ユニバーサル透明スクリーンプロテクターフィルム")</f>
        <v>Lenovo A3500用ユニバーサル透明スクリーンプロテクターフィルム</v>
      </c>
    </row>
    <row r="1185" ht="15.75" customHeight="1">
      <c r="A1185" s="1">
        <v>2658.0</v>
      </c>
      <c r="B1185" s="1" t="s">
        <v>381</v>
      </c>
      <c r="C1185" s="1" t="s">
        <v>1167</v>
      </c>
      <c r="D1185" s="1" t="str">
        <f>IFERROR(__xludf.DUMMYFUNCTION("CONCATENATE(GOOGLETRANSLATE(C1185, ""en"", ""zh-cn""))"),"适用于Colorfly I106 Q1 通用透明屏幕保护膜")</f>
        <v>适用于Colorfly I106 Q1 通用透明屏幕保护膜</v>
      </c>
      <c r="E1185" s="1" t="str">
        <f>IFERROR(__xludf.DUMMYFUNCTION("CONCATENATE(GOOGLETRANSLATE(C1185, ""en"", ""ko""))"),"Colorfly I106 Q1용 범용 투명 화면 보호 필름")</f>
        <v>Colorfly I106 Q1용 범용 투명 화면 보호 필름</v>
      </c>
      <c r="F1185" s="1" t="str">
        <f>IFERROR(__xludf.DUMMYFUNCTION("CONCATENATE(GOOGLETRANSLATE(C1185, ""en"", ""ja""))"),"Colorfly I106 Q1 用ユニバーサル透明スクリーン保護フィルム")</f>
        <v>Colorfly I106 Q1 用ユニバーサル透明スクリーン保護フィルム</v>
      </c>
    </row>
    <row r="1186" ht="15.75" customHeight="1">
      <c r="A1186" s="1">
        <v>2659.0</v>
      </c>
      <c r="B1186" s="1" t="s">
        <v>381</v>
      </c>
      <c r="C1186" s="1" t="s">
        <v>1168</v>
      </c>
      <c r="D1186" s="1" t="str">
        <f>IFERROR(__xludf.DUMMYFUNCTION("CONCATENATE(GOOGLETRANSLATE(C1186, ""en"", ""zh-cn""))"),"联想 A7600 透明光面屏幕保护膜")</f>
        <v>联想 A7600 透明光面屏幕保护膜</v>
      </c>
      <c r="E1186" s="1" t="str">
        <f>IFERROR(__xludf.DUMMYFUNCTION("CONCATENATE(GOOGLETRANSLATE(C1186, ""en"", ""ko""))"),"Lenovo A7600용 투명 광택 화면 보호 필름")</f>
        <v>Lenovo A7600용 투명 광택 화면 보호 필름</v>
      </c>
      <c r="F1186" s="1" t="str">
        <f>IFERROR(__xludf.DUMMYFUNCTION("CONCATENATE(GOOGLETRANSLATE(C1186, ""en"", ""ja""))"),"Lenovo A7600 用の透明な光沢のあるスクリーン保護フィルム")</f>
        <v>Lenovo A7600 用の透明な光沢のあるスクリーン保護フィルム</v>
      </c>
    </row>
    <row r="1187" ht="15.75" customHeight="1">
      <c r="A1187" s="1">
        <v>2660.0</v>
      </c>
      <c r="B1187" s="1" t="s">
        <v>381</v>
      </c>
      <c r="C1187" s="1" t="s">
        <v>1169</v>
      </c>
      <c r="D1187" s="1" t="str">
        <f>IFERROR(__xludf.DUMMYFUNCTION("CONCATENATE(GOOGLETRANSLATE(C1187, ""en"", ""zh-cn""))"),"联想 A3300 透明光面屏幕保护膜")</f>
        <v>联想 A3300 透明光面屏幕保护膜</v>
      </c>
      <c r="E1187" s="1" t="str">
        <f>IFERROR(__xludf.DUMMYFUNCTION("CONCATENATE(GOOGLETRANSLATE(C1187, ""en"", ""ko""))"),"Lenovo A3300용 투명 광택 화면 보호 필름")</f>
        <v>Lenovo A3300용 투명 광택 화면 보호 필름</v>
      </c>
      <c r="F1187" s="1" t="str">
        <f>IFERROR(__xludf.DUMMYFUNCTION("CONCATENATE(GOOGLETRANSLATE(C1187, ""en"", ""ja""))"),"Lenovo A3300 用の透明な光沢のあるスクリーン保護フィルム")</f>
        <v>Lenovo A3300 用の透明な光沢のあるスクリーン保護フィルム</v>
      </c>
    </row>
    <row r="1188" ht="15.75" customHeight="1">
      <c r="A1188" s="1">
        <v>2661.0</v>
      </c>
      <c r="B1188" s="1" t="s">
        <v>381</v>
      </c>
      <c r="C1188" s="1" t="s">
        <v>1170</v>
      </c>
      <c r="D1188" s="1" t="str">
        <f>IFERROR(__xludf.DUMMYFUNCTION("CONCATENATE(GOOGLETRANSLATE(C1188, ""en"", ""zh-cn""))"),"无线蓝牙音箱音响灯LED灯")</f>
        <v>无线蓝牙音箱音响灯LED灯</v>
      </c>
      <c r="E1188" s="1" t="str">
        <f>IFERROR(__xludf.DUMMYFUNCTION("CONCATENATE(GOOGLETRANSLATE(C1188, ""en"", ""ko""))"),"무선 블루투스 스피커 오디오 램프 LED 조명")</f>
        <v>무선 블루투스 스피커 오디오 램프 LED 조명</v>
      </c>
      <c r="F1188" s="1" t="str">
        <f>IFERROR(__xludf.DUMMYFUNCTION("CONCATENATE(GOOGLETRANSLATE(C1188, ""en"", ""ja""))"),"ワイヤレス Bluetooth スピーカー オーディオ ランプ LED ライト")</f>
        <v>ワイヤレス Bluetooth スピーカー オーディオ ランプ LED ライト</v>
      </c>
    </row>
    <row r="1189" ht="15.75" customHeight="1">
      <c r="A1189" s="1">
        <v>2662.0</v>
      </c>
      <c r="B1189" s="1" t="s">
        <v>381</v>
      </c>
      <c r="C1189" s="1" t="s">
        <v>1171</v>
      </c>
      <c r="D1189" s="1" t="str">
        <f>IFERROR(__xludf.DUMMYFUNCTION("CONCATENATE(GOOGLETRANSLATE(C1189, ""en"", ""zh-cn""))"),"创意隐藏式笔筒办公桌收纳盒备忘录笔文具收纳盒办公桌抽屉办公室学校用品")</f>
        <v>创意隐藏式笔筒办公桌收纳盒备忘录笔文具收纳盒办公桌抽屉办公室学校用品</v>
      </c>
      <c r="E1189" s="1" t="str">
        <f>IFERROR(__xludf.DUMMYFUNCTION("CONCATENATE(GOOGLETRANSLATE(C1189, ""en"", ""ko""))"),"크리 에이 티브 숨겨진 펜 홀더 데스크 주최자 메모 펜 편지지 보관 상자 케이스 책상 서랍 사무실 학교 용품")</f>
        <v>크리 에이 티브 숨겨진 펜 홀더 데스크 주최자 메모 펜 편지지 보관 상자 케이스 책상 서랍 사무실 학교 용품</v>
      </c>
      <c r="F1189" s="1" t="str">
        <f>IFERROR(__xludf.DUMMYFUNCTION("CONCATENATE(GOOGLETRANSLATE(C1189, ""en"", ""ja""))"),"クリエイティブ隠しペンホルダーデスクオーガナイザーメモペン文具収納ボックスケースデスク引き出しオフィス学用品")</f>
        <v>クリエイティブ隠しペンホルダーデスクオーガナイザーメモペン文具収納ボックスケースデスク引き出しオフィス学用品</v>
      </c>
    </row>
    <row r="1190" ht="15.75" customHeight="1">
      <c r="A1190" s="1">
        <v>2663.0</v>
      </c>
      <c r="B1190" s="1" t="s">
        <v>381</v>
      </c>
      <c r="C1190" s="1" t="s">
        <v>1172</v>
      </c>
      <c r="D1190" s="1" t="str">
        <f>IFERROR(__xludf.DUMMYFUNCTION("CONCATENATE(GOOGLETRANSLATE(C1190, ""en"", ""zh-cn""))"),"1 件隐藏式粘贴储物抽屉厨房收纳盒文具盒收纳盒桌下粘性抽屉")</f>
        <v>1 件隐藏式粘贴储物抽屉厨房收纳盒文具盒收纳盒桌下粘性抽屉</v>
      </c>
      <c r="E1190" s="1" t="str">
        <f>IFERROR(__xludf.DUMMYFUNCTION("CONCATENATE(GOOGLETRANSLATE(C1190, ""en"", ""ko""))"),"1Pcs 숨겨진 붙여 넣기 보관 서랍 주방 주최자 보관 상자 편지지 홀더 케이스 컨테이너 테이블 아래 접착제 서랍")</f>
        <v>1Pcs 숨겨진 붙여 넣기 보관 서랍 주방 주최자 보관 상자 편지지 홀더 케이스 컨테이너 테이블 아래 접착제 서랍</v>
      </c>
      <c r="F1190" s="1" t="str">
        <f>IFERROR(__xludf.DUMMYFUNCTION("CONCATENATE(GOOGLETRANSLATE(C1190, ""en"", ""ja""))"),"1 個隠しペースト収納引き出しキッチンオーガナイザー収納ボックス文具ホルダーケースコンテナ粘着引き出しテーブルの下")</f>
        <v>1 個隠しペースト収納引き出しキッチンオーガナイザー収納ボックス文具ホルダーケースコンテナ粘着引き出しテーブルの下</v>
      </c>
    </row>
    <row r="1191" ht="15.75" customHeight="1">
      <c r="A1191" s="1">
        <v>2664.0</v>
      </c>
      <c r="B1191" s="1" t="s">
        <v>381</v>
      </c>
      <c r="C1191" s="1" t="s">
        <v>1173</v>
      </c>
      <c r="D1191" s="1" t="str">
        <f>IFERROR(__xludf.DUMMYFUNCTION("CONCATENATE(GOOGLETRANSLATE(C1191, ""en"", ""zh-cn""))"),"1 件 3D 打印机用 1.75MM / 3MM MG Plus RepRap 铜管 M6")</f>
        <v>1 件 3D 打印机用 1.75MM / 3MM MG Plus RepRap 铜管 M6</v>
      </c>
      <c r="E1191" s="1" t="str">
        <f>IFERROR(__xludf.DUMMYFUNCTION("CONCATENATE(GOOGLETRANSLATE(C1191, ""en"", ""ko""))"),"3D 프린터용 1Pcs 1.75MM/3MM MG Plus RepRap 구리 파이프 M6")</f>
        <v>3D 프린터용 1Pcs 1.75MM/3MM MG Plus RepRap 구리 파이프 M6</v>
      </c>
      <c r="F1191" s="1" t="str">
        <f>IFERROR(__xludf.DUMMYFUNCTION("CONCATENATE(GOOGLETRANSLATE(C1191, ""en"", ""ja""))"),"1 個 1.75 ミリメートル / 3 ミリメートル MG プラス RepRap 銅パイプ M6 3D プリンタ用")</f>
        <v>1 個 1.75 ミリメートル / 3 ミリメートル MG プラス RepRap 銅パイプ M6 3D プリンタ用</v>
      </c>
    </row>
    <row r="1192" ht="15.75" customHeight="1">
      <c r="A1192" s="1">
        <v>2665.0</v>
      </c>
      <c r="B1192" s="1" t="s">
        <v>381</v>
      </c>
      <c r="C1192" s="1" t="s">
        <v>1174</v>
      </c>
      <c r="D1192" s="1" t="str">
        <f>IFERROR(__xludf.DUMMYFUNCTION("CONCATENATE(GOOGLETRANSLATE(C1192, ""en"", ""zh-cn""))"),"壁挂式浴室角储物架角架柜浴缸浴缸淋浴盒沥水篮厨房收纳架")</f>
        <v>壁挂式浴室角储物架角架柜浴缸浴缸淋浴盒沥水篮厨房收纳架</v>
      </c>
      <c r="E1192" s="1" t="str">
        <f>IFERROR(__xludf.DUMMYFUNCTION("CONCATENATE(GOOGLETRANSLATE(C1192, ""en"", ""ko""))"),"벽걸이 형 욕실 코너 스토리지 랙 코너 선반 캐비닛 욕조 욕조 샤워 캐디 배수 바구니 주방 주최자")</f>
        <v>벽걸이 형 욕실 코너 스토리지 랙 코너 선반 캐비닛 욕조 욕조 샤워 캐디 배수 바구니 주방 주최자</v>
      </c>
      <c r="F1192" s="1" t="str">
        <f>IFERROR(__xludf.DUMMYFUNCTION("CONCATENATE(GOOGLETRANSLATE(C1192, ""en"", ""ja""))"),"壁掛けバスルームコーナー収納ラックコーナーシェルフキャビネット浴槽バスシャワーキャディ排水バスケットキッチンオーガナイザー")</f>
        <v>壁掛けバスルームコーナー収納ラックコーナーシェルフキャビネット浴槽バスシャワーキャディ排水バスケットキッチンオーガナイザー</v>
      </c>
    </row>
    <row r="1193" ht="15.75" customHeight="1">
      <c r="A1193" s="1">
        <v>2666.0</v>
      </c>
      <c r="B1193" s="1" t="s">
        <v>381</v>
      </c>
      <c r="C1193" s="1" t="s">
        <v>1175</v>
      </c>
      <c r="D1193" s="1" t="str">
        <f>IFERROR(__xludf.DUMMYFUNCTION("CONCATENATE(GOOGLETRANSLATE(C1193, ""en"", ""zh-cn""))"),"隐藏式桌下储物架衣架柜下储物厨房储物架桌面收纳用品")</f>
        <v>隐藏式桌下储物架衣架柜下储物厨房储物架桌面收纳用品</v>
      </c>
      <c r="E1193" s="1" t="str">
        <f>IFERROR(__xludf.DUMMYFUNCTION("CONCATENATE(GOOGLETRANSLATE(C1193, ""en"", ""ko""))"),"책상 아래에 숨겨져 있음 캐비닛 보관함 아래 행거 보관함 주방 보관함 데스크탑 정리 용품")</f>
        <v>책상 아래에 숨겨져 있음 캐비닛 보관함 아래 행거 보관함 주방 보관함 데스크탑 정리 용품</v>
      </c>
      <c r="F1193" s="1" t="str">
        <f>IFERROR(__xludf.DUMMYFUNCTION("CONCATENATE(GOOGLETRANSLATE(C1193, ""en"", ""ja""))"),"デスクの下に隠し収納ラックハンガーキャビネットの下収納キッチン収納ラックデスクトップオーガナイザー用品")</f>
        <v>デスクの下に隠し収納ラックハンガーキャビネットの下収納キッチン収納ラックデスクトップオーガナイザー用品</v>
      </c>
    </row>
    <row r="1194" ht="15.75" customHeight="1">
      <c r="A1194" s="1">
        <v>2667.0</v>
      </c>
      <c r="B1194" s="1" t="s">
        <v>381</v>
      </c>
      <c r="C1194" s="1" t="s">
        <v>1176</v>
      </c>
      <c r="D1194" s="1" t="str">
        <f>IFERROR(__xludf.DUMMYFUNCTION("CONCATENATE(GOOGLETRANSLATE(C1194, ""en"", ""zh-cn""))"),"伸缩桌下隐藏式储物无痕贴带抽屉笔架铅笔盒托盘自助桌面收纳用品")</f>
        <v>伸缩桌下隐藏式储物无痕贴带抽屉笔架铅笔盒托盘自助桌面收纳用品</v>
      </c>
      <c r="E1194" s="1" t="str">
        <f>IFERROR(__xludf.DUMMYFUNCTION("CONCATENATE(GOOGLETRANSLATE(C1194, ""en"", ""ko""))"),"텔레스코픽 테이블 아래 숨겨진 스토리지 서랍 펜 홀더가있는 비 마킹 붙여 넣기 연필 케이스 트레이 셀프 데스크탑 정리 용품")</f>
        <v>텔레스코픽 테이블 아래 숨겨진 스토리지 서랍 펜 홀더가있는 비 마킹 붙여 넣기 연필 케이스 트레이 셀프 데스크탑 정리 용품</v>
      </c>
      <c r="F1194" s="1" t="str">
        <f>IFERROR(__xludf.DUMMYFUNCTION("CONCATENATE(GOOGLETRANSLATE(C1194, ""en"", ""ja""))"),"伸縮テーブルの下に隠し収納 ノンマーキングペースト 引き出し付き ペンホルダー 鉛筆ケーストレイ セルフデスクトップオーガナイザー用品")</f>
        <v>伸縮テーブルの下に隠し収納 ノンマーキングペースト 引き出し付き ペンホルダー 鉛筆ケーストレイ セルフデスクトップオーガナイザー用品</v>
      </c>
    </row>
    <row r="1195" ht="15.75" customHeight="1">
      <c r="A1195" s="1">
        <v>2668.0</v>
      </c>
      <c r="B1195" s="1" t="s">
        <v>381</v>
      </c>
      <c r="C1195" s="1" t="s">
        <v>1177</v>
      </c>
      <c r="D1195" s="1" t="str">
        <f>IFERROR(__xludf.DUMMYFUNCTION("CONCATENATE(GOOGLETRANSLATE(C1195, ""en"", ""zh-cn""))"),"KF2510-2P 设置间距2.54mm 磷铜镀锡")</f>
        <v>KF2510-2P 设置间距2.54mm 磷铜镀锡</v>
      </c>
      <c r="E1195" s="1" t="str">
        <f>IFERROR(__xludf.DUMMYFUNCTION("CONCATENATE(GOOGLETRANSLATE(C1195, ""en"", ""ko""))"),"KF2510-2P 세트 피치 2.54mm 인동 주석 도금")</f>
        <v>KF2510-2P 세트 피치 2.54mm 인동 주석 도금</v>
      </c>
      <c r="F1195" s="1" t="str">
        <f>IFERROR(__xludf.DUMMYFUNCTION("CONCATENATE(GOOGLETRANSLATE(C1195, ""en"", ""ja""))"),"KF2510-2P セットピッチ2.54mm リン銅 錫メッキ")</f>
        <v>KF2510-2P セットピッチ2.54mm リン銅 錫メッキ</v>
      </c>
    </row>
    <row r="1196" ht="15.75" customHeight="1">
      <c r="A1196" s="1">
        <v>2669.0</v>
      </c>
      <c r="B1196" s="1" t="s">
        <v>381</v>
      </c>
      <c r="C1196" s="1" t="s">
        <v>1178</v>
      </c>
      <c r="D1196" s="1" t="str">
        <f>IFERROR(__xludf.DUMMYFUNCTION("CONCATENATE(GOOGLETRANSLATE(C1196, ""en"", ""zh-cn""))"),"1.0M USB 2.0 转 Micro USB 微笑 LED 充电数据线 适用于平板手机")</f>
        <v>1.0M USB 2.0 转 Micro USB 微笑 LED 充电数据线 适用于平板手机</v>
      </c>
      <c r="E1196" s="1" t="str">
        <f>IFERROR(__xludf.DUMMYFUNCTION("CONCATENATE(GOOGLETRANSLATE(C1196, ""en"", ""ko""))"),"1.0M USB 2.0 - 태블릿 휴대폰용 마이크로 USB 스마일 LED 충전 데이터 라인")</f>
        <v>1.0M USB 2.0 - 태블릿 휴대폰용 마이크로 USB 스마일 LED 충전 데이터 라인</v>
      </c>
      <c r="F1196" s="1" t="str">
        <f>IFERROR(__xludf.DUMMYFUNCTION("CONCATENATE(GOOGLETRANSLATE(C1196, ""en"", ""ja""))"),"タブレット携帯電話用 1.0M USB 2.0 - Micro USB スマイル LED 充電データライン")</f>
        <v>タブレット携帯電話用 1.0M USB 2.0 - Micro USB スマイル LED 充電データライン</v>
      </c>
    </row>
    <row r="1197" ht="15.75" customHeight="1">
      <c r="A1197" s="1">
        <v>2670.0</v>
      </c>
      <c r="B1197" s="1" t="s">
        <v>381</v>
      </c>
      <c r="C1197" s="1" t="s">
        <v>1179</v>
      </c>
      <c r="D1197" s="1" t="str">
        <f>IFERROR(__xludf.DUMMYFUNCTION("CONCATENATE(GOOGLETRANSLATE(C1197, ""en"", ""zh-cn""))"),"MK7 MK8 全金属远程挤出机套件，适用于 1.75 毫米长丝 3D 打印机")</f>
        <v>MK7 MK8 全金属远程挤出机套件，适用于 1.75 毫米长丝 3D 打印机</v>
      </c>
      <c r="E1197" s="1" t="str">
        <f>IFERROR(__xludf.DUMMYFUNCTION("CONCATENATE(GOOGLETRANSLATE(C1197, ""en"", ""ko""))"),"MK7 MK8 1.75mm 필라멘트 3D 프린터용 모든 금속 원격 압출기 키트")</f>
        <v>MK7 MK8 1.75mm 필라멘트 3D 프린터용 모든 금속 원격 압출기 키트</v>
      </c>
      <c r="F1197" s="1" t="str">
        <f>IFERROR(__xludf.DUMMYFUNCTION("CONCATENATE(GOOGLETRANSLATE(C1197, ""en"", ""ja""))"),"MK7 MK8 1.75mm フィラメント 3D プリンタ用全金属リモート押出機キット")</f>
        <v>MK7 MK8 1.75mm フィラメント 3D プリンタ用全金属リモート押出機キット</v>
      </c>
    </row>
    <row r="1198" ht="15.75" customHeight="1">
      <c r="A1198" s="1">
        <v>2671.0</v>
      </c>
      <c r="B1198" s="1" t="s">
        <v>381</v>
      </c>
      <c r="C1198" s="1" t="s">
        <v>1180</v>
      </c>
      <c r="D1198" s="1" t="str">
        <f>IFERROR(__xludf.DUMMYFUNCTION("CONCATENATE(GOOGLETRANSLATE(C1198, ""en"", ""zh-cn""))"),"1M USB3.1 Type-C 转 USB 2.0 数据线，适用于手机和平板电脑")</f>
        <v>1M USB3.1 Type-C 转 USB 2.0 数据线，适用于手机和平板电脑</v>
      </c>
      <c r="E1198" s="1" t="str">
        <f>IFERROR(__xludf.DUMMYFUNCTION("CONCATENATE(GOOGLETRANSLATE(C1198, ""en"", ""ko""))"),"휴대폰 및 태블릿용 USB 2.0 케이블 라인에 대한 1M USB3.1 Type-C")</f>
        <v>휴대폰 및 태블릿용 USB 2.0 케이블 라인에 대한 1M USB3.1 Type-C</v>
      </c>
      <c r="F1198" s="1" t="str">
        <f>IFERROR(__xludf.DUMMYFUNCTION("CONCATENATE(GOOGLETRANSLATE(C1198, ""en"", ""ja""))"),"携帯電話およびタブレット用の1M USB3.1 Type-C - USB 2.0ケーブルライン")</f>
        <v>携帯電話およびタブレット用の1M USB3.1 Type-C - USB 2.0ケーブルライン</v>
      </c>
    </row>
    <row r="1199" ht="15.75" customHeight="1">
      <c r="A1199" s="1">
        <v>2672.0</v>
      </c>
      <c r="B1199" s="1" t="s">
        <v>381</v>
      </c>
      <c r="C1199" s="1" t="s">
        <v>1181</v>
      </c>
      <c r="D1199" s="1" t="str">
        <f>IFERROR(__xludf.DUMMYFUNCTION("CONCATENATE(GOOGLETRANSLATE(C1199, ""en"", ""zh-cn""))"),"1 件 2 型 M6X25 挤出机配件 1.75 毫米螺纹喷嘴喉适用于 3D 打印机")</f>
        <v>1 件 2 型 M6X25 挤出机配件 1.75 毫米螺纹喷嘴喉适用于 3D 打印机</v>
      </c>
      <c r="E1199" s="1" t="str">
        <f>IFERROR(__xludf.DUMMYFUNCTION("CONCATENATE(GOOGLETRANSLATE(C1199, ""en"", ""ko""))"),"3D 프린터용 1Pc 2 유형 M6X25 압출기 액세서리 1.75mm 나사 노즐 목구멍")</f>
        <v>3D 프린터용 1Pc 2 유형 M6X25 압출기 액세서리 1.75mm 나사 노즐 목구멍</v>
      </c>
      <c r="F1199" s="1" t="str">
        <f>IFERROR(__xludf.DUMMYFUNCTION("CONCATENATE(GOOGLETRANSLATE(C1199, ""en"", ""ja""))"),"1Pc 2 タイプ M6X25 押出機アクセサリー 1.75 ミリメートルスレッドノズルスロート 3D プリンタ用")</f>
        <v>1Pc 2 タイプ M6X25 押出機アクセサリー 1.75 ミリメートルスレッドノズルスロート 3D プリンタ用</v>
      </c>
    </row>
    <row r="1200" ht="15.75" customHeight="1">
      <c r="A1200" s="1">
        <v>2673.0</v>
      </c>
      <c r="B1200" s="1" t="s">
        <v>381</v>
      </c>
      <c r="C1200" s="1" t="s">
        <v>1182</v>
      </c>
      <c r="D1200" s="1" t="str">
        <f>IFERROR(__xludf.DUMMYFUNCTION("CONCATENATE(GOOGLETRANSLATE(C1200, ""en"", ""zh-cn""))"),"1.8M USB 2.0 转 Micro USB 快速充电数据线，适用于 Android 手机和平板电脑")</f>
        <v>1.8M USB 2.0 转 Micro USB 快速充电数据线，适用于 Android 手机和平板电脑</v>
      </c>
      <c r="E1200" s="1" t="str">
        <f>IFERROR(__xludf.DUMMYFUNCTION("CONCATENATE(GOOGLETRANSLATE(C1200, ""en"", ""ko""))"),"1.8M USB 2.0 - 안드로이드 휴대폰 및 태블릿용 마이크로 USB 고속 충전 데이터 라인")</f>
        <v>1.8M USB 2.0 - 안드로이드 휴대폰 및 태블릿용 마이크로 USB 고속 충전 데이터 라인</v>
      </c>
      <c r="F1200" s="1" t="str">
        <f>IFERROR(__xludf.DUMMYFUNCTION("CONCATENATE(GOOGLETRANSLATE(C1200, ""en"", ""ja""))"),"Android スマートフォンおよびタブレット用の 1.8M USB 2.0 ～ Micro USB 高速充電データ ライン")</f>
        <v>Android スマートフォンおよびタブレット用の 1.8M USB 2.0 ～ Micro USB 高速充電データ ライン</v>
      </c>
    </row>
    <row r="1201" ht="15.75" customHeight="1">
      <c r="A1201" s="1">
        <v>2674.0</v>
      </c>
      <c r="B1201" s="1" t="s">
        <v>381</v>
      </c>
      <c r="C1201" s="1" t="s">
        <v>1183</v>
      </c>
      <c r="D1201" s="1" t="str">
        <f>IFERROR(__xludf.DUMMYFUNCTION("CONCATENATE(GOOGLETRANSLATE(C1201, ""en"", ""zh-cn""))"),"三折支架 PU 皮套 适用于海信 F6281 魔镜平板电脑 ")</f>
        <v>三折支架 PU 皮套 适用于海信 F6281 魔镜平板电脑 </v>
      </c>
      <c r="E1201" s="1" t="str">
        <f>IFERROR(__xludf.DUMMYFUNCTION("CONCATENATE(GOOGLETRANSLATE(C1201, ""en"", ""ko""))"),"Hisense F6281 매직 미러 태블릿용 삼중 스탠드 PU 가죽 케이스 커버 ")</f>
        <v>Hisense F6281 매직 미러 태블릿용 삼중 스탠드 PU 가죽 케이스 커버 </v>
      </c>
      <c r="F1201" s="1" t="str">
        <f>IFERROR(__xludf.DUMMYFUNCTION("CONCATENATE(GOOGLETRANSLATE(C1201, ""en"", ""ja""))"),"ハイセンス F6281 マジックミラータブレット用三つ折りスタンドPUレザーケースカバー ")</f>
        <v>ハイセンス F6281 マジックミラータブレット用三つ折りスタンドPUレザーケースカバー </v>
      </c>
    </row>
    <row r="1202" ht="15.75" customHeight="1">
      <c r="A1202" s="1">
        <v>2675.0</v>
      </c>
      <c r="B1202" s="1" t="s">
        <v>381</v>
      </c>
      <c r="C1202" s="1" t="s">
        <v>1184</v>
      </c>
      <c r="D1202" s="1" t="str">
        <f>IFERROR(__xludf.DUMMYFUNCTION("CONCATENATE(GOOGLETRANSLATE(C1202, ""en"", ""zh-cn""))"),"适用爱普生LQ680K LQ-670k 660K LQ670K+T 针式打印机色带盒墨水")</f>
        <v>适用爱普生LQ680K LQ-670k 660K LQ670K+T 针式打印机色带盒墨水</v>
      </c>
      <c r="E1202" s="1" t="str">
        <f>IFERROR(__xludf.DUMMYFUNCTION("CONCATENATE(GOOGLETRANSLATE(C1202, ""en"", ""ko""))"),"적용 가능한 Epson LQ680K LQ-670k 660K LQ670K+T 스타일러스 프린터 리본 카트리지 잉크")</f>
        <v>적용 가능한 Epson LQ680K LQ-670k 660K LQ670K+T 스타일러스 프린터 리본 카트리지 잉크</v>
      </c>
      <c r="F1202" s="1" t="str">
        <f>IFERROR(__xludf.DUMMYFUNCTION("CONCATENATE(GOOGLETRANSLATE(C1202, ""en"", ""ja""))"),"該当するエプソン LQ680K LQ-670k 660K LQ670K+T スタイラス プリンタ リボン カートリッジ インク")</f>
        <v>該当するエプソン LQ680K LQ-670k 660K LQ670K+T スタイラス プリンタ リボン カートリッジ インク</v>
      </c>
    </row>
    <row r="1203" ht="15.75" customHeight="1">
      <c r="A1203" s="1">
        <v>2676.0</v>
      </c>
      <c r="B1203" s="1" t="s">
        <v>381</v>
      </c>
      <c r="C1203" s="1" t="s">
        <v>1185</v>
      </c>
      <c r="D1203" s="1" t="str">
        <f>IFERROR(__xludf.DUMMYFUNCTION("CONCATENATE(GOOGLETRANSLATE(C1203, ""en"", ""zh-cn""))"),"I4 Ppt翻转笔多媒体遥控演示投影仪笔白板教学音量调节器")</f>
        <v>I4 Ppt翻转笔多媒体遥控演示投影仪笔白板教学音量调节器</v>
      </c>
      <c r="E1203" s="1" t="str">
        <f>IFERROR(__xludf.DUMMYFUNCTION("CONCATENATE(GOOGLETRANSLATE(C1203, ""en"", ""ko""))"),"I4 Ppt 플립 펜 멀티미디어 원격 제어 데모 프로젝터 펜 화이트 보드 교육 볼륨 조절기")</f>
        <v>I4 Ppt 플립 펜 멀티미디어 원격 제어 데모 프로젝터 펜 화이트 보드 교육 볼륨 조절기</v>
      </c>
      <c r="F1203" s="1" t="str">
        <f>IFERROR(__xludf.DUMMYFUNCTION("CONCATENATE(GOOGLETRANSLATE(C1203, ""en"", ""ja""))"),"I4 Ppt フリップ ペン マルチメディア リモコン デモ プロジェクター ペン ホワイトボード ティーチング ボリューム レギュレーター")</f>
        <v>I4 Ppt フリップ ペン マルチメディア リモコン デモ プロジェクター ペン ホワイトボード ティーチング ボリューム レギュレーター</v>
      </c>
    </row>
    <row r="1204" ht="15.75" customHeight="1">
      <c r="A1204" s="1">
        <v>2677.0</v>
      </c>
      <c r="B1204" s="1" t="s">
        <v>381</v>
      </c>
      <c r="C1204" s="1" t="s">
        <v>1186</v>
      </c>
      <c r="D1204" s="1" t="str">
        <f>IFERROR(__xludf.DUMMYFUNCTION("CONCATENATE(GOOGLETRANSLATE(C1204, ""en"", ""zh-cn""))"),"复古设计房子形状万年历木桌木块家庭办公用品装饰")</f>
        <v>复古设计房子形状万年历木桌木块家庭办公用品装饰</v>
      </c>
      <c r="E1204" s="1" t="str">
        <f>IFERROR(__xludf.DUMMYFUNCTION("CONCATENATE(GOOGLETRANSLATE(C1204, ""en"", ""ko""))"),"빈티지 디자인 집 모양 영구 달력 나무 책상 나무 블록 홈 오피스 용품 장식")</f>
        <v>빈티지 디자인 집 모양 영구 달력 나무 책상 나무 블록 홈 오피스 용품 장식</v>
      </c>
      <c r="F1204" s="1" t="str">
        <f>IFERROR(__xludf.DUMMYFUNCTION("CONCATENATE(GOOGLETRANSLATE(C1204, ""en"", ""ja""))"),"ヴィンテージデザインハウスシェイプ永久カレンダー木製デスク木製ブロックホームオフィス用品装飾")</f>
        <v>ヴィンテージデザインハウスシェイプ永久カレンダー木製デスク木製ブロックホームオフィス用品装飾</v>
      </c>
    </row>
    <row r="1205" ht="15.75" customHeight="1">
      <c r="A1205" s="1">
        <v>2678.0</v>
      </c>
      <c r="B1205" s="1" t="s">
        <v>381</v>
      </c>
      <c r="C1205" s="1" t="s">
        <v>1187</v>
      </c>
      <c r="D1205" s="1" t="str">
        <f>IFERROR(__xludf.DUMMYFUNCTION("CONCATENATE(GOOGLETRANSLATE(C1205, ""en"", ""zh-cn""))"),"2018 日历笔记本备忘录收纳盒房屋容器办公桌办公室每日计划学生收纳盒")</f>
        <v>2018 日历笔记本备忘录收纳盒房屋容器办公桌办公室每日计划学生收纳盒</v>
      </c>
      <c r="E1205" s="1" t="str">
        <f>IFERROR(__xludf.DUMMYFUNCTION("CONCATENATE(GOOGLETRANSLATE(C1205, ""en"", ""ko""))"),"2018 캘린더 노트 메모 보관함 하우스 컨테이너 책상 사무실 일일 플래너 학생 주최자")</f>
        <v>2018 캘린더 노트 메모 보관함 하우스 컨테이너 책상 사무실 일일 플래너 학생 주최자</v>
      </c>
      <c r="F1205" s="1" t="str">
        <f>IFERROR(__xludf.DUMMYFUNCTION("CONCATENATE(GOOGLETRANSLATE(C1205, ""en"", ""ja""))"),"2018 カレンダーノートブックメモ収納ボックスハウスコンテナデスクオフィスデイリープランナー学生オーガナイザー")</f>
        <v>2018 カレンダーノートブックメモ収納ボックスハウスコンテナデスクオフィスデイリープランナー学生オーガナイザー</v>
      </c>
    </row>
    <row r="1206" ht="15.75" customHeight="1">
      <c r="A1206" s="1">
        <v>2679.0</v>
      </c>
      <c r="B1206" s="1" t="s">
        <v>381</v>
      </c>
      <c r="C1206" s="1" t="s">
        <v>1188</v>
      </c>
      <c r="D1206" s="1" t="str">
        <f>IFERROR(__xludf.DUMMYFUNCTION("CONCATENATE(GOOGLETRANSLATE(C1206, ""en"", ""zh-cn""))"),"适用于 Tesla Model 3/Y 的 6 合 1 端口 USB 集线器扩展适配器扩展坞")</f>
        <v>适用于 Tesla Model 3/Y 的 6 合 1 端口 USB 集线器扩展适配器扩展坞</v>
      </c>
      <c r="E1206" s="1" t="str">
        <f>IFERROR(__xludf.DUMMYFUNCTION("CONCATENATE(GOOGLETRANSLATE(C1206, ""en"", ""ko""))"),"Tesla Model 3/Y용 6 in 1 포트 USB 허브 확장 어댑터 도킹 스테이션")</f>
        <v>Tesla Model 3/Y용 6 in 1 포트 USB 허브 확장 어댑터 도킹 스테이션</v>
      </c>
      <c r="F1206" s="1" t="str">
        <f>IFERROR(__xludf.DUMMYFUNCTION("CONCATENATE(GOOGLETRANSLATE(C1206, ""en"", ""ja""))"),"6 in 1 ポート USB ハブ エクステンダー アダプター ドッキング ステーション (Tesla モデル 3/Y 用)")</f>
        <v>6 in 1 ポート USB ハブ エクステンダー アダプター ドッキング ステーション (Tesla モデル 3/Y 用)</v>
      </c>
    </row>
    <row r="1207" ht="15.75" customHeight="1">
      <c r="A1207" s="1">
        <v>2680.0</v>
      </c>
      <c r="B1207" s="1" t="s">
        <v>381</v>
      </c>
      <c r="C1207" s="1" t="s">
        <v>1189</v>
      </c>
      <c r="D1207" s="1" t="str">
        <f>IFERROR(__xludf.DUMMYFUNCTION("CONCATENATE(GOOGLETRANSLATE(C1207, ""en"", ""zh-cn""))"),"A5皮革记事本商务创意复古笔记本办公用品日记本学生学校笔记本200页")</f>
        <v>A5皮革记事本商务创意复古笔记本办公用品日记本学生学校笔记本200页</v>
      </c>
      <c r="E1207" s="1" t="str">
        <f>IFERROR(__xludf.DUMMYFUNCTION("CONCATENATE(GOOGLETRANSLATE(C1207, ""en"", ""ko""))"),"A5 가죽 메모장 비즈니스 크리 에이 티브 레트로 노트 사무용품 저널 학생 학교 노트 200 페이지")</f>
        <v>A5 가죽 메모장 비즈니스 크리 에이 티브 레트로 노트 사무용품 저널 학생 학교 노트 200 페이지</v>
      </c>
      <c r="F1207" s="1" t="str">
        <f>IFERROR(__xludf.DUMMYFUNCTION("CONCATENATE(GOOGLETRANSLATE(C1207, ""en"", ""ja""))"),"A5 レザーメモ帳ビジネスクリエイティブレトロノートブック事務用品ジャーナル学生スクールノートブック 200 ページ")</f>
        <v>A5 レザーメモ帳ビジネスクリエイティブレトロノートブック事務用品ジャーナル学生スクールノートブック 200 ページ</v>
      </c>
    </row>
    <row r="1208" ht="15.75" customHeight="1">
      <c r="A1208" s="1">
        <v>2681.0</v>
      </c>
      <c r="B1208" s="1" t="s">
        <v>381</v>
      </c>
      <c r="C1208" s="1" t="s">
        <v>1190</v>
      </c>
      <c r="D1208" s="1" t="str">
        <f>IFERROR(__xludf.DUMMYFUNCTION("CONCATENATE(GOOGLETRANSLATE(C1208, ""en"", ""zh-cn""))"),"便携式可折叠卧室书桌笔记本电脑支架笔记本电脑笔记本多功能桌早餐托盘服务桌")</f>
        <v>便携式可折叠卧室书桌笔记本电脑支架笔记本电脑笔记本多功能桌早餐托盘服务桌</v>
      </c>
      <c r="E1208" s="1" t="str">
        <f>IFERROR(__xludf.DUMMYFUNCTION("CONCATENATE(GOOGLETRANSLATE(C1208, ""en"", ""ko""))"),"휴대용 접이식 침실 책상 노트북 스탠드 Lapdesk 컴퓨터 노트북 다기능 테이블 아침 식사 트레이 서빙 테이블")</f>
        <v>휴대용 접이식 침실 책상 노트북 스탠드 Lapdesk 컴퓨터 노트북 다기능 테이블 아침 식사 트레이 서빙 테이블</v>
      </c>
      <c r="F1208" s="1" t="str">
        <f>IFERROR(__xludf.DUMMYFUNCTION("CONCATENATE(GOOGLETRANSLATE(C1208, ""en"", ""ja""))"),"ポータブル折りたたみ式寝室デスクラップトップスタンドラップデスクコンピュータノートブック多機能テーブル朝食トレイサービングテーブル")</f>
        <v>ポータブル折りたたみ式寝室デスクラップトップスタンドラップデスクコンピュータノートブック多機能テーブル朝食トレイサービングテーブル</v>
      </c>
    </row>
    <row r="1209" ht="15.75" customHeight="1">
      <c r="A1209" s="1">
        <v>2682.0</v>
      </c>
      <c r="B1209" s="1" t="s">
        <v>381</v>
      </c>
      <c r="C1209" s="1" t="s">
        <v>1191</v>
      </c>
      <c r="D1209" s="1" t="str">
        <f>IFERROR(__xludf.DUMMYFUNCTION("CONCATENATE(GOOGLETRANSLATE(C1209, ""en"", ""zh-cn""))"),"UM3 M6*0.75 螺纹黄铜加热块 4mm 适用于 3D 打印机")</f>
        <v>UM3 M6*0.75 螺纹黄铜加热块 4mm 适用于 3D 打印机</v>
      </c>
      <c r="E1209" s="1" t="str">
        <f>IFERROR(__xludf.DUMMYFUNCTION("CONCATENATE(GOOGLETRANSLATE(C1209, ""en"", ""ko""))"),"3D 프린터용 UM3 M6*0.75 스레드 황동 구리 가열 블록 4mm")</f>
        <v>3D 프린터용 UM3 M6*0.75 스레드 황동 구리 가열 블록 4mm</v>
      </c>
      <c r="F1209" s="1" t="str">
        <f>IFERROR(__xludf.DUMMYFUNCTION("CONCATENATE(GOOGLETRANSLATE(C1209, ""en"", ""ja""))"),"UM3 M6 * 0.75 スレッド真鍮銅加熱ブロック 4 ミリメートル 3D プリンタ用")</f>
        <v>UM3 M6 * 0.75 スレッド真鍮銅加熱ブロック 4 ミリメートル 3D プリンタ用</v>
      </c>
    </row>
    <row r="1210" ht="15.75" customHeight="1">
      <c r="A1210" s="1">
        <v>2683.0</v>
      </c>
      <c r="B1210" s="1" t="s">
        <v>381</v>
      </c>
      <c r="C1210" s="1" t="s">
        <v>1192</v>
      </c>
      <c r="D1210" s="1" t="str">
        <f>IFERROR(__xludf.DUMMYFUNCTION("CONCATENATE(GOOGLETRANSLATE(C1210, ""en"", ""zh-cn""))"),"DIY 5D 钻石画海边灯塔艺术工艺套件手工墙壁装饰儿童成人礼物")</f>
        <v>DIY 5D 钻石画海边灯塔艺术工艺套件手工墙壁装饰儿童成人礼物</v>
      </c>
      <c r="E1210" s="1" t="str">
        <f>IFERROR(__xludf.DUMMYFUNCTION("CONCATENATE(GOOGLETRANSLATE(C1210, ""en"", ""ko""))"),"DIY 5D 다이아몬드 페인팅 해변 등대 아트 공예 키트 어린이를위한 수제 벽 장식 선물 성인")</f>
        <v>DIY 5D 다이아몬드 페인팅 해변 등대 아트 공예 키트 어린이를위한 수제 벽 장식 선물 성인</v>
      </c>
      <c r="F1210" s="1" t="str">
        <f>IFERROR(__xludf.DUMMYFUNCTION("CONCATENATE(GOOGLETRANSLATE(C1210, ""en"", ""ja""))"),"DIY 5D ダイヤモンド塗装海辺の灯台アートクラフトキット手作りの壁の装飾ギフト子供大人")</f>
        <v>DIY 5D ダイヤモンド塗装海辺の灯台アートクラフトキット手作りの壁の装飾ギフト子供大人</v>
      </c>
    </row>
    <row r="1211" ht="15.75" customHeight="1">
      <c r="A1211" s="1">
        <v>2684.0</v>
      </c>
      <c r="B1211" s="1" t="s">
        <v>381</v>
      </c>
      <c r="C1211" s="1" t="s">
        <v>1193</v>
      </c>
      <c r="D1211" s="1" t="str">
        <f>IFERROR(__xludf.DUMMYFUNCTION("CONCATENATE(GOOGLETRANSLATE(C1211, ""en"", ""zh-cn""))"),"Fizz FZ224003 小型胶带切割机，适用于办公室和学校文具用品")</f>
        <v>Fizz FZ224003 小型胶带切割机，适用于办公室和学校文具用品</v>
      </c>
      <c r="E1211" s="1" t="str">
        <f>IFERROR(__xludf.DUMMYFUNCTION("CONCATENATE(GOOGLETRANSLATE(C1211, ""en"", ""ko""))"),"Fizz FZ224003 사무실 및 학교 문구용품용 소형 테이프 커터")</f>
        <v>Fizz FZ224003 사무실 및 학교 문구용품용 소형 테이프 커터</v>
      </c>
      <c r="F1211" s="1" t="str">
        <f>IFERROR(__xludf.DUMMYFUNCTION("CONCATENATE(GOOGLETRANSLATE(C1211, ""en"", ""ja""))"),"フィズ FZ224003 オフィスや学校の文具用品用小型テープ カッター")</f>
        <v>フィズ FZ224003 オフィスや学校の文具用品用小型テープ カッター</v>
      </c>
    </row>
    <row r="1212" ht="15.75" customHeight="1">
      <c r="A1212" s="1">
        <v>2685.0</v>
      </c>
      <c r="B1212" s="1" t="s">
        <v>381</v>
      </c>
      <c r="C1212" s="1" t="s">
        <v>1194</v>
      </c>
      <c r="D1212" s="1" t="str">
        <f>IFERROR(__xludf.DUMMYFUNCTION("CONCATENATE(GOOGLETRANSLATE(C1212, ""en"", ""zh-cn""))"),"PK-900 104 键 USB 有线背光机械手感游戏键盘")</f>
        <v>PK-900 104 键 USB 有线背光机械手感游戏键盘</v>
      </c>
      <c r="E1212" s="1" t="str">
        <f>IFERROR(__xludf.DUMMYFUNCTION("CONCATENATE(GOOGLETRANSLATE(C1212, ""en"", ""ko""))"),"PK-900 104 키 USB 유선 백라이트 기계식 핸드필 게이밍 키보드")</f>
        <v>PK-900 104 키 USB 유선 백라이트 기계식 핸드필 게이밍 키보드</v>
      </c>
      <c r="F1212" s="1" t="str">
        <f>IFERROR(__xludf.DUMMYFUNCTION("CONCATENATE(GOOGLETRANSLATE(C1212, ""en"", ""ja""))"),"PK-900 104 キー USB 有線バックライト付きメカニカル ハンドフィール ゲーミング キーボード")</f>
        <v>PK-900 104 キー USB 有線バックライト付きメカニカル ハンドフィール ゲーミング キーボード</v>
      </c>
    </row>
    <row r="1213" ht="15.75" customHeight="1">
      <c r="A1213" s="1">
        <v>2686.0</v>
      </c>
      <c r="B1213" s="1" t="s">
        <v>381</v>
      </c>
      <c r="C1213" s="1" t="s">
        <v>1195</v>
      </c>
      <c r="D1213" s="1" t="str">
        <f>IFERROR(__xludf.DUMMYFUNCTION("CONCATENATE(GOOGLETRANSLATE(C1213, ""en"", ""zh-cn""))"),"适用于 CR-10S 的 Creality 3D® 3D 打印机液晶显示屏")</f>
        <v>适用于 CR-10S 的 Creality 3D® 3D 打印机液晶显示屏</v>
      </c>
      <c r="E1213" s="1" t="str">
        <f>IFERROR(__xludf.DUMMYFUNCTION("CONCATENATE(GOOGLETRANSLATE(C1213, ""en"", ""ko""))"),"CR-10S용 Creality 3D® 3D 프린터 LCD 화면 디스플레이")</f>
        <v>CR-10S용 Creality 3D® 3D 프린터 LCD 화면 디스플레이</v>
      </c>
      <c r="F1213" s="1" t="str">
        <f>IFERROR(__xludf.DUMMYFUNCTION("CONCATENATE(GOOGLETRANSLATE(C1213, ""en"", ""ja""))"),"Creality 3D® 3D プリンター CR-10S 用 LCD スクリーン ディスプレイ")</f>
        <v>Creality 3D® 3D プリンター CR-10S 用 LCD スクリーン ディスプレイ</v>
      </c>
    </row>
    <row r="1214" ht="15.75" customHeight="1">
      <c r="A1214" s="1">
        <v>2687.0</v>
      </c>
      <c r="B1214" s="1" t="s">
        <v>381</v>
      </c>
      <c r="C1214" s="1" t="s">
        <v>1196</v>
      </c>
      <c r="D1214" s="1" t="str">
        <f>IFERROR(__xludf.DUMMYFUNCTION("CONCATENATE(GOOGLETRANSLATE(C1214, ""en"", ""zh-cn""))"),"A4刀片切纸机办公切纸机和修剪器照片切割刀片美术工艺品工具")</f>
        <v>A4刀片切纸机办公切纸机和修剪器照片切割刀片美术工艺品工具</v>
      </c>
      <c r="E1214" s="1" t="str">
        <f>IFERROR(__xludf.DUMMYFUNCTION("CONCATENATE(GOOGLETRANSLATE(C1214, ""en"", ""ko""))"),"A4 블레이드 종이 커터 사무용 종이 커터 및 트리머 사진 커팅 블레이드 미술 공예 도구")</f>
        <v>A4 블레이드 종이 커터 사무용 종이 커터 및 트리머 사진 커팅 블레이드 미술 공예 도구</v>
      </c>
      <c r="F1214" s="1" t="str">
        <f>IFERROR(__xludf.DUMMYFUNCTION("CONCATENATE(GOOGLETRANSLATE(C1214, ""en"", ""ja""))"),"A4 ブレードペーパーカッターオフィスペーパーカッターとトリマー写真切断刃アートクラフトツール")</f>
        <v>A4 ブレードペーパーカッターオフィスペーパーカッターとトリマー写真切断刃アートクラフトツール</v>
      </c>
    </row>
    <row r="1215" ht="15.75" customHeight="1">
      <c r="A1215" s="1">
        <v>2688.0</v>
      </c>
      <c r="B1215" s="1" t="s">
        <v>381</v>
      </c>
      <c r="C1215" s="1" t="s">
        <v>1197</v>
      </c>
      <c r="D1215" s="1" t="str">
        <f>IFERROR(__xludf.DUMMYFUNCTION("CONCATENATE(GOOGLETRANSLATE(C1215, ""en"", ""zh-cn""))"),"1.2M 编织 Micro USB 2.0 充电器数据同步线 适用于平板电脑手机")</f>
        <v>1.2M 编织 Micro USB 2.0 充电器数据同步线 适用于平板电脑手机</v>
      </c>
      <c r="E1215" s="1" t="str">
        <f>IFERROR(__xludf.DUMMYFUNCTION("CONCATENATE(GOOGLETRANSLATE(C1215, ""en"", ""ko""))"),"태블릿 휴대폰용 1.2M 편조 마이크로 USB 2.0 충전기 데이터 동기화 케이블 코드")</f>
        <v>태블릿 휴대폰용 1.2M 편조 마이크로 USB 2.0 충전기 데이터 동기화 케이블 코드</v>
      </c>
      <c r="F1215" s="1" t="str">
        <f>IFERROR(__xludf.DUMMYFUNCTION("CONCATENATE(GOOGLETRANSLATE(C1215, ""en"", ""ja""))"),"タブレット携帯電話用1.2M編組マイクロUSB 2.0充電器データ同期ケーブルコード")</f>
        <v>タブレット携帯電話用1.2M編組マイクロUSB 2.0充電器データ同期ケーブルコード</v>
      </c>
    </row>
    <row r="1216" ht="15.75" customHeight="1">
      <c r="A1216" s="1">
        <v>2689.0</v>
      </c>
      <c r="B1216" s="1" t="s">
        <v>381</v>
      </c>
      <c r="C1216" s="1" t="s">
        <v>1198</v>
      </c>
      <c r="D1216" s="1" t="str">
        <f>IFERROR(__xludf.DUMMYFUNCTION("CONCATENATE(GOOGLETRANSLATE(C1216, ""en"", ""zh-cn""))"),"A5 PU笔记本松紧带商务记事本200页加厚笔记本学生办公文具用品带笔槽")</f>
        <v>A5 PU笔记本松紧带商务记事本200页加厚笔记本学生办公文具用品带笔槽</v>
      </c>
      <c r="E1216" s="1" t="str">
        <f>IFERROR(__xludf.DUMMYFUNCTION("CONCATENATE(GOOGLETRANSLATE(C1216, ""en"", ""ko""))"),"A5 PU 노트북 탄성 밴드 비즈니스 메모장 200 페이지 두꺼운 노트북 학생 문구 용품 펜 슬롯")</f>
        <v>A5 PU 노트북 탄성 밴드 비즈니스 메모장 200 페이지 두꺼운 노트북 학생 문구 용품 펜 슬롯</v>
      </c>
      <c r="F1216" s="1" t="str">
        <f>IFERROR(__xludf.DUMMYFUNCTION("CONCATENATE(GOOGLETRANSLATE(C1216, ""en"", ""ja""))"),"A5 PU ノートブック弾性バンドビジネスメモ帳 200 ページ厚みのノートブック学生オフィス文具用品ペンスロット")</f>
        <v>A5 PU ノートブック弾性バンドビジネスメモ帳 200 ページ厚みのノートブック学生オフィス文具用品ペンスロット</v>
      </c>
    </row>
    <row r="1217" ht="15.75" customHeight="1">
      <c r="A1217" s="1">
        <v>2690.0</v>
      </c>
      <c r="B1217" s="1" t="s">
        <v>381</v>
      </c>
      <c r="C1217" s="1" t="s">
        <v>1199</v>
      </c>
      <c r="D1217" s="1" t="str">
        <f>IFERROR(__xludf.DUMMYFUNCTION("CONCATENATE(GOOGLETRANSLATE(C1217, ""en"", ""zh-cn""))"),"Fizz A36373 A4 资料册 80 张插入文件夹办公会议用品")</f>
        <v>Fizz A36373 A4 资料册 80 张插入文件夹办公会议用品</v>
      </c>
      <c r="E1217" s="1" t="str">
        <f>IFERROR(__xludf.DUMMYFUNCTION("CONCATENATE(GOOGLETRANSLATE(C1217, ""en"", ""ko""))"),"Fizz A36373 A4 정보 책자 80매 사무실 회의 용품에 파일 폴더 삽입")</f>
        <v>Fizz A36373 A4 정보 책자 80매 사무실 회의 용품에 파일 폴더 삽입</v>
      </c>
      <c r="F1217" s="1" t="str">
        <f>IFERROR(__xludf.DUMMYFUNCTION("CONCATENATE(GOOGLETRANSLATE(C1217, ""en"", ""ja""))"),"フィズ A36373 A4 情報ブック 80 枚 オフィス会議用品にファイルフォルダーを挿入します")</f>
        <v>フィズ A36373 A4 情報ブック 80 枚 オフィス会議用品にファイルフォルダーを挿入します</v>
      </c>
    </row>
    <row r="1218" ht="15.75" customHeight="1">
      <c r="A1218" s="1">
        <v>2691.0</v>
      </c>
      <c r="B1218" s="1" t="s">
        <v>381</v>
      </c>
      <c r="C1218" s="1" t="s">
        <v>1200</v>
      </c>
      <c r="D1218" s="1" t="str">
        <f>IFERROR(__xludf.DUMMYFUNCTION("CONCATENATE(GOOGLETRANSLATE(C1218, ""en"", ""zh-cn""))"),"Fizz A36373 A4 资料册 30 张插入文件夹办公会议用品")</f>
        <v>Fizz A36373 A4 资料册 30 张插入文件夹办公会议用品</v>
      </c>
      <c r="E1218" s="1" t="str">
        <f>IFERROR(__xludf.DUMMYFUNCTION("CONCATENATE(GOOGLETRANSLATE(C1218, ""en"", ""ko""))"),"Fizz A36373 A4 정보 책자 30매 사무실 회의 용품에 파일 폴더 삽입")</f>
        <v>Fizz A36373 A4 정보 책자 30매 사무실 회의 용품에 파일 폴더 삽입</v>
      </c>
      <c r="F1218" s="1" t="str">
        <f>IFERROR(__xludf.DUMMYFUNCTION("CONCATENATE(GOOGLETRANSLATE(C1218, ""en"", ""ja""))"),"フィズ A36373 A4 情報ブック 30 枚 オフィス会議用品にファイルフォルダーを挿入します")</f>
        <v>フィズ A36373 A4 情報ブック 30 枚 オフィス会議用品にファイルフォルダーを挿入します</v>
      </c>
    </row>
    <row r="1219" ht="15.75" customHeight="1">
      <c r="A1219" s="1">
        <v>2692.0</v>
      </c>
      <c r="B1219" s="1" t="s">
        <v>381</v>
      </c>
      <c r="C1219" s="1" t="s">
        <v>1201</v>
      </c>
      <c r="D1219" s="1" t="str">
        <f>IFERROR(__xludf.DUMMYFUNCTION("CONCATENATE(GOOGLETRANSLATE(C1219, ""en"", ""zh-cn""))"),"后支架平板电脑保护套适用于三星 Tab A 10.5 (T595/T590)")</f>
        <v>后支架平板电脑保护套适用于三星 Tab A 10.5 (T595/T590)</v>
      </c>
      <c r="E1219" s="1" t="str">
        <f>IFERROR(__xludf.DUMMYFUNCTION("CONCATENATE(GOOGLETRANSLATE(C1219, ""en"", ""ko""))"),"삼성 탭 A 10.5(T595/T590)용 후면 스탠드 태블릿 케이스 커버")</f>
        <v>삼성 탭 A 10.5(T595/T590)용 후면 스탠드 태블릿 케이스 커버</v>
      </c>
      <c r="F1219" s="1" t="str">
        <f>IFERROR(__xludf.DUMMYFUNCTION("CONCATENATE(GOOGLETRANSLATE(C1219, ""en"", ""ja""))"),"Samsung Tab A 10.5 (T595/T590) 用バックスタンド タブレット ケース カバー")</f>
        <v>Samsung Tab A 10.5 (T595/T590) 用バックスタンド タブレット ケース カバー</v>
      </c>
    </row>
    <row r="1220" ht="15.75" customHeight="1">
      <c r="A1220" s="1">
        <v>2693.0</v>
      </c>
      <c r="B1220" s="1" t="s">
        <v>381</v>
      </c>
      <c r="C1220" s="1" t="s">
        <v>1202</v>
      </c>
      <c r="D1220" s="1" t="str">
        <f>IFERROR(__xludf.DUMMYFUNCTION("CONCATENATE(GOOGLETRANSLATE(C1220, ""en"", ""zh-cn""))"),"Mechzone 便携式 USB3.0 Type-C 光驱黑色托盘式外置 DVD-RW Max.24X 高速数据传输适用于 Win XP Win 7 Win 8 Win 10 Mac")</f>
        <v>Mechzone 便携式 USB3.0 Type-C 光驱黑色托盘式外置 DVD-RW Max.24X 高速数据传输适用于 Win XP Win 7 Win 8 Win 10 Mac</v>
      </c>
      <c r="E1220" s="1" t="str">
        <f>IFERROR(__xludf.DUMMYFUNCTION("CONCATENATE(GOOGLETRANSLATE(C1220, ""en"", ""ko""))"),"Mechzone Portable USB3.0 Type-C 광학 드라이브 검정색 트레이 유형 외장형 DVD-RW Win XP Win 7 Win 8 Win 10 Mac용 Max.24X 고속 데이터 전송")</f>
        <v>Mechzone Portable USB3.0 Type-C 광학 드라이브 검정색 트레이 유형 외장형 DVD-RW Win XP Win 7 Win 8 Win 10 Mac용 Max.24X 고속 데이터 전송</v>
      </c>
      <c r="F1220" s="1" t="str">
        <f>IFERROR(__xludf.DUMMYFUNCTION("CONCATENATE(GOOGLETRANSLATE(C1220, ""en"", ""ja""))"),"Mechzone ポータブル USB3.0 Type-C 光学ドライブ ブラック トレイ タイプ 外付け DVD-RW 最大 24X 高速データ転送 Win XP Win 7 Win 8 Win 10 Mac 用")</f>
        <v>Mechzone ポータブル USB3.0 Type-C 光学ドライブ ブラック トレイ タイプ 外付け DVD-RW 最大 24X 高速データ転送 Win XP Win 7 Win 8 Win 10 Mac 用</v>
      </c>
    </row>
    <row r="1221" ht="15.75" customHeight="1">
      <c r="A1221" s="1">
        <v>2694.0</v>
      </c>
      <c r="B1221" s="1" t="s">
        <v>381</v>
      </c>
      <c r="C1221" s="1" t="s">
        <v>1203</v>
      </c>
      <c r="D1221" s="1" t="str">
        <f>IFERROR(__xludf.DUMMYFUNCTION("CONCATENATE(GOOGLETRANSLATE(C1221, ""en"", ""zh-cn""))"),"D11卷筒标签打印机不干胶纸防水防撕价格标签纸")</f>
        <v>D11卷筒标签打印机不干胶纸防水防撕价格标签纸</v>
      </c>
      <c r="E1221" s="1" t="str">
        <f>IFERROR(__xludf.DUMMYFUNCTION("CONCATENATE(GOOGLETRANSLATE(C1221, ""en"", ""ko""))"),"D11 롤 라벨 프린터 스티커 용지 방수 찢어짐 방지 가격 라벨 용지")</f>
        <v>D11 롤 라벨 프린터 스티커 용지 방수 찢어짐 방지 가격 라벨 용지</v>
      </c>
      <c r="F1221" s="1" t="str">
        <f>IFERROR(__xludf.DUMMYFUNCTION("CONCATENATE(GOOGLETRANSLATE(C1221, ""en"", ""ja""))"),"D11 ロールラベルプリンターステッカー紙防水破れにくい価格ラベル用紙")</f>
        <v>D11 ロールラベルプリンターステッカー紙防水破れにくい価格ラベル用紙</v>
      </c>
    </row>
    <row r="1222" ht="15.75" customHeight="1">
      <c r="A1222" s="1">
        <v>2695.0</v>
      </c>
      <c r="B1222" s="1" t="s">
        <v>381</v>
      </c>
      <c r="C1222" s="1" t="s">
        <v>1204</v>
      </c>
      <c r="D1222" s="1" t="str">
        <f>IFERROR(__xludf.DUMMYFUNCTION("CONCATENATE(GOOGLETRANSLATE(C1222, ""en"", ""zh-cn""))"),"D11纯色标签纸卷超市防水防撕价格标签")</f>
        <v>D11纯色标签纸卷超市防水防撕价格标签</v>
      </c>
      <c r="E1222" s="1" t="str">
        <f>IFERROR(__xludf.DUMMYFUNCTION("CONCATENATE(GOOGLETRANSLATE(C1222, ""en"", ""ko""))"),"D11 순수 컬러 라벨 종이 롤 슈퍼마켓 방수 찢어짐 방지 가격 라벨")</f>
        <v>D11 순수 컬러 라벨 종이 롤 슈퍼마켓 방수 찢어짐 방지 가격 라벨</v>
      </c>
      <c r="F1222" s="1" t="str">
        <f>IFERROR(__xludf.DUMMYFUNCTION("CONCATENATE(GOOGLETRANSLATE(C1222, ""en"", ""ja""))"),"D11 ピュアカラーラベル紙ロールスーパーマーケット防水破れにくい価格ラベル")</f>
        <v>D11 ピュアカラーラベル紙ロールスーパーマーケット防水破れにくい価格ラベル</v>
      </c>
    </row>
    <row r="1223" ht="15.75" customHeight="1">
      <c r="A1223" s="1">
        <v>2696.0</v>
      </c>
      <c r="B1223" s="1" t="s">
        <v>381</v>
      </c>
      <c r="C1223" s="1" t="s">
        <v>1205</v>
      </c>
      <c r="D1223" s="1" t="str">
        <f>IFERROR(__xludf.DUMMYFUNCTION("CONCATENATE(GOOGLETRANSLATE(C1223, ""en"", ""zh-cn""))"),"FLSUN® 5PCS 1.75mm 黄铜喂料挤出机轮驱动齿轮适用于 Reprap 3D 打印机  ")</f>
        <v>FLSUN® 5PCS 1.75mm 黄铜喂料挤出机轮驱动齿轮适用于 Reprap 3D 打印机  </v>
      </c>
      <c r="E1223" s="1" t="str">
        <f>IFERROR(__xludf.DUMMYFUNCTION("CONCATENATE(GOOGLETRANSLATE(C1223, ""en"", ""ko""))"),"FLSUN® 5PCS 1.75mm 황동 피드 압출기 Reprap 3D 프린터용 휠 드라이브 기어  ")</f>
        <v>FLSUN® 5PCS 1.75mm 황동 피드 압출기 Reprap 3D 프린터용 휠 드라이브 기어  </v>
      </c>
      <c r="F1223" s="1" t="str">
        <f>IFERROR(__xludf.DUMMYFUNCTION("CONCATENATE(GOOGLETRANSLATE(C1223, ""en"", ""ja""))"),"FLSUN® 5 個 1.75mm 真鍮フィード押出機ホイールドライブギア Reprap 3D プリンター用  ")</f>
        <v>FLSUN® 5 個 1.75mm 真鍮フィード押出機ホイールドライブギア Reprap 3D プリンター用  </v>
      </c>
    </row>
    <row r="1224" ht="15.75" customHeight="1">
      <c r="A1224" s="1">
        <v>2697.0</v>
      </c>
      <c r="B1224" s="1" t="s">
        <v>381</v>
      </c>
      <c r="C1224" s="1" t="s">
        <v>1206</v>
      </c>
      <c r="D1224" s="1" t="str">
        <f>IFERROR(__xludf.DUMMYFUNCTION("CONCATENATE(GOOGLETRANSLATE(C1224, ""en"", ""zh-cn""))"),"礼品包装纸切纸机 礼品包装机压纸切纸机专用工具切纸机安全快速切纸机")</f>
        <v>礼品包装纸切纸机 礼品包装机压纸切纸机专用工具切纸机安全快速切纸机</v>
      </c>
      <c r="E1224" s="1" t="str">
        <f>IFERROR(__xludf.DUMMYFUNCTION("CONCATENATE(GOOGLETRANSLATE(C1224, ""en"", ""ko""))"),"선물 포장지 커터 선물 포장 기계 압착기 종이 커터 특수 도구 종이 커터 안전하고 빠른 종이 커터")</f>
        <v>선물 포장지 커터 선물 포장 기계 압착기 종이 커터 특수 도구 종이 커터 안전하고 빠른 종이 커터</v>
      </c>
      <c r="F1224" s="1" t="str">
        <f>IFERROR(__xludf.DUMMYFUNCTION("CONCATENATE(GOOGLETRANSLATE(C1224, ""en"", ""ja""))"),"ギフト包装紙カッターギフト包装機押え紙カッター特別なツール紙カッター安全で高速な紙カッター")</f>
        <v>ギフト包装紙カッターギフト包装機押え紙カッター特別なツール紙カッター安全で高速な紙カッター</v>
      </c>
    </row>
    <row r="1225" ht="15.75" customHeight="1">
      <c r="A1225" s="1">
        <v>2698.0</v>
      </c>
      <c r="B1225" s="1" t="s">
        <v>381</v>
      </c>
      <c r="C1225" s="1" t="s">
        <v>1207</v>
      </c>
      <c r="D1225" s="1" t="str">
        <f>IFERROR(__xludf.DUMMYFUNCTION("CONCATENATE(GOOGLETRANSLATE(C1225, ""en"", ""zh-cn""))"),"3/6 件装专业绘画素描全碳笔美术学生铅笔绘画用品")</f>
        <v>3/6 件装专业绘画素描全碳笔美术学生铅笔绘画用品</v>
      </c>
      <c r="E1225" s="1" t="str">
        <f>IFERROR(__xludf.DUMMYFUNCTION("CONCATENATE(GOOGLETRANSLATE(C1225, ""en"", ""ko""))"),"3/6 Pcs 전문 드로잉 스케치 전체 탄소 펜 아트 학생 연필 그림 용품")</f>
        <v>3/6 Pcs 전문 드로잉 스케치 전체 탄소 펜 아트 학생 연필 그림 용품</v>
      </c>
      <c r="F1225" s="1" t="str">
        <f>IFERROR(__xludf.DUMMYFUNCTION("CONCATENATE(GOOGLETRANSLATE(C1225, ""en"", ""ja""))"),"3/6 個プロの描画スケッチフルカーボンペンアート学生鉛筆画用品")</f>
        <v>3/6 個プロの描画スケッチフルカーボンペンアート学生鉛筆画用品</v>
      </c>
    </row>
    <row r="1226" ht="15.75" customHeight="1">
      <c r="A1226" s="1">
        <v>2699.0</v>
      </c>
      <c r="B1226" s="1" t="s">
        <v>381</v>
      </c>
      <c r="C1226" s="1" t="s">
        <v>1208</v>
      </c>
      <c r="D1226" s="1" t="str">
        <f>IFERROR(__xludf.DUMMYFUNCTION("CONCATENATE(GOOGLETRANSLATE(C1226, ""en"", ""zh-cn""))"),"QG HD QG021 3M 高清延长线 3D 4K 60Hz 数据线支持高清 2.0 版本视频线适用于 PS3 PS4 Xbox 投影仪液晶电视")</f>
        <v>QG HD QG021 3M 高清延长线 3D 4K 60Hz 数据线支持高清 2.0 版本视频线适用于 PS3 PS4 Xbox 投影仪液晶电视</v>
      </c>
      <c r="E1226" s="1" t="str">
        <f>IFERROR(__xludf.DUMMYFUNCTION("CONCATENATE(GOOGLETRANSLATE(C1226, ""en"", ""ko""))"),"QG HD QG021 3M HD 연장 케이블 3D 4K 60Hz 데이터 케이블 지원 HD 2.0 버전 PS3 PS4 Xbox 프로젝터 LCD TV 용 비디오 케이블")</f>
        <v>QG HD QG021 3M HD 연장 케이블 3D 4K 60Hz 데이터 케이블 지원 HD 2.0 버전 PS3 PS4 Xbox 프로젝터 LCD TV 용 비디오 케이블</v>
      </c>
      <c r="F1226" s="1" t="str">
        <f>IFERROR(__xludf.DUMMYFUNCTION("CONCATENATE(GOOGLETRANSLATE(C1226, ""en"", ""ja""))"),"QG HD QG021 3 メートル HD 延長ケーブル 3D 4K 60Hz データケーブルサポート HD 2.0 バージョンビデオケーブル PS3 PS4 Xbox プロジェクター液晶テレビ用")</f>
        <v>QG HD QG021 3 メートル HD 延長ケーブル 3D 4K 60Hz データケーブルサポート HD 2.0 バージョンビデオケーブル PS3 PS4 Xbox プロジェクター液晶テレビ用</v>
      </c>
    </row>
    <row r="1227" ht="15.75" customHeight="1">
      <c r="A1227" s="1">
        <v>2700.0</v>
      </c>
      <c r="B1227" s="1" t="s">
        <v>381</v>
      </c>
      <c r="C1227" s="1" t="s">
        <v>1209</v>
      </c>
      <c r="D1227" s="1" t="str">
        <f>IFERROR(__xludf.DUMMYFUNCTION("CONCATENATE(GOOGLETRANSLATE(C1227, ""en"", ""zh-cn""))"),"SEENDA ICH-S04 4 端口 USB 充电器，带支架，适用于平板电脑/手机")</f>
        <v>SEENDA ICH-S04 4 端口 USB 充电器，带支架，适用于平板电脑/手机</v>
      </c>
      <c r="E1227" s="1" t="str">
        <f>IFERROR(__xludf.DUMMYFUNCTION("CONCATENATE(GOOGLETRANSLATE(C1227, ""en"", ""ko""))"),"SEENDA ICH-S04 4포트 USB 충전기(태블릿/휴대폰용 스탠드 포함)")</f>
        <v>SEENDA ICH-S04 4포트 USB 충전기(태블릿/휴대폰용 스탠드 포함)</v>
      </c>
      <c r="F1227" s="1" t="str">
        <f>IFERROR(__xludf.DUMMYFUNCTION("CONCATENATE(GOOGLETRANSLATE(C1227, ""en"", ""ja""))"),"SEENDA ICH-S04 タブレット/電話用スタンド付き 4 ポート USB 充電器")</f>
        <v>SEENDA ICH-S04 タブレット/電話用スタンド付き 4 ポート USB 充電器</v>
      </c>
    </row>
    <row r="1228" ht="15.75" customHeight="1">
      <c r="A1228" s="1">
        <v>2701.0</v>
      </c>
      <c r="B1228" s="1" t="s">
        <v>381</v>
      </c>
      <c r="C1228" s="1" t="s">
        <v>1210</v>
      </c>
      <c r="D1228" s="1" t="str">
        <f>IFERROR(__xludf.DUMMYFUNCTION("CONCATENATE(GOOGLETRANSLATE(C1228, ""en"", ""zh-cn""))"),"A6 螺旋线圈笔记本待办事项横线虚线空白网格纸日记日记素描本学校用品")</f>
        <v>A6 螺旋线圈笔记本待办事项横线虚线空白网格纸日记日记素描本学校用品</v>
      </c>
      <c r="E1228" s="1" t="str">
        <f>IFERROR(__xludf.DUMMYFUNCTION("CONCATENATE(GOOGLETRANSLATE(C1228, ""en"", ""ko""))"),"A6 나선형 코일 노트 할 일 줄 지어 점선 빈 그리드 종이 저널 일기 스케치북 학교 용품")</f>
        <v>A6 나선형 코일 노트 할 일 줄 지어 점선 빈 그리드 종이 저널 일기 스케치북 학교 용품</v>
      </c>
      <c r="F1228" s="1" t="str">
        <f>IFERROR(__xludf.DUMMYFUNCTION("CONCATENATE(GOOGLETRANSLATE(C1228, ""en"", ""ja""))"),"A6 スパイラルコイルノートブック To-Do 罫線ドットブランクグリッド紙ジャーナル日記スケッチブック学用品")</f>
        <v>A6 スパイラルコイルノートブック To-Do 罫線ドットブランクグリッド紙ジャーナル日記スケッチブック学用品</v>
      </c>
    </row>
    <row r="1229" ht="15.75" customHeight="1">
      <c r="A1229" s="1">
        <v>2702.0</v>
      </c>
      <c r="B1229" s="1" t="s">
        <v>381</v>
      </c>
      <c r="C1229" s="1" t="s">
        <v>1211</v>
      </c>
      <c r="D1229" s="1" t="str">
        <f>IFERROR(__xludf.DUMMYFUNCTION("CONCATENATE(GOOGLETRANSLATE(C1229, ""en"", ""zh-cn""))"),"糖果色迷人笑脸纸日记笔记本备忘录本皮革记事本文具钱包")</f>
        <v>糖果色迷人笑脸纸日记笔记本备忘录本皮革记事本文具钱包</v>
      </c>
      <c r="E1229" s="1" t="str">
        <f>IFERROR(__xludf.DUMMYFUNCTION("CONCATENATE(GOOGLETRANSLATE(C1229, ""en"", ""ko""))"),"캔디 색상 매력적인 스마일 종이 일기장 메모장 가죽 노트 패드 편지지 수첩")</f>
        <v>캔디 색상 매력적인 스마일 종이 일기장 메모장 가죽 노트 패드 편지지 수첩</v>
      </c>
      <c r="F1229" s="1" t="str">
        <f>IFERROR(__xludf.DUMMYFUNCTION("CONCATENATE(GOOGLETRANSLATE(C1229, ""en"", ""ja""))"),"キャンディーカラーチャーミングスマイリー紙日記ノートブックメモ帳革メモパッド文具手帳")</f>
        <v>キャンディーカラーチャーミングスマイリー紙日記ノートブックメモ帳革メモパッド文具手帳</v>
      </c>
    </row>
    <row r="1230" ht="15.75" customHeight="1">
      <c r="A1230" s="1">
        <v>2703.0</v>
      </c>
      <c r="B1230" s="1" t="s">
        <v>381</v>
      </c>
      <c r="C1230" s="1" t="s">
        <v>1212</v>
      </c>
      <c r="D1230" s="1" t="str">
        <f>IFERROR(__xludf.DUMMYFUNCTION("CONCATENATE(GOOGLETRANSLATE(C1230, ""en"", ""zh-cn""))"),"72 键少女 PBT 键帽套装 OEM 型材热升华定制机械键盘键帽")</f>
        <v>72 键少女 PBT 键帽套装 OEM 型材热升华定制机械键盘键帽</v>
      </c>
      <c r="E1230" s="1" t="str">
        <f>IFERROR(__xludf.DUMMYFUNCTION("CONCATENATE(GOOGLETRANSLATE(C1230, ""en"", ""ko""))"),"72 키 어린 소녀 PBT 키캡 세트 OEM 프로필 승화 기계식 키보드용 맞춤형 키캡")</f>
        <v>72 키 어린 소녀 PBT 키캡 세트 OEM 프로필 승화 기계식 키보드용 맞춤형 키캡</v>
      </c>
      <c r="F1230" s="1" t="str">
        <f>IFERROR(__xludf.DUMMYFUNCTION("CONCATENATE(GOOGLETRANSLATE(C1230, ""en"", ""ja""))"),"72 キー若い女の子 PBT キーキャップセット OEM プロファイル昇華カスタムキーキャップメカニカルキーボード用")</f>
        <v>72 キー若い女の子 PBT キーキャップセット OEM プロファイル昇華カスタムキーキャップメカニカルキーボード用</v>
      </c>
    </row>
    <row r="1231" ht="15.75" customHeight="1">
      <c r="A1231" s="1">
        <v>2704.0</v>
      </c>
      <c r="B1231" s="1" t="s">
        <v>381</v>
      </c>
      <c r="C1231" s="1" t="s">
        <v>1213</v>
      </c>
      <c r="D1231" s="1" t="str">
        <f>IFERROR(__xludf.DUMMYFUNCTION("CONCATENATE(GOOGLETRANSLATE(C1231, ""en"", ""zh-cn""))"),"多模式 BT3.0/5.2 2.4G 无线鼠标 可调节 800-1600DPI 可充电静音鼠标 适用于笔记本电脑")</f>
        <v>多模式 BT3.0/5.2 2.4G 无线鼠标 可调节 800-1600DPI 可充电静音鼠标 适用于笔记本电脑</v>
      </c>
      <c r="E1231" s="1" t="str">
        <f>IFERROR(__xludf.DUMMYFUNCTION("CONCATENATE(GOOGLETRANSLATE(C1231, ""en"", ""ko""))"),"멀티 모드 BT3.0/5.2 2.4G 무선 마우스 노트북 PC용 조정 가능한 800-1600DPI 충전식 무음 마우스")</f>
        <v>멀티 모드 BT3.0/5.2 2.4G 무선 마우스 노트북 PC용 조정 가능한 800-1600DPI 충전식 무음 마우스</v>
      </c>
      <c r="F1231" s="1" t="str">
        <f>IFERROR(__xludf.DUMMYFUNCTION("CONCATENATE(GOOGLETRANSLATE(C1231, ""en"", ""ja""))"),"マルチモード BT3.0/5.2 2.4 グラムワイヤレスマウス調節可能な 800-1600DPI 充電式サイレントマウスラップトップ PC 用")</f>
        <v>マルチモード BT3.0/5.2 2.4 グラムワイヤレスマウス調節可能な 800-1600DPI 充電式サイレントマウスラップトップ PC 用</v>
      </c>
    </row>
    <row r="1232" ht="15.75" customHeight="1">
      <c r="A1232" s="1">
        <v>2705.0</v>
      </c>
      <c r="B1232" s="1" t="s">
        <v>381</v>
      </c>
      <c r="C1232" s="1" t="s">
        <v>1214</v>
      </c>
      <c r="D1232" s="1" t="str">
        <f>IFERROR(__xludf.DUMMYFUNCTION("CONCATENATE(GOOGLETRANSLATE(C1232, ""en"", ""zh-cn""))"),"145 键 GMK POWER CHORD 朋克 PBT 键帽套装樱桃型材热升华键帽适用于机械键盘")</f>
        <v>145 键 GMK POWER CHORD 朋克 PBT 键帽套装樱桃型材热升华键帽适用于机械键盘</v>
      </c>
      <c r="E1232" s="1" t="str">
        <f>IFERROR(__xludf.DUMMYFUNCTION("CONCATENATE(GOOGLETRANSLATE(C1232, ""en"", ""ko""))"),"145 키 GMK 파워 코드 펑크 PBT 키캡 세트 기계식 키보드 용 체리 프로필 승화 키캡")</f>
        <v>145 키 GMK 파워 코드 펑크 PBT 키캡 세트 기계식 키보드 용 체리 프로필 승화 키캡</v>
      </c>
      <c r="F1232" s="1" t="str">
        <f>IFERROR(__xludf.DUMMYFUNCTION("CONCATENATE(GOOGLETRANSLATE(C1232, ""en"", ""ja""))"),"145 キー GMK POWER CHORD パンク PBT キーキャップセット メカニカルキーボード用チェリープロファイル昇華キーキャップ")</f>
        <v>145 キー GMK POWER CHORD パンク PBT キーキャップセット メカニカルキーボード用チェリープロファイル昇華キーキャップ</v>
      </c>
    </row>
    <row r="1233" ht="15.75" customHeight="1">
      <c r="A1233" s="1">
        <v>2706.0</v>
      </c>
      <c r="B1233" s="1" t="s">
        <v>381</v>
      </c>
      <c r="C1233" s="1" t="s">
        <v>1215</v>
      </c>
      <c r="D1233" s="1" t="str">
        <f>IFERROR(__xludf.DUMMYFUNCTION("CONCATENATE(GOOGLETRANSLATE(C1233, ""en"", ""zh-cn""))"),"34 件装婴儿生日女孩男孩生日快乐横幅气球帕")</f>
        <v>34 件装婴儿生日女孩男孩生日快乐横幅气球帕</v>
      </c>
      <c r="E1233" s="1" t="str">
        <f>IFERROR(__xludf.DUMMYFUNCTION("CONCATENATE(GOOGLETRANSLATE(C1233, ""en"", ""ko""))"),"34 PC 아기 생일 여아 남아 생일 축하 배너 공기 풍선 파")</f>
        <v>34 PC 아기 생일 여아 남아 생일 축하 배너 공기 풍선 파</v>
      </c>
      <c r="F1233" s="1" t="str">
        <f>IFERROR(__xludf.DUMMYFUNCTION("CONCATENATE(GOOGLETRANSLATE(C1233, ""en"", ""ja""))"),"34 PC ベビーバースデー ガールズ ボーイズ HAPPY BIRTHDAY バナー エアバルーン パー")</f>
        <v>34 PC ベビーバースデー ガールズ ボーイズ HAPPY BIRTHDAY バナー エアバルーン パー</v>
      </c>
    </row>
    <row r="1234" ht="15.75" customHeight="1">
      <c r="A1234" s="1">
        <v>2707.0</v>
      </c>
      <c r="B1234" s="1" t="s">
        <v>381</v>
      </c>
      <c r="C1234" s="1" t="s">
        <v>1216</v>
      </c>
      <c r="D1234" s="1" t="str">
        <f>IFERROR(__xludf.DUMMYFUNCTION("CONCATENATE(GOOGLETRANSLATE(C1234, ""en"", ""zh-cn""))"),"AIMOS KC-KCM201P 墙壁面板 HDMI KVM 切换器，A 口 USB 带遥控器")</f>
        <v>AIMOS KC-KCM201P 墙壁面板 HDMI KVM 切换器，A 口 USB 带遥控器</v>
      </c>
      <c r="E1234" s="1" t="str">
        <f>IFERROR(__xludf.DUMMYFUNCTION("CONCATENATE(GOOGLETRANSLATE(C1234, ""en"", ""ko""))"),"AIMOS KC-KCM201P 벽면 패널 HDMI KVM 스위치, 원격 제어 기능이 있는 포트 USB")</f>
        <v>AIMOS KC-KCM201P 벽면 패널 HDMI KVM 스위치, 원격 제어 기능이 있는 포트 USB</v>
      </c>
      <c r="F1234" s="1" t="str">
        <f>IFERROR(__xludf.DUMMYFUNCTION("CONCATENATE(GOOGLETRANSLATE(C1234, ""en"", ""ja""))"),"AIMOS KC-KCM201P ウォールパネル HDMI KVM スイッチ、A ポート USB リモコン付き")</f>
        <v>AIMOS KC-KCM201P ウォールパネル HDMI KVM スイッチ、A ポート USB リモコン付き</v>
      </c>
    </row>
    <row r="1235" ht="15.75" customHeight="1">
      <c r="A1235" s="1">
        <v>2708.0</v>
      </c>
      <c r="B1235" s="1" t="s">
        <v>381</v>
      </c>
      <c r="C1235" s="1" t="s">
        <v>1217</v>
      </c>
      <c r="D1235" s="1" t="str">
        <f>IFERROR(__xludf.DUMMYFUNCTION("CONCATENATE(GOOGLETRANSLATE(C1235, ""en"", ""zh-cn""))"),"1X 至 16X PCI-E 显卡延长线 USB 3.0 扩展卡电源带 SATA 电缆")</f>
        <v>1X 至 16X PCI-E 显卡延长线 USB 3.0 扩展卡电源带 SATA 电缆</v>
      </c>
      <c r="E1235" s="1" t="str">
        <f>IFERROR(__xludf.DUMMYFUNCTION("CONCATENATE(GOOGLETRANSLATE(C1235, ""en"", ""ko""))"),"1X ~ 16X PCI-E 그래픽 카드 연장 케이블 USB 3.0 확장 카드 전원 공급 장치(SATA 케이블 포함)")</f>
        <v>1X ~ 16X PCI-E 그래픽 카드 연장 케이블 USB 3.0 확장 카드 전원 공급 장치(SATA 케이블 포함)</v>
      </c>
      <c r="F1235" s="1" t="str">
        <f>IFERROR(__xludf.DUMMYFUNCTION("CONCATENATE(GOOGLETRANSLATE(C1235, ""en"", ""ja""))"),"1X ～ 16X PCI-E グラフィックス カード延長ケーブル USB 3.0 拡張カード電源 (SATA ケーブル付き)")</f>
        <v>1X ～ 16X PCI-E グラフィックス カード延長ケーブル USB 3.0 拡張カード電源 (SATA ケーブル付き)</v>
      </c>
    </row>
    <row r="1236" ht="15.75" customHeight="1">
      <c r="A1236" s="1">
        <v>2709.0</v>
      </c>
      <c r="B1236" s="1" t="s">
        <v>381</v>
      </c>
      <c r="C1236" s="1" t="s">
        <v>1218</v>
      </c>
      <c r="D1236" s="1" t="str">
        <f>IFERROR(__xludf.DUMMYFUNCTION("CONCATENATE(GOOGLETRANSLATE(C1236, ""en"", ""zh-cn""))"),"USB3.0 Type-C CD DVD 外置光驱 DVD-RW 播放器高速数据传输外置刻录机刻录机适用于电脑 PC 笔记本电脑 XD009")</f>
        <v>USB3.0 Type-C CD DVD 外置光驱 DVD-RW 播放器高速数据传输外置刻录机刻录机适用于电脑 PC 笔记本电脑 XD009</v>
      </c>
      <c r="E1236" s="1" t="str">
        <f>IFERROR(__xludf.DUMMYFUNCTION("CONCATENATE(GOOGLETRANSLATE(C1236, ""en"", ""ko""))"),"USB3.0 Type-C CD DVD 외부 광학 드라이브 DVD-RW 플레이어 고속 데이터 전송 컴퓨터 PC 노트북 XD009용 외부 버너 작가 재작성기")</f>
        <v>USB3.0 Type-C CD DVD 외부 광학 드라이브 DVD-RW 플레이어 고속 데이터 전송 컴퓨터 PC 노트북 XD009용 외부 버너 작가 재작성기</v>
      </c>
      <c r="F1236" s="1" t="str">
        <f>IFERROR(__xludf.DUMMYFUNCTION("CONCATENATE(GOOGLETRANSLATE(C1236, ""en"", ""ja""))"),"USB3.0 タイプ C CD DVD 外部光学ドライブ DVD-RW プレーヤー高速データ転送外部バーナーライターリライターコンピュータ PC ラップトップ XD009")</f>
        <v>USB3.0 タイプ C CD DVD 外部光学ドライブ DVD-RW プレーヤー高速データ転送外部バーナーライターリライターコンピュータ PC ラップトップ XD009</v>
      </c>
    </row>
    <row r="1237" ht="15.75" customHeight="1">
      <c r="A1237" s="1">
        <v>2710.0</v>
      </c>
      <c r="B1237" s="1" t="s">
        <v>381</v>
      </c>
      <c r="C1237" s="1" t="s">
        <v>1219</v>
      </c>
      <c r="D1237" s="1" t="str">
        <f>IFERROR(__xludf.DUMMYFUNCTION("CONCATENATE(GOOGLETRANSLATE(C1237, ""en"", ""zh-cn""))"),"欧盟通用适配器 AC 2 针电源插头 出国旅行适配器")</f>
        <v>欧盟通用适配器 AC 2 针电源插头 出国旅行适配器</v>
      </c>
      <c r="E1237" s="1" t="str">
        <f>IFERROR(__xludf.DUMMYFUNCTION("CONCATENATE(GOOGLETRANSLATE(C1237, ""en"", ""ko""))"),"EU 범용 어댑터 AC 2핀 전원 플러그 해외 여행 어댑터")</f>
        <v>EU 범용 어댑터 AC 2핀 전원 플러그 해외 여행 어댑터</v>
      </c>
      <c r="F1237" s="1" t="str">
        <f>IFERROR(__xludf.DUMMYFUNCTION("CONCATENATE(GOOGLETRANSLATE(C1237, ""en"", ""ja""))"),"EUユニバーサルアダプターAC 2ピン電源プラグ海外旅行アダプター")</f>
        <v>EUユニバーサルアダプターAC 2ピン電源プラグ海外旅行アダプター</v>
      </c>
    </row>
    <row r="1238" ht="15.75" customHeight="1">
      <c r="A1238" s="1">
        <v>2711.0</v>
      </c>
      <c r="B1238" s="1" t="s">
        <v>381</v>
      </c>
      <c r="C1238" s="1" t="s">
        <v>1220</v>
      </c>
      <c r="D1238" s="1" t="str">
        <f>IFERROR(__xludf.DUMMYFUNCTION("CONCATENATE(GOOGLETRANSLATE(C1238, ""en"", ""zh-cn""))"),"MECO 压缩空气除尘器鼓风机电脑笔记本电脑清洁器键盘清洁灰尘")</f>
        <v>MECO 压缩空气除尘器鼓风机电脑笔记本电脑清洁器键盘清洁灰尘</v>
      </c>
      <c r="E1238" s="1" t="str">
        <f>IFERROR(__xludf.DUMMYFUNCTION("CONCATENATE(GOOGLETRANSLATE(C1238, ""en"", ""ko""))"),"MECO 압축 공기 먼지 떨이 송풍기 컴퓨터 노트북 클리너 키보드 청소 먼지")</f>
        <v>MECO 압축 공기 먼지 떨이 송풍기 컴퓨터 노트북 클리너 키보드 청소 먼지</v>
      </c>
      <c r="F1238" s="1" t="str">
        <f>IFERROR(__xludf.DUMMYFUNCTION("CONCATENATE(GOOGLETRANSLATE(C1238, ""en"", ""ja""))"),"MECO 圧縮空気ダスター ブロワー コンピューター ラップトップ クリーナー キーボード クリーニング ダスト")</f>
        <v>MECO 圧縮空気ダスター ブロワー コンピューター ラップトップ クリーナー キーボード クリーニング ダスト</v>
      </c>
    </row>
    <row r="1239" ht="15.75" customHeight="1">
      <c r="A1239" s="1">
        <v>2712.0</v>
      </c>
      <c r="B1239" s="1" t="s">
        <v>381</v>
      </c>
      <c r="C1239" s="1" t="s">
        <v>1221</v>
      </c>
      <c r="D1239" s="1" t="str">
        <f>IFERROR(__xludf.DUMMYFUNCTION("CONCATENATE(GOOGLETRANSLATE(C1239, ""en"", ""zh-cn""))"),"MECO电动除尘器空气除尘器压缩空气鼓风机清洁电脑清洁")</f>
        <v>MECO电动除尘器空气除尘器压缩空气鼓风机清洁电脑清洁</v>
      </c>
      <c r="E1239" s="1" t="str">
        <f>IFERROR(__xludf.DUMMYFUNCTION("CONCATENATE(GOOGLETRANSLATE(C1239, ""en"", ""ko""))"),"MECO 컴퓨터 청소를 위한 전기 먼지떨이 공기 먼지떨이 압축공기 송풍기 청소")</f>
        <v>MECO 컴퓨터 청소를 위한 전기 먼지떨이 공기 먼지떨이 압축공기 송풍기 청소</v>
      </c>
      <c r="F1239" s="1" t="str">
        <f>IFERROR(__xludf.DUMMYFUNCTION("CONCATENATE(GOOGLETRANSLATE(C1239, ""en"", ""ja""))"),"MECO 電気ダスターエアダスター圧縮空気送風機クリーニングコンピュータクリーニング")</f>
        <v>MECO 電気ダスターエアダスター圧縮空気送風機クリーニングコンピュータクリーニング</v>
      </c>
    </row>
    <row r="1240" ht="15.75" customHeight="1">
      <c r="A1240" s="1">
        <v>2713.0</v>
      </c>
      <c r="B1240" s="1" t="s">
        <v>381</v>
      </c>
      <c r="C1240" s="1" t="s">
        <v>1222</v>
      </c>
      <c r="D1240" s="1" t="str">
        <f>IFERROR(__xludf.DUMMYFUNCTION("CONCATENATE(GOOGLETRANSLATE(C1240, ""en"", ""zh-cn""))"),"安全磁性皮革支架便携式笔记本电脑包")</f>
        <v>安全磁性皮革支架便携式笔记本电脑包</v>
      </c>
      <c r="E1240" s="1" t="str">
        <f>IFERROR(__xludf.DUMMYFUNCTION("CONCATENATE(GOOGLETRANSLATE(C1240, ""en"", ""ko""))"),"노트북용 안전 자석 가죽 스탠드 휴대용 노트북 가방")</f>
        <v>노트북용 안전 자석 가죽 스탠드 휴대용 노트북 가방</v>
      </c>
      <c r="F1240" s="1" t="str">
        <f>IFERROR(__xludf.DUMMYFUNCTION("CONCATENATE(GOOGLETRANSLATE(C1240, ""en"", ""ja""))"),"安全磁気レザースタンドラップトップ用ポータブルラップトップバッグ")</f>
        <v>安全磁気レザースタンドラップトップ用ポータブルラップトップバッグ</v>
      </c>
    </row>
    <row r="1241" ht="15.75" customHeight="1">
      <c r="A1241" s="1">
        <v>2714.0</v>
      </c>
      <c r="B1241" s="1" t="s">
        <v>381</v>
      </c>
      <c r="C1241" s="1" t="s">
        <v>1223</v>
      </c>
      <c r="D1241" s="1" t="str">
        <f>IFERROR(__xludf.DUMMYFUNCTION("CONCATENATE(GOOGLETRANSLATE(C1241, ""en"", ""zh-cn""))"),"TMKB GK61 机械游戏键盘 61 键全键可编程 PBT 半透明键帽 双模蓝牙 5.1 Type-C 有线热插拔 蓝/棕/黑/白 Gateron 开关 RGB 背光 60% 补偿")</f>
        <v>TMKB GK61 机械游戏键盘 61 键全键可编程 PBT 半透明键帽 双模蓝牙 5.1 Type-C 有线热插拔 蓝/棕/黑/白 Gateron 开关 RGB 背光 60% 补偿</v>
      </c>
      <c r="E1241" s="1" t="str">
        <f>IFERROR(__xludf.DUMMYFUNCTION("CONCATENATE(GOOGLETRANSLATE(C1241, ""en"", ""ko""))"),"TMKB GK61 기계식 게임용 키보드 61 키 풀 키 프로그래밍 가능 PBT 반투명 키캡 듀얼 모드 블루투스 5.1 Type-C 유선 핫 스왑 가능 파란색/갈색/검은색/흰색 Gateron 스위치 RGB 백라이트 60% Comp")</f>
        <v>TMKB GK61 기계식 게임용 키보드 61 키 풀 키 프로그래밍 가능 PBT 반투명 키캡 듀얼 모드 블루투스 5.1 Type-C 유선 핫 스왑 가능 파란색/갈색/검은색/흰색 Gateron 스위치 RGB 백라이트 60% Comp</v>
      </c>
      <c r="F1241" s="1" t="str">
        <f>IFERROR(__xludf.DUMMYFUNCTION("CONCATENATE(GOOGLETRANSLATE(C1241, ""en"", ""ja""))"),"TMKB GK61 メカニカルゲーミングキーボード 61 キーフルキープログラマブル PBT 半透明キーキャップ デュアルモード Bluetooth 5.1 Type-C 有線ホットスワップ可能 ブルー/ブラウン/ブラック/ホワイト Gateron スイッチ RGB バックライト付き 60% コンプ")</f>
        <v>TMKB GK61 メカニカルゲーミングキーボード 61 キーフルキープログラマブル PBT 半透明キーキャップ デュアルモード Bluetooth 5.1 Type-C 有線ホットスワップ可能 ブルー/ブラウン/ブラック/ホワイト Gateron スイッチ RGB バックライト付き 60% コンプ</v>
      </c>
    </row>
    <row r="1242" ht="15.75" customHeight="1">
      <c r="A1242" s="1">
        <v>2715.0</v>
      </c>
      <c r="B1242" s="1" t="s">
        <v>381</v>
      </c>
      <c r="C1242" s="1" t="s">
        <v>1224</v>
      </c>
      <c r="D1242" s="1" t="str">
        <f>IFERROR(__xludf.DUMMYFUNCTION("CONCATENATE(GOOGLETRANSLATE(C1242, ""en"", ""zh-cn""))"),"DAGK 124 键黑金/紫荆花 PBT 键帽套装 OEM 型材两色注塑定制机械键盘键帽")</f>
        <v>DAGK 124 键黑金/紫荆花 PBT 键帽套装 OEM 型材两色注塑定制机械键盘键帽</v>
      </c>
      <c r="E1242" s="1" t="str">
        <f>IFERROR(__xludf.DUMMYFUNCTION("CONCATENATE(GOOGLETRANSLATE(C1242, ""en"", ""ko""))"),"DAGK 124 키 블랙 골드/Bauhinia PBT 키캡 세트 OEM 프로필 기계식 키보드용 2색 사출 성형 맞춤형 키캡")</f>
        <v>DAGK 124 키 블랙 골드/Bauhinia PBT 키캡 세트 OEM 프로필 기계식 키보드용 2색 사출 성형 맞춤형 키캡</v>
      </c>
      <c r="F1242" s="1" t="str">
        <f>IFERROR(__xludf.DUMMYFUNCTION("CONCATENATE(GOOGLETRANSLATE(C1242, ""en"", ""ja""))"),"DAGK 124 キーブラックゴールド/バウヒニア PBT キーキャップセット OEM プロファイル 2 色射出成形カスタムキーキャップメカニカルキーボード用")</f>
        <v>DAGK 124 キーブラックゴールド/バウヒニア PBT キーキャップセット OEM プロファイル 2 色射出成形カスタムキーキャップメカニカルキーボード用</v>
      </c>
    </row>
    <row r="1243" ht="15.75" customHeight="1">
      <c r="A1243" s="1">
        <v>2716.0</v>
      </c>
      <c r="B1243" s="1" t="s">
        <v>381</v>
      </c>
      <c r="C1243" s="1" t="s">
        <v>1225</v>
      </c>
      <c r="D1243" s="1" t="str">
        <f>IFERROR(__xludf.DUMMYFUNCTION("CONCATENATE(GOOGLETRANSLATE(C1243, ""en"", ""zh-cn""))"),"Infernal 142 键 PBT 键帽套装樱桃型材热升华定制机械键盘键帽")</f>
        <v>Infernal 142 键 PBT 键帽套装樱桃型材热升华定制机械键盘键帽</v>
      </c>
      <c r="E1243" s="1" t="str">
        <f>IFERROR(__xludf.DUMMYFUNCTION("CONCATENATE(GOOGLETRANSLATE(C1243, ""en"", ""ko""))"),"지옥의 142 키 PBT 키캡 세트 체리 프로파일 승화 기계식 키보드 용 맞춤형 키캡")</f>
        <v>지옥의 142 키 PBT 키캡 세트 체리 프로파일 승화 기계식 키보드 용 맞춤형 키캡</v>
      </c>
      <c r="F1243" s="1" t="str">
        <f>IFERROR(__xludf.DUMMYFUNCTION("CONCATENATE(GOOGLETRANSLATE(C1243, ""en"", ""ja""))"),"Infernal 142 キー PBT キーキャップセットチェリープロファイル昇華カスタムキーキャップメカニカルキーボード用")</f>
        <v>Infernal 142 キー PBT キーキャップセットチェリープロファイル昇華カスタムキーキャップメカニカルキーボード用</v>
      </c>
    </row>
    <row r="1244" ht="15.75" customHeight="1">
      <c r="A1244" s="1">
        <v>2717.0</v>
      </c>
      <c r="B1244" s="1" t="s">
        <v>381</v>
      </c>
      <c r="C1244" s="1" t="s">
        <v>1226</v>
      </c>
      <c r="D1244" s="1" t="str">
        <f>IFERROR(__xludf.DUMMYFUNCTION("CONCATENATE(GOOGLETRANSLATE(C1244, ""en"", ""zh-cn""))"),"键盘支架免打孔人体工学键盘架子多功能旋转电脑滑轨抽屉支架")</f>
        <v>键盘支架免打孔人体工学键盘架子多功能旋转电脑滑轨抽屉支架</v>
      </c>
      <c r="E1244" s="1" t="str">
        <f>IFERROR(__xludf.DUMMYFUNCTION("CONCATENATE(GOOGLETRANSLATE(C1244, ""en"", ""ko""))"),"키보드 브래킷 프리 펀치 인체 공학적 키보드 선반 다기능 로터리 컴퓨터 슬라이드 서랍 브래킷")</f>
        <v>키보드 브래킷 프리 펀치 인체 공학적 키보드 선반 다기능 로터리 컴퓨터 슬라이드 서랍 브래킷</v>
      </c>
      <c r="F1244" s="1" t="str">
        <f>IFERROR(__xludf.DUMMYFUNCTION("CONCATENATE(GOOGLETRANSLATE(C1244, ""en"", ""ja""))"),"キーボードブラケットフリーパンチ人間工学に基づいたキーボード棚多機能ロータリーコンピュータスライド引き出しブラケット")</f>
        <v>キーボードブラケットフリーパンチ人間工学に基づいたキーボード棚多機能ロータリーコンピュータスライド引き出しブラケット</v>
      </c>
    </row>
    <row r="1245" ht="15.75" customHeight="1">
      <c r="A1245" s="1">
        <v>2718.0</v>
      </c>
      <c r="B1245" s="1" t="s">
        <v>381</v>
      </c>
      <c r="C1245" s="1" t="s">
        <v>1227</v>
      </c>
      <c r="D1245" s="1" t="str">
        <f>IFERROR(__xludf.DUMMYFUNCTION("CONCATENATE(GOOGLETRANSLATE(C1245, ""en"", ""zh-cn""))"),"Tenwin 5860 铅笔研磨机 研磨铅笔 美术学生设计")</f>
        <v>Tenwin 5860 铅笔研磨机 研磨铅笔 美术学生设计</v>
      </c>
      <c r="E1245" s="1" t="str">
        <f>IFERROR(__xludf.DUMMYFUNCTION("CONCATENATE(GOOGLETRANSLATE(C1245, ""en"", ""ko""))"),"Tenwin 5860 연필 분쇄기 연삭 연필 미술 학생 디자인")</f>
        <v>Tenwin 5860 연필 분쇄기 연삭 연필 미술 학생 디자인</v>
      </c>
      <c r="F1245" s="1" t="str">
        <f>IFERROR(__xludf.DUMMYFUNCTION("CONCATENATE(GOOGLETRANSLATE(C1245, ""en"", ""ja""))"),"Tenwin 5860 ペンシルグラインダー研削鉛筆美術学生デザイン")</f>
        <v>Tenwin 5860 ペンシルグラインダー研削鉛筆美術学生デザイン</v>
      </c>
    </row>
    <row r="1246" ht="15.75" customHeight="1">
      <c r="A1246" s="1">
        <v>2719.0</v>
      </c>
      <c r="B1246" s="1" t="s">
        <v>381</v>
      </c>
      <c r="C1246" s="1" t="s">
        <v>1228</v>
      </c>
      <c r="D1246" s="1" t="str">
        <f>IFERROR(__xludf.DUMMYFUNCTION("CONCATENATE(GOOGLETRANSLATE(C1246, ""en"", ""zh-cn""))"),"A4切割垫纸切割垫切割图手册模型手册DIY工具切菜板耐用PVC工艺卡适合学生家庭办公室")</f>
        <v>A4切割垫纸切割垫切割图手册模型手册DIY工具切菜板耐用PVC工艺卡适合学生家庭办公室</v>
      </c>
      <c r="E1246" s="1" t="str">
        <f>IFERROR(__xludf.DUMMYFUNCTION("CONCATENATE(GOOGLETRANSLATE(C1246, ""en"", ""ko""))"),"A4 커팅 패드 종이 커팅 패드 커팅 맵 수동 모델 매뉴얼 DIY 도구 커팅 보드 학생 홈 오피스를위한 내구성 PVC 공예 카드")</f>
        <v>A4 커팅 패드 종이 커팅 패드 커팅 맵 수동 모델 매뉴얼 DIY 도구 커팅 보드 학생 홈 오피스를위한 내구성 PVC 공예 카드</v>
      </c>
      <c r="F1246" s="1" t="str">
        <f>IFERROR(__xludf.DUMMYFUNCTION("CONCATENATE(GOOGLETRANSLATE(C1246, ""en"", ""ja""))"),"A4 カッティングパッド紙カッティングパッドカッティングマップマニュアルモデルマニュアル DIY ツールまな板耐久性のある PVC クラフトカード学生ホームオフィス")</f>
        <v>A4 カッティングパッド紙カッティングパッドカッティングマップマニュアルモデルマニュアル DIY ツールまな板耐久性のある PVC クラフトカード学生ホームオフィス</v>
      </c>
    </row>
    <row r="1247" ht="15.75" customHeight="1">
      <c r="A1247" s="1">
        <v>2720.0</v>
      </c>
      <c r="B1247" s="1" t="s">
        <v>381</v>
      </c>
      <c r="C1247" s="1" t="s">
        <v>1229</v>
      </c>
      <c r="D1247" s="1" t="str">
        <f>IFERROR(__xludf.DUMMYFUNCTION("CONCATENATE(GOOGLETRANSLATE(C1247, ""en"", ""zh-cn""))"),"1 件铅笔铅磨机美术两用铅磨机木炭笔尖磨刀美术素描画板夹")</f>
        <v>1 件铅笔铅磨机美术两用铅磨机木炭笔尖磨刀美术素描画板夹</v>
      </c>
      <c r="E1247" s="1" t="str">
        <f>IFERROR(__xludf.DUMMYFUNCTION("CONCATENATE(GOOGLETRANSLATE(C1247, ""en"", ""ko""))"),"1Pcs 연필 리드 그라인더 미술 이중 목적 리드 그라인더 숯 펜촉 숫돌 미술 스케치를위한 드로잉 보드 클립")</f>
        <v>1Pcs 연필 리드 그라인더 미술 이중 목적 리드 그라인더 숯 펜촉 숫돌 미술 스케치를위한 드로잉 보드 클립</v>
      </c>
      <c r="F1247" s="1" t="str">
        <f>IFERROR(__xludf.DUMMYFUNCTION("CONCATENATE(GOOGLETRANSLATE(C1247, ""en"", ""ja""))"),"1 個鉛筆の芯グラインダー美術兼用鉛グラインダー木炭ペン先削り製図板クリップ美術スケッチ用")</f>
        <v>1 個鉛筆の芯グラインダー美術兼用鉛グラインダー木炭ペン先削り製図板クリップ美術スケッチ用</v>
      </c>
    </row>
    <row r="1248" ht="15.75" customHeight="1">
      <c r="A1248" s="1">
        <v>2721.0</v>
      </c>
      <c r="B1248" s="1" t="s">
        <v>381</v>
      </c>
      <c r="C1248" s="1" t="s">
        <v>1230</v>
      </c>
      <c r="D1248" s="1" t="str">
        <f>IFERROR(__xludf.DUMMYFUNCTION("CONCATENATE(GOOGLETRANSLATE(C1248, ""en"", ""zh-cn""))"),"可折叠 5 高度可调节笔记本电脑支架平板电脑支架散热适用于 17 英寸以下 iPad Macbook")</f>
        <v>可折叠 5 高度可调节笔记本电脑支架平板电脑支架散热适用于 17 英寸以下 iPad Macbook</v>
      </c>
      <c r="E1248" s="1" t="str">
        <f>IFERROR(__xludf.DUMMYFUNCTION("CONCATENATE(GOOGLETRANSLATE(C1248, ""en"", ""ko""))"),"접이식 5 높이 조절 가능한 노트북 스탠드 태블릿 스탠드 17인치 이하 iPad Macbook용 열 방출")</f>
        <v>접이식 5 높이 조절 가능한 노트북 스탠드 태블릿 스탠드 17인치 이하 iPad Macbook용 열 방출</v>
      </c>
      <c r="F1248" s="1" t="str">
        <f>IFERROR(__xludf.DUMMYFUNCTION("CONCATENATE(GOOGLETRANSLATE(C1248, ""en"", ""ja""))"),"折りたたみ式 5 高さ調節可能なラップトップスタンド タブレットスタンド 放熱用 iPad Macbook 17インチ以下")</f>
        <v>折りたたみ式 5 高さ調節可能なラップトップスタンド タブレットスタンド 放熱用 iPad Macbook 17インチ以下</v>
      </c>
    </row>
    <row r="1249" ht="15.75" customHeight="1">
      <c r="A1249" s="1">
        <v>2722.0</v>
      </c>
      <c r="B1249" s="1" t="s">
        <v>381</v>
      </c>
      <c r="C1249" s="1" t="s">
        <v>1231</v>
      </c>
      <c r="D1249" s="1" t="str">
        <f>IFERROR(__xludf.DUMMYFUNCTION("CONCATENATE(GOOGLETRANSLATE(C1249, ""en"", ""zh-cn""))"),"笔记本电脑桌架带小抽屉便携式折叠书桌笔记本电脑桌架膝上托盘床儿童学生家用")</f>
        <v>笔记本电脑桌架带小抽屉便携式折叠书桌笔记本电脑桌架膝上托盘床儿童学生家用</v>
      </c>
      <c r="E1249" s="1" t="str">
        <f>IFERROR(__xludf.DUMMYFUNCTION("CONCATENATE(GOOGLETRANSLATE(C1249, ""en"", ""ko""))"),"작은 서랍이있는 노트북 테이블 스탠드 휴대용 접이식 책상 노트북 테이블 스탠드 어린이를위한 무릎 트레이 침대 학생 홈")</f>
        <v>작은 서랍이있는 노트북 테이블 스탠드 휴대용 접이식 책상 노트북 테이블 스탠드 어린이를위한 무릎 트레이 침대 학생 홈</v>
      </c>
      <c r="F1249" s="1" t="str">
        <f>IFERROR(__xludf.DUMMYFUNCTION("CONCATENATE(GOOGLETRANSLATE(C1249, ""en"", ""ja""))"),"ノートパソコンテーブルスタンド 小さな引き出し付き ポータブル折りたたみデスク ノートブックテーブルスタンド ラップトレイベッド 子供 学生 ホーム用")</f>
        <v>ノートパソコンテーブルスタンド 小さな引き出し付き ポータブル折りたたみデスク ノートブックテーブルスタンド ラップトレイベッド 子供 学生 ホーム用</v>
      </c>
    </row>
    <row r="1250" ht="15.75" customHeight="1">
      <c r="A1250" s="1">
        <v>2723.0</v>
      </c>
      <c r="B1250" s="1" t="s">
        <v>381</v>
      </c>
      <c r="C1250" s="1" t="s">
        <v>1232</v>
      </c>
      <c r="D1250" s="1" t="str">
        <f>IFERROR(__xludf.DUMMYFUNCTION("CONCATENATE(GOOGLETRANSLATE(C1250, ""en"", ""zh-cn""))"),"500ML吸瓶永不翻倒咖啡瓶吸盘防摔双层不锈钢带盖礼品")</f>
        <v>500ML吸瓶永不翻倒咖啡瓶吸盘防摔双层不锈钢带盖礼品</v>
      </c>
      <c r="E1250" s="1" t="str">
        <f>IFERROR(__xludf.DUMMYFUNCTION("CONCATENATE(GOOGLETRANSLATE(C1250, ""en"", ""ko""))"),"500ML 흡입 병은 결코 커피 병 빨판 위에 떨어지지 않습니다 선물용 캡이있는 더블 레이어 스테인레스 스틸 아래로 떨어지지 않음")</f>
        <v>500ML 흡입 병은 결코 커피 병 빨판 위에 떨어지지 않습니다 선물용 캡이있는 더블 레이어 스테인레스 스틸 아래로 떨어지지 않음</v>
      </c>
      <c r="F1250" s="1" t="str">
        <f>IFERROR(__xludf.DUMMYFUNCTION("CONCATENATE(GOOGLETRANSLATE(C1250, ""en"", ""ja""))"),"500 ミリリットル吸引ボトル決して転倒しないコーヒーボトル吸盤落下防止二層ステンレス鋼ギフト用キャップ付き")</f>
        <v>500 ミリリットル吸引ボトル決して転倒しないコーヒーボトル吸盤落下防止二層ステンレス鋼ギフト用キャップ付き</v>
      </c>
    </row>
    <row r="1251" ht="15.75" customHeight="1">
      <c r="A1251" s="1">
        <v>2724.0</v>
      </c>
      <c r="B1251" s="1" t="s">
        <v>381</v>
      </c>
      <c r="C1251" s="1" t="s">
        <v>1233</v>
      </c>
      <c r="D1251" s="1" t="str">
        <f>IFERROR(__xludf.DUMMYFUNCTION("CONCATENATE(GOOGLETRANSLATE(C1251, ""en"", ""zh-cn""))"),"2rca 转 2rca 数据线 音频线 1.5/3/5m 音频线连接器线 扬声器音频线 扬声器音频连接")</f>
        <v>2rca 转 2rca 数据线 音频线 1.5/3/5m 音频线连接器线 扬声器音频线 扬声器音频连接</v>
      </c>
      <c r="E1251" s="1" t="str">
        <f>IFERROR(__xludf.DUMMYFUNCTION("CONCATENATE(GOOGLETRANSLATE(C1251, ""en"", ""ko""))"),"2rca ~ 2rca 데이터 케이블 오디오 케이블 1.5/3/5m 오디오 케이블 커넥터 와이어 스피커 오디오 케이블 스피커 오디오 연결")</f>
        <v>2rca ~ 2rca 데이터 케이블 오디오 케이블 1.5/3/5m 오디오 케이블 커넥터 와이어 스피커 오디오 케이블 스피커 오디오 연결</v>
      </c>
      <c r="F1251" s="1" t="str">
        <f>IFERROR(__xludf.DUMMYFUNCTION("CONCATENATE(GOOGLETRANSLATE(C1251, ""en"", ""ja""))"),"2rca から 2rca データ ケーブル オーディオ ケーブル 1.5/3/5m オーディオ ケーブル コネクタ ワイヤー スピーカー オーディオ ケーブル スピーカー オーディオ接続")</f>
        <v>2rca から 2rca データ ケーブル オーディオ ケーブル 1.5/3/5m オーディオ ケーブル コネクタ ワイヤー スピーカー オーディオ ケーブル スピーカー オーディオ接続</v>
      </c>
    </row>
    <row r="1252" ht="15.75" customHeight="1">
      <c r="A1252" s="1">
        <v>2725.0</v>
      </c>
      <c r="B1252" s="1" t="s">
        <v>381</v>
      </c>
      <c r="C1252" s="1" t="s">
        <v>1234</v>
      </c>
      <c r="D1252" s="1" t="str">
        <f>IFERROR(__xludf.DUMMYFUNCTION("CONCATENATE(GOOGLETRANSLATE(C1252, ""en"", ""zh-cn""))"),"2/3/4/5 层迷你桌面抽屉化妆珠宝收纳盒收纳盒")</f>
        <v>2/3/4/5 层迷你桌面抽屉化妆珠宝收纳盒收纳盒</v>
      </c>
      <c r="E1252" s="1" t="str">
        <f>IFERROR(__xludf.DUMMYFUNCTION("CONCATENATE(GOOGLETRANSLATE(C1252, ""en"", ""ko""))"),"2/3/4/5 레이어 미니 데스크탑 서랍 메이크업 보석 주최자 홀더 상자 보관 케이스")</f>
        <v>2/3/4/5 레이어 미니 데스크탑 서랍 메이크업 보석 주최자 홀더 상자 보관 케이스</v>
      </c>
      <c r="F1252" s="1" t="str">
        <f>IFERROR(__xludf.DUMMYFUNCTION("CONCATENATE(GOOGLETRANSLATE(C1252, ""en"", ""ja""))"),"2/3/4/5 層ミニデスクトップ引き出しメイクアップジュエリーオーガナイザーホルダーボックス収納ケース")</f>
        <v>2/3/4/5 層ミニデスクトップ引き出しメイクアップジュエリーオーガナイザーホルダーボックス収納ケース</v>
      </c>
    </row>
    <row r="1253" ht="15.75" customHeight="1">
      <c r="A1253" s="1">
        <v>2726.0</v>
      </c>
      <c r="B1253" s="1" t="s">
        <v>381</v>
      </c>
      <c r="C1253" s="1" t="s">
        <v>1235</v>
      </c>
      <c r="D1253" s="1" t="str">
        <f>IFERROR(__xludf.DUMMYFUNCTION("CONCATENATE(GOOGLETRANSLATE(C1253, ""en"", ""zh-cn""))"),"1 件装多功能拼图尺套装螺旋仪几何绘画模板尺绘图工具学生绘图玩具美术工具")</f>
        <v>1 件装多功能拼图尺套装螺旋仪几何绘画模板尺绘图工具学生绘图玩具美术工具</v>
      </c>
      <c r="E1253" s="1" t="str">
        <f>IFERROR(__xludf.DUMMYFUNCTION("CONCATENATE(GOOGLETRANSLATE(C1253, ""en"", ""ko""))"),"1 Pc 다기능 퍼즐 눈금자 세트 Spirograph 기하학 그림 템플릿 눈금자 제도 도구 학생 드로잉 장난감 미술 도구")</f>
        <v>1 Pc 다기능 퍼즐 눈금자 세트 Spirograph 기하학 그림 템플릿 눈금자 제도 도구 학생 드로잉 장난감 미술 도구</v>
      </c>
      <c r="F1253" s="1" t="str">
        <f>IFERROR(__xludf.DUMMYFUNCTION("CONCATENATE(GOOGLETRANSLATE(C1253, ""en"", ""ja""))"),"1 Pc 多機能パズル定規セットスピログラフ幾何学絵画テンプレート定規製図ツール学生描画おもちゃアートツール")</f>
        <v>1 Pc 多機能パズル定規セットスピログラフ幾何学絵画テンプレート定規製図ツール学生描画おもちゃアートツール</v>
      </c>
    </row>
    <row r="1254" ht="15.75" customHeight="1">
      <c r="A1254" s="1">
        <v>2727.0</v>
      </c>
      <c r="B1254" s="1" t="s">
        <v>381</v>
      </c>
      <c r="C1254" s="1" t="s">
        <v>1236</v>
      </c>
      <c r="D1254" s="1" t="str">
        <f>IFERROR(__xludf.DUMMYFUNCTION("CONCATENATE(GOOGLETRANSLATE(C1254, ""en"", ""zh-cn""))"),"JH A530 光纤音频线 SPDIF 音频数字 5.1 通道方口数字光纤线")</f>
        <v>JH A530 光纤音频线 SPDIF 音频数字 5.1 通道方口数字光纤线</v>
      </c>
      <c r="E1254" s="1" t="str">
        <f>IFERROR(__xludf.DUMMYFUNCTION("CONCATENATE(GOOGLETRANSLATE(C1254, ""en"", ""ko""))"),"JH A530 광섬유 오디오 케이블 SPDIF 오디오 디지털 5.1 채널 사각형 포트 디지털 광섬유 케이블")</f>
        <v>JH A530 광섬유 오디오 케이블 SPDIF 오디오 디지털 5.1 채널 사각형 포트 디지털 광섬유 케이블</v>
      </c>
      <c r="F1254" s="1" t="str">
        <f>IFERROR(__xludf.DUMMYFUNCTION("CONCATENATE(GOOGLETRANSLATE(C1254, ""en"", ""ja""))"),"JH A530 光ファイバーオーディオケーブル SPDIF オーディオデジタル 5.1 チャンネルスクエアポートデジタル光ファイバーケーブル")</f>
        <v>JH A530 光ファイバーオーディオケーブル SPDIF オーディオデジタル 5.1 チャンネルスクエアポートデジタル光ファイバーケーブル</v>
      </c>
    </row>
    <row r="1255" ht="15.75" customHeight="1">
      <c r="A1255" s="1">
        <v>2728.0</v>
      </c>
      <c r="B1255" s="1" t="s">
        <v>381</v>
      </c>
      <c r="C1255" s="1" t="s">
        <v>1237</v>
      </c>
      <c r="D1255" s="1" t="str">
        <f>IFERROR(__xludf.DUMMYFUNCTION("CONCATENATE(GOOGLETRANSLATE(C1255, ""en"", ""zh-cn""))"),"金属铁挂架现代风格壁架储物架家居装饰收纳架")</f>
        <v>金属铁挂架现代风格壁架储物架家居装饰收纳架</v>
      </c>
      <c r="E1255" s="1" t="str">
        <f>IFERROR(__xludf.DUMMYFUNCTION("CONCATENATE(GOOGLETRANSLATE(C1255, ""en"", ""ko""))"),"금속 철 걸이 선반 현대적인 스타일 벽 선반 스토리지 랙 홈 장식 주최자")</f>
        <v>금속 철 걸이 선반 현대적인 스타일 벽 선반 스토리지 랙 홈 장식 주최자</v>
      </c>
      <c r="F1255" s="1" t="str">
        <f>IFERROR(__xludf.DUMMYFUNCTION("CONCATENATE(GOOGLETRANSLATE(C1255, ""en"", ""ja""))"),"金属鉄吊り棚モダンなスタイルの壁棚収納ラック家の装飾オーガナイザー")</f>
        <v>金属鉄吊り棚モダンなスタイルの壁棚収納ラック家の装飾オーガナイザー</v>
      </c>
    </row>
    <row r="1256" ht="15.75" customHeight="1">
      <c r="A1256" s="1">
        <v>2729.0</v>
      </c>
      <c r="B1256" s="1" t="s">
        <v>381</v>
      </c>
      <c r="C1256" s="1" t="s">
        <v>1238</v>
      </c>
      <c r="D1256" s="1" t="str">
        <f>IFERROR(__xludf.DUMMYFUNCTION("CONCATENATE(GOOGLETRANSLATE(C1256, ""en"", ""zh-cn""))"),"巴黎埃菲尔铁塔埃菲尔铁塔笔记本旅行学校笔记本学校办公用品礼物 ")</f>
        <v>巴黎埃菲尔铁塔埃菲尔铁塔笔记本旅行学校笔记本学校办公用品礼物 </v>
      </c>
      <c r="E1256" s="1" t="str">
        <f>IFERROR(__xludf.DUMMYFUNCTION("CONCATENATE(GOOGLETRANSLATE(C1256, ""en"", ""ko""))"),"파리의 에펠 탑 에펠 탑 노트 여행 학교 노트 학교 사무용품 선물 ")</f>
        <v>파리의 에펠 탑 에펠 탑 노트 여행 학교 노트 학교 사무용품 선물 </v>
      </c>
      <c r="F1256" s="1" t="str">
        <f>IFERROR(__xludf.DUMMYFUNCTION("CONCATENATE(GOOGLETRANSLATE(C1256, ""en"", ""ja""))"),"パリのエッフェル塔 エッフェル塔ノート トラベルスクールノート 学校事務用品へのギフト ")</f>
        <v>パリのエッフェル塔 エッフェル塔ノート トラベルスクールノート 学校事務用品へのギフト </v>
      </c>
    </row>
    <row r="1257" ht="15.75" customHeight="1">
      <c r="A1257" s="1">
        <v>2730.0</v>
      </c>
      <c r="B1257" s="1" t="s">
        <v>381</v>
      </c>
      <c r="C1257" s="1" t="s">
        <v>1239</v>
      </c>
      <c r="D1257" s="1" t="str">
        <f>IFERROR(__xludf.DUMMYFUNCTION("CONCATENATE(GOOGLETRANSLATE(C1257, ""en"", ""zh-cn""))"),"比萨斜塔日记本复古皮革时尚笔记本横格纸 128 张 256 页")</f>
        <v>比萨斜塔日记本复古皮革时尚笔记本横格纸 128 张 256 页</v>
      </c>
      <c r="E1257" s="1" t="str">
        <f>IFERROR(__xludf.DUMMYFUNCTION("CONCATENATE(GOOGLETRANSLATE(C1257, ""en"", ""ko""))"),"피사의 사탑 일기장 빈티지 가죽 패션 노트 줄지어 128매 256페이지")</f>
        <v>피사의 사탑 일기장 빈티지 가죽 패션 노트 줄지어 128매 256페이지</v>
      </c>
      <c r="F1257" s="1" t="str">
        <f>IFERROR(__xludf.DUMMYFUNCTION("CONCATENATE(GOOGLETRANSLATE(C1257, ""en"", ""ja""))"),"ピサの斜塔 日記帳 ヴィンテージ レザー ファッション ノートブック 裏地付き紙 128 枚 256 ページ")</f>
        <v>ピサの斜塔 日記帳 ヴィンテージ レザー ファッション ノートブック 裏地付き紙 128 枚 256 ページ</v>
      </c>
    </row>
    <row r="1258" ht="15.75" customHeight="1">
      <c r="A1258" s="1">
        <v>2731.0</v>
      </c>
      <c r="B1258" s="1" t="s">
        <v>381</v>
      </c>
      <c r="C1258" s="1" t="s">
        <v>1240</v>
      </c>
      <c r="D1258" s="1" t="str">
        <f>IFERROR(__xludf.DUMMYFUNCTION("CONCATENATE(GOOGLETRANSLATE(C1258, ""en"", ""zh-cn""))"),"自由女神像笔记本旅行学校笔记本礼物时尚笔记本学校办公用品")</f>
        <v>自由女神像笔记本旅行学校笔记本礼物时尚笔记本学校办公用品</v>
      </c>
      <c r="E1258" s="1" t="str">
        <f>IFERROR(__xludf.DUMMYFUNCTION("CONCATENATE(GOOGLETRANSLATE(C1258, ""en"", ""ko""))"),"자유의 여신상 노트북 여행 학교 노트북 선물 학교 사무용품을 위한 패션 노트북")</f>
        <v>자유의 여신상 노트북 여행 학교 노트북 선물 학교 사무용품을 위한 패션 노트북</v>
      </c>
      <c r="F1258" s="1" t="str">
        <f>IFERROR(__xludf.DUMMYFUNCTION("CONCATENATE(GOOGLETRANSLATE(C1258, ""en"", ""ja""))"),"自由の女神ノートブック旅行学校ノートブックギフトファッションノートブック学校事務用品")</f>
        <v>自由の女神ノートブック旅行学校ノートブックギフトファッションノートブック学校事務用品</v>
      </c>
    </row>
    <row r="1259" ht="15.75" customHeight="1">
      <c r="A1259" s="1">
        <v>2732.0</v>
      </c>
      <c r="B1259" s="1" t="s">
        <v>381</v>
      </c>
      <c r="C1259" s="1" t="s">
        <v>1241</v>
      </c>
      <c r="D1259" s="1" t="str">
        <f>IFERROR(__xludf.DUMMYFUNCTION("CONCATENATE(GOOGLETRANSLATE(C1259, ""en"", ""zh-cn""))"),"大本钟伦敦笔记本旅行学校笔记本 256 页学校办公用品礼物")</f>
        <v>大本钟伦敦笔记本旅行学校笔记本 256 页学校办公用品礼物</v>
      </c>
      <c r="E1259" s="1" t="str">
        <f>IFERROR(__xludf.DUMMYFUNCTION("CONCATENATE(GOOGLETRANSLATE(C1259, ""en"", ""ko""))"),"빅 벤 런던 노트 여행 학교 노트 256 페이지 학교 사무용품 선물")</f>
        <v>빅 벤 런던 노트 여행 학교 노트 256 페이지 학교 사무용품 선물</v>
      </c>
      <c r="F1259" s="1" t="str">
        <f>IFERROR(__xludf.DUMMYFUNCTION("CONCATENATE(GOOGLETRANSLATE(C1259, ""en"", ""ja""))"),"ビッグベンロンドンノートブックトラベルスクールノートブック256ページ学校事務用品へのギフト")</f>
        <v>ビッグベンロンドンノートブックトラベルスクールノートブック256ページ学校事務用品へのギフト</v>
      </c>
    </row>
    <row r="1260" ht="15.75" customHeight="1">
      <c r="A1260" s="1">
        <v>2733.0</v>
      </c>
      <c r="B1260" s="1" t="s">
        <v>381</v>
      </c>
      <c r="C1260" s="1" t="s">
        <v>1242</v>
      </c>
      <c r="D1260" s="1" t="str">
        <f>IFERROR(__xludf.DUMMYFUNCTION("CONCATENATE(GOOGLETRANSLATE(C1260, ""en"", ""zh-cn""))"),"REXLIS 6.35 毫米立体声插头公转 3.5 毫米立体声插孔母插座耳机延长线音频线 0.3M")</f>
        <v>REXLIS 6.35 毫米立体声插头公转 3.5 毫米立体声插孔母插座耳机延长线音频线 0.3M</v>
      </c>
      <c r="E1260" s="1" t="str">
        <f>IFERROR(__xludf.DUMMYFUNCTION("CONCATENATE(GOOGLETRANSLATE(C1260, ""en"", ""ko""))"),"REXLIS 6.35mm 스테레오 플러그 남성 3.5mm 스테레오 잭 여성 소켓 헤드폰 연장 케이블 오디오 케이블 0.3M")</f>
        <v>REXLIS 6.35mm 스테레오 플러그 남성 3.5mm 스테레오 잭 여성 소켓 헤드폰 연장 케이블 오디오 케이블 0.3M</v>
      </c>
      <c r="F1260" s="1" t="str">
        <f>IFERROR(__xludf.DUMMYFUNCTION("CONCATENATE(GOOGLETRANSLATE(C1260, ""en"", ""ja""))"),"REXLIS 6.35 ミリメートルステレオプラグオス - 3.5 ミリメートルステレオジャックメスソケットヘッドフォン延長ケーブルオーディオケーブル 0.3 メートル")</f>
        <v>REXLIS 6.35 ミリメートルステレオプラグオス - 3.5 ミリメートルステレオジャックメスソケットヘッドフォン延長ケーブルオーディオケーブル 0.3 メートル</v>
      </c>
    </row>
    <row r="1261" ht="15.75" customHeight="1">
      <c r="A1261" s="1">
        <v>2734.0</v>
      </c>
      <c r="B1261" s="1" t="s">
        <v>381</v>
      </c>
      <c r="C1261" s="1" t="s">
        <v>1243</v>
      </c>
      <c r="D1261" s="1" t="str">
        <f>IFERROR(__xludf.DUMMYFUNCTION("CONCATENATE(GOOGLETRANSLATE(C1261, ""en"", ""zh-cn""))"),"Onshine 18 支蜡笔水彩无毒可水洗蜡笔艺术绘画工具办公学校用品")</f>
        <v>Onshine 18 支蜡笔水彩无毒可水洗蜡笔艺术绘画工具办公学校用品</v>
      </c>
      <c r="E1261" s="1" t="str">
        <f>IFERROR(__xludf.DUMMYFUNCTION("CONCATENATE(GOOGLETRANSLATE(C1261, ""en"", ""ko""))"),"Onshine 18 Pcs 크레용 펜 수채화 비 독성 빨 수있는 크레용 미술 그림 도구 사무실 학교 용품")</f>
        <v>Onshine 18 Pcs 크레용 펜 수채화 비 독성 빨 수있는 크레용 미술 그림 도구 사무실 학교 용품</v>
      </c>
      <c r="F1261" s="1" t="str">
        <f>IFERROR(__xludf.DUMMYFUNCTION("CONCATENATE(GOOGLETRANSLATE(C1261, ""en"", ""ja""))"),"Onshine 18 個クレヨンペン水彩非毒性洗えるクレヨンアートペイントツールオフィス学用品")</f>
        <v>Onshine 18 個クレヨンペン水彩非毒性洗えるクレヨンアートペイントツールオフィス学用品</v>
      </c>
    </row>
    <row r="1262" ht="15.75" customHeight="1">
      <c r="A1262" s="1">
        <v>2735.0</v>
      </c>
      <c r="B1262" s="1" t="s">
        <v>381</v>
      </c>
      <c r="C1262" s="1" t="s">
        <v>1244</v>
      </c>
      <c r="D1262" s="1" t="str">
        <f>IFERROR(__xludf.DUMMYFUNCTION("CONCATENATE(GOOGLETRANSLATE(C1262, ""en"", ""zh-cn""))"),"Creality 3D® 0.4mm 铜 M6 螺纹挤出机喷嘴，适用于 3D 打印机")</f>
        <v>Creality 3D® 0.4mm 铜 M6 螺纹挤出机喷嘴，适用于 3D 打印机</v>
      </c>
      <c r="E1262" s="1" t="str">
        <f>IFERROR(__xludf.DUMMYFUNCTION("CONCATENATE(GOOGLETRANSLATE(C1262, ""en"", ""ko""))"),"3D 프린터용 Creality 3D® 0.4mm 구리 M6 스레드 압출기 노즐")</f>
        <v>3D 프린터용 Creality 3D® 0.4mm 구리 M6 스레드 압출기 노즐</v>
      </c>
      <c r="F1262" s="1" t="str">
        <f>IFERROR(__xludf.DUMMYFUNCTION("CONCATENATE(GOOGLETRANSLATE(C1262, ""en"", ""ja""))"),"Creality 3D® 3D プリンター用 0.4mm 銅 M6 スレッド押出機ノズル")</f>
        <v>Creality 3D® 3D プリンター用 0.4mm 銅 M6 スレッド押出機ノズル</v>
      </c>
    </row>
    <row r="1263" ht="15.75" customHeight="1">
      <c r="A1263" s="1">
        <v>2736.0</v>
      </c>
      <c r="B1263" s="1" t="s">
        <v>381</v>
      </c>
      <c r="C1263" s="1" t="s">
        <v>1245</v>
      </c>
      <c r="D1263" s="1" t="str">
        <f>IFERROR(__xludf.DUMMYFUNCTION("CONCATENATE(GOOGLETRANSLATE(C1263, ""en"", ""zh-cn""))"),"6.1 英寸 x 1.45 英寸复古皮革钢笔盒套笔筒套套袋")</f>
        <v>6.1 英寸 x 1.45 英寸复古皮革钢笔盒套笔筒套套袋</v>
      </c>
      <c r="E1263" s="1" t="str">
        <f>IFERROR(__xludf.DUMMYFUNCTION("CONCATENATE(GOOGLETRANSLATE(C1263, ""en"", ""ko""))"),"6.1 인치 x 1.45 인치 레트로 가죽 만년필 케이스 커버 연필 홀더 슬리브 케이스 파우치")</f>
        <v>6.1 인치 x 1.45 인치 레트로 가죽 만년필 케이스 커버 연필 홀더 슬리브 케이스 파우치</v>
      </c>
      <c r="F1263" s="1" t="str">
        <f>IFERROR(__xludf.DUMMYFUNCTION("CONCATENATE(GOOGLETRANSLATE(C1263, ""en"", ""ja""))"),"6.1インチ x 1.45インチ レトロレザー万年筆ケースカバー鉛筆ホルダースリーブケースポーチ")</f>
        <v>6.1インチ x 1.45インチ レトロレザー万年筆ケースカバー鉛筆ホルダースリーブケースポーチ</v>
      </c>
    </row>
    <row r="1264" ht="15.75" customHeight="1">
      <c r="A1264" s="1">
        <v>2737.0</v>
      </c>
      <c r="B1264" s="1" t="s">
        <v>381</v>
      </c>
      <c r="C1264" s="1" t="s">
        <v>1246</v>
      </c>
      <c r="D1264" s="1" t="str">
        <f>IFERROR(__xludf.DUMMYFUNCTION("CONCATENATE(GOOGLETRANSLATE(C1264, ""en"", ""zh-cn""))"),"2 英寸 720P 高清触摸屏便携式防水迷你动作户外运动摄像机 DV 摄像机")</f>
        <v>2 英寸 720P 高清触摸屏便携式防水迷你动作户外运动摄像机 DV 摄像机</v>
      </c>
      <c r="E1264" s="1" t="str">
        <f>IFERROR(__xludf.DUMMYFUNCTION("CONCATENATE(GOOGLETRANSLATE(C1264, ""en"", ""ko""))"),"2인치 720P HD 터치 스크린 휴대용 방수 미니 액션 야외 스포츠 카메라 DV 캠코더")</f>
        <v>2인치 720P HD 터치 스크린 휴대용 방수 미니 액션 야외 스포츠 카메라 DV 캠코더</v>
      </c>
      <c r="F1264" s="1" t="str">
        <f>IFERROR(__xludf.DUMMYFUNCTION("CONCATENATE(GOOGLETRANSLATE(C1264, ""en"", ""ja""))"),"2 インチ 720P HD タッチ スクリーン ポータブル 防水 ミニ アクション アウトドア スポーツ カメラ DV ビデオカメラ")</f>
        <v>2 インチ 720P HD タッチ スクリーン ポータブル 防水 ミニ アクション アウトドア スポーツ カメラ DV ビデオカメラ</v>
      </c>
    </row>
    <row r="1265" ht="15.75" customHeight="1">
      <c r="A1265" s="1">
        <v>2738.0</v>
      </c>
      <c r="B1265" s="1" t="s">
        <v>381</v>
      </c>
      <c r="C1265" s="1" t="s">
        <v>1247</v>
      </c>
      <c r="D1265" s="1" t="str">
        <f>IFERROR(__xludf.DUMMYFUNCTION("CONCATENATE(GOOGLETRANSLATE(C1265, ""en"", ""zh-cn""))"),"Geeetech 全金属 J 头热端挤出机的备用喷嘴 ")</f>
        <v>Geeetech 全金属 J 头热端挤出机的备用喷嘴 </v>
      </c>
      <c r="E1265" s="1" t="str">
        <f>IFERROR(__xludf.DUMMYFUNCTION("CONCATENATE(GOOGLETRANSLATE(C1265, ""en"", ""ko""))"),"Geeetech 올메탈 J 헤드 핫엔드 압출기용 예비 노즐 ")</f>
        <v>Geeetech 올메탈 J 헤드 핫엔드 압출기용 예비 노즐 </v>
      </c>
      <c r="F1265" s="1" t="str">
        <f>IFERROR(__xludf.DUMMYFUNCTION("CONCATENATE(GOOGLETRANSLATE(C1265, ""en"", ""ja""))"),"GeeetechオールメタルJヘッドホットエンドエクストルーダー用スペアノズル ")</f>
        <v>GeeetechオールメタルJヘッドホットエンドエクストルーダー用スペアノズル </v>
      </c>
    </row>
    <row r="1266" ht="15.75" customHeight="1">
      <c r="A1266" s="1">
        <v>2739.0</v>
      </c>
      <c r="B1266" s="1" t="s">
        <v>381</v>
      </c>
      <c r="C1266" s="1" t="s">
        <v>1248</v>
      </c>
      <c r="D1266" s="1" t="str">
        <f>IFERROR(__xludf.DUMMYFUNCTION("CONCATENATE(GOOGLETRANSLATE(C1266, ""en"", ""zh-cn""))"),"2019 A5 计划本日记安排器学校学习笔记本日记每周计划本笔记本学校手机办公用品")</f>
        <v>2019 A5 计划本日记安排器学校学习笔记本日记每周计划本笔记本学校手机办公用品</v>
      </c>
      <c r="E1266" s="1" t="str">
        <f>IFERROR(__xludf.DUMMYFUNCTION("CONCATENATE(GOOGLETRANSLATE(C1266, ""en"", ""ko""))"),"2019 A5 플래너 일기 스케줄러 학교 학습 노트 일기 주간 플래너 노트 학교 사무용품 전화 용")</f>
        <v>2019 A5 플래너 일기 스케줄러 학교 학습 노트 일기 주간 플래너 노트 학교 사무용품 전화 용</v>
      </c>
      <c r="F1266" s="1" t="str">
        <f>IFERROR(__xludf.DUMMYFUNCTION("CONCATENATE(GOOGLETRANSLATE(C1266, ""en"", ""ja""))"),"2019 A5 プランナー日記スケジューラー学校学習ノート日記ウィークリープランナーノートブック学校事務用品電話用")</f>
        <v>2019 A5 プランナー日記スケジューラー学校学習ノート日記ウィークリープランナーノートブック学校事務用品電話用</v>
      </c>
    </row>
    <row r="1267" ht="15.75" customHeight="1">
      <c r="A1267" s="1">
        <v>2740.0</v>
      </c>
      <c r="B1267" s="1" t="s">
        <v>381</v>
      </c>
      <c r="C1267" s="1" t="s">
        <v>1249</v>
      </c>
      <c r="D1267" s="1" t="str">
        <f>IFERROR(__xludf.DUMMYFUNCTION("CONCATENATE(GOOGLETRANSLATE(C1267, ""en"", ""zh-cn""))"),"红兔迷你主板断电续玩模块支持指定层打印")</f>
        <v>红兔迷你主板断电续玩模块支持指定层打印</v>
      </c>
      <c r="E1267" s="1" t="str">
        <f>IFERROR(__xludf.DUMMYFUNCTION("CONCATENATE(GOOGLETRANSLATE(C1267, ""en"", ""ko""))"),"Red Rabbit 미니 마더보드 지원 지정된 레이어 인쇄용 전원 끄기 계속 재생 모듈")</f>
        <v>Red Rabbit 미니 마더보드 지원 지정된 레이어 인쇄용 전원 끄기 계속 재생 모듈</v>
      </c>
      <c r="F1267" s="1" t="str">
        <f>IFERROR(__xludf.DUMMYFUNCTION("CONCATENATE(GOOGLETRANSLATE(C1267, ""en"", ""ja""))"),"Red Rabbit Mini マザーボード用 Poweroff Continue Play モジュール 指定レイヤー印刷をサポート")</f>
        <v>Red Rabbit Mini マザーボード用 Poweroff Continue Play モジュール 指定レイヤー印刷をサポート</v>
      </c>
    </row>
    <row r="1268" ht="15.75" customHeight="1">
      <c r="A1268" s="1">
        <v>2741.0</v>
      </c>
      <c r="B1268" s="1" t="s">
        <v>381</v>
      </c>
      <c r="C1268" s="1" t="s">
        <v>1250</v>
      </c>
      <c r="D1268" s="1" t="str">
        <f>IFERROR(__xludf.DUMMYFUNCTION("CONCATENATE(GOOGLETRANSLATE(C1268, ""en"", ""zh-cn""))"),"液晶触摸屏数字化仪替换件适用于 ALBA 8 英寸 1.3GHz 8GB 平板电脑紫色")</f>
        <v>液晶触摸屏数字化仪替换件适用于 ALBA 8 英寸 1.3GHz 8GB 平板电脑紫色</v>
      </c>
      <c r="E1268" s="1" t="str">
        <f>IFERROR(__xludf.DUMMYFUNCTION("CONCATENATE(GOOGLETRANSLATE(C1268, ""en"", ""ko""))"),"ALBA 8인치 1.3GHz 8GB 태블릿용 LCD 터치스크린 디지타이저 교체 보라색")</f>
        <v>ALBA 8인치 1.3GHz 8GB 태블릿용 LCD 터치스크린 디지타이저 교체 보라색</v>
      </c>
      <c r="F1268" s="1" t="str">
        <f>IFERROR(__xludf.DUMMYFUNCTION("CONCATENATE(GOOGLETRANSLATE(C1268, ""en"", ""ja""))"),"ALBA 8 インチ 1.3GHz 8GB タブレット用 LCD タッチ スクリーン デジタイザの交換用 パープル")</f>
        <v>ALBA 8 インチ 1.3GHz 8GB タブレット用 LCD タッチ スクリーン デジタイザの交換用 パープル</v>
      </c>
    </row>
    <row r="1269" ht="15.75" customHeight="1">
      <c r="A1269" s="1">
        <v>2742.0</v>
      </c>
      <c r="B1269" s="1" t="s">
        <v>381</v>
      </c>
      <c r="C1269" s="1" t="s">
        <v>1251</v>
      </c>
      <c r="D1269" s="1" t="str">
        <f>IFERROR(__xludf.DUMMYFUNCTION("CONCATENATE(GOOGLETRANSLATE(C1269, ""en"", ""zh-cn""))"),"笔记本电脑左/右液晶屏幕铰链适用于联想 E31 U31-70 E31-70 E31-80 AM1BM000400/500 硬盘支架适配器")</f>
        <v>笔记本电脑左/右液晶屏幕铰链适用于联想 E31 U31-70 E31-70 E31-80 AM1BM000400/500 硬盘支架适配器</v>
      </c>
      <c r="E1269" s="1" t="str">
        <f>IFERROR(__xludf.DUMMYFUNCTION("CONCATENATE(GOOGLETRANSLATE(C1269, ""en"", ""ko""))"),"Lenovo E31 U31-70 E31-70 E31-80 AM1BM000400/500 HDD 브래킷 어댑터 용 노트북 L/R LCD 화면 경첩")</f>
        <v>Lenovo E31 U31-70 E31-70 E31-80 AM1BM000400/500 HDD 브래킷 어댑터 용 노트북 L/R LCD 화면 경첩</v>
      </c>
      <c r="F1269" s="1" t="str">
        <f>IFERROR(__xludf.DUMMYFUNCTION("CONCATENATE(GOOGLETRANSLATE(C1269, ""en"", ""ja""))"),"ノートパソコン L/R 液晶画面ヒンジ Lenovo E31 U31-70 E31-70 E31-80 AM1BM000400/500 HDD ブラケットアダプタ")</f>
        <v>ノートパソコン L/R 液晶画面ヒンジ Lenovo E31 U31-70 E31-70 E31-80 AM1BM000400/500 HDD ブラケットアダプタ</v>
      </c>
    </row>
    <row r="1270" ht="15.75" customHeight="1">
      <c r="A1270" s="1">
        <v>2743.0</v>
      </c>
      <c r="B1270" s="1" t="s">
        <v>381</v>
      </c>
      <c r="C1270" s="1" t="s">
        <v>1252</v>
      </c>
      <c r="D1270" s="1" t="str">
        <f>IFERROR(__xludf.DUMMYFUNCTION("CONCATENATE(GOOGLETRANSLATE(C1270, ""en"", ""zh-cn""))"),"电源监控模块套件断电续玩模块适用于Lerdge主板3D打印机配件")</f>
        <v>电源监控模块套件断电续玩模块适用于Lerdge主板3D打印机配件</v>
      </c>
      <c r="E1270" s="1" t="str">
        <f>IFERROR(__xludf.DUMMYFUNCTION("CONCATENATE(GOOGLETRANSLATE(C1270, ""en"", ""ko""))"),"전원 모니터링 모듈 키트 전원 끄기 계속해서 Lerdge 마더보드 3D 프린터 Par용 모듈 재생")</f>
        <v>전원 모니터링 모듈 키트 전원 끄기 계속해서 Lerdge 마더보드 3D 프린터 Par용 모듈 재생</v>
      </c>
      <c r="F1270" s="1" t="str">
        <f>IFERROR(__xludf.DUMMYFUNCTION("CONCATENATE(GOOGLETRANSLATE(C1270, ""en"", ""ja""))"),"電源監視モジュールキット電源オフ継続再生モジュール Lerdge マザーボード 3D プリンタパー")</f>
        <v>電源監視モジュールキット電源オフ継続再生モジュール Lerdge マザーボード 3D プリンタパー</v>
      </c>
    </row>
    <row r="1271" ht="15.75" customHeight="1">
      <c r="A1271" s="1">
        <v>2744.0</v>
      </c>
      <c r="B1271" s="1" t="s">
        <v>381</v>
      </c>
      <c r="C1271" s="1" t="s">
        <v>1253</v>
      </c>
      <c r="D1271" s="1" t="str">
        <f>IFERROR(__xludf.DUMMYFUNCTION("CONCATENATE(GOOGLETRANSLATE(C1271, ""en"", ""zh-cn""))"),"适用于 Kindle Paperwhite4 的打印平板电脑保护套 - 年轻女士")</f>
        <v>适用于 Kindle Paperwhite4 的打印平板电脑保护套 - 年轻女士</v>
      </c>
      <c r="E1271" s="1" t="str">
        <f>IFERROR(__xludf.DUMMYFUNCTION("CONCATENATE(GOOGLETRANSLATE(C1271, ""en"", ""ko""))"),"Kindle Paperwhite4용 인쇄 태블릿 케이스 커버 - Young Lady")</f>
        <v>Kindle Paperwhite4용 인쇄 태블릿 케이스 커버 - Young Lady</v>
      </c>
      <c r="F1271" s="1" t="str">
        <f>IFERROR(__xludf.DUMMYFUNCTION("CONCATENATE(GOOGLETRANSLATE(C1271, ""en"", ""ja""))"),"Kindle Paperwhite4 用印刷タブレット ケース カバー - 若い女性")</f>
        <v>Kindle Paperwhite4 用印刷タブレット ケース カバー - 若い女性</v>
      </c>
    </row>
    <row r="1272" ht="15.75" customHeight="1">
      <c r="A1272" s="1">
        <v>2745.0</v>
      </c>
      <c r="B1272" s="1" t="s">
        <v>381</v>
      </c>
      <c r="C1272" s="1" t="s">
        <v>1254</v>
      </c>
      <c r="D1272" s="1" t="str">
        <f>IFERROR(__xludf.DUMMYFUNCTION("CONCATENATE(GOOGLETRANSLATE(C1272, ""en"", ""zh-cn""))"),"适用于 Kindle Paperwhite4 的打印平板电脑保护套 - 叶子")</f>
        <v>适用于 Kindle Paperwhite4 的打印平板电脑保护套 - 叶子</v>
      </c>
      <c r="E1272" s="1" t="str">
        <f>IFERROR(__xludf.DUMMYFUNCTION("CONCATENATE(GOOGLETRANSLATE(C1272, ""en"", ""ko""))"),"Kindle Paperwhite4용 인쇄 태블릿 케이스 커버 - 나뭇잎")</f>
        <v>Kindle Paperwhite4용 인쇄 태블릿 케이스 커버 - 나뭇잎</v>
      </c>
      <c r="F1272" s="1" t="str">
        <f>IFERROR(__xludf.DUMMYFUNCTION("CONCATENATE(GOOGLETRANSLATE(C1272, ""en"", ""ja""))"),"Kindle Paperwhite4 用印刷タブレット ケース カバー - 葉")</f>
        <v>Kindle Paperwhite4 用印刷タブレット ケース カバー - 葉</v>
      </c>
    </row>
    <row r="1273" ht="15.75" customHeight="1">
      <c r="A1273" s="1">
        <v>2746.0</v>
      </c>
      <c r="B1273" s="1" t="s">
        <v>381</v>
      </c>
      <c r="C1273" s="1" t="s">
        <v>1255</v>
      </c>
      <c r="D1273" s="1" t="str">
        <f>IFERROR(__xludf.DUMMYFUNCTION("CONCATENATE(GOOGLETRANSLATE(C1273, ""en"", ""zh-cn""))"),"外置 USB 2.0 DVD RW CD 刻录机超薄光驱刻录机阅读器播放器适用于 PC 笔记本电脑商务办公")</f>
        <v>外置 USB 2.0 DVD RW CD 刻录机超薄光驱刻录机阅读器播放器适用于 PC 笔记本电脑商务办公</v>
      </c>
      <c r="E1273" s="1" t="str">
        <f>IFERROR(__xludf.DUMMYFUNCTION("CONCATENATE(GOOGLETRANSLATE(C1273, ""en"", ""ko""))"),"PC 노트북 비즈니스 사무실용 외부 USB 2.0 DVD RW CD 라이터 슬림 광학 드라이브 버너 리더 플레이어")</f>
        <v>PC 노트북 비즈니스 사무실용 외부 USB 2.0 DVD RW CD 라이터 슬림 광학 드라이브 버너 리더 플레이어</v>
      </c>
      <c r="F1273" s="1" t="str">
        <f>IFERROR(__xludf.DUMMYFUNCTION("CONCATENATE(GOOGLETRANSLATE(C1273, ""en"", ""ja""))"),"外部 USB 2.0 DVD RW CD ライタースリム光学ドライブバーナーリーダープレーヤー PC ラップトップビジネスオフィス")</f>
        <v>外部 USB 2.0 DVD RW CD ライタースリム光学ドライブバーナーリーダープレーヤー PC ラップトップビジネスオフィス</v>
      </c>
    </row>
    <row r="1274" ht="15.75" customHeight="1">
      <c r="A1274" s="1">
        <v>2747.0</v>
      </c>
      <c r="B1274" s="1" t="s">
        <v>381</v>
      </c>
      <c r="C1274" s="1" t="s">
        <v>1256</v>
      </c>
      <c r="D1274" s="1" t="str">
        <f>IFERROR(__xludf.DUMMYFUNCTION("CONCATENATE(GOOGLETRANSLATE(C1274, ""en"", ""zh-cn""))"),"铝合金可调节支架吸盘适用于 Nintendo Switch iPad 手机平板电脑")</f>
        <v>铝合金可调节支架吸盘适用于 Nintendo Switch iPad 手机平板电脑</v>
      </c>
      <c r="E1274" s="1" t="str">
        <f>IFERROR(__xludf.DUMMYFUNCTION("CONCATENATE(GOOGLETRANSLATE(C1274, ""en"", ""ko""))"),"닌텐도 스위치 아이패드 폰 태블릿용 알루미늄 합금 조절 가능한 스탠드 홀더 빨판")</f>
        <v>닌텐도 스위치 아이패드 폰 태블릿용 알루미늄 합금 조절 가능한 스탠드 홀더 빨판</v>
      </c>
      <c r="F1274" s="1" t="str">
        <f>IFERROR(__xludf.DUMMYFUNCTION("CONCATENATE(GOOGLETRANSLATE(C1274, ""en"", ""ja""))"),"アルミ合金調節可能なスタンドホルダー吸盤任天堂スイッチ iPad 電話タブレット用")</f>
        <v>アルミ合金調節可能なスタンドホルダー吸盤任天堂スイッチ iPad 電話タブレット用</v>
      </c>
    </row>
    <row r="1275" ht="15.75" customHeight="1">
      <c r="A1275" s="1">
        <v>2748.0</v>
      </c>
      <c r="B1275" s="1" t="s">
        <v>381</v>
      </c>
      <c r="C1275" s="1" t="s">
        <v>1257</v>
      </c>
      <c r="D1275" s="1" t="str">
        <f>IFERROR(__xludf.DUMMYFUNCTION("CONCATENATE(GOOGLETRANSLATE(C1275, ""en"", ""zh-cn""))"),"MK8 1.75mm 长丝全金属远程挤出机 ")</f>
        <v>MK8 1.75mm 长丝全金属远程挤出机 </v>
      </c>
      <c r="E1275" s="1" t="str">
        <f>IFERROR(__xludf.DUMMYFUNCTION("CONCATENATE(GOOGLETRANSLATE(C1275, ""en"", ""ko""))"),"1.75mm 필라멘트용 MK8 모든 금속 원격 압출기 ")</f>
        <v>1.75mm 필라멘트용 MK8 모든 금속 원격 압출기 </v>
      </c>
      <c r="F1275" s="1" t="str">
        <f>IFERROR(__xludf.DUMMYFUNCTION("CONCATENATE(GOOGLETRANSLATE(C1275, ""en"", ""ja""))"),"MK8 1.75mm フィラメント用全金属リモート押出機 ")</f>
        <v>MK8 1.75mm フィラメント用全金属リモート押出機 </v>
      </c>
    </row>
    <row r="1276" ht="15.75" customHeight="1">
      <c r="A1276" s="1">
        <v>2749.0</v>
      </c>
      <c r="B1276" s="1" t="s">
        <v>381</v>
      </c>
      <c r="C1276" s="1" t="s">
        <v>1258</v>
      </c>
      <c r="D1276" s="1" t="str">
        <f>IFERROR(__xludf.DUMMYFUNCTION("CONCATENATE(GOOGLETRANSLATE(C1276, ""en"", ""zh-cn""))"),"JOYROOM S109 1.5M Micro 手机平板数据线")</f>
        <v>JOYROOM S109 1.5M Micro 手机平板数据线</v>
      </c>
      <c r="E1276" s="1" t="str">
        <f>IFERROR(__xludf.DUMMYFUNCTION("CONCATENATE(GOOGLETRANSLATE(C1276, ""en"", ""ko""))"),"JOYROOM S109 휴대폰 태블릿용 1.5M 마이크로 데이터 케이블")</f>
        <v>JOYROOM S109 휴대폰 태블릿용 1.5M 마이크로 데이터 케이블</v>
      </c>
      <c r="F1276" s="1" t="str">
        <f>IFERROR(__xludf.DUMMYFUNCTION("CONCATENATE(GOOGLETRANSLATE(C1276, ""en"", ""ja""))"),"JOYROOM S109 1.5M マイクロデータケーブル 携帯電話タブレット用")</f>
        <v>JOYROOM S109 1.5M マイクロデータケーブル 携帯電話タブレット用</v>
      </c>
    </row>
    <row r="1277" ht="15.75" customHeight="1">
      <c r="A1277" s="1">
        <v>2750.0</v>
      </c>
      <c r="B1277" s="1" t="s">
        <v>381</v>
      </c>
      <c r="C1277" s="1" t="s">
        <v>1259</v>
      </c>
      <c r="D1277" s="1" t="str">
        <f>IFERROR(__xludf.DUMMYFUNCTION("CONCATENATE(GOOGLETRANSLATE(C1277, ""en"", ""zh-cn""))"),"透明透明屏幕保护膜适用于 ALLDOCUBE Cube U27GT 超级平板电脑")</f>
        <v>透明透明屏幕保护膜适用于 ALLDOCUBE Cube U27GT 超级平板电脑</v>
      </c>
      <c r="E1277" s="1" t="str">
        <f>IFERROR(__xludf.DUMMYFUNCTION("CONCATENATE(GOOGLETRANSLATE(C1277, ""en"", ""ko""))"),"ALLDOCUBE Cube U27GT 슈퍼 태블릿용 투명 투명 화면 보호 필름")</f>
        <v>ALLDOCUBE Cube U27GT 슈퍼 태블릿용 투명 투명 화면 보호 필름</v>
      </c>
      <c r="F1277" s="1" t="str">
        <f>IFERROR(__xludf.DUMMYFUNCTION("CONCATENATE(GOOGLETRANSLATE(C1277, ""en"", ""ja""))"),"ALLDOCUBE キューブ U27GT スーパー タブレット用透明クリア スクリーン プロテクター フィルム")</f>
        <v>ALLDOCUBE キューブ U27GT スーパー タブレット用透明クリア スクリーン プロテクター フィルム</v>
      </c>
    </row>
    <row r="1278" ht="15.75" customHeight="1">
      <c r="A1278" s="1">
        <v>2751.0</v>
      </c>
      <c r="B1278" s="1" t="s">
        <v>381</v>
      </c>
      <c r="C1278" s="1" t="s">
        <v>1260</v>
      </c>
      <c r="D1278" s="1" t="str">
        <f>IFERROR(__xludf.DUMMYFUNCTION("CONCATENATE(GOOGLETRANSLATE(C1278, ""en"", ""zh-cn""))"),"原装小米通用 AV 3.5 毫米音频视频线适用于智能小米电视盒2 3.5 毫米视频适配器")</f>
        <v>原装小米通用 AV 3.5 毫米音频视频线适用于智能小米电视盒2 3.5 毫米视频适配器</v>
      </c>
      <c r="E1278" s="1" t="str">
        <f>IFERROR(__xludf.DUMMYFUNCTION("CONCATENATE(GOOGLETRANSLATE(C1278, ""en"", ""ko""))"),"스마트 샤오미 TV Box2 3.5mm 비디오 어댑터용 샤오미 범용 AV 3.5mm 오디오 비디오 케이블")</f>
        <v>스마트 샤오미 TV Box2 3.5mm 비디오 어댑터용 샤오미 범용 AV 3.5mm 오디오 비디오 케이블</v>
      </c>
      <c r="F1278" s="1" t="str">
        <f>IFERROR(__xludf.DUMMYFUNCTION("CONCATENATE(GOOGLETRANSLATE(C1278, ""en"", ""ja""))"),"オリジナル Xiaomi ユニバーサル AV 3.5 ミリメートルオーディオビデオケーブルスマート Xiaomi TV Box2 3.5 ミリメートルビデオアダプタ")</f>
        <v>オリジナル Xiaomi ユニバーサル AV 3.5 ミリメートルオーディオビデオケーブルスマート Xiaomi TV Box2 3.5 ミリメートルビデオアダプタ</v>
      </c>
    </row>
    <row r="1279" ht="15.75" customHeight="1">
      <c r="A1279" s="1">
        <v>2752.0</v>
      </c>
      <c r="B1279" s="1" t="s">
        <v>381</v>
      </c>
      <c r="C1279" s="1" t="s">
        <v>1261</v>
      </c>
      <c r="D1279" s="1" t="str">
        <f>IFERROR(__xludf.DUMMYFUNCTION("CONCATENATE(GOOGLETRANSLATE(C1279, ""en"", ""zh-cn""))"),"4 件装 8 头翻糖工具装饰笔不锈钢头球翻糖笔糖工艺装饰工具")</f>
        <v>4 件装 8 头翻糖工具装饰笔不锈钢头球翻糖笔糖工艺装饰工具</v>
      </c>
      <c r="E1279" s="1" t="str">
        <f>IFERROR(__xludf.DUMMYFUNCTION("CONCATENATE(GOOGLETRANSLATE(C1279, ""en"", ""ko""))"),"4 개 8 머리 퐁당 도구 장식 펜 스테인레스 스틸 머리 공 퐁당 펜 설탕 공예 장식 도구")</f>
        <v>4 개 8 머리 퐁당 도구 장식 펜 스테인레스 스틸 머리 공 퐁당 펜 설탕 공예 장식 도구</v>
      </c>
      <c r="F1279" s="1" t="str">
        <f>IFERROR(__xludf.DUMMYFUNCTION("CONCATENATE(GOOGLETRANSLATE(C1279, ""en"", ""ja""))"),"4 個 8 ヘッドフォンダンツールデコレーションペンステンレス鋼ヘッドボールフォンダンペンシュガークラフトデコレーションツール")</f>
        <v>4 個 8 ヘッドフォンダンツールデコレーションペンステンレス鋼ヘッドボールフォンダンペンシュガークラフトデコレーションツール</v>
      </c>
    </row>
    <row r="1280" ht="15.75" customHeight="1">
      <c r="A1280" s="1">
        <v>2753.0</v>
      </c>
      <c r="B1280" s="1" t="s">
        <v>381</v>
      </c>
      <c r="C1280" s="1" t="s">
        <v>1262</v>
      </c>
      <c r="D1280" s="1" t="str">
        <f>IFERROR(__xludf.DUMMYFUNCTION("CONCATENATE(GOOGLETRANSLATE(C1280, ""en"", ""zh-cn""))"),"6支装白杆木质尼龙画笔套装多功能水彩油画笔套装艺术绘画")</f>
        <v>6支装白杆木质尼龙画笔套装多功能水彩油画笔套装艺术绘画</v>
      </c>
      <c r="E1280" s="1" t="str">
        <f>IFERROR(__xludf.DUMMYFUNCTION("CONCATENATE(GOOGLETRANSLATE(C1280, ""en"", ""ko""))"),"6pcs 흰색 극 나무 나일론 페인트 브러쉬 세트 다기능 수채화 오일 페인트 브러시 세트 아트 페인팅")</f>
        <v>6pcs 흰색 극 나무 나일론 페인트 브러쉬 세트 다기능 수채화 오일 페인트 브러시 세트 아트 페인팅</v>
      </c>
      <c r="F1280" s="1" t="str">
        <f>IFERROR(__xludf.DUMMYFUNCTION("CONCATENATE(GOOGLETRANSLATE(C1280, ""en"", ""ja""))"),"6 個ホワイトポール木製ナイロンペイントブラシセット多機能水彩油絵の具ブラシセットアート絵画")</f>
        <v>6 個ホワイトポール木製ナイロンペイントブラシセット多機能水彩油絵の具ブラシセットアート絵画</v>
      </c>
    </row>
    <row r="1281" ht="15.75" customHeight="1">
      <c r="A1281" s="1">
        <v>2754.0</v>
      </c>
      <c r="B1281" s="1" t="s">
        <v>381</v>
      </c>
      <c r="C1281" s="1" t="s">
        <v>1263</v>
      </c>
      <c r="D1281" s="1" t="str">
        <f>IFERROR(__xludf.DUMMYFUNCTION("CONCATENATE(GOOGLETRANSLATE(C1281, ""en"", ""zh-cn""))"),"机密印章创意数据保护滚筒信息覆盖数据保护滚筒身份隐私保护印章随机颜色")</f>
        <v>机密印章创意数据保护滚筒信息覆盖数据保护滚筒身份隐私保护印章随机颜色</v>
      </c>
      <c r="E1281" s="1" t="str">
        <f>IFERROR(__xludf.DUMMYFUNCTION("CONCATENATE(GOOGLETRANSLATE(C1281, ""en"", ""ko""))"),"기밀 인감 창의적인 데이터 보호 롤러 정보 적용 범위 데이터 보호 롤러 신원 개인 정보 보호기 스탬프 무작위 색상")</f>
        <v>기밀 인감 창의적인 데이터 보호 롤러 정보 적용 범위 데이터 보호 롤러 신원 개인 정보 보호기 스탬프 무작위 색상</v>
      </c>
      <c r="F1281" s="1" t="str">
        <f>IFERROR(__xludf.DUMMYFUNCTION("CONCATENATE(GOOGLETRANSLATE(C1281, ""en"", ""ja""))"),"機密シール クリエイティブ データ保護ローラー 情報カバレッジ データ保護ローラー アイデンティティ プライバシー プロテクター スタンプ ランダムな色")</f>
        <v>機密シール クリエイティブ データ保護ローラー 情報カバレッジ データ保護ローラー アイデンティティ プライバシー プロテクター スタンプ ランダムな色</v>
      </c>
    </row>
    <row r="1282" ht="15.75" customHeight="1">
      <c r="A1282" s="1">
        <v>2755.0</v>
      </c>
      <c r="B1282" s="1" t="s">
        <v>381</v>
      </c>
      <c r="C1282" s="1" t="s">
        <v>1264</v>
      </c>
      <c r="D1282" s="1" t="str">
        <f>IFERROR(__xludf.DUMMYFUNCTION("CONCATENATE(GOOGLETRANSLATE(C1282, ""en"", ""zh-cn""))"),"金属铅笔延长器加长支架多色旋转可拆卸艺术素描铅笔")</f>
        <v>金属铅笔延长器加长支架多色旋转可拆卸艺术素描铅笔</v>
      </c>
      <c r="E1282" s="1" t="str">
        <f>IFERROR(__xludf.DUMMYFUNCTION("CONCATENATE(GOOGLETRANSLATE(C1282, ""en"", ""ko""))"),"금속 연필 익스텐더 길어진 홀더 멀티 컬러 회전식 분리형 아트 스케치 연필")</f>
        <v>금속 연필 익스텐더 길어진 홀더 멀티 컬러 회전식 분리형 아트 스케치 연필</v>
      </c>
      <c r="F1282" s="1" t="str">
        <f>IFERROR(__xludf.DUMMYFUNCTION("CONCATENATE(GOOGLETRANSLATE(C1282, ""en"", ""ja""))"),"金属鉛筆エクステンダー延長ホルダーマルチカラー回転式取り外し可能なアートスケッチ鉛筆")</f>
        <v>金属鉛筆エクステンダー延長ホルダーマルチカラー回転式取り外し可能なアートスケッチ鉛筆</v>
      </c>
    </row>
    <row r="1283" ht="15.75" customHeight="1">
      <c r="A1283" s="1">
        <v>2756.0</v>
      </c>
      <c r="B1283" s="1" t="s">
        <v>381</v>
      </c>
      <c r="C1283" s="1" t="s">
        <v>1265</v>
      </c>
      <c r="D1283" s="1" t="str">
        <f>IFERROR(__xludf.DUMMYFUNCTION("CONCATENATE(GOOGLETRANSLATE(C1283, ""en"", ""zh-cn""))"),"磁性白板墙贴儿童绘画白板办公室书写工作时间表")</f>
        <v>磁性白板墙贴儿童绘画白板办公室书写工作时间表</v>
      </c>
      <c r="E1283" s="1" t="str">
        <f>IFERROR(__xludf.DUMMYFUNCTION("CONCATENATE(GOOGLETRANSLATE(C1283, ""en"", ""ko""))"),"자석 화이트보드 벽 스티커 어린이 그림 화이트보드 사무실 쓰기 작업 일정")</f>
        <v>자석 화이트보드 벽 스티커 어린이 그림 화이트보드 사무실 쓰기 작업 일정</v>
      </c>
      <c r="F1283" s="1" t="str">
        <f>IFERROR(__xludf.DUMMYFUNCTION("CONCATENATE(GOOGLETRANSLATE(C1283, ""en"", ""ja""))"),"磁気ホワイトボード壁ステッカー子供絵画ホワイトボードオフィス書き込み作業スケジュール")</f>
        <v>磁気ホワイトボード壁ステッカー子供絵画ホワイトボードオフィス書き込み作業スケジュール</v>
      </c>
    </row>
    <row r="1284" ht="15.75" customHeight="1">
      <c r="A1284" s="1">
        <v>2757.0</v>
      </c>
      <c r="B1284" s="1" t="s">
        <v>381</v>
      </c>
      <c r="C1284" s="1" t="s">
        <v>1266</v>
      </c>
      <c r="D1284" s="1" t="str">
        <f>IFERROR(__xludf.DUMMYFUNCTION("CONCATENATE(GOOGLETRANSLATE(C1284, ""en"", ""zh-cn""))"),"书立时尚埃菲尔铁塔设计书架大号金属书立书桌支架适合书籍收纳盒礼品文具")</f>
        <v>书立时尚埃菲尔铁塔设计书架大号金属书立书桌支架适合书籍收纳盒礼品文具</v>
      </c>
      <c r="E1284" s="1" t="str">
        <f>IFERROR(__xludf.DUMMYFUNCTION("CONCATENATE(GOOGLETRANSLATE(C1284, ""en"", ""ko""))"),"북엔드 패션 에펠탑 디자인 책장 대형 금속 북엔드 데스크 홀더 스탠드 도서 주최자 선물 문구")</f>
        <v>북엔드 패션 에펠탑 디자인 책장 대형 금속 북엔드 데스크 홀더 스탠드 도서 주최자 선물 문구</v>
      </c>
      <c r="F1284" s="1" t="str">
        <f>IFERROR(__xludf.DUMMYFUNCTION("CONCATENATE(GOOGLETRANSLATE(C1284, ""en"", ""ja""))"),"ブックエンドファッションエッフェル塔デザイン本棚大型金属ブックエンドデスクホルダースタンド書籍オーガナイザーギフト文具")</f>
        <v>ブックエンドファッションエッフェル塔デザイン本棚大型金属ブックエンドデスクホルダースタンド書籍オーガナイザーギフト文具</v>
      </c>
    </row>
    <row r="1285" ht="15.75" customHeight="1">
      <c r="A1285" s="1">
        <v>2758.0</v>
      </c>
      <c r="B1285" s="1" t="s">
        <v>381</v>
      </c>
      <c r="C1285" s="1" t="s">
        <v>1267</v>
      </c>
      <c r="D1285" s="1" t="str">
        <f>IFERROR(__xludf.DUMMYFUNCTION("CONCATENATE(GOOGLETRANSLATE(C1285, ""en"", ""zh-cn""))"),"多彩城市场景画城市夜景刮画画刮纸DIY工艺生日礼物")</f>
        <v>多彩城市场景画城市夜景刮画画刮纸DIY工艺生日礼物</v>
      </c>
      <c r="E1285" s="1" t="str">
        <f>IFERROR(__xludf.DUMMYFUNCTION("CONCATENATE(GOOGLETRANSLATE(C1285, ""en"", ""ko""))"),"다채로운 도시 장면 그림 도시 밤 스크래치 그림 그림 긁는 종이 DIY 공예 생일 선물")</f>
        <v>다채로운 도시 장면 그림 도시 밤 스크래치 그림 그림 긁는 종이 DIY 공예 생일 선물</v>
      </c>
      <c r="F1285" s="1" t="str">
        <f>IFERROR(__xludf.DUMMYFUNCTION("CONCATENATE(GOOGLETRANSLATE(C1285, ""en"", ""ja""))"),"カラフルな都市シーン絵画都市夜スクラッチ画像絵画スクレイピング紙 DIY クラフト誕生日ギフト")</f>
        <v>カラフルな都市シーン絵画都市夜スクラッチ画像絵画スクレイピング紙 DIY クラフト誕生日ギフト</v>
      </c>
    </row>
    <row r="1286" ht="15.75" customHeight="1">
      <c r="A1286" s="1">
        <v>2759.0</v>
      </c>
      <c r="B1286" s="1" t="s">
        <v>381</v>
      </c>
      <c r="C1286" s="1" t="s">
        <v>1268</v>
      </c>
      <c r="D1286" s="1" t="str">
        <f>IFERROR(__xludf.DUMMYFUNCTION("CONCATENATE(GOOGLETRANSLATE(C1286, ""en"", ""zh-cn""))"),"岳麓 4 件/套魔术 A5 刮画纸画板纸彩色刮画儿童学习教育涂鸦玩具礼品")</f>
        <v>岳麓 4 件/套魔术 A5 刮画纸画板纸彩色刮画儿童学习教育涂鸦玩具礼品</v>
      </c>
      <c r="E1286" s="1" t="str">
        <f>IFERROR(__xludf.DUMMYFUNCTION("CONCATENATE(GOOGLETRANSLATE(C1286, ""en"", ""ko""))"),"YUELU 4 개/대 매직 A5 스크래치 그림 종이 드로잉 보드 종이 다채로운 긁기 어린이 학습 교육 낙서 장난감 선물")</f>
        <v>YUELU 4 개/대 매직 A5 스크래치 그림 종이 드로잉 보드 종이 다채로운 긁기 어린이 학습 교육 낙서 장난감 선물</v>
      </c>
      <c r="F1286" s="1" t="str">
        <f>IFERROR(__xludf.DUMMYFUNCTION("CONCATENATE(GOOGLETRANSLATE(C1286, ""en"", ""ja""))"),"YUELU 4 ピース/セットマジック A5 スクラッチ絵画紙製図板紙カラフルなスクレーピング子供学習教育落書きおもちゃギフト")</f>
        <v>YUELU 4 ピース/セットマジック A5 スクラッチ絵画紙製図板紙カラフルなスクレーピング子供学習教育落書きおもちゃギフト</v>
      </c>
    </row>
    <row r="1287" ht="15.75" customHeight="1">
      <c r="A1287" s="1">
        <v>2760.0</v>
      </c>
      <c r="B1287" s="1" t="s">
        <v>381</v>
      </c>
      <c r="C1287" s="1" t="s">
        <v>1269</v>
      </c>
      <c r="D1287" s="1" t="str">
        <f>IFERROR(__xludf.DUMMYFUNCTION("CONCATENATE(GOOGLETRANSLATE(C1287, ""en"", ""zh-cn""))"),"绘画儿童玩具模板模板 DIY 剪贴簿着色动物儿童益智玩具")</f>
        <v>绘画儿童玩具模板模板 DIY 剪贴簿着色动物儿童益智玩具</v>
      </c>
      <c r="E1287" s="1" t="str">
        <f>IFERROR(__xludf.DUMMYFUNCTION("CONCATENATE(GOOGLETRANSLATE(C1287, ""en"", ""ko""))"),"그림 어린이 장난감 스텐실 템플릿 DIY 스크랩북 색칠 동물 어린이 교육 장난감")</f>
        <v>그림 어린이 장난감 스텐실 템플릿 DIY 스크랩북 색칠 동물 어린이 교육 장난감</v>
      </c>
      <c r="F1287" s="1" t="str">
        <f>IFERROR(__xludf.DUMMYFUNCTION("CONCATENATE(GOOGLETRANSLATE(C1287, ""en"", ""ja""))"),"絵画子供のおもちゃステンシルテンプレート DIY スクラップブッキングぬりえ動物子供の知育玩具")</f>
        <v>絵画子供のおもちゃステンシルテンプレート DIY スクラップブッキングぬりえ動物子供の知育玩具</v>
      </c>
    </row>
    <row r="1288" ht="15.75" customHeight="1">
      <c r="A1288" s="1">
        <v>2761.0</v>
      </c>
      <c r="B1288" s="1" t="s">
        <v>381</v>
      </c>
      <c r="C1288" s="1" t="s">
        <v>1270</v>
      </c>
      <c r="D1288" s="1" t="str">
        <f>IFERROR(__xludf.DUMMYFUNCTION("CONCATENATE(GOOGLETRANSLATE(C1288, ""en"", ""zh-cn""))"),"毕业横幅毕业门廊标志 2020 年毕业班横幅挂门装饰室内室外毕业学校派对装饰品")</f>
        <v>毕业横幅毕业门廊标志 2020 年毕业班横幅挂门装饰室内室外毕业学校派对装饰品</v>
      </c>
      <c r="E1288" s="1" t="str">
        <f>IFERROR(__xludf.DUMMYFUNCTION("CONCATENATE(GOOGLETRANSLATE(C1288, ""en"", ""ko""))"),"졸업 배너 졸업 현관 로그인 2020 졸업 클래스 실내 옥외 졸업 학교 파티 장식을위한 문 장식 교수형")</f>
        <v>졸업 배너 졸업 현관 로그인 2020 졸업 클래스 실내 옥외 졸업 학교 파티 장식을위한 문 장식 교수형</v>
      </c>
      <c r="F1288" s="1" t="str">
        <f>IFERROR(__xludf.DUMMYFUNCTION("CONCATENATE(GOOGLETRANSLATE(C1288, ""en"", ""ja""))"),"卒業バナー 卒業ポーチサイン 2020年度卒業クラスバナー 吊り下げドア装飾 屋内屋外卒業学校パーティーデコレーション")</f>
        <v>卒業バナー 卒業ポーチサイン 2020年度卒業クラスバナー 吊り下げドア装飾 屋内屋外卒業学校パーティーデコレーション</v>
      </c>
    </row>
    <row r="1289" ht="15.75" customHeight="1">
      <c r="A1289" s="1">
        <v>2762.0</v>
      </c>
      <c r="B1289" s="1" t="s">
        <v>381</v>
      </c>
      <c r="C1289" s="1" t="s">
        <v>1271</v>
      </c>
      <c r="D1289" s="1" t="str">
        <f>IFERROR(__xludf.DUMMYFUNCTION("CONCATENATE(GOOGLETRANSLATE(C1289, ""en"", ""zh-cn""))"),"A3 白板每月计划板厨房每日灵活公告备忘录板冰箱贴绘图日历")</f>
        <v>A3 白板每月计划板厨房每日灵活公告备忘录板冰箱贴绘图日历</v>
      </c>
      <c r="E1289" s="1" t="str">
        <f>IFERROR(__xludf.DUMMYFUNCTION("CONCATENATE(GOOGLETRANSLATE(C1289, ""en"", ""ko""))"),"A3 화이트보드 월간 플래너 보드 주방 일일 유연한 게시판 메모 보드 냉장고 자석 그리기 달력")</f>
        <v>A3 화이트보드 월간 플래너 보드 주방 일일 유연한 게시판 메모 보드 냉장고 자석 그리기 달력</v>
      </c>
      <c r="F1289" s="1" t="str">
        <f>IFERROR(__xludf.DUMMYFUNCTION("CONCATENATE(GOOGLETRANSLATE(C1289, ""en"", ""ja""))"),"A3 ホワイトボードマンスリープランナーボードキッチンデイリー柔軟な掲示板メモボード冷蔵庫マグネット描画カレンダー")</f>
        <v>A3 ホワイトボードマンスリープランナーボードキッチンデイリー柔軟な掲示板メモボード冷蔵庫マグネット描画カレンダー</v>
      </c>
    </row>
    <row r="1290" ht="15.75" customHeight="1">
      <c r="A1290" s="1">
        <v>2763.0</v>
      </c>
      <c r="B1290" s="1" t="s">
        <v>381</v>
      </c>
      <c r="C1290" s="1" t="s">
        <v>1272</v>
      </c>
      <c r="D1290" s="1" t="str">
        <f>IFERROR(__xludf.DUMMYFUNCTION("CONCATENATE(GOOGLETRANSLATE(C1290, ""en"", ""zh-cn""))"),"USB 闪存驱动器 4GB 8GB 16GB 32GB 可爱独角兽卡通马模型 USB 2.0 记忆棒笔驱动器 USB 棒闪存驱动器礼品")</f>
        <v>USB 闪存驱动器 4GB 8GB 16GB 32GB 可爱独角兽卡通马模型 USB 2.0 记忆棒笔驱动器 USB 棒闪存驱动器礼品</v>
      </c>
      <c r="E1290" s="1" t="str">
        <f>IFERROR(__xludf.DUMMYFUNCTION("CONCATENATE(GOOGLETRANSLATE(C1290, ""en"", ""ko""))"),"USB 플래시 드라이브 4GB 8GB 16GB 32GB 귀여운 유니콘 만화 말 모델 USB 2.0 메모리 스틱 펜 드라이브 USB 스틱 플래시 드라이브 선물")</f>
        <v>USB 플래시 드라이브 4GB 8GB 16GB 32GB 귀여운 유니콘 만화 말 모델 USB 2.0 메모리 스틱 펜 드라이브 USB 스틱 플래시 드라이브 선물</v>
      </c>
      <c r="F1290" s="1" t="str">
        <f>IFERROR(__xludf.DUMMYFUNCTION("CONCATENATE(GOOGLETRANSLATE(C1290, ""en"", ""ja""))"),"USB フラッシュドライブ 4 ギガバイト 8 ギガバイト 16 ギガバイト 32 ギガバイトかわいいユニコーン漫画馬モデル USB 2.0 メモリスティックペンドライブ USB スティックフラッシュドライブギフト")</f>
        <v>USB フラッシュドライブ 4 ギガバイト 8 ギガバイト 16 ギガバイト 32 ギガバイトかわいいユニコーン漫画馬モデル USB 2.0 メモリスティックペンドライブ USB スティックフラッシュドライブギフト</v>
      </c>
    </row>
    <row r="1291" ht="15.75" customHeight="1">
      <c r="A1291" s="1">
        <v>2764.0</v>
      </c>
      <c r="B1291" s="1" t="s">
        <v>381</v>
      </c>
      <c r="C1291" s="1" t="s">
        <v>1273</v>
      </c>
      <c r="D1291" s="1" t="str">
        <f>IFERROR(__xludf.DUMMYFUNCTION("CONCATENATE(GOOGLETRANSLATE(C1291, ""en"", ""zh-cn""))"),"TWO TREES® GT2 惰轮正时皮带轮 16/20 齿轮孔径 3/5 毫米铝齿轮齿宽 6/10 毫米适用于 I3 Ender 3 CR10 Bluer 打印机修复")</f>
        <v>TWO TREES® GT2 惰轮正时皮带轮 16/20 齿轮孔径 3/5 毫米铝齿轮齿宽 6/10 毫米适用于 I3 Ender 3 CR10 Bluer 打印机修复</v>
      </c>
      <c r="E1291" s="1" t="str">
        <f>IFERROR(__xludf.DUMMYFUNCTION("CONCATENATE(GOOGLETRANSLATE(C1291, ""en"", ""ko""))"),"TWO TREES® GT2 아이들러 타이밍 풀리 16/20 톱니 바퀴 보어 3/5mm 알루미늄 기어 톱니 폭 6/10mm I3 Ender 3 CR10 Bluer Printer Reprap")</f>
        <v>TWO TREES® GT2 아이들러 타이밍 풀리 16/20 톱니 바퀴 보어 3/5mm 알루미늄 기어 톱니 폭 6/10mm I3 Ender 3 CR10 Bluer Printer Reprap</v>
      </c>
      <c r="F1291" s="1" t="str">
        <f>IFERROR(__xludf.DUMMYFUNCTION("CONCATENATE(GOOGLETRANSLATE(C1291, ""en"", ""ja""))"),"TWO TREES® GT2 アイドラー タイミング プーリー 16/20 歯 ホイール ボア 3/5mm アルミニウム ギア歯幅 6/10mm I3 Ender 3 CR10 Bluer Printer Reprap 用")</f>
        <v>TWO TREES® GT2 アイドラー タイミング プーリー 16/20 歯 ホイール ボア 3/5mm アルミニウム ギア歯幅 6/10mm I3 Ender 3 CR10 Bluer Printer Reprap 用</v>
      </c>
    </row>
    <row r="1292" ht="15.75" customHeight="1">
      <c r="A1292" s="1">
        <v>2765.0</v>
      </c>
      <c r="B1292" s="1" t="s">
        <v>381</v>
      </c>
      <c r="C1292" s="1" t="s">
        <v>1274</v>
      </c>
      <c r="D1292" s="1" t="str">
        <f>IFERROR(__xludf.DUMMYFUNCTION("CONCATENATE(GOOGLETRANSLATE(C1292, ""en"", ""zh-cn""))"),"PCI-E 1X 至 16X 扩展卡适配器 USB 3.0 扩展器矿机显卡扩展适配器带 SATA 15Pin 至 4Pin 电源线")</f>
        <v>PCI-E 1X 至 16X 扩展卡适配器 USB 3.0 扩展器矿机显卡扩展适配器带 SATA 15Pin 至 4Pin 电源线</v>
      </c>
      <c r="E1292" s="1" t="str">
        <f>IFERROR(__xludf.DUMMYFUNCTION("CONCATENATE(GOOGLETRANSLATE(C1292, ""en"", ""ko""))"),"PCI-E 1X ~ 16X 확장 카드 어댑터 USB 3.0 익스텐더 마이닝 리그 그래픽 카드 확장 어댑터(SATA 15Pin ~ 4Pin 전원 케이블 포함)")</f>
        <v>PCI-E 1X ~ 16X 확장 카드 어댑터 USB 3.0 익스텐더 마이닝 리그 그래픽 카드 확장 어댑터(SATA 15Pin ~ 4Pin 전원 케이블 포함)</v>
      </c>
      <c r="F1292" s="1" t="str">
        <f>IFERROR(__xludf.DUMMYFUNCTION("CONCATENATE(GOOGLETRANSLATE(C1292, ""en"", ""ja""))"),"PCI-E 1X から 16X 拡張カードアダプタ USB 3.0 エクステンダーマイニングリググラフィックカード拡張アダプタ SATA 15Pin から 4Pin 電源ケーブル付き")</f>
        <v>PCI-E 1X から 16X 拡張カードアダプタ USB 3.0 エクステンダーマイニングリググラフィックカード拡張アダプタ SATA 15Pin から 4Pin 電源ケーブル付き</v>
      </c>
    </row>
    <row r="1293" ht="15.75" customHeight="1">
      <c r="A1293" s="1">
        <v>2766.0</v>
      </c>
      <c r="B1293" s="1" t="s">
        <v>381</v>
      </c>
      <c r="C1293" s="1" t="s">
        <v>1275</v>
      </c>
      <c r="D1293" s="1" t="str">
        <f>IFERROR(__xludf.DUMMYFUNCTION("CONCATENATE(GOOGLETRANSLATE(C1293, ""en"", ""zh-cn""))"),"适用于 Kindle 7 英寸 2015 款保险箱 EVA 泡沫保护套支架")</f>
        <v>适用于 Kindle 7 英寸 2015 款保险箱 EVA 泡沫保护套支架</v>
      </c>
      <c r="E1293" s="1" t="str">
        <f>IFERROR(__xludf.DUMMYFUNCTION("CONCATENATE(GOOGLETRANSLATE(C1293, ""en"", ""ko""))"),"Kindle 7인치 2015용 안전 케이스 EVA 폼 커버 스탠드")</f>
        <v>Kindle 7인치 2015용 안전 케이스 EVA 폼 커버 스탠드</v>
      </c>
      <c r="F1293" s="1" t="str">
        <f>IFERROR(__xludf.DUMMYFUNCTION("CONCATENATE(GOOGLETRANSLATE(C1293, ""en"", ""ja""))"),"Kindle 7 インチ 2015 用セーフ ケース EVA フォーム カバー スタンド")</f>
        <v>Kindle 7 インチ 2015 用セーフ ケース EVA フォーム カバー スタンド</v>
      </c>
    </row>
    <row r="1294" ht="15.75" customHeight="1">
      <c r="A1294" s="1">
        <v>2767.0</v>
      </c>
      <c r="B1294" s="1" t="s">
        <v>381</v>
      </c>
      <c r="C1294" s="1" t="s">
        <v>1276</v>
      </c>
      <c r="D1294" s="1" t="str">
        <f>IFERROR(__xludf.DUMMYFUNCTION("CONCATENATE(GOOGLETRANSLATE(C1294, ""en"", ""zh-cn""))"),"优雅有线鼠标 2400DPI 6 按钮 LED USB 有线鼠标 光学电脑鼠标 适合家庭办公")</f>
        <v>优雅有线鼠标 2400DPI 6 按钮 LED USB 有线鼠标 光学电脑鼠标 适合家庭办公</v>
      </c>
      <c r="E1294" s="1" t="str">
        <f>IFERROR(__xludf.DUMMYFUNCTION("CONCATENATE(GOOGLETRANSLATE(C1294, ""en"", ""ko""))"),"우아한 유선 마우스 2400DPI 6 버튼 홈 오피스용 LED USB 유선 마우스 광학 컴퓨터 마우스")</f>
        <v>우아한 유선 마우스 2400DPI 6 버튼 홈 오피스용 LED USB 유선 마우스 광학 컴퓨터 마우스</v>
      </c>
      <c r="F1294" s="1" t="str">
        <f>IFERROR(__xludf.DUMMYFUNCTION("CONCATENATE(GOOGLETRANSLATE(C1294, ""en"", ""ja""))"),"ELEGIANT 有線マウス 2400DPI 6 ボタン LED USB 有線マウス光学式コンピュータマウスホームオフィス用")</f>
        <v>ELEGIANT 有線マウス 2400DPI 6 ボタン LED USB 有線マウス光学式コンピュータマウスホームオフィス用</v>
      </c>
    </row>
    <row r="1295" ht="15.75" customHeight="1">
      <c r="A1295" s="1">
        <v>2768.0</v>
      </c>
      <c r="B1295" s="1" t="s">
        <v>381</v>
      </c>
      <c r="C1295" s="1" t="s">
        <v>1276</v>
      </c>
      <c r="D1295" s="1" t="str">
        <f>IFERROR(__xludf.DUMMYFUNCTION("CONCATENATE(GOOGLETRANSLATE(C1295, ""en"", ""zh-cn""))"),"优雅有线鼠标 2400DPI 6 按钮 LED USB 有线鼠标 光学电脑鼠标 适合家庭办公")</f>
        <v>优雅有线鼠标 2400DPI 6 按钮 LED USB 有线鼠标 光学电脑鼠标 适合家庭办公</v>
      </c>
      <c r="E1295" s="1" t="str">
        <f>IFERROR(__xludf.DUMMYFUNCTION("CONCATENATE(GOOGLETRANSLATE(C1295, ""en"", ""ko""))"),"우아한 유선 마우스 2400DPI 6 버튼 홈 오피스용 LED USB 유선 마우스 광학 컴퓨터 마우스")</f>
        <v>우아한 유선 마우스 2400DPI 6 버튼 홈 오피스용 LED USB 유선 마우스 광학 컴퓨터 마우스</v>
      </c>
      <c r="F1295" s="1" t="str">
        <f>IFERROR(__xludf.DUMMYFUNCTION("CONCATENATE(GOOGLETRANSLATE(C1295, ""en"", ""ja""))"),"ELEGIANT 有線マウス 2400DPI 6 ボタン LED USB 有線マウス光学式コンピュータマウスホームオフィス用")</f>
        <v>ELEGIANT 有線マウス 2400DPI 6 ボタン LED USB 有線マウス光学式コンピュータマウスホームオフィス用</v>
      </c>
    </row>
    <row r="1296" ht="15.75" customHeight="1">
      <c r="A1296" s="1">
        <v>2769.0</v>
      </c>
      <c r="B1296" s="1" t="s">
        <v>381</v>
      </c>
      <c r="C1296" s="1" t="s">
        <v>1277</v>
      </c>
      <c r="D1296" s="1" t="str">
        <f>IFERROR(__xludf.DUMMYFUNCTION("CONCATENATE(GOOGLETRANSLATE(C1296, ""en"", ""zh-cn""))"),"易邮宝气泡信封袋磨砂加厚防震防摔运输信封邮寄袋商务用品")</f>
        <v>易邮宝气泡信封袋磨砂加厚防震防摔运输信封邮寄袋商务用品</v>
      </c>
      <c r="E1296" s="1" t="str">
        <f>IFERROR(__xludf.DUMMYFUNCTION("CONCATENATE(GOOGLETRANSLATE(C1296, ""en"", ""ko""))"),"Yiyoubao 버블 봉투 가방 매트 두꺼운 충격 방지 드롭 방지 배송 봉투 메일 링 가방 비즈니스 용품")</f>
        <v>Yiyoubao 버블 봉투 가방 매트 두꺼운 충격 방지 드롭 방지 배송 봉투 메일 링 가방 비즈니스 용품</v>
      </c>
      <c r="F1296" s="1" t="str">
        <f>IFERROR(__xludf.DUMMYFUNCTION("CONCATENATE(GOOGLETRANSLATE(C1296, ""en"", ""ja""))"),"Yiyoubao バブル封筒バッグマット厚みのある耐衝撃性落下防止配送封筒郵送袋ビジネス用品")</f>
        <v>Yiyoubao バブル封筒バッグマット厚みのある耐衝撃性落下防止配送封筒郵送袋ビジネス用品</v>
      </c>
    </row>
    <row r="1297" ht="15.75" customHeight="1">
      <c r="A1297" s="1">
        <v>2770.0</v>
      </c>
      <c r="B1297" s="1" t="s">
        <v>381</v>
      </c>
      <c r="C1297" s="1" t="s">
        <v>1278</v>
      </c>
      <c r="D1297" s="1" t="str">
        <f>IFERROR(__xludf.DUMMYFUNCTION("CONCATENATE(GOOGLETRANSLATE(C1297, ""en"", ""zh-cn""))"),"Creativity® MK8 挤出机热端套件 0.4 毫米喷嘴 1.75 毫米长丝适用于 Ender 3 Ender3 V2 CR10 Ender 5 3D 打印机零件")</f>
        <v>Creativity® MK8 挤出机热端套件 0.4 毫米喷嘴 1.75 毫米长丝适用于 Ender 3 Ender3 V2 CR10 Ender 5 3D 打印机零件</v>
      </c>
      <c r="E1297" s="1" t="str">
        <f>IFERROR(__xludf.DUMMYFUNCTION("CONCATENATE(GOOGLETRANSLATE(C1297, ""en"", ""ko""))"),"Creativity® MK8 압출기 핫엔드 키트 Ender 3 Ender3 V2 CR10 Ender 5 3D 프린터 부품용 0.4mm 노즐 1.75mm 필라멘트")</f>
        <v>Creativity® MK8 압출기 핫엔드 키트 Ender 3 Ender3 V2 CR10 Ender 5 3D 프린터 부품용 0.4mm 노즐 1.75mm 필라멘트</v>
      </c>
      <c r="F1297" s="1" t="str">
        <f>IFERROR(__xludf.DUMMYFUNCTION("CONCATENATE(GOOGLETRANSLATE(C1297, ""en"", ""ja""))"),"Creativity® MK8 エクストルーダー Hotend キット 0.4mm ノズル 1.75mm フィラメント Ender 3 Ender3 V2 CR10 Ender 5 3D プリンター部品")</f>
        <v>Creativity® MK8 エクストルーダー Hotend キット 0.4mm ノズル 1.75mm フィラメント Ender 3 Ender3 V2 CR10 Ender 5 3D プリンター部品</v>
      </c>
    </row>
    <row r="1298" ht="15.75" customHeight="1">
      <c r="A1298" s="1">
        <v>2771.0</v>
      </c>
      <c r="B1298" s="1" t="s">
        <v>381</v>
      </c>
      <c r="C1298" s="1" t="s">
        <v>1279</v>
      </c>
      <c r="D1298" s="1" t="str">
        <f>IFERROR(__xludf.DUMMYFUNCTION("CONCATENATE(GOOGLETRANSLATE(C1298, ""en"", ""zh-cn""))"),"B02-1笔筒收纳盒多功能中式塑料抽屉书房收纳盒办公室家用办公桌用")</f>
        <v>B02-1笔筒收纳盒多功能中式塑料抽屉书房收纳盒办公室家用办公桌用</v>
      </c>
      <c r="E1298" s="1" t="str">
        <f>IFERROR(__xludf.DUMMYFUNCTION("CONCATENATE(GOOGLETRANSLATE(C1298, ""en"", ""ko""))"),"B02-1 펜 보관 상자 다기능 중국 스타일 플라스틱 서랍 연구 보관 상자 사무실 홈 데스크 사용")</f>
        <v>B02-1 펜 보관 상자 다기능 중국 스타일 플라스틱 서랍 연구 보관 상자 사무실 홈 데스크 사용</v>
      </c>
      <c r="F1298" s="1" t="str">
        <f>IFERROR(__xludf.DUMMYFUNCTION("CONCATENATE(GOOGLETRANSLATE(C1298, ""en"", ""ja""))"),"B02-1 ペン収納ボックス多機能中国風のプラスチック引き出し学習収納ボックスオフィスホームデスク使用")</f>
        <v>B02-1 ペン収納ボックス多機能中国風のプラスチック引き出し学習収納ボックスオフィスホームデスク使用</v>
      </c>
    </row>
    <row r="1299" ht="15.75" customHeight="1">
      <c r="A1299" s="1">
        <v>2772.0</v>
      </c>
      <c r="B1299" s="1" t="s">
        <v>381</v>
      </c>
      <c r="C1299" s="1" t="s">
        <v>1280</v>
      </c>
      <c r="D1299" s="1" t="str">
        <f>IFERROR(__xludf.DUMMYFUNCTION("CONCATENATE(GOOGLETRANSLATE(C1299, ""en"", ""zh-cn""))"),"Creality 3D® 3D 打印机 223 x 180 x 40mm 多重喂料支架")</f>
        <v>Creality 3D® 3D 打印机 223 x 180 x 40mm 多重喂料支架</v>
      </c>
      <c r="E1299" s="1" t="str">
        <f>IFERROR(__xludf.DUMMYFUNCTION("CONCATENATE(GOOGLETRANSLATE(C1299, ""en"", ""ko""))"),"Creality 3D® 3D 프린터 223 x 180 x 40mm 멀티 킬로 급지 홀더")</f>
        <v>Creality 3D® 3D 프린터 223 x 180 x 40mm 멀티 킬로 급지 홀더</v>
      </c>
      <c r="F1299" s="1" t="str">
        <f>IFERROR(__xludf.DUMMYFUNCTION("CONCATENATE(GOOGLETRANSLATE(C1299, ""en"", ""ja""))"),"Creality 3D® 3D プリンター 223 x 180 x 40mm マルチキロフィーディングホルダー")</f>
        <v>Creality 3D® 3D プリンター 223 x 180 x 40mm マルチキロフィーディングホルダー</v>
      </c>
    </row>
    <row r="1300" ht="15.75" customHeight="1">
      <c r="A1300" s="1">
        <v>2773.0</v>
      </c>
      <c r="B1300" s="1" t="s">
        <v>381</v>
      </c>
      <c r="C1300" s="1" t="s">
        <v>1281</v>
      </c>
      <c r="D1300" s="1" t="str">
        <f>IFERROR(__xludf.DUMMYFUNCTION("CONCATENATE(GOOGLETRANSLATE(C1300, ""en"", ""zh-cn""))"),"JSJT 139 键柴犬键帽套装英语/日语 QX 型材 PBT 热升华定制机械键盘键帽")</f>
        <v>JSJT 139 键柴犬键帽套装英语/日语 QX 型材 PBT 热升华定制机械键盘键帽</v>
      </c>
      <c r="E1300" s="1" t="str">
        <f>IFERROR(__xludf.DUMMYFUNCTION("CONCATENATE(GOOGLETRANSLATE(C1300, ""en"", ""ko""))"),"JSJT 139 키 Shiba Inu Keycap 세트 영어/일본어 QX 프로필 PBT 승화 기계식 키보드 용 맞춤형 키캡")</f>
        <v>JSJT 139 키 Shiba Inu Keycap 세트 영어/일본어 QX 프로필 PBT 승화 기계식 키보드 용 맞춤형 키캡</v>
      </c>
      <c r="F1300" s="1" t="str">
        <f>IFERROR(__xludf.DUMMYFUNCTION("CONCATENATE(GOOGLETRANSLATE(C1300, ""en"", ""ja""))"),"JSJT 139 キー柴犬キーキャップセット英語/日本語 QX プロファイル PBT 昇華カスタムキーキャップメカニカルキーボード用")</f>
        <v>JSJT 139 キー柴犬キーキャップセット英語/日本語 QX プロファイル PBT 昇華カスタムキーキャップメカニカルキーボード用</v>
      </c>
    </row>
    <row r="1301" ht="15.75" customHeight="1">
      <c r="A1301" s="1">
        <v>2774.0</v>
      </c>
      <c r="B1301" s="1" t="s">
        <v>381</v>
      </c>
      <c r="C1301" s="1" t="s">
        <v>1282</v>
      </c>
      <c r="D1301" s="1" t="str">
        <f>IFERROR(__xludf.DUMMYFUNCTION("CONCATENATE(GOOGLETRANSLATE(C1301, ""en"", ""zh-cn""))"),"120 毫米电脑 PC 冷却器冷却风扇 RGB LED 多色模式静音机箱风扇带控制器")</f>
        <v>120 毫米电脑 PC 冷却器冷却风扇 RGB LED 多色模式静音机箱风扇带控制器</v>
      </c>
      <c r="E1301" s="1" t="str">
        <f>IFERROR(__xludf.DUMMYFUNCTION("CONCATENATE(GOOGLETRANSLATE(C1301, ""en"", ""ko""))"),"120mm 컴퓨터 PC 쿨러 냉각 팬 RGB LED 컨트롤러가 있는 다색 모드 조용한 섀시 팬")</f>
        <v>120mm 컴퓨터 PC 쿨러 냉각 팬 RGB LED 컨트롤러가 있는 다색 모드 조용한 섀시 팬</v>
      </c>
      <c r="F1301" s="1" t="str">
        <f>IFERROR(__xludf.DUMMYFUNCTION("CONCATENATE(GOOGLETRANSLATE(C1301, ""en"", ""ja""))"),"120mm コンピュータ PC クーラー冷却ファン RGB LED マルチカラーモード静音シャーシファンコントローラ付き")</f>
        <v>120mm コンピュータ PC クーラー冷却ファン RGB LED マルチカラーモード静音シャーシファンコントローラ付き</v>
      </c>
    </row>
    <row r="1302" ht="15.75" customHeight="1">
      <c r="A1302" s="1">
        <v>2775.0</v>
      </c>
      <c r="B1302" s="1" t="s">
        <v>381</v>
      </c>
      <c r="C1302" s="1" t="s">
        <v>1283</v>
      </c>
      <c r="D1302" s="1" t="str">
        <f>IFERROR(__xludf.DUMMYFUNCTION("CONCATENATE(GOOGLETRANSLATE(C1302, ""en"", ""zh-cn""))"),"2 件装 Tenwin 两孔卷笔刀架电动自动替换刀架家庭办公学校用品文具艺术")</f>
        <v>2 件装 Tenwin 两孔卷笔刀架电动自动替换刀架家庭办公学校用品文具艺术</v>
      </c>
      <c r="E1302" s="1" t="str">
        <f>IFERROR(__xludf.DUMMYFUNCTION("CONCATENATE(GOOGLETRANSLATE(C1302, ""en"", ""ko""))"),"2Pcs Tenwin 2 구멍 연필 깎이 홀더 전기 자동 교체 칼 홀더 홈 오피스 학교 용품 편지지 예술")</f>
        <v>2Pcs Tenwin 2 구멍 연필 깎이 홀더 전기 자동 교체 칼 홀더 홈 오피스 학교 용품 편지지 예술</v>
      </c>
      <c r="F1302" s="1" t="str">
        <f>IFERROR(__xludf.DUMMYFUNCTION("CONCATENATE(GOOGLETRANSLATE(C1302, ""en"", ""ja""))"),"2 個 Tenwin 2 穴鉛筆削りホルダー電気自動交換ナイフホルダーホームオフィス学用品文具アート")</f>
        <v>2 個 Tenwin 2 穴鉛筆削りホルダー電気自動交換ナイフホルダーホームオフィス学用品文具アート</v>
      </c>
    </row>
    <row r="1303" ht="15.75" customHeight="1">
      <c r="A1303" s="1">
        <v>2776.0</v>
      </c>
      <c r="B1303" s="1" t="s">
        <v>381</v>
      </c>
      <c r="C1303" s="1" t="s">
        <v>1284</v>
      </c>
      <c r="D1303" s="1" t="str">
        <f>IFERROR(__xludf.DUMMYFUNCTION("CONCATENATE(GOOGLETRANSLATE(C1303, ""en"", ""zh-cn""))"),"适用于 3D 打印机零件的 Creality 3D® 跳线连接器套件")</f>
        <v>适用于 3D 打印机零件的 Creality 3D® 跳线连接器套件</v>
      </c>
      <c r="E1303" s="1" t="str">
        <f>IFERROR(__xludf.DUMMYFUNCTION("CONCATENATE(GOOGLETRANSLATE(C1303, ""en"", ""ko""))"),"3D 프린터 부품용 Creality 3D® 점퍼 와이어 커넥터 키트")</f>
        <v>3D 프린터 부품용 Creality 3D® 점퍼 와이어 커넥터 키트</v>
      </c>
      <c r="F1303" s="1" t="str">
        <f>IFERROR(__xludf.DUMMYFUNCTION("CONCATENATE(GOOGLETRANSLATE(C1303, ""en"", ""ja""))"),"Creality 3D® 3D プリンター部品用ジャンパー ワイヤー コネクタ キット")</f>
        <v>Creality 3D® 3D プリンター部品用ジャンパー ワイヤー コネクタ キット</v>
      </c>
    </row>
    <row r="1304" ht="15.75" customHeight="1">
      <c r="A1304" s="1">
        <v>2777.0</v>
      </c>
      <c r="B1304" s="1" t="s">
        <v>381</v>
      </c>
      <c r="C1304" s="1" t="s">
        <v>1285</v>
      </c>
      <c r="D1304" s="1" t="str">
        <f>IFERROR(__xludf.DUMMYFUNCTION("CONCATENATE(GOOGLETRANSLATE(C1304, ""en"", ""zh-cn""))"),"三折平板电脑保护套适用于三星 Galaxy Tab 3 8.0 T310 平板电脑")</f>
        <v>三折平板电脑保护套适用于三星 Galaxy Tab 3 8.0 T310 平板电脑</v>
      </c>
      <c r="E1304" s="1" t="str">
        <f>IFERROR(__xludf.DUMMYFUNCTION("CONCATENATE(GOOGLETRANSLATE(C1304, ""en"", ""ko""))"),"삼성 갤럭시 탭 3 8.0 T310 태블릿용 3단 접이식 태블릿 케이스 커버")</f>
        <v>삼성 갤럭시 탭 3 8.0 T310 태블릿용 3단 접이식 태블릿 케이스 커버</v>
      </c>
      <c r="F1304" s="1" t="str">
        <f>IFERROR(__xludf.DUMMYFUNCTION("CONCATENATE(GOOGLETRANSLATE(C1304, ""en"", ""ja""))"),"三つ折りタブレットケースカバー Samsung Galaxy Tab 3 8.0 T310 タブレット用")</f>
        <v>三つ折りタブレットケースカバー Samsung Galaxy Tab 3 8.0 T310 タブレット用</v>
      </c>
    </row>
    <row r="1305" ht="15.75" customHeight="1">
      <c r="A1305" s="1">
        <v>2778.0</v>
      </c>
      <c r="B1305" s="1" t="s">
        <v>381</v>
      </c>
      <c r="C1305" s="1" t="s">
        <v>1286</v>
      </c>
      <c r="D1305" s="1" t="str">
        <f>IFERROR(__xludf.DUMMYFUNCTION("CONCATENATE(GOOGLETRANSLATE(C1305, ""en"", ""zh-cn""))"),"136 键冰淇淋键帽套装 PBT 热升华 XDA 配置文件英文/日文定制键帽适用于机械键盘")</f>
        <v>136 键冰淇淋键帽套装 PBT 热升华 XDA 配置文件英文/日文定制键帽适用于机械键盘</v>
      </c>
      <c r="E1305" s="1" t="str">
        <f>IFERROR(__xludf.DUMMYFUNCTION("CONCATENATE(GOOGLETRANSLATE(C1305, ""en"", ""ko""))"),"136 키 아이스크림 키캡 세트 PBT 승화 XDA 프로필 기계식 키보드 용 영어/일본어 맞춤 키캡")</f>
        <v>136 키 아이스크림 키캡 세트 PBT 승화 XDA 프로필 기계식 키보드 용 영어/일본어 맞춤 키캡</v>
      </c>
      <c r="F1305" s="1" t="str">
        <f>IFERROR(__xludf.DUMMYFUNCTION("CONCATENATE(GOOGLETRANSLATE(C1305, ""en"", ""ja""))"),"136 キーアイスクリームキーキャップセット PBT 昇華 XDA プロファイル英語/日本語カスタムキーキャップメカニカルキーボード用")</f>
        <v>136 キーアイスクリームキーキャップセット PBT 昇華 XDA プロファイル英語/日本語カスタムキーキャップメカニカルキーボード用</v>
      </c>
    </row>
    <row r="1306" ht="15.75" customHeight="1">
      <c r="A1306" s="1">
        <v>2779.0</v>
      </c>
      <c r="B1306" s="1" t="s">
        <v>381</v>
      </c>
      <c r="C1306" s="1" t="s">
        <v>1287</v>
      </c>
      <c r="D1306" s="1" t="str">
        <f>IFERROR(__xludf.DUMMYFUNCTION("CONCATENATE(GOOGLETRANSLATE(C1306, ""en"", ""zh-cn""))"),"1.5/3/4英寸油墨橡皮滚筒印刷艺术家艺术滚筒绘画工艺工具油漆工具文具绘画用品")</f>
        <v>1.5/3/4英寸油墨橡皮滚筒印刷艺术家艺术滚筒绘画工艺工具油漆工具文具绘画用品</v>
      </c>
      <c r="E1306" s="1" t="str">
        <f>IFERROR(__xludf.DUMMYFUNCTION("CONCATENATE(GOOGLETRANSLATE(C1306, ""en"", ""ko""))"),"1.5/3/4 인치 잉크 고무 롤러 인쇄 예술가 아트 롤러 그림 공예 도구 페인트 도구 편지지 그림 용품")</f>
        <v>1.5/3/4 인치 잉크 고무 롤러 인쇄 예술가 아트 롤러 그림 공예 도구 페인트 도구 편지지 그림 용품</v>
      </c>
      <c r="F1306" s="1" t="str">
        <f>IFERROR(__xludf.DUMMYFUNCTION("CONCATENATE(GOOGLETRANSLATE(C1306, ""en"", ""ja""))"),"1.5/3/4 インチインクゴムローラー印刷アーティストアートローラー絵画クラフトツールペイントツール文具絵画用品")</f>
        <v>1.5/3/4 インチインクゴムローラー印刷アーティストアートローラー絵画クラフトツールペイントツール文具絵画用品</v>
      </c>
    </row>
    <row r="1307" ht="15.75" customHeight="1">
      <c r="A1307" s="1">
        <v>2780.0</v>
      </c>
      <c r="B1307" s="1" t="s">
        <v>381</v>
      </c>
      <c r="C1307" s="1" t="s">
        <v>1288</v>
      </c>
      <c r="D1307" s="1" t="str">
        <f>IFERROR(__xludf.DUMMYFUNCTION("CONCATENATE(GOOGLETRANSLATE(C1307, ""en"", ""zh-cn""))"),"9 件装勾线笔套装黑色三角杆画笔油画笔水彩艺术学生学校用")</f>
        <v>9 件装勾线笔套装黑色三角杆画笔油画笔水彩艺术学生学校用</v>
      </c>
      <c r="E1307" s="1" t="str">
        <f>IFERROR(__xludf.DUMMYFUNCTION("CONCATENATE(GOOGLETRANSLATE(C1307, ""en"", ""ko""))"),"9 Pcs 후크 라인 펜 세트 검은 삼각형 극 브러쉬 펜 유화 브러시 학생 학교에 대 한 수채화 미술")</f>
        <v>9 Pcs 후크 라인 펜 세트 검은 삼각형 극 브러쉬 펜 유화 브러시 학생 학교에 대 한 수채화 미술</v>
      </c>
      <c r="F1307" s="1" t="str">
        <f>IFERROR(__xludf.DUMMYFUNCTION("CONCATENATE(GOOGLETRANSLATE(C1307, ""en"", ""ja""))"),"9 個フックラインペンセット黒三角ポールブラシペン油絵ブラシ水彩アート学生学校")</f>
        <v>9 個フックラインペンセット黒三角ポールブラシペン油絵ブラシ水彩アート学生学校</v>
      </c>
    </row>
    <row r="1308" ht="15.75" customHeight="1">
      <c r="A1308" s="1">
        <v>2781.0</v>
      </c>
      <c r="B1308" s="1" t="s">
        <v>381</v>
      </c>
      <c r="C1308" s="1" t="s">
        <v>1289</v>
      </c>
      <c r="D1308" s="1" t="str">
        <f>IFERROR(__xludf.DUMMYFUNCTION("CONCATENATE(GOOGLETRANSLATE(C1308, ""en"", ""zh-cn""))"),"曼陀罗点画工具笔组合套装 20 件 DIY 岩画工具文具美术用品")</f>
        <v>曼陀罗点画工具笔组合套装 20 件 DIY 岩画工具文具美术用品</v>
      </c>
      <c r="E1308" s="1" t="str">
        <f>IFERROR(__xludf.DUMMYFUNCTION("CONCATENATE(GOOGLETRANSLATE(C1308, ""en"", ""ko""))"),"Datura 점묘 도구 펜 조합 세트 20 조각 DIY Painted Rock 그림 도구 편지지 미술 용품")</f>
        <v>Datura 점묘 도구 펜 조합 세트 20 조각 DIY Painted Rock 그림 도구 편지지 미술 용품</v>
      </c>
      <c r="F1308" s="1" t="str">
        <f>IFERROR(__xludf.DUMMYFUNCTION("CONCATENATE(GOOGLETRANSLATE(C1308, ""en"", ""ja""))"),"チョウセンアサガオ点描ツールペンコンビネーションセット 20 個 DIY 塗装ロックペイントツール文具画材")</f>
        <v>チョウセンアサガオ点描ツールペンコンビネーションセット 20 個 DIY 塗装ロックペイントツール文具画材</v>
      </c>
    </row>
    <row r="1309" ht="15.75" customHeight="1">
      <c r="A1309" s="1">
        <v>2782.0</v>
      </c>
      <c r="B1309" s="1" t="s">
        <v>381</v>
      </c>
      <c r="C1309" s="1" t="s">
        <v>1290</v>
      </c>
      <c r="D1309" s="1" t="str">
        <f>IFERROR(__xludf.DUMMYFUNCTION("CONCATENATE(GOOGLETRANSLATE(C1309, ""en"", ""zh-cn""))"),"7 合 1 多功能 Type-C 集线器适配器扩展坞，带 USB3.0 Type-C 3.1 PD 4K HDMI 兼容 SD/TF 读卡器插槽，适用于笔记本电脑")</f>
        <v>7 合 1 多功能 Type-C 集线器适配器扩展坞，带 USB3.0 Type-C 3.1 PD 4K HDMI 兼容 SD/TF 读卡器插槽，适用于笔记本电脑</v>
      </c>
      <c r="E1309" s="1" t="str">
        <f>IFERROR(__xludf.DUMMYFUNCTION("CONCATENATE(GOOGLETRANSLATE(C1309, ""en"", ""ko""))"),"USB3.0 Type-C 3.1 PD 4K HDMI 호환 SD/TF 카드 리더 슬롯이 있는 7-IN-1 다기능 Type-C 허브 어댑터 도킹 스테이션(노트북 PC 컴퓨터용)")</f>
        <v>USB3.0 Type-C 3.1 PD 4K HDMI 호환 SD/TF 카드 리더 슬롯이 있는 7-IN-1 다기능 Type-C 허브 어댑터 도킹 스테이션(노트북 PC 컴퓨터용)</v>
      </c>
      <c r="F1309" s="1" t="str">
        <f>IFERROR(__xludf.DUMMYFUNCTION("CONCATENATE(GOOGLETRANSLATE(C1309, ""en"", ""ja""))"),"7-IN-1 多機能 Type-C ハブ アダプター ドッキング ステーション、USB3.0 Type-C 3.1 PD 4K HDMI 互換 SD/TF カード リーダー スロット付き、ラップトップ PC コンピューター用")</f>
        <v>7-IN-1 多機能 Type-C ハブ アダプター ドッキング ステーション、USB3.0 Type-C 3.1 PD 4K HDMI 互換 SD/TF カード リーダー スロット付き、ラップトップ PC コンピューター用</v>
      </c>
    </row>
    <row r="1310" ht="15.75" customHeight="1">
      <c r="A1310" s="1">
        <v>2783.0</v>
      </c>
      <c r="B1310" s="1" t="s">
        <v>381</v>
      </c>
      <c r="C1310" s="1" t="s">
        <v>1291</v>
      </c>
      <c r="D1310" s="1" t="str">
        <f>IFERROR(__xludf.DUMMYFUNCTION("CONCATENATE(GOOGLETRANSLATE(C1310, ""en"", ""zh-cn""))"),"Qi 无线充电鼠标垫 PV 皮革充电适用于手机")</f>
        <v>Qi 无线充电鼠标垫 PV 皮革充电适用于手机</v>
      </c>
      <c r="E1310" s="1" t="str">
        <f>IFERROR(__xludf.DUMMYFUNCTION("CONCATENATE(GOOGLETRANSLATE(C1310, ""en"", ""ko""))"),"Moblie Phone용 Qi 무선 충전 마우스 패드 PV 가죽 충전")</f>
        <v>Moblie Phone용 Qi 무선 충전 마우스 패드 PV 가죽 충전</v>
      </c>
      <c r="F1310" s="1" t="str">
        <f>IFERROR(__xludf.DUMMYFUNCTION("CONCATENATE(GOOGLETRANSLATE(C1310, ""en"", ""ja""))"),"携帯電話用 Qi ワイヤレス充電マウスパッド PV レザー充電")</f>
        <v>携帯電話用 Qi ワイヤレス充電マウスパッド PV レザー充電</v>
      </c>
    </row>
    <row r="1311" ht="15.75" customHeight="1">
      <c r="A1311" s="1">
        <v>2784.0</v>
      </c>
      <c r="B1311" s="1" t="s">
        <v>381</v>
      </c>
      <c r="C1311" s="1" t="s">
        <v>1292</v>
      </c>
      <c r="D1311" s="1" t="str">
        <f>IFERROR(__xludf.DUMMYFUNCTION("CONCATENATE(GOOGLETRANSLATE(C1311, ""en"", ""zh-cn""))"),"16*12厘米双面黑板壁挂留言板黑板教学工具家庭办公学校用品")</f>
        <v>16*12厘米双面黑板壁挂留言板黑板教学工具家庭办公学校用品</v>
      </c>
      <c r="E1311" s="1" t="str">
        <f>IFERROR(__xludf.DUMMYFUNCTION("CONCATENATE(GOOGLETRANSLATE(C1311, ""en"", ""ko""))"),"16*12cm 양면 칠판 벽 교수형 메시지 보드 칠판 교육 도구 홈 오피스 학교 용품")</f>
        <v>16*12cm 양면 칠판 벽 교수형 메시지 보드 칠판 교육 도구 홈 오피스 학교 용품</v>
      </c>
      <c r="F1311" s="1" t="str">
        <f>IFERROR(__xludf.DUMMYFUNCTION("CONCATENATE(GOOGLETRANSLATE(C1311, ""en"", ""ja""))"),"16*12 センチメートル両面黒板壁掛けメッセージボード黒板教育ツールホームオフィス学用品")</f>
        <v>16*12 センチメートル両面黒板壁掛けメッセージボード黒板教育ツールホームオフィス学用品</v>
      </c>
    </row>
    <row r="1312" ht="15.75" customHeight="1">
      <c r="A1312" s="1">
        <v>2785.0</v>
      </c>
      <c r="B1312" s="1" t="s">
        <v>381</v>
      </c>
      <c r="C1312" s="1" t="s">
        <v>1293</v>
      </c>
      <c r="D1312" s="1" t="str">
        <f>IFERROR(__xludf.DUMMYFUNCTION("CONCATENATE(GOOGLETRANSLATE(C1312, ""en"", ""zh-cn""))"),"A5 活页笔记本补充装螺旋活页夹内纸乳制品每周月计划做线牛皮纸 ")</f>
        <v>A5 活页笔记本补充装螺旋活页夹内纸乳制品每周月计划做线牛皮纸 </v>
      </c>
      <c r="E1312" s="1" t="str">
        <f>IFERROR(__xludf.DUMMYFUNCTION("CONCATENATE(GOOGLETRANSLATE(C1312, ""en"", ""ko""))"),"A5 루스 리프 노트 리필 나선형 바인더 내부 종이 유제품 주간 월간 계획 라인 크래프트 수행 ")</f>
        <v>A5 루스 리프 노트 리필 나선형 바인더 내부 종이 유제품 주간 월간 계획 라인 크래프트 수행 </v>
      </c>
      <c r="F1312" s="1" t="str">
        <f>IFERROR(__xludf.DUMMYFUNCTION("CONCATENATE(GOOGLETRANSLATE(C1312, ""en"", ""ja""))"),"A5 ルーズリーフ ノート リフィル スパイラル バインダー 中紙 乳製品 ウィークリー マンスリー プラン To Do ライン クラフト ")</f>
        <v>A5 ルーズリーフ ノート リフィル スパイラル バインダー 中紙 乳製品 ウィークリー マンスリー プラン To Do ライン クラフト </v>
      </c>
    </row>
    <row r="1313" ht="15.75" customHeight="1">
      <c r="A1313" s="1">
        <v>2786.0</v>
      </c>
      <c r="B1313" s="1" t="s">
        <v>381</v>
      </c>
      <c r="C1313" s="1" t="s">
        <v>1294</v>
      </c>
      <c r="D1313" s="1" t="str">
        <f>IFERROR(__xludf.DUMMYFUNCTION("CONCATENATE(GOOGLETRANSLATE(C1313, ""en"", ""zh-cn""))"),"ALLDOCUBE Cube iWork1X 平板电脑钢化玻璃屏幕保护膜")</f>
        <v>ALLDOCUBE Cube iWork1X 平板电脑钢化玻璃屏幕保护膜</v>
      </c>
      <c r="E1313" s="1" t="str">
        <f>IFERROR(__xludf.DUMMYFUNCTION("CONCATENATE(GOOGLETRANSLATE(C1313, ""en"", ""ko""))"),"ALLDOCUBE Cube iWork1X 태블릿용 강화 유리 화면 보호기")</f>
        <v>ALLDOCUBE Cube iWork1X 태블릿용 강화 유리 화면 보호기</v>
      </c>
      <c r="F1313" s="1" t="str">
        <f>IFERROR(__xludf.DUMMYFUNCTION("CONCATENATE(GOOGLETRANSLATE(C1313, ""en"", ""ja""))"),"ALLDOCUBE Cube iWork1X タブレット用強化ガラス スクリーン プロテクター")</f>
        <v>ALLDOCUBE Cube iWork1X タブレット用強化ガラス スクリーン プロテクター</v>
      </c>
    </row>
    <row r="1314" ht="15.75" customHeight="1">
      <c r="A1314" s="1">
        <v>2787.0</v>
      </c>
      <c r="B1314" s="1" t="s">
        <v>381</v>
      </c>
      <c r="C1314" s="1" t="s">
        <v>1295</v>
      </c>
      <c r="D1314" s="1" t="str">
        <f>IFERROR(__xludf.DUMMYFUNCTION("CONCATENATE(GOOGLETRANSLATE(C1314, ""en"", ""zh-cn""))"),"3 个 USB 端口扩展插座，带 1.5M 线美国/英国/欧盟插头黑色 2500W 10A 桌面充电座")</f>
        <v>3 个 USB 端口扩展插座，带 1.5M 线美国/英国/欧盟插头黑色 2500W 10A 桌面充电座</v>
      </c>
      <c r="E1314" s="1" t="str">
        <f>IFERROR(__xludf.DUMMYFUNCTION("CONCATENATE(GOOGLETRANSLATE(C1314, ""en"", ""ko""))"),"USB 포트 확장 소켓 3개(1.5M 코드 포함) 미국/영국/EU 플러그 검정색 2500W 10A 데스크탑 충전 스탠드")</f>
        <v>USB 포트 확장 소켓 3개(1.5M 코드 포함) 미국/영국/EU 플러그 검정색 2500W 10A 데스크탑 충전 스탠드</v>
      </c>
      <c r="F1314" s="1" t="str">
        <f>IFERROR(__xludf.DUMMYFUNCTION("CONCATENATE(GOOGLETRANSLATE(C1314, ""en"", ""ja""))"),"3 USB ポート延長ソケット 1.5M コード付き US/UK/EU プラグ ブラック 2500W 10A デスクトップ充電スタンド")</f>
        <v>3 USB ポート延長ソケット 1.5M コード付き US/UK/EU プラグ ブラック 2500W 10A デスクトップ充電スタンド</v>
      </c>
    </row>
    <row r="1315" ht="15.75" customHeight="1">
      <c r="A1315" s="1">
        <v>2788.0</v>
      </c>
      <c r="B1315" s="1" t="s">
        <v>381</v>
      </c>
      <c r="C1315" s="1" t="s">
        <v>1296</v>
      </c>
      <c r="D1315" s="1" t="str">
        <f>IFERROR(__xludf.DUMMYFUNCTION("CONCATENATE(GOOGLETRANSLATE(C1315, ""en"", ""zh-cn""))"),"5 合 1 USB 3.1 Type C 集线器至高清多媒体接口 USB 3.0 高清端口适配器转换器")</f>
        <v>5 合 1 USB 3.1 Type C 集线器至高清多媒体接口 USB 3.0 高清端口适配器转换器</v>
      </c>
      <c r="E1315" s="1" t="str">
        <f>IFERROR(__xludf.DUMMYFUNCTION("CONCATENATE(GOOGLETRANSLATE(C1315, ""en"", ""ko""))"),"5 In 1 USB 3.1 유형 C 허브-고화질 멀티미디어 인터페이스 USB 3.0 HD 포트 어댑터 변환기")</f>
        <v>5 In 1 USB 3.1 유형 C 허브-고화질 멀티미디어 인터페이스 USB 3.0 HD 포트 어댑터 변환기</v>
      </c>
      <c r="F1315" s="1" t="str">
        <f>IFERROR(__xludf.DUMMYFUNCTION("CONCATENATE(GOOGLETRANSLATE(C1315, ""en"", ""ja""))"),"5 In 1 USB 3.1 Type C ハブから高解像度マルチメディア インターフェイス USB 3.0 HD ポート アダプター コンバーター")</f>
        <v>5 In 1 USB 3.1 Type C ハブから高解像度マルチメディア インターフェイス USB 3.0 HD ポート アダプター コンバーター</v>
      </c>
    </row>
    <row r="1316" ht="15.75" customHeight="1">
      <c r="A1316" s="1">
        <v>2789.0</v>
      </c>
      <c r="B1316" s="1" t="s">
        <v>381</v>
      </c>
      <c r="C1316" s="1" t="s">
        <v>1297</v>
      </c>
      <c r="D1316" s="1" t="str">
        <f>IFERROR(__xludf.DUMMYFUNCTION("CONCATENATE(GOOGLETRANSLATE(C1316, ""en"", ""zh-cn""))"),"3.5 英寸硬盘盒托盘转换器适用于联想 RD330 笔记本电脑")</f>
        <v>3.5 英寸硬盘盒托盘转换器适用于联想 RD330 笔记本电脑</v>
      </c>
      <c r="E1316" s="1" t="str">
        <f>IFERROR(__xludf.DUMMYFUNCTION("CONCATENATE(GOOGLETRANSLATE(C1316, ""en"", ""ko""))"),"레노버 RD330 노트북용 3.5인치 하드 드라이브 캐디 트레이 컨버터")</f>
        <v>레노버 RD330 노트북용 3.5인치 하드 드라이브 캐디 트레이 컨버터</v>
      </c>
      <c r="F1316" s="1" t="str">
        <f>IFERROR(__xludf.DUMMYFUNCTION("CONCATENATE(GOOGLETRANSLATE(C1316, ""en"", ""ja""))"),"Lenovo RD330 ラップトップ用 3.5 インチ ハードドライブ キャディ トレイ コンバータ")</f>
        <v>Lenovo RD330 ラップトップ用 3.5 インチ ハードドライブ キャディ トレイ コンバータ</v>
      </c>
    </row>
    <row r="1317" ht="15.75" customHeight="1">
      <c r="A1317" s="1">
        <v>2790.0</v>
      </c>
      <c r="B1317" s="1" t="s">
        <v>381</v>
      </c>
      <c r="C1317" s="1" t="s">
        <v>1298</v>
      </c>
      <c r="D1317" s="1" t="str">
        <f>IFERROR(__xludf.DUMMYFUNCTION("CONCATENATE(GOOGLETRANSLATE(C1317, ""en"", ""zh-cn""))"),"3PCS 60*50mm 3D打印机热床电源模块扩展MOS管")</f>
        <v>3PCS 60*50mm 3D打印机热床电源模块扩展MOS管</v>
      </c>
      <c r="E1317" s="1" t="str">
        <f>IFERROR(__xludf.DUMMYFUNCTION("CONCATENATE(GOOGLETRANSLATE(C1317, ""en"", ""ko""))"),"3D 프린터용 60*50mm 핫 베드 전원 모듈 확장 MOS 튜브 3개")</f>
        <v>3D 프린터용 60*50mm 핫 베드 전원 모듈 확장 MOS 튜브 3개</v>
      </c>
      <c r="F1317" s="1" t="str">
        <f>IFERROR(__xludf.DUMMYFUNCTION("CONCATENATE(GOOGLETRANSLATE(C1317, ""en"", ""ja""))"),"3 個 60*50 ミリメートルホットベッドパワーモジュール拡張 MOS チューブ 3D プリンタ用")</f>
        <v>3 個 60*50 ミリメートルホットベッドパワーモジュール拡張 MOS チューブ 3D プリンタ用</v>
      </c>
    </row>
    <row r="1318" ht="15.75" customHeight="1">
      <c r="A1318" s="1">
        <v>2791.0</v>
      </c>
      <c r="B1318" s="1" t="s">
        <v>381</v>
      </c>
      <c r="C1318" s="1" t="s">
        <v>1299</v>
      </c>
      <c r="D1318" s="1" t="str">
        <f>IFERROR(__xludf.DUMMYFUNCTION("CONCATENATE(GOOGLETRANSLATE(C1318, ""en"", ""zh-cn""))"),"2.5 毫米立体声插头公转 RCA 3.5 毫米母适配器适用于 GPS AV 输入转换器视频线")</f>
        <v>2.5 毫米立体声插头公转 RCA 3.5 毫米母适配器适用于 GPS AV 输入转换器视频线</v>
      </c>
      <c r="E1318" s="1" t="str">
        <f>IFERROR(__xludf.DUMMYFUNCTION("CONCATENATE(GOOGLETRANSLATE(C1318, ""en"", ""ko""))"),"GPS AV-in 변환기 비디오 케이블용 RCA 3.5mm 암 어댑터에 2.5mm 스테레오 잭 플러그 남성")</f>
        <v>GPS AV-in 변환기 비디오 케이블용 RCA 3.5mm 암 어댑터에 2.5mm 스테레오 잭 플러그 남성</v>
      </c>
      <c r="F1318" s="1" t="str">
        <f>IFERROR(__xludf.DUMMYFUNCTION("CONCATENATE(GOOGLETRANSLATE(C1318, ""en"", ""ja""))"),"2.5mm ステレオ ジャック プラグ オス - RCA 3.5mm メス アダプター GPS AV-in コンバーター ビデオ ケーブル用")</f>
        <v>2.5mm ステレオ ジャック プラグ オス - RCA 3.5mm メス アダプター GPS AV-in コンバーター ビデオ ケーブル用</v>
      </c>
    </row>
    <row r="1319" ht="15.75" customHeight="1">
      <c r="A1319" s="1">
        <v>2792.0</v>
      </c>
      <c r="B1319" s="1" t="s">
        <v>381</v>
      </c>
      <c r="C1319" s="1" t="s">
        <v>1300</v>
      </c>
      <c r="D1319" s="1" t="str">
        <f>IFERROR(__xludf.DUMMYFUNCTION("CONCATENATE(GOOGLETRANSLATE(C1319, ""en"", ""zh-cn""))"),"A4 Planner 合成皮革活页周记本 180 张")</f>
        <v>A4 Planner 合成皮革活页周记本 180 张</v>
      </c>
      <c r="E1319" s="1" t="str">
        <f>IFERROR(__xludf.DUMMYFUNCTION("CONCATENATE(GOOGLETRANSLATE(C1319, ""en"", ""ko""))"),"A4 플래너 합성 가죽 루스리프 주간 노트 180매 포함")</f>
        <v>A4 플래너 합성 가죽 루스리프 주간 노트 180매 포함</v>
      </c>
      <c r="F1319" s="1" t="str">
        <f>IFERROR(__xludf.DUMMYFUNCTION("CONCATENATE(GOOGLETRANSLATE(C1319, ""en"", ""ja""))"),"A4 プランナー 合成皮革 ルーズリーフ ウィークリーノート 180枚入り")</f>
        <v>A4 プランナー 合成皮革 ルーズリーフ ウィークリーノート 180枚入り</v>
      </c>
    </row>
    <row r="1320" ht="15.75" customHeight="1">
      <c r="A1320" s="1">
        <v>2793.0</v>
      </c>
      <c r="B1320" s="1" t="s">
        <v>381</v>
      </c>
      <c r="C1320" s="1" t="s">
        <v>1301</v>
      </c>
      <c r="D1320" s="1" t="str">
        <f>IFERROR(__xludf.DUMMYFUNCTION("CONCATENATE(GOOGLETRANSLATE(C1320, ""en"", ""zh-cn""))"),"Onten OTN 69001 闪存 USB Type C 电缆，适用于带 C 型端口的设备")</f>
        <v>Onten OTN 69001 闪存 USB Type C 电缆，适用于带 C 型端口的设备</v>
      </c>
      <c r="E1320" s="1" t="str">
        <f>IFERROR(__xludf.DUMMYFUNCTION("CONCATENATE(GOOGLETRANSLATE(C1320, ""en"", ""ko""))"),"Onten OTN 69001 Type C 포트가 있는 장치용 플래싱 USB Type C 케이블")</f>
        <v>Onten OTN 69001 Type C 포트가 있는 장치용 플래싱 USB Type C 케이블</v>
      </c>
      <c r="F1320" s="1" t="str">
        <f>IFERROR(__xludf.DUMMYFUNCTION("CONCATENATE(GOOGLETRANSLATE(C1320, ""en"", ""ja""))"),"Onten OTN 69001 フラッシュ USB Type C ケーブル (Type C ポート付きデバイス用)")</f>
        <v>Onten OTN 69001 フラッシュ USB Type C ケーブル (Type C ポート付きデバイス用)</v>
      </c>
    </row>
    <row r="1321" ht="15.75" customHeight="1">
      <c r="A1321" s="1">
        <v>2794.0</v>
      </c>
      <c r="B1321" s="1" t="s">
        <v>381</v>
      </c>
      <c r="C1321" s="1" t="s">
        <v>1302</v>
      </c>
      <c r="D1321" s="1" t="str">
        <f>IFERROR(__xludf.DUMMYFUNCTION("CONCATENATE(GOOGLETRANSLATE(C1321, ""en"", ""zh-cn""))"),"Konfulon C16双口5V 1A Micro USB充电器")</f>
        <v>Konfulon C16双口5V 1A Micro USB充电器</v>
      </c>
      <c r="E1321" s="1" t="str">
        <f>IFERROR(__xludf.DUMMYFUNCTION("CONCATENATE(GOOGLETRANSLATE(C1321, ""en"", ""ko""))"),"Konfulon C16 이중 포트 5V 1A 마이크로 USB 충전기")</f>
        <v>Konfulon C16 이중 포트 5V 1A 마이크로 USB 충전기</v>
      </c>
      <c r="F1321" s="1" t="str">
        <f>IFERROR(__xludf.DUMMYFUNCTION("CONCATENATE(GOOGLETRANSLATE(C1321, ""en"", ""ja""))"),"Konfulon C16 ダブルポート 5V 1A マイクロ USB 充電器")</f>
        <v>Konfulon C16 ダブルポート 5V 1A マイクロ USB 充電器</v>
      </c>
    </row>
    <row r="1322" ht="15.75" customHeight="1">
      <c r="A1322" s="1">
        <v>2795.0</v>
      </c>
      <c r="B1322" s="1" t="s">
        <v>381</v>
      </c>
      <c r="C1322" s="1" t="s">
        <v>1303</v>
      </c>
      <c r="D1322" s="1" t="str">
        <f>IFERROR(__xludf.DUMMYFUNCTION("CONCATENATE(GOOGLETRANSLATE(C1322, ""en"", ""zh-cn""))"),"Ult Unite 数据线 Type-C 3.1 转 USB3.0 BM 连接线 适用于打印机 HUB 现货")</f>
        <v>Ult Unite 数据线 Type-C 3.1 转 USB3.0 BM 连接线 适用于打印机 HUB 现货</v>
      </c>
      <c r="E1322" s="1" t="str">
        <f>IFERROR(__xludf.DUMMYFUNCTION("CONCATENATE(GOOGLETRANSLATE(C1322, ""en"", ""ko""))"),"Ult Unite 데이터 케이블 Type-C 3.1 - USB3.0 BM 프린터 허브 스팟용 연결 케이블")</f>
        <v>Ult Unite 데이터 케이블 Type-C 3.1 - USB3.0 BM 프린터 허브 스팟용 연결 케이블</v>
      </c>
      <c r="F1322" s="1" t="str">
        <f>IFERROR(__xludf.DUMMYFUNCTION("CONCATENATE(GOOGLETRANSLATE(C1322, ""en"", ""ja""))"),"Ult Unite データ ケーブル Type-C 3.1 - USB3.0 BM 接続ケーブル (プリンター HUB スポット用)")</f>
        <v>Ult Unite データ ケーブル Type-C 3.1 - USB3.0 BM 接続ケーブル (プリンター HUB スポット用)</v>
      </c>
    </row>
    <row r="1323" ht="15.75" customHeight="1">
      <c r="A1323" s="1">
        <v>2796.0</v>
      </c>
      <c r="B1323" s="1" t="s">
        <v>381</v>
      </c>
      <c r="C1323" s="1" t="s">
        <v>1304</v>
      </c>
      <c r="D1323" s="1" t="str">
        <f>IFERROR(__xludf.DUMMYFUNCTION("CONCATENATE(GOOGLETRANSLATE(C1323, ""en"", ""zh-cn""))"),"折叠支架旋转 PU 皮革保护套 8.0 英寸 适用于三星 T377")</f>
        <v>折叠支架旋转 PU 皮革保护套 8.0 英寸 适用于三星 T377</v>
      </c>
      <c r="E1323" s="1" t="str">
        <f>IFERROR(__xludf.DUMMYFUNCTION("CONCATENATE(GOOGLETRANSLATE(C1323, ""en"", ""ko""))"),"삼성 T377용 접이식 스탠드 회전식 PU 가죽 케이스 커버 8.0인치")</f>
        <v>삼성 T377용 접이식 스탠드 회전식 PU 가죽 케이스 커버 8.0인치</v>
      </c>
      <c r="F1323" s="1" t="str">
        <f>IFERROR(__xludf.DUMMYFUNCTION("CONCATENATE(GOOGLETRANSLATE(C1323, ""en"", ""ja""))"),"Samsung T377用折りたたみスタンド回転PUレザーケースカバー8.0インチ")</f>
        <v>Samsung T377用折りたたみスタンド回転PUレザーケースカバー8.0インチ</v>
      </c>
    </row>
    <row r="1324" ht="15.75" customHeight="1">
      <c r="A1324" s="1">
        <v>2797.0</v>
      </c>
      <c r="B1324" s="1" t="s">
        <v>381</v>
      </c>
      <c r="C1324" s="1" t="s">
        <v>1305</v>
      </c>
      <c r="D1324" s="1" t="str">
        <f>IFERROR(__xludf.DUMMYFUNCTION("CONCATENATE(GOOGLETRANSLATE(C1324, ""en"", ""zh-cn""))"),"立式翻盖对开保护套 PU 皮革平板电脑保护套适用于昂达 Obook20 Plus")</f>
        <v>立式翻盖对开保护套 PU 皮革平板电脑保护套适用于昂达 Obook20 Plus</v>
      </c>
      <c r="E1324" s="1" t="str">
        <f>IFERROR(__xludf.DUMMYFUNCTION("CONCATENATE(GOOGLETRANSLATE(C1324, ""en"", ""ko""))"),"Onda Obook20 Plus용 스탠드 플립 폴리오 커버 PU 가죽 태블릿 케이스 커버")</f>
        <v>Onda Obook20 Plus용 스탠드 플립 폴리오 커버 PU 가죽 태블릿 케이스 커버</v>
      </c>
      <c r="F1324" s="1" t="str">
        <f>IFERROR(__xludf.DUMMYFUNCTION("CONCATENATE(GOOGLETRANSLATE(C1324, ""en"", ""ja""))"),"Onda Obook20 Plus用スタンドフリップフォリオカバーPUレザータブレットケースカバー")</f>
        <v>Onda Obook20 Plus用スタンドフリップフォリオカバーPUレザータブレットケースカバー</v>
      </c>
    </row>
    <row r="1325" ht="15.75" customHeight="1">
      <c r="A1325" s="1">
        <v>2798.0</v>
      </c>
      <c r="B1325" s="1" t="s">
        <v>381</v>
      </c>
      <c r="C1325" s="1" t="s">
        <v>1306</v>
      </c>
      <c r="D1325" s="1" t="str">
        <f>IFERROR(__xludf.DUMMYFUNCTION("CONCATENATE(GOOGLETRANSLATE(C1325, ""en"", ""zh-cn""))"),"原装腾达 FH456 英文固件 300Mbps 4天线无线路由器  ")</f>
        <v>原装腾达 FH456 英文固件 300Mbps 4天线无线路由器  </v>
      </c>
      <c r="E1325" s="1" t="str">
        <f>IFERROR(__xludf.DUMMYFUNCTION("CONCATENATE(GOOGLETRANSLATE(C1325, ""en"", ""ko""))"),"기존 Tenda FH456 영어 펌웨어 300Mbps 4 안테나 무선 라우터  ")</f>
        <v>기존 Tenda FH456 영어 펌웨어 300Mbps 4 안테나 무선 라우터  </v>
      </c>
      <c r="F1325" s="1" t="str">
        <f>IFERROR(__xludf.DUMMYFUNCTION("CONCATENATE(GOOGLETRANSLATE(C1325, ""en"", ""ja""))"),"オリジナル Tenda FH456 英語ファームウェア 300Mbps 4 アンテナ ワイヤレス ルーター  ")</f>
        <v>オリジナル Tenda FH456 英語ファームウェア 300Mbps 4 アンテナ ワイヤレス ルーター  </v>
      </c>
    </row>
    <row r="1326" ht="15.75" customHeight="1">
      <c r="A1326" s="1">
        <v>2799.0</v>
      </c>
      <c r="B1326" s="1" t="s">
        <v>381</v>
      </c>
      <c r="C1326" s="1" t="s">
        <v>1307</v>
      </c>
      <c r="D1326" s="1" t="str">
        <f>IFERROR(__xludf.DUMMYFUNCTION("CONCATENATE(GOOGLETRANSLATE(C1326, ""en"", ""zh-cn""))"),"原装腾达N301俄罗斯固件版本300Mbps无线WIFI路由器")</f>
        <v>原装腾达N301俄罗斯固件版本300Mbps无线WIFI路由器</v>
      </c>
      <c r="E1326" s="1" t="str">
        <f>IFERROR(__xludf.DUMMYFUNCTION("CONCATENATE(GOOGLETRANSLATE(C1326, ""en"", ""ko""))"),"기존 Tenda N301 러시아어 펌웨어 버전 300Mbps 무선 WIFI 라우터")</f>
        <v>기존 Tenda N301 러시아어 펌웨어 버전 300Mbps 무선 WIFI 라우터</v>
      </c>
      <c r="F1326" s="1" t="str">
        <f>IFERROR(__xludf.DUMMYFUNCTION("CONCATENATE(GOOGLETRANSLATE(C1326, ""en"", ""ja""))"),"オリジナル Tenda N301 ロシア ファームウェア バージョン 300Mbps ワイヤレス WIFI ルーター")</f>
        <v>オリジナル Tenda N301 ロシア ファームウェア バージョン 300Mbps ワイヤレス WIFI ルーター</v>
      </c>
    </row>
    <row r="1327" ht="15.75" customHeight="1">
      <c r="A1327" s="1">
        <v>2800.0</v>
      </c>
      <c r="B1327" s="1" t="s">
        <v>381</v>
      </c>
      <c r="C1327" s="1" t="s">
        <v>1308</v>
      </c>
      <c r="D1327" s="1" t="str">
        <f>IFERROR(__xludf.DUMMYFUNCTION("CONCATENATE(GOOGLETRANSLATE(C1327, ""en"", ""zh-cn""))"),"Fine Blue FC15 S4 通用 USB 车载充电器适用于 Android 平板电脑手机")</f>
        <v>Fine Blue FC15 S4 通用 USB 车载充电器适用于 Android 平板电脑手机</v>
      </c>
      <c r="E1327" s="1" t="str">
        <f>IFERROR(__xludf.DUMMYFUNCTION("CONCATENATE(GOOGLETRANSLATE(C1327, ""en"", ""ko""))"),"안드로이드 태블릿 휴대폰용 파인 블루 FC15 S4 범용 USB 차량용 충전기")</f>
        <v>안드로이드 태블릿 휴대폰용 파인 블루 FC15 S4 범용 USB 차량용 충전기</v>
      </c>
      <c r="F1327" s="1" t="str">
        <f>IFERROR(__xludf.DUMMYFUNCTION("CONCATENATE(GOOGLETRANSLATE(C1327, ""en"", ""ja""))"),"ファインブルー FC15 S4 ユニバーサル USB カーチャージャー Android タブレット携帯電話用")</f>
        <v>ファインブルー FC15 S4 ユニバーサル USB カーチャージャー Android タブレット携帯電話用</v>
      </c>
    </row>
    <row r="1328" ht="15.75" customHeight="1">
      <c r="A1328" s="1">
        <v>2801.0</v>
      </c>
      <c r="B1328" s="1" t="s">
        <v>381</v>
      </c>
      <c r="C1328" s="1" t="s">
        <v>1309</v>
      </c>
      <c r="D1328" s="1" t="str">
        <f>IFERROR(__xludf.DUMMYFUNCTION("CONCATENATE(GOOGLETRANSLATE(C1328, ""en"", ""zh-cn""))"),"精美蓝色 FC16 S4 通用 2 端口 5V 2.4A USB 车载充电器适用于平板电脑手机")</f>
        <v>精美蓝色 FC16 S4 通用 2 端口 5V 2.4A USB 车载充电器适用于平板电脑手机</v>
      </c>
      <c r="E1328" s="1" t="str">
        <f>IFERROR(__xludf.DUMMYFUNCTION("CONCATENATE(GOOGLETRANSLATE(C1328, ""en"", ""ko""))"),"태블릿 휴대폰용 파인 블루 FC16 S4 범용 2 포트 5V 2.4A USB 차량용 충전기")</f>
        <v>태블릿 휴대폰용 파인 블루 FC16 S4 범용 2 포트 5V 2.4A USB 차량용 충전기</v>
      </c>
      <c r="F1328" s="1" t="str">
        <f>IFERROR(__xludf.DUMMYFUNCTION("CONCATENATE(GOOGLETRANSLATE(C1328, ""en"", ""ja""))"),"ファインブルー FC16 S4 ユニバーサル 2 ポート 5V 2.4A USB カーチャージャー タブレット携帯電話用")</f>
        <v>ファインブルー FC16 S4 ユニバーサル 2 ポート 5V 2.4A USB カーチャージャー タブレット携帯電話用</v>
      </c>
    </row>
    <row r="1329" ht="15.75" customHeight="1">
      <c r="A1329" s="1">
        <v>2802.0</v>
      </c>
      <c r="B1329" s="1" t="s">
        <v>381</v>
      </c>
      <c r="C1329" s="1" t="s">
        <v>1310</v>
      </c>
      <c r="D1329" s="1" t="str">
        <f>IFERROR(__xludf.DUMMYFUNCTION("CONCATENATE(GOOGLETRANSLATE(C1329, ""en"", ""zh-cn""))"),"精品蓝 FC10 安卓平板手机数据线")</f>
        <v>精品蓝 FC10 安卓平板手机数据线</v>
      </c>
      <c r="E1329" s="1" t="str">
        <f>IFERROR(__xludf.DUMMYFUNCTION("CONCATENATE(GOOGLETRANSLATE(C1329, ""en"", ""ko""))"),"안드로이드 태블릿 휴대폰용 Fine Blue FC10 데이터 케이블")</f>
        <v>안드로이드 태블릿 휴대폰용 Fine Blue FC10 데이터 케이블</v>
      </c>
      <c r="F1329" s="1" t="str">
        <f>IFERROR(__xludf.DUMMYFUNCTION("CONCATENATE(GOOGLETRANSLATE(C1329, ""en"", ""ja""))"),"Androidタブレット携帯電話用ファインブルーFC10データケーブル")</f>
        <v>Androidタブレット携帯電話用ファインブルーFC10データケーブル</v>
      </c>
    </row>
    <row r="1330" ht="15.75" customHeight="1">
      <c r="A1330" s="1">
        <v>2803.0</v>
      </c>
      <c r="B1330" s="1" t="s">
        <v>381</v>
      </c>
      <c r="C1330" s="1" t="s">
        <v>1311</v>
      </c>
      <c r="D1330" s="1" t="str">
        <f>IFERROR(__xludf.DUMMYFUNCTION("CONCATENATE(GOOGLETRANSLATE(C1330, ""en"", ""zh-cn""))"),"朱婷GD-03丙烯画刀3件装水彩颜料文具学校学生美术绘画工具用品")</f>
        <v>朱婷GD-03丙烯画刀3件装水彩颜料文具学校学生美术绘画工具用品</v>
      </c>
      <c r="E1330" s="1" t="str">
        <f>IFERROR(__xludf.DUMMYFUNCTION("CONCATENATE(GOOGLETRANSLATE(C1330, ""en"", ""ko""))"),"Zhuting GD-03 아크릴 그림 칼 3 PCS 수채화 물감 편지지 학교 학생 미술 그림 도구 용품")</f>
        <v>Zhuting GD-03 아크릴 그림 칼 3 PCS 수채화 물감 편지지 학교 학생 미술 그림 도구 용품</v>
      </c>
      <c r="F1330" s="1" t="str">
        <f>IFERROR(__xludf.DUMMYFUNCTION("CONCATENATE(GOOGLETRANSLATE(C1330, ""en"", ""ja""))"),"zhuting GD-03 アクリルペインティングナイフ 3 個水彩絵の具文房具高校生アートペインティングツール用品")</f>
        <v>zhuting GD-03 アクリルペインティングナイフ 3 個水彩絵の具文房具高校生アートペインティングツール用品</v>
      </c>
    </row>
    <row r="1331" ht="15.75" customHeight="1">
      <c r="A1331" s="1">
        <v>2804.0</v>
      </c>
      <c r="B1331" s="1" t="s">
        <v>381</v>
      </c>
      <c r="C1331" s="1" t="s">
        <v>1312</v>
      </c>
      <c r="D1331" s="1" t="str">
        <f>IFERROR(__xludf.DUMMYFUNCTION("CONCATENATE(GOOGLETRANSLATE(C1331, ""en"", ""zh-cn""))"),"Giorgione 10 支绘画刷套装尼龙毛水彩笔圆形尖头刷带袋艺术学生学校用品")</f>
        <v>Giorgione 10 支绘画刷套装尼龙毛水彩笔圆形尖头刷带袋艺术学生学校用品</v>
      </c>
      <c r="E1331" s="1" t="str">
        <f>IFERROR(__xludf.DUMMYFUNCTION("CONCATENATE(GOOGLETRANSLATE(C1331, ""en"", ""ko""))"),"Giorgione 10 Pcs 그림 브러쉬 세트 나일론 머리 수채화 펜 학생 학교 용품에 대 한 가방 아트와 라운드 지적 팁 브러시")</f>
        <v>Giorgione 10 Pcs 그림 브러쉬 세트 나일론 머리 수채화 펜 학생 학교 용품에 대 한 가방 아트와 라운드 지적 팁 브러시</v>
      </c>
      <c r="F1331" s="1" t="str">
        <f>IFERROR(__xludf.DUMMYFUNCTION("CONCATENATE(GOOGLETRANSLATE(C1331, ""en"", ""ja""))"),"Giorgione 10 個ペイントブラシセットナイロン毛水彩ペンラウンド尖った先端ブラシとバッグアート学生学用品")</f>
        <v>Giorgione 10 個ペイントブラシセットナイロン毛水彩ペンラウンド尖った先端ブラシとバッグアート学生学用品</v>
      </c>
    </row>
    <row r="1332" ht="15.75" customHeight="1">
      <c r="A1332" s="1">
        <v>2805.0</v>
      </c>
      <c r="B1332" s="1" t="s">
        <v>381</v>
      </c>
      <c r="C1332" s="1" t="s">
        <v>1313</v>
      </c>
      <c r="D1332" s="1" t="str">
        <f>IFERROR(__xludf.DUMMYFUNCTION("CONCATENATE(GOOGLETRANSLATE(C1332, ""en"", ""zh-cn""))"),"FYSETC JanusBPS 355*355mm 金色异面钢板+磁贴B面+3D打印机PEI套件")</f>
        <v>FYSETC JanusBPS 355*355mm 金色异面钢板+磁贴B面+3D打印机PEI套件</v>
      </c>
      <c r="E1332" s="1" t="str">
        <f>IFERROR(__xludf.DUMMYFUNCTION("CONCATENATE(GOOGLETRANSLATE(C1332, ""en"", ""ko""))"),"FYSETC JanusBPS 355*355mm 황금 다른 얼굴 강판 + 자기 스티커 B면 + 3D 프린터 용 PEI 키트")</f>
        <v>FYSETC JanusBPS 355*355mm 황금 다른 얼굴 강판 + 자기 스티커 B면 + 3D 프린터 용 PEI 키트</v>
      </c>
      <c r="F1332" s="1" t="str">
        <f>IFERROR(__xludf.DUMMYFUNCTION("CONCATENATE(GOOGLETRANSLATE(C1332, ""en"", ""ja""))"),"FYSETC JanusBPS 355*355 ミリメートルゴールデン異なる面鋼板 + 磁気ステッカー B 面 + PEI キット 3D プリンタ用")</f>
        <v>FYSETC JanusBPS 355*355 ミリメートルゴールデン異なる面鋼板 + 磁気ステッカー B 面 + PEI キット 3D プリンタ用</v>
      </c>
    </row>
    <row r="1333" ht="15.75" customHeight="1">
      <c r="A1333" s="1">
        <v>2806.0</v>
      </c>
      <c r="B1333" s="1" t="s">
        <v>381</v>
      </c>
      <c r="C1333" s="1" t="s">
        <v>1314</v>
      </c>
      <c r="D1333" s="1" t="str">
        <f>IFERROR(__xludf.DUMMYFUNCTION("CONCATENATE(GOOGLETRANSLATE(C1333, ""en"", ""zh-cn""))"),"BIGTREETECH® SKR MINI E3 V3.0 主板适用于 Ender3/Voron V0 3D 打印机升级 BTT SKR V1.4 Turbo Octopus")</f>
        <v>BIGTREETECH® SKR MINI E3 V3.0 主板适用于 Ender3/Voron V0 3D 打印机升级 BTT SKR V1.4 Turbo Octopus</v>
      </c>
      <c r="E1333" s="1" t="str">
        <f>IFERROR(__xludf.DUMMYFUNCTION("CONCATENATE(GOOGLETRANSLATE(C1333, ""en"", ""ko""))"),"Ender3/Voron V0 3D 프린터 업그레이드용 BIGTREETECH® SKR MINI E3 V3.0 마더보드 BTT SKR V1.4 Turbo Octopus")</f>
        <v>Ender3/Voron V0 3D 프린터 업그레이드용 BIGTREETECH® SKR MINI E3 V3.0 마더보드 BTT SKR V1.4 Turbo Octopus</v>
      </c>
      <c r="F1333" s="1" t="str">
        <f>IFERROR(__xludf.DUMMYFUNCTION("CONCATENATE(GOOGLETRANSLATE(C1333, ""en"", ""ja""))"),"BIGTREETECH® SKR MINI E3 V3.0 マザーボード Ender3/Voron V0 3D プリンターアップグレード BTT SKR V1.4 Turbo Octopus 用")</f>
        <v>BIGTREETECH® SKR MINI E3 V3.0 マザーボード Ender3/Voron V0 3D プリンターアップグレード BTT SKR V1.4 Turbo Octopus 用</v>
      </c>
    </row>
    <row r="1334" ht="15.75" customHeight="1">
      <c r="A1334" s="1">
        <v>2807.0</v>
      </c>
      <c r="B1334" s="1" t="s">
        <v>381</v>
      </c>
      <c r="C1334" s="1" t="s">
        <v>1315</v>
      </c>
      <c r="D1334" s="1" t="str">
        <f>IFERROR(__xludf.DUMMYFUNCTION("CONCATENATE(GOOGLETRANSLATE(C1334, ""en"", ""zh-cn""))"),"BIGTREETECH SKR PICO V1.0 主板适用于 TMC2209 VORON 0 3D 打印机/Raspberry Pi 板")</f>
        <v>BIGTREETECH SKR PICO V1.0 主板适用于 TMC2209 VORON 0 3D 打印机/Raspberry Pi 板</v>
      </c>
      <c r="E1334" s="1" t="str">
        <f>IFERROR(__xludf.DUMMYFUNCTION("CONCATENATE(GOOGLETRANSLATE(C1334, ""en"", ""ko""))"),"TMC2209 VORON 0 3D 프린터/라즈베리 파이 보드용 BIGTREETECH SKR PICO V1.0 마더보드")</f>
        <v>TMC2209 VORON 0 3D 프린터/라즈베리 파이 보드용 BIGTREETECH SKR PICO V1.0 마더보드</v>
      </c>
      <c r="F1334" s="1" t="str">
        <f>IFERROR(__xludf.DUMMYFUNCTION("CONCATENATE(GOOGLETRANSLATE(C1334, ""en"", ""ja""))"),"BIGTREETECH SKR PICO V1.0 マザーボード TMC2209 VORON 0 3D プリンター/Raspberry Pi ボード用")</f>
        <v>BIGTREETECH SKR PICO V1.0 マザーボード TMC2209 VORON 0 3D プリンター/Raspberry Pi ボード用</v>
      </c>
    </row>
    <row r="1335" ht="15.75" customHeight="1">
      <c r="A1335" s="1">
        <v>2808.0</v>
      </c>
      <c r="B1335" s="1" t="s">
        <v>381</v>
      </c>
      <c r="C1335" s="1" t="s">
        <v>1316</v>
      </c>
      <c r="D1335" s="1" t="str">
        <f>IFERROR(__xludf.DUMMYFUNCTION("CONCATENATE(GOOGLETRANSLATE(C1335, ""en"", ""zh-cn""))"),"心形红色贴纸密封标签 500 件/卷标签贴纸剪贴簿套餐婚礼装饰文具贴纸")</f>
        <v>心形红色贴纸密封标签 500 件/卷标签贴纸剪贴簿套餐婚礼装饰文具贴纸</v>
      </c>
      <c r="E1335" s="1" t="str">
        <f>IFERROR(__xludf.DUMMYFUNCTION("CONCATENATE(GOOGLETRANSLATE(C1335, ""en"", ""ko""))"),"빨간 스티커의 심장 모양 인감 레이블 500Pcs/롤 레이블 스티커 Scrapbooking 패키지 웨딩 장식 편지지 스티커")</f>
        <v>빨간 스티커의 심장 모양 인감 레이블 500Pcs/롤 레이블 스티커 Scrapbooking 패키지 웨딩 장식 편지지 스티커</v>
      </c>
      <c r="F1335" s="1" t="str">
        <f>IFERROR(__xludf.DUMMYFUNCTION("CONCATENATE(GOOGLETRANSLATE(C1335, ""en"", ""ja""))"),"ハート形の赤いステッカーシールラベル 500 ピース/ロールラベルステッカースクラップブッキングパッケージ結婚式の装飾文房具ステッカー")</f>
        <v>ハート形の赤いステッカーシールラベル 500 ピース/ロールラベルステッカースクラップブッキングパッケージ結婚式の装飾文房具ステッカー</v>
      </c>
    </row>
    <row r="1336" ht="15.75" customHeight="1">
      <c r="A1336" s="1">
        <v>2809.0</v>
      </c>
      <c r="B1336" s="1" t="s">
        <v>381</v>
      </c>
      <c r="C1336" s="1" t="s">
        <v>1317</v>
      </c>
      <c r="D1336" s="1" t="str">
        <f>IFERROR(__xludf.DUMMYFUNCTION("CONCATENATE(GOOGLETRANSLATE(C1336, ""en"", ""zh-cn""))"),"樱花XNEA按动笔橡皮擦83毫米多色绘图设计学生专用文具美术素描用品")</f>
        <v>樱花XNEA按动笔橡皮擦83毫米多色绘图设计学生专用文具美术素描用品</v>
      </c>
      <c r="E1336" s="1" t="str">
        <f>IFERROR(__xludf.DUMMYFUNCTION("CONCATENATE(GOOGLETRANSLATE(C1336, ""en"", ""ko""))"),"사쿠라 XNEA 프레스 펜 지우개 83mm 학생을위한 특수 문구의 다색 드로잉 디자인 미술 스케치 용품")</f>
        <v>사쿠라 XNEA 프레스 펜 지우개 83mm 학생을위한 특수 문구의 다색 드로잉 디자인 미술 스케치 용품</v>
      </c>
      <c r="F1336" s="1" t="str">
        <f>IFERROR(__xludf.DUMMYFUNCTION("CONCATENATE(GOOGLETRANSLATE(C1336, ""en"", ""ja""))"),"さくら XNEA プレスペン消しゴム 83 ミリメートルマルチカラー描画デザインの学生のための特別な文具アートスケッチ用品")</f>
        <v>さくら XNEA プレスペン消しゴム 83 ミリメートルマルチカラー描画デザインの学生のための特別な文具アートスケッチ用品</v>
      </c>
    </row>
    <row r="1337" ht="15.75" customHeight="1">
      <c r="A1337" s="1">
        <v>2810.0</v>
      </c>
      <c r="B1337" s="1" t="s">
        <v>381</v>
      </c>
      <c r="C1337" s="1" t="s">
        <v>1318</v>
      </c>
      <c r="D1337" s="1" t="str">
        <f>IFERROR(__xludf.DUMMYFUNCTION("CONCATENATE(GOOGLETRANSLATE(C1337, ""en"", ""zh-cn""))"),"Bview 12 色木炭彩色铅笔软蜡笔肖像风景木制专业艺术绘画碳粉水溶性铅笔")</f>
        <v>Bview 12 色木炭彩色铅笔软蜡笔肖像风景木制专业艺术绘画碳粉水溶性铅笔</v>
      </c>
      <c r="E1337" s="1" t="str">
        <f>IFERROR(__xludf.DUMMYFUNCTION("CONCATENATE(GOOGLETRANSLATE(C1337, ""en"", ""ko""))"),"Bview 12 색 숯 색연필 부드러운 파스텔 연필 초상화 풍경 나무 전문 미술 그림 토너 수용성 연필")</f>
        <v>Bview 12 색 숯 색연필 부드러운 파스텔 연필 초상화 풍경 나무 전문 미술 그림 토너 수용성 연필</v>
      </c>
      <c r="F1337" s="1" t="str">
        <f>IFERROR(__xludf.DUMMYFUNCTION("CONCATENATE(GOOGLETRANSLATE(C1337, ""en"", ""ja""))"),"Bview 12 色木炭色鉛筆ソフトパステル鉛筆ポートレート風景木製プロフェッショナルアート絵画トナー水溶性鉛筆")</f>
        <v>Bview 12 色木炭色鉛筆ソフトパステル鉛筆ポートレート風景木製プロフェッショナルアート絵画トナー水溶性鉛筆</v>
      </c>
    </row>
    <row r="1338" ht="15.75" customHeight="1">
      <c r="A1338" s="1">
        <v>2811.0</v>
      </c>
      <c r="B1338" s="1" t="s">
        <v>381</v>
      </c>
      <c r="C1338" s="1" t="s">
        <v>958</v>
      </c>
      <c r="D1338" s="1" t="str">
        <f>IFERROR(__xludf.DUMMYFUNCTION("CONCATENATE(GOOGLETRANSLATE(C1338, ""en"", ""zh-cn""))"),"Cidy 1 件标签贴纸打印机色带便利标签条热敏迷你可爱打印贴纸适用于 Tepra Lite LR5C 标签打印机")</f>
        <v>Cidy 1 件标签贴纸打印机色带便利标签条热敏迷你可爱打印贴纸适用于 Tepra Lite LR5C 标签打印机</v>
      </c>
      <c r="E1338" s="1" t="str">
        <f>IFERROR(__xludf.DUMMYFUNCTION("CONCATENATE(GOOGLETRANSLATE(C1338, ""en"", ""ko""))"),"Cidy 1Pcs 라벨 스티커 프린터 리본 편의 라벨 스트립 Tepra Lite LR5C 라벨 프린터 용 열 미니 귀여운 인쇄 스티커")</f>
        <v>Cidy 1Pcs 라벨 스티커 프린터 리본 편의 라벨 스트립 Tepra Lite LR5C 라벨 프린터 용 열 미니 귀여운 인쇄 스티커</v>
      </c>
      <c r="F1338" s="1" t="str">
        <f>IFERROR(__xludf.DUMMYFUNCTION("CONCATENATE(GOOGLETRANSLATE(C1338, ""en"", ""ja""))"),"Cidy 1 個ラベルステッカープリンタリボンコンビニエンスラベルストリップサーマルミニかわいい印刷ステッカー Tepra Lite LR5C ラベルプリンタ用")</f>
        <v>Cidy 1 個ラベルステッカープリンタリボンコンビニエンスラベルストリップサーマルミニかわいい印刷ステッカー Tepra Lite LR5C ラベルプリンタ用</v>
      </c>
    </row>
    <row r="1339" ht="15.75" customHeight="1">
      <c r="A1339" s="1">
        <v>2812.0</v>
      </c>
      <c r="B1339" s="1" t="s">
        <v>381</v>
      </c>
      <c r="C1339" s="1" t="s">
        <v>1319</v>
      </c>
      <c r="D1339" s="1" t="str">
        <f>IFERROR(__xludf.DUMMYFUNCTION("CONCATENATE(GOOGLETRANSLATE(C1339, ""en"", ""zh-cn""))"),"手撕钢丝碳笔软中硬碳铅笔美术素描绘画文具用品专用")</f>
        <v>手撕钢丝碳笔软中硬碳铅笔美术素描绘画文具用品专用</v>
      </c>
      <c r="E1339" s="1" t="str">
        <f>IFERROR(__xludf.DUMMYFUNCTION("CONCATENATE(GOOGLETRANSLATE(C1339, ""en"", ""ko""))"),"손 눈물 와이어 탄소 펜 부드러운 중간 및 하드 탄소 연필 미술 스케치 그림 편지지 용품에 대 한 특별")</f>
        <v>손 눈물 와이어 탄소 펜 부드러운 중간 및 하드 탄소 연필 미술 스케치 그림 편지지 용품에 대 한 특별</v>
      </c>
      <c r="F1339" s="1" t="str">
        <f>IFERROR(__xludf.DUMMYFUNCTION("CONCATENATE(GOOGLETRANSLATE(C1339, ""en"", ""ja""))"),"ハンドティアワイヤーカーボンペンソフトミディアムおよびハードカーボン鉛筆特別な美術スケッチ絵画文具用品")</f>
        <v>ハンドティアワイヤーカーボンペンソフトミディアムおよびハードカーボン鉛筆特別な美術スケッチ絵画文具用品</v>
      </c>
    </row>
    <row r="1340" ht="15.75" customHeight="1">
      <c r="A1340" s="1">
        <v>2813.0</v>
      </c>
      <c r="B1340" s="1" t="s">
        <v>381</v>
      </c>
      <c r="C1340" s="1" t="s">
        <v>1320</v>
      </c>
      <c r="D1340" s="1" t="str">
        <f>IFERROR(__xludf.DUMMYFUNCTION("CONCATENATE(GOOGLETRANSLATE(C1340, ""en"", ""zh-cn""))"),"陶瓷笔形切纸刀迷你切纸刀陶瓷尖不生锈耐用家用DIY工具手部安全保护")</f>
        <v>陶瓷笔形切纸刀迷你切纸刀陶瓷尖不生锈耐用家用DIY工具手部安全保护</v>
      </c>
      <c r="E1340" s="1" t="str">
        <f>IFERROR(__xludf.DUMMYFUNCTION("CONCATENATE(GOOGLETRANSLATE(C1340, ""en"", ""ko""))"),"세라믹 펜 모양의 종이 커터 미니 종이 커터 세라믹 팁 녹 없음 내구성 홈 DIY 도구 손 안전 보호")</f>
        <v>세라믹 펜 모양의 종이 커터 미니 종이 커터 세라믹 팁 녹 없음 내구성 홈 DIY 도구 손 안전 보호</v>
      </c>
      <c r="F1340" s="1" t="str">
        <f>IFERROR(__xludf.DUMMYFUNCTION("CONCATENATE(GOOGLETRANSLATE(C1340, ""en"", ""ja""))"),"セラミックペン型ペーパーカッターミニペーパーカッターセラミック先端錆びない耐久性のある家庭用DIYツール手の安全保護")</f>
        <v>セラミックペン型ペーパーカッターミニペーパーカッターセラミック先端錆びない耐久性のある家庭用DIYツール手の安全保護</v>
      </c>
    </row>
    <row r="1341" ht="15.75" customHeight="1">
      <c r="A1341" s="1">
        <v>2814.0</v>
      </c>
      <c r="B1341" s="1" t="s">
        <v>381</v>
      </c>
      <c r="C1341" s="1" t="s">
        <v>1321</v>
      </c>
      <c r="D1341" s="1" t="str">
        <f>IFERROR(__xludf.DUMMYFUNCTION("CONCATENATE(GOOGLETRANSLATE(C1341, ""en"", ""zh-cn""))"),"Maika 100 件 A4 白色/黑色厚纸板 120 克名片纸绘画硬纸绘画艺术适合学生办公室")</f>
        <v>Maika 100 件 A4 白色/黑色厚纸板 120 克名片纸绘画硬纸绘画艺术适合学生办公室</v>
      </c>
      <c r="E1341" s="1" t="str">
        <f>IFERROR(__xludf.DUMMYFUNCTION("CONCATENATE(GOOGLETRANSLATE(C1341, ""en"", ""ko""))"),"Maika 100Pcs A4 화이트/블랙 두꺼운 골판지 120g 명함 종이 그림 하드 종이 드로잉 아트 학생 사무실")</f>
        <v>Maika 100Pcs A4 화이트/블랙 두꺼운 골판지 120g 명함 종이 그림 하드 종이 드로잉 아트 학생 사무실</v>
      </c>
      <c r="F1341" s="1" t="str">
        <f>IFERROR(__xludf.DUMMYFUNCTION("CONCATENATE(GOOGLETRANSLATE(C1341, ""en"", ""ja""))"),"Maika 100 個 A4 ホワイト/ブラック厚紙 120 グラム名刺紙絵画ハード紙描画アート学生オフィス用")</f>
        <v>Maika 100 個 A4 ホワイト/ブラック厚紙 120 グラム名刺紙絵画ハード紙描画アート学生オフィス用</v>
      </c>
    </row>
    <row r="1342" ht="15.75" customHeight="1">
      <c r="A1342" s="1">
        <v>2815.0</v>
      </c>
      <c r="B1342" s="1" t="s">
        <v>381</v>
      </c>
      <c r="C1342" s="1" t="s">
        <v>1322</v>
      </c>
      <c r="D1342" s="1" t="str">
        <f>IFERROR(__xludf.DUMMYFUNCTION("CONCATENATE(GOOGLETRANSLATE(C1342, ""en"", ""zh-cn""))"),"淘库白色画卷纸卷轴画黑板画架纸涂鸦素描本长画卷轴美术儿童学生办公室")</f>
        <v>淘库白色画卷纸卷轴画黑板画架纸涂鸦素描本长画卷轴美术儿童学生办公室</v>
      </c>
      <c r="E1342" s="1" t="str">
        <f>IFERROR(__xludf.DUMMYFUNCTION("CONCATENATE(GOOGLETRANSLATE(C1342, ""en"", ""ko""))"),"Taoku 흰색 그림 롤 종이 스크롤 그리기 칠판 이젤 종이 낙서 스케치 책 어린이 학생 사무실을위한 긴 그림 스크롤 예술")</f>
        <v>Taoku 흰색 그림 롤 종이 스크롤 그리기 칠판 이젤 종이 낙서 스케치 책 어린이 학생 사무실을위한 긴 그림 스크롤 예술</v>
      </c>
      <c r="F1342" s="1" t="str">
        <f>IFERROR(__xludf.DUMMYFUNCTION("CONCATENATE(GOOGLETRANSLATE(C1342, ""en"", ""ja""))"),"Taoku ホワイトペインティングロール紙スクロール描画黒板イーゼル紙落書きスケッチブックロングペインティングスクロールアート児童学生オフィス用")</f>
        <v>Taoku ホワイトペインティングロール紙スクロール描画黒板イーゼル紙落書きスケッチブックロングペインティングスクロールアート児童学生オフィス用</v>
      </c>
    </row>
    <row r="1343" ht="15.75" customHeight="1">
      <c r="A1343" s="1">
        <v>2816.0</v>
      </c>
      <c r="B1343" s="1" t="s">
        <v>381</v>
      </c>
      <c r="C1343" s="1" t="s">
        <v>1323</v>
      </c>
      <c r="D1343" s="1" t="str">
        <f>IFERROR(__xludf.DUMMYFUNCTION("CONCATENATE(GOOGLETRANSLATE(C1343, ""en"", ""zh-cn""))"),"Bestrunner 多色便携式 USB 2.0 1GB/960M Pendrive USB 磁盘适用于 Macbook 笔记本电脑")</f>
        <v>Bestrunner 多色便携式 USB 2.0 1GB/960M Pendrive USB 磁盘适用于 Macbook 笔记本电脑</v>
      </c>
      <c r="E1343" s="1" t="str">
        <f>IFERROR(__xludf.DUMMYFUNCTION("CONCATENATE(GOOGLETRANSLATE(C1343, ""en"", ""ko""))"),"Macbook 노트북 PC용 Bestrunner 멀티 컬러 휴대용 USB 2.0 1GB/960M Pendrive USB 디스크")</f>
        <v>Macbook 노트북 PC용 Bestrunner 멀티 컬러 휴대용 USB 2.0 1GB/960M Pendrive USB 디스크</v>
      </c>
      <c r="F1343" s="1" t="str">
        <f>IFERROR(__xludf.DUMMYFUNCTION("CONCATENATE(GOOGLETRANSLATE(C1343, ""en"", ""ja""))"),"Bestrunner マルチカラー ポータブル USB 2.0 1GB/960M ペンドライブ USB ディスク Macbook ラップトップ PC 用")</f>
        <v>Bestrunner マルチカラー ポータブル USB 2.0 1GB/960M ペンドライブ USB ディスク Macbook ラップトップ PC 用</v>
      </c>
    </row>
    <row r="1344" ht="15.75" customHeight="1">
      <c r="A1344" s="1">
        <v>2817.0</v>
      </c>
      <c r="B1344" s="1" t="s">
        <v>381</v>
      </c>
      <c r="C1344" s="1" t="s">
        <v>1324</v>
      </c>
      <c r="D1344" s="1" t="str">
        <f>IFERROR(__xludf.DUMMYFUNCTION("CONCATENATE(GOOGLETRANSLATE(C1344, ""en"", ""zh-cn""))"),"MnnWuu SSD HDD USB 3.0 转 SATA 转换器电缆硬盘转换器适配器支持 2.5 / 3.5"" HDD SSD")</f>
        <v>MnnWuu SSD HDD USB 3.0 转 SATA 转换器电缆硬盘转换器适配器支持 2.5 / 3.5" HDD SSD</v>
      </c>
      <c r="E1344" s="1" t="str">
        <f>IFERROR(__xludf.DUMMYFUNCTION("CONCATENATE(GOOGLETRANSLATE(C1344, ""en"", ""ko""))"),"MnnWuu SSD HDD USB 3.0-SATA 변환기 케이블 하드 드라이브 변환기 어댑터 지원 2.5/3.5"" HDD SSD")</f>
        <v>MnnWuu SSD HDD USB 3.0-SATA 변환기 케이블 하드 드라이브 변환기 어댑터 지원 2.5/3.5" HDD SSD</v>
      </c>
      <c r="F1344" s="1" t="str">
        <f>IFERROR(__xludf.DUMMYFUNCTION("CONCATENATE(GOOGLETRANSLATE(C1344, ""en"", ""ja""))"),"MnnWuu SSD HDD USB 3.0 - SATA 変換ケーブル ハードドライブ変換アダプター サポート 2.5 / 3.5 インチ HDD SSD")</f>
        <v>MnnWuu SSD HDD USB 3.0 - SATA 変換ケーブル ハードドライブ変換アダプター サポート 2.5 / 3.5 インチ HDD SSD</v>
      </c>
    </row>
    <row r="1345" ht="15.75" customHeight="1">
      <c r="A1345" s="1">
        <v>2818.0</v>
      </c>
      <c r="B1345" s="1" t="s">
        <v>381</v>
      </c>
      <c r="C1345" s="1" t="s">
        <v>1325</v>
      </c>
      <c r="D1345" s="1" t="str">
        <f>IFERROR(__xludf.DUMMYFUNCTION("CONCATENATE(GOOGLETRANSLATE(C1345, ""en"", ""zh-cn""))"),"新曼 555 1 件收纳盒壁挂篮床头储物工具整理架电话簿收纳宿舍卧室学生用")</f>
        <v>新曼 555 1 件收纳盒壁挂篮床头储物工具整理架电话簿收纳宿舍卧室学生用</v>
      </c>
      <c r="E1345" s="1" t="str">
        <f>IFERROR(__xludf.DUMMYFUNCTION("CONCATENATE(GOOGLETRANSLATE(C1345, ""en"", ""ko""))"),"Xinman 555 1Pcs 스토리지 박스 벽 교수형 바구니 침대 옆 스토리지 도구 정렬 선반 전화 번호부 스토리지 학생을위한 기숙사 침실")</f>
        <v>Xinman 555 1Pcs 스토리지 박스 벽 교수형 바구니 침대 옆 스토리지 도구 정렬 선반 전화 번호부 스토리지 학생을위한 기숙사 침실</v>
      </c>
      <c r="F1345" s="1" t="str">
        <f>IFERROR(__xludf.DUMMYFUNCTION("CONCATENATE(GOOGLETRANSLATE(C1345, ""en"", ""ja""))"),"Xinman 555 1 個収納ボックス壁掛けバスケットベッドサイド収納ツール整理棚電話帳収納寮の寝室学生用")</f>
        <v>Xinman 555 1 個収納ボックス壁掛けバスケットベッドサイド収納ツール整理棚電話帳収納寮の寝室学生用</v>
      </c>
    </row>
    <row r="1346" ht="15.75" customHeight="1">
      <c r="A1346" s="1">
        <v>2819.0</v>
      </c>
      <c r="B1346" s="1" t="s">
        <v>381</v>
      </c>
      <c r="C1346" s="1" t="s">
        <v>1326</v>
      </c>
      <c r="D1346" s="1" t="str">
        <f>IFERROR(__xludf.DUMMYFUNCTION("CONCATENATE(GOOGLETRANSLATE(C1346, ""en"", ""zh-cn""))"),"Eaget CH10 Type-C 转高清多媒体接口 4K 适配器转换器 适用于 Macbook 平板电脑")</f>
        <v>Eaget CH10 Type-C 转高清多媒体接口 4K 适配器转换器 适用于 Macbook 平板电脑</v>
      </c>
      <c r="E1346" s="1" t="str">
        <f>IFERROR(__xludf.DUMMYFUNCTION("CONCATENATE(GOOGLETRANSLATE(C1346, ""en"", ""ko""))"),"Macbook 태블릿용 Eaget CH10 Type-C-고화질 멀티미디어 인터페이스 4K 어댑터 변환기")</f>
        <v>Macbook 태블릿용 Eaget CH10 Type-C-고화질 멀티미디어 인터페이스 4K 어댑터 변환기</v>
      </c>
      <c r="F1346" s="1" t="str">
        <f>IFERROR(__xludf.DUMMYFUNCTION("CONCATENATE(GOOGLETRANSLATE(C1346, ""en"", ""ja""))"),"Eaget CH10 Type-C から高解像度マルチメディア インターフェイス 4K アダプター コンバーター (Macbook タブレット用)")</f>
        <v>Eaget CH10 Type-C から高解像度マルチメディア インターフェイス 4K アダプター コンバーター (Macbook タブレット用)</v>
      </c>
    </row>
    <row r="1347" ht="15.75" customHeight="1">
      <c r="A1347" s="1">
        <v>2820.0</v>
      </c>
      <c r="B1347" s="1" t="s">
        <v>381</v>
      </c>
      <c r="C1347" s="1" t="s">
        <v>1327</v>
      </c>
      <c r="D1347" s="1" t="str">
        <f>IFERROR(__xludf.DUMMYFUNCTION("CONCATENATE(GOOGLETRANSLATE(C1347, ""en"", ""zh-cn""))"),"Creality 3D CR-SCAN LIZARD 高级 3D 扫描仪")</f>
        <v>Creality 3D CR-SCAN LIZARD 高级 3D 扫描仪</v>
      </c>
      <c r="E1347" s="1" t="str">
        <f>IFERROR(__xludf.DUMMYFUNCTION("CONCATENATE(GOOGLETRANSLATE(C1347, ""en"", ""ko""))"),"Creality 3D CR-SCAN LIZARD 프리미엄 3D 스캐너")</f>
        <v>Creality 3D CR-SCAN LIZARD 프리미엄 3D 스캐너</v>
      </c>
      <c r="F1347" s="1" t="str">
        <f>IFERROR(__xludf.DUMMYFUNCTION("CONCATENATE(GOOGLETRANSLATE(C1347, ""en"", ""ja""))"),"Creality 3D CR-SCAN LIZARD プレミアム 3D スキャナー")</f>
        <v>Creality 3D CR-SCAN LIZARD プレミアム 3D スキャナー</v>
      </c>
    </row>
    <row r="1348" ht="15.75" customHeight="1">
      <c r="A1348" s="1">
        <v>2821.0</v>
      </c>
      <c r="B1348" s="1" t="s">
        <v>381</v>
      </c>
      <c r="C1348" s="1" t="s">
        <v>1328</v>
      </c>
      <c r="D1348" s="1" t="str">
        <f>IFERROR(__xludf.DUMMYFUNCTION("CONCATENATE(GOOGLETRANSLATE(C1348, ""en"", ""zh-cn""))"),"5 件墙壁装饰画纽约夜景墙壁装饰艺术图片帆布印刷品家庭办公室酒店装饰品")</f>
        <v>5 件墙壁装饰画纽约夜景墙壁装饰艺术图片帆布印刷品家庭办公室酒店装饰品</v>
      </c>
      <c r="E1348" s="1" t="str">
        <f>IFERROR(__xludf.DUMMYFUNCTION("CONCATENATE(GOOGLETRANSLATE(C1348, ""en"", ""ko""))"),"5 Pcs 벽 장식 그림 뉴욕시 밤 벽 장식 미술 그림 캔버스 인쇄 홈 오피스 호텔 장식")</f>
        <v>5 Pcs 벽 장식 그림 뉴욕시 밤 벽 장식 미술 그림 캔버스 인쇄 홈 오피스 호텔 장식</v>
      </c>
      <c r="F1348" s="1" t="str">
        <f>IFERROR(__xludf.DUMMYFUNCTION("CONCATENATE(GOOGLETRANSLATE(C1348, ""en"", ""ja""))"),"5 個の壁装飾絵画ニューヨーク市夜の壁装飾アート写真キャンバスプリントホームオフィスホテル装飾")</f>
        <v>5 個の壁装飾絵画ニューヨーク市夜の壁装飾アート写真キャンバスプリントホームオフィスホテル装飾</v>
      </c>
    </row>
    <row r="1349" ht="15.75" customHeight="1">
      <c r="A1349" s="1">
        <v>2822.0</v>
      </c>
      <c r="B1349" s="1" t="s">
        <v>381</v>
      </c>
      <c r="C1349" s="1" t="s">
        <v>1329</v>
      </c>
      <c r="D1349" s="1" t="str">
        <f>IFERROR(__xludf.DUMMYFUNCTION("CONCATENATE(GOOGLETRANSLATE(C1349, ""en"", ""zh-cn""))"),"4K HDMI 兼容 2.0 电缆 2160P 高分辨率 4K 全超高清编织尼龙视频线")</f>
        <v>4K HDMI 兼容 2.0 电缆 2160P 高分辨率 4K 全超高清编织尼龙视频线</v>
      </c>
      <c r="E1349" s="1" t="str">
        <f>IFERROR(__xludf.DUMMYFUNCTION("CONCATENATE(GOOGLETRANSLATE(C1349, ""en"", ""ko""))"),"4K HDMI 호환 2.0 케이블 2160P 고해상도 4K 풀 울트라 HD 편조 나일론 비디오 케이블")</f>
        <v>4K HDMI 호환 2.0 케이블 2160P 고해상도 4K 풀 울트라 HD 편조 나일론 비디오 케이블</v>
      </c>
      <c r="F1349" s="1" t="str">
        <f>IFERROR(__xludf.DUMMYFUNCTION("CONCATENATE(GOOGLETRANSLATE(C1349, ""en"", ""ja""))"),"4K HDMI対応 2.0ケーブル 2160P高解像度 4KフルウルトラHD 編組ナイロンビデオケーブル")</f>
        <v>4K HDMI対応 2.0ケーブル 2160P高解像度 4KフルウルトラHD 編組ナイロンビデオケーブル</v>
      </c>
    </row>
    <row r="1350" ht="15.75" customHeight="1">
      <c r="A1350" s="1">
        <v>2823.0</v>
      </c>
      <c r="B1350" s="1" t="s">
        <v>381</v>
      </c>
      <c r="C1350" s="1" t="s">
        <v>1330</v>
      </c>
      <c r="D1350" s="1" t="str">
        <f>IFERROR(__xludf.DUMMYFUNCTION("CONCATENATE(GOOGLETRANSLATE(C1350, ""en"", ""zh-cn""))"),"WiFi 智能插座充电器无线遥控插座插头适配器美国欧盟英国墙壁插头适用于智能手机远程控制")</f>
        <v>WiFi 智能插座充电器无线遥控插座插头适配器美国欧盟英国墙壁插头适用于智能手机远程控制</v>
      </c>
      <c r="E1350" s="1" t="str">
        <f>IFERROR(__xludf.DUMMYFUNCTION("CONCATENATE(GOOGLETRANSLATE(C1350, ""en"", ""ko""))"),"WiFi 스마트 소켓 충전기 무선 원격 제어 소켓 플러그 어댑터 스마트 폰 원격 제어를위한 미국 EU 영국 벽 플러그")</f>
        <v>WiFi 스마트 소켓 충전기 무선 원격 제어 소켓 플러그 어댑터 스마트 폰 원격 제어를위한 미국 EU 영국 벽 플러그</v>
      </c>
      <c r="F1350" s="1" t="str">
        <f>IFERROR(__xludf.DUMMYFUNCTION("CONCATENATE(GOOGLETRANSLATE(C1350, ""en"", ""ja""))"),"WiFi スマートソケット充電器ワイヤレスリモコンソケットプラグアダプタ米国 EU 英国壁プラグスマートフォンリモコン用")</f>
        <v>WiFi スマートソケット充電器ワイヤレスリモコンソケットプラグアダプタ米国 EU 英国壁プラグスマートフォンリモコン用</v>
      </c>
    </row>
    <row r="1351" ht="15.75" customHeight="1">
      <c r="A1351" s="1">
        <v>2824.0</v>
      </c>
      <c r="B1351" s="1" t="s">
        <v>381</v>
      </c>
      <c r="C1351" s="1" t="s">
        <v>1331</v>
      </c>
      <c r="D1351" s="1" t="str">
        <f>IFERROR(__xludf.DUMMYFUNCTION("CONCATENATE(GOOGLETRANSLATE(C1351, ""en"", ""zh-cn""))"),"防震 2.5 英寸 HDD SSD 硬盘保护袋 硬盘盒存储包")</f>
        <v>防震 2.5 英寸 HDD SSD 硬盘保护袋 硬盘盒存储包</v>
      </c>
      <c r="E1351" s="1" t="str">
        <f>IFERROR(__xludf.DUMMYFUNCTION("CONCATENATE(GOOGLETRANSLATE(C1351, ""en"", ""ko""))"),"충격 방지 2.5인치 HDD SSD 하드 드라이브 보호 가방 하드 디스크 인클로저 보관 가방")</f>
        <v>충격 방지 2.5인치 HDD SSD 하드 드라이브 보호 가방 하드 디스크 인클로저 보관 가방</v>
      </c>
      <c r="F1351" s="1" t="str">
        <f>IFERROR(__xludf.DUMMYFUNCTION("CONCATENATE(GOOGLETRANSLATE(C1351, ""en"", ""ja""))"),"耐衝撃性 2.5 インチ HDD SSD ハードドライブ保護バッグ ハードディスクエンクロージャ収納バッグ")</f>
        <v>耐衝撃性 2.5 インチ HDD SSD ハードドライブ保護バッグ ハードディスクエンクロージャ収納バッグ</v>
      </c>
    </row>
    <row r="1352" ht="15.75" customHeight="1">
      <c r="A1352" s="1">
        <v>2825.0</v>
      </c>
      <c r="B1352" s="1" t="s">
        <v>381</v>
      </c>
      <c r="C1352" s="1" t="s">
        <v>1332</v>
      </c>
      <c r="D1352" s="1" t="str">
        <f>IFERROR(__xludf.DUMMYFUNCTION("CONCATENATE(GOOGLETRANSLATE(C1352, ""en"", ""zh-cn""))"),"PIXLINK 1200Mbps 无线 Wifi 中继器 2.4GHz 和 5GHz 远距离 Wi-Fi 中继器路由器信号增强器放大器扩展器带 4 个天线")</f>
        <v>PIXLINK 1200Mbps 无线 Wifi 中继器 2.4GHz 和 5GHz 远距离 Wi-Fi 中继器路由器信号增强器放大器扩展器带 4 个天线</v>
      </c>
      <c r="E1352" s="1" t="str">
        <f>IFERROR(__xludf.DUMMYFUNCTION("CONCATENATE(GOOGLETRANSLATE(C1352, ""en"", ""ko""))"),"PIXLINK 1200Mbps 무선 Wifi 리피터 2.4GHz 및 5GHz 장거리 Wi-Fi 리피터 라우터 신호 부스터 증폭기 익스텐더(4개의 안테나 포함)")</f>
        <v>PIXLINK 1200Mbps 무선 Wifi 리피터 2.4GHz 및 5GHz 장거리 Wi-Fi 리피터 라우터 신호 부스터 증폭기 익스텐더(4개의 안테나 포함)</v>
      </c>
      <c r="F1352" s="1" t="str">
        <f>IFERROR(__xludf.DUMMYFUNCTION("CONCATENATE(GOOGLETRANSLATE(C1352, ""en"", ""ja""))"),"PIXLINK 1200Mbps ワイヤレス Wifi リピーター 2.4GHz &amp; 5GHz 長距離 Wi-Fi リピーター ルーター 信号ブースター アンプ エクステンダー 4 アンテナ付き")</f>
        <v>PIXLINK 1200Mbps ワイヤレス Wifi リピーター 2.4GHz &amp; 5GHz 長距離 Wi-Fi リピーター ルーター 信号ブースター アンプ エクステンダー 4 アンテナ付き</v>
      </c>
    </row>
    <row r="1353" ht="15.75" customHeight="1">
      <c r="A1353" s="1">
        <v>2826.0</v>
      </c>
      <c r="B1353" s="1" t="s">
        <v>381</v>
      </c>
      <c r="C1353" s="1" t="s">
        <v>1333</v>
      </c>
      <c r="D1353" s="1" t="str">
        <f>IFERROR(__xludf.DUMMYFUNCTION("CONCATENATE(GOOGLETRANSLATE(C1353, ""en"", ""zh-cn""))"),"CoolKiller 148键红豆/夏日天空/花粉/蕉奶/暗金/白雪键帽套装PBT双色注塑CSA型材定制键帽机械键盘")</f>
        <v>CoolKiller 148键红豆/夏日天空/花粉/蕉奶/暗金/白雪键帽套装PBT双色注塑CSA型材定制键帽机械键盘</v>
      </c>
      <c r="E1353" s="1" t="str">
        <f>IFERROR(__xludf.DUMMYFUNCTION("CONCATENATE(GOOGLETRANSLATE(C1353, ""en"", ""ko""))"),"CoolKiller 148 키 팥/여름 하늘/꽃 핑크/바나나 우유/다크 골드/화이트 스노우 키캡 세트 PBT 이중 색상 주입 CSA 프로필 기계식 키보드 용 맞춤형 키캡")</f>
        <v>CoolKiller 148 키 팥/여름 하늘/꽃 핑크/바나나 우유/다크 골드/화이트 스노우 키캡 세트 PBT 이중 색상 주입 CSA 프로필 기계식 키보드 용 맞춤형 키캡</v>
      </c>
      <c r="F1353" s="1" t="str">
        <f>IFERROR(__xludf.DUMMYFUNCTION("CONCATENATE(GOOGLETRANSLATE(C1353, ""en"", ""ja""))"),"CoolKiller 148 キー小豆/サマースカイ/ブロッサムピンク/バナナミルク/ダークゴールド/ホワイトスノーキーキャップセット PBT ダブルカラーインジェクション CSA プロファイルメカニカルキーボード用カスタムキーキャップ")</f>
        <v>CoolKiller 148 キー小豆/サマースカイ/ブロッサムピンク/バナナミルク/ダークゴールド/ホワイトスノーキーキャップセット PBT ダブルカラーインジェクション CSA プロファイルメカニカルキーボード用カスタムキーキャップ</v>
      </c>
    </row>
    <row r="1354" ht="15.75" customHeight="1">
      <c r="A1354" s="1">
        <v>2827.0</v>
      </c>
      <c r="B1354" s="1" t="s">
        <v>381</v>
      </c>
      <c r="C1354" s="1" t="s">
        <v>1334</v>
      </c>
      <c r="D1354" s="1" t="str">
        <f>IFERROR(__xludf.DUMMYFUNCTION("CONCATENATE(GOOGLETRANSLATE(C1354, ""en"", ""zh-cn""))"),"Artillery® Sidewinder X2 和 Genius P LCD 屏幕和 TFT 板组件适用于 3D 打印机的触摸屏套件")</f>
        <v>Artillery® Sidewinder X2 和 Genius P LCD 屏幕和 TFT 板组件适用于 3D 打印机的触摸屏套件</v>
      </c>
      <c r="E1354" s="1" t="str">
        <f>IFERROR(__xludf.DUMMYFUNCTION("CONCATENATE(GOOGLETRANSLATE(C1354, ""en"", ""ko""))"),"Artillery® Sidewinder X2 및 Genius P LCD 화면 및 TFT 보드 구성 요소 3D 프린터용 터치 스크린 키트")</f>
        <v>Artillery® Sidewinder X2 및 Genius P LCD 화면 및 TFT 보드 구성 요소 3D 프린터용 터치 스크린 키트</v>
      </c>
      <c r="F1354" s="1" t="str">
        <f>IFERROR(__xludf.DUMMYFUNCTION("CONCATENATE(GOOGLETRANSLATE(C1354, ""en"", ""ja""))"),"Artillery® Sidewinder X2 および Genius P LCD スクリーンおよび TFT ボード コンポーネント 3D プリンター用タッチ スクリーン キット")</f>
        <v>Artillery® Sidewinder X2 および Genius P LCD スクリーンおよび TFT ボード コンポーネント 3D プリンター用タッチ スクリーン キット</v>
      </c>
    </row>
    <row r="1355" ht="15.75" customHeight="1">
      <c r="A1355" s="1">
        <v>2828.0</v>
      </c>
      <c r="B1355" s="1" t="s">
        <v>381</v>
      </c>
      <c r="C1355" s="1" t="s">
        <v>1335</v>
      </c>
      <c r="D1355" s="1" t="str">
        <f>IFERROR(__xludf.DUMMYFUNCTION("CONCATENATE(GOOGLETRANSLATE(C1355, ""en"", ""zh-cn""))"),"3D 家谱照片相框拼贴墙贴艺术家居装饰")</f>
        <v>3D 家谱照片相框拼贴墙贴艺术家居装饰</v>
      </c>
      <c r="E1355" s="1" t="str">
        <f>IFERROR(__xludf.DUMMYFUNCTION("CONCATENATE(GOOGLETRANSLATE(C1355, ""en"", ""ko""))"),"3D 패밀리 트리 사진 액자 콜라주 벽 스티커 아트 홈 장식")</f>
        <v>3D 패밀리 트리 사진 액자 콜라주 벽 스티커 아트 홈 장식</v>
      </c>
      <c r="F1355" s="1" t="str">
        <f>IFERROR(__xludf.DUMMYFUNCTION("CONCATENATE(GOOGLETRANSLATE(C1355, ""en"", ""ja""))"),"3D 家系図写真額縁コラージュ壁ステッカーアート家の装飾")</f>
        <v>3D 家系図写真額縁コラージュ壁ステッカーアート家の装飾</v>
      </c>
    </row>
    <row r="1356" ht="15.75" customHeight="1">
      <c r="A1356" s="1">
        <v>2829.0</v>
      </c>
      <c r="B1356" s="1" t="s">
        <v>381</v>
      </c>
      <c r="C1356" s="1" t="s">
        <v>1336</v>
      </c>
      <c r="D1356" s="1" t="str">
        <f>IFERROR(__xludf.DUMMYFUNCTION("CONCATENATE(GOOGLETRANSLATE(C1356, ""en"", ""zh-cn""))"),"NYONI 2B/HB/14B素描铅笔套装12支/盒专用绘图铅笔素描美术绘画文具学校学生用品")</f>
        <v>NYONI 2B/HB/14B素描铅笔套装12支/盒专用绘图铅笔素描美术绘画文具学校学生用品</v>
      </c>
      <c r="E1356" s="1" t="str">
        <f>IFERROR(__xludf.DUMMYFUNCTION("CONCATENATE(GOOGLETRANSLATE(C1356, ""en"", ""ko""))"),"NYONI 2B/HB/14B 스케치 연필 세트 12 개/상자 특수 드로잉 연필 스케치 아트 페인팅 편지지 학교 학생 용품")</f>
        <v>NYONI 2B/HB/14B 스케치 연필 세트 12 개/상자 특수 드로잉 연필 스케치 아트 페인팅 편지지 학교 학생 용품</v>
      </c>
      <c r="F1356" s="1" t="str">
        <f>IFERROR(__xludf.DUMMYFUNCTION("CONCATENATE(GOOGLETRANSLATE(C1356, ""en"", ""ja""))"),"NYONI 2B/HB/14B スケッチ鉛筆セット 12 ピース/箱特別な描画鉛筆スケッチアート絵画文具学校学生用品")</f>
        <v>NYONI 2B/HB/14B スケッチ鉛筆セット 12 ピース/箱特別な描画鉛筆スケッチアート絵画文具学校学生用品</v>
      </c>
    </row>
    <row r="1357" ht="15.75" customHeight="1">
      <c r="A1357" s="1">
        <v>2830.0</v>
      </c>
      <c r="B1357" s="1" t="s">
        <v>381</v>
      </c>
      <c r="C1357" s="1" t="s">
        <v>1337</v>
      </c>
      <c r="D1357" s="1" t="str">
        <f>IFERROR(__xludf.DUMMYFUNCTION("CONCATENATE(GOOGLETRANSLATE(C1357, ""en"", ""zh-cn""))"),"300Mbps 118 型壁挂式路由器无线 AP 面板路由器 WPS WiFi 中继器扩展器 1500mA USB 充电插座")</f>
        <v>300Mbps 118 型壁挂式路由器无线 AP 面板路由器 WPS WiFi 中继器扩展器 1500mA USB 充电插座</v>
      </c>
      <c r="E1357" s="1" t="str">
        <f>IFERROR(__xludf.DUMMYFUNCTION("CONCATENATE(GOOGLETRANSLATE(C1357, ""en"", ""ko""))"),"300Mbps 118형 벽 임베디드 라우터 무선 AP 패널 라우터 WPS WiFi 리피터 익스텐더 1500mA USB 충전 소켓")</f>
        <v>300Mbps 118형 벽 임베디드 라우터 무선 AP 패널 라우터 WPS WiFi 리피터 익스텐더 1500mA USB 충전 소켓</v>
      </c>
      <c r="F1357" s="1" t="str">
        <f>IFERROR(__xludf.DUMMYFUNCTION("CONCATENATE(GOOGLETRANSLATE(C1357, ""en"", ""ja""))"),"300Mbps 118 タイプ壁埋め込みルーターワイヤレス AP パネルルーター WPS WiFi リピーターエクステンダー 1500mA USB 充電ソケット")</f>
        <v>300Mbps 118 タイプ壁埋め込みルーターワイヤレス AP パネルルーター WPS WiFi リピーターエクステンダー 1500mA USB 充電ソケット</v>
      </c>
    </row>
    <row r="1358" ht="15.75" customHeight="1">
      <c r="A1358" s="1">
        <v>2831.0</v>
      </c>
      <c r="B1358" s="1" t="s">
        <v>381</v>
      </c>
      <c r="C1358" s="1" t="s">
        <v>1338</v>
      </c>
      <c r="D1358" s="1" t="str">
        <f>IFERROR(__xludf.DUMMYFUNCTION("CONCATENATE(GOOGLETRANSLATE(C1358, ""en"", ""zh-cn""))"),"LEAVEN K620 机械键盘 61 键 PBT 半透明双色注塑键帽 蓝/红切换 RGB 背光可拆卸 Type-C 有线游戏键盘")</f>
        <v>LEAVEN K620 机械键盘 61 键 PBT 半透明双色注塑键帽 蓝/红切换 RGB 背光可拆卸 Type-C 有线游戏键盘</v>
      </c>
      <c r="E1358" s="1" t="str">
        <f>IFERROR(__xludf.DUMMYFUNCTION("CONCATENATE(GOOGLETRANSLATE(C1358, ""en"", ""ko""))"),"LEAVEN K620 기계식 키보드 61 키 PBT 반투명 듀얼 컬러 주입 키캡 파란색/빨간색 스위치 RGB 백라이트 분리형 Type-C 유선 게임용 키보드")</f>
        <v>LEAVEN K620 기계식 키보드 61 키 PBT 반투명 듀얼 컬러 주입 키캡 파란색/빨간색 스위치 RGB 백라이트 분리형 Type-C 유선 게임용 키보드</v>
      </c>
      <c r="F1358" s="1" t="str">
        <f>IFERROR(__xludf.DUMMYFUNCTION("CONCATENATE(GOOGLETRANSLATE(C1358, ""en"", ""ja""))"),"LEAVEN K620 メカニカルキーボード 61 キー PBT 半透明デュアルカラー射出キーキャップ青/赤スイッチ RGB バックライト付き取り外し可能な Type-C 有線ゲーミングキーボード")</f>
        <v>LEAVEN K620 メカニカルキーボード 61 キー PBT 半透明デュアルカラー射出キーキャップ青/赤スイッチ RGB バックライト付き取り外し可能な Type-C 有線ゲーミングキーボード</v>
      </c>
    </row>
    <row r="1359" ht="15.75" customHeight="1">
      <c r="A1359" s="1">
        <v>2832.0</v>
      </c>
      <c r="B1359" s="1" t="s">
        <v>381</v>
      </c>
      <c r="C1359" s="1" t="s">
        <v>1339</v>
      </c>
      <c r="D1359" s="1" t="str">
        <f>IFERROR(__xludf.DUMMYFUNCTION("CONCATENATE(GOOGLETRANSLATE(C1359, ""en"", ""zh-cn""))"),"双层中空置物架多功能塑料置物架桌面收纳架浴室厨房收纳架置物架")</f>
        <v>双层中空置物架多功能塑料置物架桌面收纳架浴室厨房收纳架置物架</v>
      </c>
      <c r="E1359" s="1" t="str">
        <f>IFERROR(__xludf.DUMMYFUNCTION("CONCATENATE(GOOGLETRANSLATE(C1359, ""en"", ""ko""))"),"더블 레이어 중공 랙 다기능 플라스틱 선반 데스크탑 주최자 욕실 주방 스토리지 랙 홀더 선반")</f>
        <v>더블 레이어 중공 랙 다기능 플라스틱 선반 데스크탑 주최자 욕실 주방 스토리지 랙 홀더 선반</v>
      </c>
      <c r="F1359" s="1" t="str">
        <f>IFERROR(__xludf.DUMMYFUNCTION("CONCATENATE(GOOGLETRANSLATE(C1359, ""en"", ""ja""))"),"二層中空ラック多機能プラスチック棚デスクトップオーガナイザーバスルームキッチン収納ラックホルダー棚")</f>
        <v>二層中空ラック多機能プラスチック棚デスクトップオーガナイザーバスルームキッチン収納ラックホルダー棚</v>
      </c>
    </row>
    <row r="1360" ht="15.75" customHeight="1">
      <c r="A1360" s="1">
        <v>2833.0</v>
      </c>
      <c r="B1360" s="1" t="s">
        <v>381</v>
      </c>
      <c r="C1360" s="1" t="s">
        <v>1340</v>
      </c>
      <c r="D1360" s="1" t="str">
        <f>IFERROR(__xludf.DUMMYFUNCTION("CONCATENATE(GOOGLETRANSLATE(C1360, ""en"", ""zh-cn""))"),"Deli 0055 12 件装回形针特殊形状便笺光滑回形针 DIY 书签文具学生金属活页夹便笺字母回形针")</f>
        <v>Deli 0055 12 件装回形针特殊形状便笺光滑回形针 DIY 书签文具学生金属活页夹便笺字母回形针</v>
      </c>
      <c r="E1360" s="1" t="str">
        <f>IFERROR(__xludf.DUMMYFUNCTION("CONCATENATE(GOOGLETRANSLATE(C1360, ""en"", ""ko""))"),"델리 0055 12PCS 종이 클립 특수 모양 노트 부드러운 종이 클립 DIY 책갈피 편지지 학생 금속 바인더 클립 노트 편지 종이 클립")</f>
        <v>델리 0055 12PCS 종이 클립 특수 모양 노트 부드러운 종이 클립 DIY 책갈피 편지지 학생 금속 바인더 클립 노트 편지 종이 클립</v>
      </c>
      <c r="F1360" s="1" t="str">
        <f>IFERROR(__xludf.DUMMYFUNCTION("CONCATENATE(GOOGLETRANSLATE(C1360, ""en"", ""ja""))"),"デリ 0055 12 個ペーパークリップ特殊な形状ノートスムーズペーパークリップ DIY ブックマーク文具学生金属バインダークリップノートレターペーパークリップ")</f>
        <v>デリ 0055 12 個ペーパークリップ特殊な形状ノートスムーズペーパークリップ DIY ブックマーク文具学生金属バインダークリップノートレターペーパークリップ</v>
      </c>
    </row>
    <row r="1361" ht="15.75" customHeight="1">
      <c r="A1361" s="1">
        <v>2834.0</v>
      </c>
      <c r="B1361" s="1" t="s">
        <v>381</v>
      </c>
      <c r="C1361" s="1" t="s">
        <v>1341</v>
      </c>
      <c r="D1361" s="1" t="str">
        <f>IFERROR(__xludf.DUMMYFUNCTION("CONCATENATE(GOOGLETRANSLATE(C1361, ""en"", ""zh-cn""))"),"NYONI N-2801 12支/盒绘画炭笔套装软中硬绘画套装素描绘画文具学校学生用品")</f>
        <v>NYONI N-2801 12支/盒绘画炭笔套装软中硬绘画套装素描绘画文具学校学生用品</v>
      </c>
      <c r="E1361" s="1" t="str">
        <f>IFERROR(__xludf.DUMMYFUNCTION("CONCATENATE(GOOGLETRANSLATE(C1361, ""en"", ""ko""))"),"NYONI N-2801 12 개/상자 드로잉 숯 연필 세트 소프트 미디엄 하드 페인팅 세트 스케치 페인팅 편지지 학교 학생 용품")</f>
        <v>NYONI N-2801 12 개/상자 드로잉 숯 연필 세트 소프트 미디엄 하드 페인팅 세트 스케치 페인팅 편지지 학교 학생 용품</v>
      </c>
      <c r="F1361" s="1" t="str">
        <f>IFERROR(__xludf.DUMMYFUNCTION("CONCATENATE(GOOGLETRANSLATE(C1361, ""en"", ""ja""))"),"NYONI N-2801 12 ピース/箱描画木炭鉛筆セットソフトミディアムハード絵画セットスケッチ絵画文具学校学生用品")</f>
        <v>NYONI N-2801 12 ピース/箱描画木炭鉛筆セットソフトミディアムハード絵画セットスケッチ絵画文具学校学生用品</v>
      </c>
    </row>
    <row r="1362" ht="15.75" customHeight="1">
      <c r="A1362" s="1">
        <v>2835.0</v>
      </c>
      <c r="B1362" s="1" t="s">
        <v>381</v>
      </c>
      <c r="C1362" s="1" t="s">
        <v>1342</v>
      </c>
      <c r="D1362" s="1" t="str">
        <f>IFERROR(__xludf.DUMMYFUNCTION("CONCATENATE(GOOGLETRANSLATE(C1362, ""en"", ""zh-cn""))"),"Artillery® PEI 钢板 230mm*230mm 用于底座热床适合 Artillery Genius 系列 3D 打印机")</f>
        <v>Artillery® PEI 钢板 230mm*230mm 用于底座热床适合 Artillery Genius 系列 3D 打印机</v>
      </c>
      <c r="E1362" s="1" t="str">
        <f>IFERROR(__xludf.DUMMYFUNCTION("CONCATENATE(GOOGLETRANSLATE(C1362, ""en"", ""ko""))"),"기본 열 침대에 적합한 Artillery® PEI 강판 230mm*230mm Artillery Genius 시리즈 3D 프린터")</f>
        <v>기본 열 침대에 적합한 Artillery® PEI 강판 230mm*230mm Artillery Genius 시리즈 3D 프린터</v>
      </c>
      <c r="F1362" s="1" t="str">
        <f>IFERROR(__xludf.DUMMYFUNCTION("CONCATENATE(GOOGLETRANSLATE(C1362, ""en"", ""ja""))"),"Artillery® PEI 鋼板 230mm*230mm ベースサーマルベッドフィット Artillery Genius シリーズ 3D プリンター用")</f>
        <v>Artillery® PEI 鋼板 230mm*230mm ベースサーマルベッドフィット Artillery Genius シリーズ 3D プリンター用</v>
      </c>
    </row>
    <row r="1363" ht="15.75" customHeight="1">
      <c r="A1363" s="1">
        <v>2836.0</v>
      </c>
      <c r="B1363" s="1" t="s">
        <v>381</v>
      </c>
      <c r="C1363" s="1" t="s">
        <v>1343</v>
      </c>
      <c r="D1363" s="1" t="str">
        <f>IFERROR(__xludf.DUMMYFUNCTION("CONCATENATE(GOOGLETRANSLATE(C1363, ""en"", ""zh-cn""))"),"15.4 英寸 MacBook 笔记本电脑保护套")</f>
        <v>15.4 英寸 MacBook 笔记本电脑保护套</v>
      </c>
      <c r="E1363" s="1" t="str">
        <f>IFERROR(__xludf.DUMMYFUNCTION("CONCATENATE(GOOGLETRANSLATE(C1363, ""en"", ""ko""))"),"맥북용 15.4인치 노트북 케이스 커버")</f>
        <v>맥북용 15.4인치 노트북 케이스 커버</v>
      </c>
      <c r="F1363" s="1" t="str">
        <f>IFERROR(__xludf.DUMMYFUNCTION("CONCATENATE(GOOGLETRANSLATE(C1363, ""en"", ""ja""))"),"MacBook用15.4インチラップトップケースカバー")</f>
        <v>MacBook用15.4インチラップトップケースカバー</v>
      </c>
    </row>
    <row r="1364" ht="15.75" customHeight="1">
      <c r="A1364" s="1">
        <v>2837.0</v>
      </c>
      <c r="B1364" s="1" t="s">
        <v>381</v>
      </c>
      <c r="C1364" s="1" t="s">
        <v>1344</v>
      </c>
      <c r="D1364" s="1" t="str">
        <f>IFERROR(__xludf.DUMMYFUNCTION("CONCATENATE(GOOGLETRANSLATE(C1364, ""en"", ""zh-cn""))"),"13.3 英寸 MacBook Air 笔记本电脑保护套")</f>
        <v>13.3 英寸 MacBook Air 笔记本电脑保护套</v>
      </c>
      <c r="E1364" s="1" t="str">
        <f>IFERROR(__xludf.DUMMYFUNCTION("CONCATENATE(GOOGLETRANSLATE(C1364, ""en"", ""ko""))"),"MacBook Air용 13.3인치 노트북 커버")</f>
        <v>MacBook Air용 13.3인치 노트북 커버</v>
      </c>
      <c r="F1364" s="1" t="str">
        <f>IFERROR(__xludf.DUMMYFUNCTION("CONCATENATE(GOOGLETRANSLATE(C1364, ""en"", ""ja""))"),"MacBook Air用13.3インチラップトップカバー")</f>
        <v>MacBook Air用13.3インチラップトップカバー</v>
      </c>
    </row>
    <row r="1365" ht="15.75" customHeight="1">
      <c r="A1365" s="1">
        <v>2838.0</v>
      </c>
      <c r="B1365" s="1" t="s">
        <v>381</v>
      </c>
      <c r="C1365" s="1" t="s">
        <v>1345</v>
      </c>
      <c r="D1365" s="1" t="str">
        <f>IFERROR(__xludf.DUMMYFUNCTION("CONCATENATE(GOOGLETRANSLATE(C1365, ""en"", ""zh-cn""))"),"BUBM 超大容量手表平板电脑耳机 U 盘线数码设备理线盒收纳包")</f>
        <v>BUBM 超大容量手表平板电脑耳机 U 盘线数码设备理线盒收纳包</v>
      </c>
      <c r="E1365" s="1" t="str">
        <f>IFERROR(__xludf.DUMMYFUNCTION("CONCATENATE(GOOGLETRANSLATE(C1365, ""en"", ""ko""))"),"BUBM 대형 용량 시계 태블릿 이어폰 U 디스크 케이블 디지털 장치 케이블 주최자 케이스 보관 가방")</f>
        <v>BUBM 대형 용량 시계 태블릿 이어폰 U 디스크 케이블 디지털 장치 케이블 주최자 케이스 보관 가방</v>
      </c>
      <c r="F1365" s="1" t="str">
        <f>IFERROR(__xludf.DUMMYFUNCTION("CONCATENATE(GOOGLETRANSLATE(C1365, ""en"", ""ja""))"),"BUBM 特大容量時計タブレットイヤホン U ディスクケーブルデジタル機器ケーブルオーガナイザーケース収納袋")</f>
        <v>BUBM 特大容量時計タブレットイヤホン U ディスクケーブルデジタル機器ケーブルオーガナイザーケース収納袋</v>
      </c>
    </row>
    <row r="1366" ht="15.75" customHeight="1">
      <c r="A1366" s="1">
        <v>2839.0</v>
      </c>
      <c r="B1366" s="1" t="s">
        <v>381</v>
      </c>
      <c r="C1366" s="1" t="s">
        <v>1346</v>
      </c>
      <c r="D1366" s="1" t="str">
        <f>IFERROR(__xludf.DUMMYFUNCTION("CONCATENATE(GOOGLETRANSLATE(C1366, ""en"", ""zh-cn""))"),"木质壁挂式置物架挂墙置物架浮动展示储物单元书柜家庭办公室装饰")</f>
        <v>木质壁挂式置物架挂墙置物架浮动展示储物单元书柜家庭办公室装饰</v>
      </c>
      <c r="E1366" s="1" t="str">
        <f>IFERROR(__xludf.DUMMYFUNCTION("CONCATENATE(GOOGLETRANSLATE(C1366, ""en"", ""ko""))"),"나무 벽 마운트 선반 매달려 벽 선반 플로팅 디스플레이 스토리지 유닛 책장 홈 오피스 장식")</f>
        <v>나무 벽 마운트 선반 매달려 벽 선반 플로팅 디스플레이 스토리지 유닛 책장 홈 오피스 장식</v>
      </c>
      <c r="F1366" s="1" t="str">
        <f>IFERROR(__xludf.DUMMYFUNCTION("CONCATENATE(GOOGLETRANSLATE(C1366, ""en"", ""ja""))"),"木製壁掛け棚吊り壁棚フローティングディスプレイ収納ユニット本棚ホームオフィスの装飾")</f>
        <v>木製壁掛け棚吊り壁棚フローティングディスプレイ収納ユニット本棚ホームオフィスの装飾</v>
      </c>
    </row>
    <row r="1367" ht="15.75" customHeight="1">
      <c r="A1367" s="1">
        <v>2840.0</v>
      </c>
      <c r="B1367" s="1" t="s">
        <v>381</v>
      </c>
      <c r="C1367" s="1" t="s">
        <v>1347</v>
      </c>
      <c r="D1367" s="1" t="str">
        <f>IFERROR(__xludf.DUMMYFUNCTION("CONCATENATE(GOOGLETRANSLATE(C1367, ""en"", ""zh-cn""))"),"带保险丝和插座的 Artillery® 摇杆开关适合 Artillery Sidewinder X2 Genius P 3D 打印机")</f>
        <v>带保险丝和插座的 Artillery® 摇杆开关适合 Artillery Sidewinder X2 Genius P 3D 打印机</v>
      </c>
      <c r="E1367" s="1" t="str">
        <f>IFERROR(__xludf.DUMMYFUNCTION("CONCATENATE(GOOGLETRANSLATE(C1367, ""en"", ""ko""))"),"퓨즈 및 콘센트에 맞는 Artillery® 로커 스위치 Artillery Sidewinder X2 Genius P 3D 프린터")</f>
        <v>퓨즈 및 콘센트에 맞는 Artillery® 로커 스위치 Artillery Sidewinder X2 Genius P 3D 프린터</v>
      </c>
      <c r="F1367" s="1" t="str">
        <f>IFERROR(__xludf.DUMMYFUNCTION("CONCATENATE(GOOGLETRANSLATE(C1367, ""en"", ""ja""))"),"Artillery® ロッカー スイッチ (ヒューズおよびコンセント付き) Artillery Sidewinder X2 Genius P 3D プリンターに適合")</f>
        <v>Artillery® ロッカー スイッチ (ヒューズおよびコンセント付き) Artillery Sidewinder X2 Genius P 3D プリンターに適合</v>
      </c>
    </row>
    <row r="1368" ht="15.75" customHeight="1">
      <c r="A1368" s="1">
        <v>2841.0</v>
      </c>
      <c r="B1368" s="1" t="s">
        <v>381</v>
      </c>
      <c r="C1368" s="1" t="s">
        <v>1348</v>
      </c>
      <c r="D1368" s="1" t="str">
        <f>IFERROR(__xludf.DUMMYFUNCTION("CONCATENATE(GOOGLETRANSLATE(C1368, ""en"", ""zh-cn""))"),"用于 SideWinder X2 3D 打印机的 Artillery® 30 针扁平电缆")</f>
        <v>用于 SideWinder X2 3D 打印机的 Artillery® 30 针扁平电缆</v>
      </c>
      <c r="E1368" s="1" t="str">
        <f>IFERROR(__xludf.DUMMYFUNCTION("CONCATENATE(GOOGLETRANSLATE(C1368, ""en"", ""ko""))"),"SideWinder X2 3D 프린터용 Artillery® 30핀 플랫 케이블")</f>
        <v>SideWinder X2 3D 프린터용 Artillery® 30핀 플랫 케이블</v>
      </c>
      <c r="F1368" s="1" t="str">
        <f>IFERROR(__xludf.DUMMYFUNCTION("CONCATENATE(GOOGLETRANSLATE(C1368, ""en"", ""ja""))"),"Artillery® SideWinder X2 3D プリンター用 30 ピン フラット ケーブル")</f>
        <v>Artillery® SideWinder X2 3D プリンター用 30 ピン フラット ケーブル</v>
      </c>
    </row>
    <row r="1369" ht="15.75" customHeight="1">
      <c r="A1369" s="1">
        <v>2842.0</v>
      </c>
      <c r="B1369" s="1" t="s">
        <v>381</v>
      </c>
      <c r="C1369" s="1" t="s">
        <v>1349</v>
      </c>
      <c r="D1369" s="1" t="str">
        <f>IFERROR(__xludf.DUMMYFUNCTION("CONCATENATE(GOOGLETRANSLATE(C1369, ""en"", ""zh-cn""))"),"Artillery® 26 针扁平电缆 420mm 适用于 Artillery Genius P Genius 升级版 3D 打印机")</f>
        <v>Artillery® 26 针扁平电缆 420mm 适用于 Artillery Genius P Genius 升级版 3D 打印机</v>
      </c>
      <c r="E1369" s="1" t="str">
        <f>IFERROR(__xludf.DUMMYFUNCTION("CONCATENATE(GOOGLETRANSLATE(C1369, ""en"", ""ko""))"),"Artillery Genius P Genius 업그레이드 버전 3D 프린터용 Artillery® 26핀 플랫 케이블 420mm")</f>
        <v>Artillery Genius P Genius 업그레이드 버전 3D 프린터용 Artillery® 26핀 플랫 케이블 420mm</v>
      </c>
      <c r="F1369" s="1" t="str">
        <f>IFERROR(__xludf.DUMMYFUNCTION("CONCATENATE(GOOGLETRANSLATE(C1369, ""en"", ""ja""))"),"Artillery® 26 ピン フラット ケーブル 420mm Artillery Genius P Genius アップグレード バージョン 3D プリンター用")</f>
        <v>Artillery® 26 ピン フラット ケーブル 420mm Artillery Genius P Genius アップグレード バージョン 3D プリンター用</v>
      </c>
    </row>
    <row r="1370" ht="15.75" customHeight="1">
      <c r="A1370" s="1">
        <v>2843.0</v>
      </c>
      <c r="B1370" s="1" t="s">
        <v>381</v>
      </c>
      <c r="C1370" s="1" t="s">
        <v>1350</v>
      </c>
      <c r="D1370" s="1" t="str">
        <f>IFERROR(__xludf.DUMMYFUNCTION("CONCATENATE(GOOGLETRANSLATE(C1370, ""en"", ""zh-cn""))"),"7 色按压圆珠笔 0.5 毫米多色圆珠笔可爱图案带夹多功能学校用品")</f>
        <v>7 色按压圆珠笔 0.5 毫米多色圆珠笔可爱图案带夹多功能学校用品</v>
      </c>
      <c r="E1370" s="1" t="str">
        <f>IFERROR(__xludf.DUMMYFUNCTION("CONCATENATE(GOOGLETRANSLATE(C1370, ""en"", ""ko""))"),"7 색 누르면 볼펜 0.5mm 여러 가지 빛깔의 볼펜 귀여운 패턴 클립 다기능 학교 용품")</f>
        <v>7 색 누르면 볼펜 0.5mm 여러 가지 빛깔의 볼펜 귀여운 패턴 클립 다기능 학교 용품</v>
      </c>
      <c r="F1370" s="1" t="str">
        <f>IFERROR(__xludf.DUMMYFUNCTION("CONCATENATE(GOOGLETRANSLATE(C1370, ""en"", ""ja""))"),"7 色プレスボールペン 0.5 ミリメートル多色ボールペンかわいいパターンとクリップ多機能学用品")</f>
        <v>7 色プレスボールペン 0.5 ミリメートル多色ボールペンかわいいパターンとクリップ多機能学用品</v>
      </c>
    </row>
    <row r="1371" ht="15.75" customHeight="1">
      <c r="A1371" s="1">
        <v>2844.0</v>
      </c>
      <c r="B1371" s="1" t="s">
        <v>381</v>
      </c>
      <c r="C1371" s="1" t="s">
        <v>1351</v>
      </c>
      <c r="D1371" s="1" t="str">
        <f>IFERROR(__xludf.DUMMYFUNCTION("CONCATENATE(GOOGLETRANSLATE(C1371, ""en"", ""zh-cn""))"),"矿机矿机机箱图文机箱适用于 9 GPU 52.6X36.4X17.5cm")</f>
        <v>矿机矿机机箱图文机箱适用于 9 GPU 52.6X36.4X17.5cm</v>
      </c>
      <c r="E1371" s="1" t="str">
        <f>IFERROR(__xludf.DUMMYFUNCTION("CONCATENATE(GOOGLETRANSLATE(C1371, ""en"", ""ko""))"),"9 GPU 52.6X36.4X17.5cm용 마이닝 머신 마이닝 프레임 리그 케이스 그래픽 케이스")</f>
        <v>9 GPU 52.6X36.4X17.5cm용 마이닝 머신 마이닝 프레임 리그 케이스 그래픽 케이스</v>
      </c>
      <c r="F1371" s="1" t="str">
        <f>IFERROR(__xludf.DUMMYFUNCTION("CONCATENATE(GOOGLETRANSLATE(C1371, ""en"", ""ja""))"),"マイニングマシンマイニングフレームリグケースグラフィックケース 9 GPU 52.6X36.4X17.5cm")</f>
        <v>マイニングマシンマイニングフレームリグケースグラフィックケース 9 GPU 52.6X36.4X17.5cm</v>
      </c>
    </row>
    <row r="1372" ht="15.75" customHeight="1">
      <c r="A1372" s="1">
        <v>2845.0</v>
      </c>
      <c r="B1372" s="1" t="s">
        <v>381</v>
      </c>
      <c r="C1372" s="1" t="s">
        <v>1352</v>
      </c>
      <c r="D1372" s="1" t="str">
        <f>IFERROR(__xludf.DUMMYFUNCTION("CONCATENATE(GOOGLETRANSLATE(C1372, ""en"", ""zh-cn""))"),"对开式支架平板电脑保护套适用于三星 Galaxy Tab S5E 10.5 SM-T720 SM-T725 - 大眼睛")</f>
        <v>对开式支架平板电脑保护套适用于三星 Galaxy Tab S5E 10.5 SM-T720 SM-T725 - 大眼睛</v>
      </c>
      <c r="E1372" s="1" t="str">
        <f>IFERROR(__xludf.DUMMYFUNCTION("CONCATENATE(GOOGLETRANSLATE(C1372, ""en"", ""ko""))"),"삼성 갤럭시 탭 S5E 10.5 SM-T720 SM-T725용 폴리오 스탠드 태블릿 케이스 커버 - 빅 아이즈")</f>
        <v>삼성 갤럭시 탭 S5E 10.5 SM-T720 SM-T725용 폴리오 스탠드 태블릿 케이스 커버 - 빅 아이즈</v>
      </c>
      <c r="F1372" s="1" t="str">
        <f>IFERROR(__xludf.DUMMYFUNCTION("CONCATENATE(GOOGLETRANSLATE(C1372, ""en"", ""ja""))"),"Samsung Galaxy Tab S5E 10.5 SM-T720 SM-T725用フォリオスタンドタブレットケースカバー - ビッグアイ")</f>
        <v>Samsung Galaxy Tab S5E 10.5 SM-T720 SM-T725用フォリオスタンドタブレットケースカバー - ビッグアイ</v>
      </c>
    </row>
    <row r="1373" ht="15.75" customHeight="1">
      <c r="A1373" s="1">
        <v>2846.0</v>
      </c>
      <c r="B1373" s="1" t="s">
        <v>381</v>
      </c>
      <c r="C1373" s="1" t="s">
        <v>1353</v>
      </c>
      <c r="D1373" s="1" t="str">
        <f>IFERROR(__xludf.DUMMYFUNCTION("CONCATENATE(GOOGLETRANSLATE(C1373, ""en"", ""zh-cn""))"),"DAGK 143 键天气 PBT 键帽套装樱桃型材热升华定制机械键盘键帽")</f>
        <v>DAGK 143 键天气 PBT 键帽套装樱桃型材热升华定制机械键盘键帽</v>
      </c>
      <c r="E1373" s="1" t="str">
        <f>IFERROR(__xludf.DUMMYFUNCTION("CONCATENATE(GOOGLETRANSLATE(C1373, ""en"", ""ko""))"),"DAGK 143 키 날씨 PBT 키캡 세트 체리 프로파일 승화 기계식 키보드 용 맞춤형 키캡")</f>
        <v>DAGK 143 키 날씨 PBT 키캡 세트 체리 프로파일 승화 기계식 키보드 용 맞춤형 키캡</v>
      </c>
      <c r="F1373" s="1" t="str">
        <f>IFERROR(__xludf.DUMMYFUNCTION("CONCATENATE(GOOGLETRANSLATE(C1373, ""en"", ""ja""))"),"DAGK 143 キー天気 PBT キーキャップセットチェリープロファイル昇華カスタムキーキャップメカニカルキーボード用")</f>
        <v>DAGK 143 キー天気 PBT キーキャップセットチェリープロファイル昇華カスタムキーキャップメカニカルキーボード用</v>
      </c>
    </row>
    <row r="1374" ht="15.75" customHeight="1">
      <c r="A1374" s="1">
        <v>2847.0</v>
      </c>
      <c r="B1374" s="1" t="s">
        <v>381</v>
      </c>
      <c r="C1374" s="1" t="s">
        <v>1354</v>
      </c>
      <c r="D1374" s="1" t="str">
        <f>IFERROR(__xludf.DUMMYFUNCTION("CONCATENATE(GOOGLETRANSLATE(C1374, ""en"", ""zh-cn""))"),"300Mbps 2.4G 无线 Wifi 中继器 AP 路由器双天线信号增强器扩展放大器")</f>
        <v>300Mbps 2.4G 无线 Wifi 中继器 AP 路由器双天线信号增强器扩展放大器</v>
      </c>
      <c r="E1374" s="1" t="str">
        <f>IFERROR(__xludf.DUMMYFUNCTION("CONCATENATE(GOOGLETRANSLATE(C1374, ""en"", ""ko""))"),"300Mbps 2.4G 무선 와이파이 리피터 AP 라우터 듀얼 안테나 신호 부스터 확장기 증폭기")</f>
        <v>300Mbps 2.4G 무선 와이파이 리피터 AP 라우터 듀얼 안테나 신호 부스터 확장기 증폭기</v>
      </c>
      <c r="F1374" s="1" t="str">
        <f>IFERROR(__xludf.DUMMYFUNCTION("CONCATENATE(GOOGLETRANSLATE(C1374, ""en"", ""ja""))"),"300Mbps 2.4G ワイヤレス Wifi リピーター AP ルーター デュアル アンテナ信号ブースター エクステンダー アンプ")</f>
        <v>300Mbps 2.4G ワイヤレス Wifi リピーター AP ルーター デュアル アンテナ信号ブースター エクステンダー アンプ</v>
      </c>
    </row>
    <row r="1375" ht="15.75" customHeight="1">
      <c r="A1375" s="1">
        <v>2848.0</v>
      </c>
      <c r="B1375" s="1" t="s">
        <v>381</v>
      </c>
      <c r="C1375" s="1" t="s">
        <v>1355</v>
      </c>
      <c r="D1375" s="1" t="str">
        <f>IFERROR(__xludf.DUMMYFUNCTION("CONCATENATE(GOOGLETRANSLATE(C1375, ""en"", ""zh-cn""))"),"欧格883A1 三层黑芯A1切割垫非标尺寸绿色办公文具用品")</f>
        <v>欧格883A1 三层黑芯A1切割垫非标尺寸绿色办公文具用品</v>
      </c>
      <c r="E1375" s="1" t="str">
        <f>IFERROR(__xludf.DUMMYFUNCTION("CONCATENATE(GOOGLETRANSLATE(C1375, ""en"", ""ko""))"),"Ou Ge 883A1 사무용 고정 용품용 녹색 3겹 검정색 코어 A1 커팅 매트 비표준 크기")</f>
        <v>Ou Ge 883A1 사무용 고정 용품용 녹색 3겹 검정색 코어 A1 커팅 매트 비표준 크기</v>
      </c>
      <c r="F1375" s="1" t="str">
        <f>IFERROR(__xludf.DUMMYFUNCTION("CONCATENATE(GOOGLETRANSLATE(C1375, ""en"", ""ja""))"),"Ou Ge 883A1 3 層黒コア A1 カッティングマット非標準サイズグリーンのオフィス文具用品")</f>
        <v>Ou Ge 883A1 3 層黒コア A1 カッティングマット非標準サイズグリーンのオフィス文具用品</v>
      </c>
    </row>
    <row r="1376" ht="15.75" customHeight="1">
      <c r="A1376" s="1">
        <v>2849.0</v>
      </c>
      <c r="B1376" s="1" t="s">
        <v>381</v>
      </c>
      <c r="C1376" s="1" t="s">
        <v>1356</v>
      </c>
      <c r="D1376" s="1" t="str">
        <f>IFERROR(__xludf.DUMMYFUNCTION("CONCATENATE(GOOGLETRANSLATE(C1376, ""en"", ""zh-cn""))"),"彩色背光 USB 有线游戏键盘 2400DPI LED 游戏鼠标组合（带鼠标垫）")</f>
        <v>彩色背光 USB 有线游戏键盘 2400DPI LED 游戏鼠标组合（带鼠标垫）</v>
      </c>
      <c r="E1376" s="1" t="str">
        <f>IFERROR(__xludf.DUMMYFUNCTION("CONCATENATE(GOOGLETRANSLATE(C1376, ""en"", ""ko""))"),"다채로운 백라이트 USB 유선 게이밍 키보드 2400DPI LED 게이밍 마우스 콤보(마우스 패드 포함)")</f>
        <v>다채로운 백라이트 USB 유선 게이밍 키보드 2400DPI LED 게이밍 마우스 콤보(마우스 패드 포함)</v>
      </c>
      <c r="F1376" s="1" t="str">
        <f>IFERROR(__xludf.DUMMYFUNCTION("CONCATENATE(GOOGLETRANSLATE(C1376, ""en"", ""ja""))"),"カラフルなバックライト USB 有線ゲーミングキーボード 2400DPI LED ゲーミングマウスコンボ マウスパッド付き")</f>
        <v>カラフルなバックライト USB 有線ゲーミングキーボード 2400DPI LED ゲーミングマウスコンボ マウスパッド付き</v>
      </c>
    </row>
    <row r="1377" ht="15.75" customHeight="1">
      <c r="A1377" s="1">
        <v>2850.0</v>
      </c>
      <c r="B1377" s="1" t="s">
        <v>381</v>
      </c>
      <c r="C1377" s="1" t="s">
        <v>1357</v>
      </c>
      <c r="D1377" s="1" t="str">
        <f>IFERROR(__xludf.DUMMYFUNCTION("CONCATENATE(GOOGLETRANSLATE(C1377, ""en"", ""zh-cn""))"),"Deli NS011 笔笔架 Nusign ABS 笔架桌面收纳盒 4 色可选")</f>
        <v>Deli NS011 笔笔架 Nusign ABS 笔架桌面收纳盒 4 色可选</v>
      </c>
      <c r="E1377" s="1" t="str">
        <f>IFERROR(__xludf.DUMMYFUNCTION("CONCATENATE(GOOGLETRANSLATE(C1377, ""en"", ""ko""))"),"델리 NS011 펜 연필 홀더 Nusign ABS 펜 스탠드 데스크탑 스토리지 주최자 4 색 옵션")</f>
        <v>델리 NS011 펜 연필 홀더 Nusign ABS 펜 스탠드 데스크탑 스토리지 주최자 4 색 옵션</v>
      </c>
      <c r="F1377" s="1" t="str">
        <f>IFERROR(__xludf.DUMMYFUNCTION("CONCATENATE(GOOGLETRANSLATE(C1377, ""en"", ""ja""))"),"デリ NS011 ペン鉛筆ホルダー Nusign ABS ペンスタンドデスクトップストレージオーガナイザー 4 色オプション")</f>
        <v>デリ NS011 ペン鉛筆ホルダー Nusign ABS ペンスタンドデスクトップストレージオーガナイザー 4 色オプション</v>
      </c>
    </row>
    <row r="1378" ht="15.75" customHeight="1">
      <c r="A1378" s="1">
        <v>2851.0</v>
      </c>
      <c r="B1378" s="1" t="s">
        <v>381</v>
      </c>
      <c r="C1378" s="1" t="s">
        <v>1358</v>
      </c>
      <c r="D1378" s="1" t="str">
        <f>IFERROR(__xludf.DUMMYFUNCTION("CONCATENATE(GOOGLETRANSLATE(C1378, ""en"", ""zh-cn""))"),"桌面电源插座排线收纳盒整理器安全插座插座板容器电线收集电缆盒")</f>
        <v>桌面电源插座排线收纳盒整理器安全插座插座板容器电线收集电缆盒</v>
      </c>
      <c r="E1378" s="1" t="str">
        <f>IFERROR(__xludf.DUMMYFUNCTION("CONCATENATE(GOOGLETRANSLATE(C1378, ""en"", ""ko""))"),"데스크탑 전원 소켓 스트립 코드 보관함 주최자 안전 소켓 콘센트 보드 컨테이너 와이어 수집 케이블 케이스")</f>
        <v>데스크탑 전원 소켓 스트립 코드 보관함 주최자 안전 소켓 콘센트 보드 컨테이너 와이어 수집 케이블 케이스</v>
      </c>
      <c r="F1378" s="1" t="str">
        <f>IFERROR(__xludf.DUMMYFUNCTION("CONCATENATE(GOOGLETRANSLATE(C1378, ""en"", ""ja""))"),"デスクトップ電源ソケットストリップコード収納ボックスオーガナイザー安全ソケットアウトレットボードコンテナワイヤーコレクションケーブルケース")</f>
        <v>デスクトップ電源ソケットストリップコード収納ボックスオーガナイザー安全ソケットアウトレットボードコンテナワイヤーコレクションケーブルケース</v>
      </c>
    </row>
    <row r="1379" ht="15.75" customHeight="1">
      <c r="A1379" s="1">
        <v>2852.0</v>
      </c>
      <c r="B1379" s="1" t="s">
        <v>381</v>
      </c>
      <c r="C1379" s="1" t="s">
        <v>1359</v>
      </c>
      <c r="D1379" s="1" t="str">
        <f>IFERROR(__xludf.DUMMYFUNCTION("CONCATENATE(GOOGLETRANSLATE(C1379, ""en"", ""zh-cn""))"),"用于 3D 打印机的 Creality 3D® Wifi Box 2.0")</f>
        <v>用于 3D 打印机的 Creality 3D® Wifi Box 2.0</v>
      </c>
      <c r="E1379" s="1" t="str">
        <f>IFERROR(__xludf.DUMMYFUNCTION("CONCATENATE(GOOGLETRANSLATE(C1379, ""en"", ""ko""))"),"3D 프린터용 Creality 3D® Wifi Box 2.0")</f>
        <v>3D 프린터용 Creality 3D® Wifi Box 2.0</v>
      </c>
      <c r="F1379" s="1" t="str">
        <f>IFERROR(__xludf.DUMMYFUNCTION("CONCATENATE(GOOGLETRANSLATE(C1379, ""en"", ""ja""))"),"Creality 3D® Wifi Box 2.0 (3D プリンター用)")</f>
        <v>Creality 3D® Wifi Box 2.0 (3D プリンター用)</v>
      </c>
    </row>
    <row r="1380" ht="15.75" customHeight="1">
      <c r="A1380" s="1">
        <v>2853.0</v>
      </c>
      <c r="B1380" s="1" t="s">
        <v>381</v>
      </c>
      <c r="C1380" s="1" t="s">
        <v>1360</v>
      </c>
      <c r="D1380" s="1" t="str">
        <f>IFERROR(__xludf.DUMMYFUNCTION("CONCATENATE(GOOGLETRANSLATE(C1380, ""en"", ""zh-cn""))"),"Creality 3D® CR-10 Smart Pro 热端配件套件，带加热块/散热器/喉管/硅胶套")</f>
        <v>Creality 3D® CR-10 Smart Pro 热端配件套件，带加热块/散热器/喉管/硅胶套</v>
      </c>
      <c r="E1380" s="1" t="str">
        <f>IFERROR(__xludf.DUMMYFUNCTION("CONCATENATE(GOOGLETRANSLATE(C1380, ""en"", ""ko""))"),"가열 블록/방열판/목구멍/실리콘 슬리브가 포함된 Creality 3D® CR-10 스마트 프로 핫엔드 액세서리 키트")</f>
        <v>가열 블록/방열판/목구멍/실리콘 슬리브가 포함된 Creality 3D® CR-10 스마트 프로 핫엔드 액세서리 키트</v>
      </c>
      <c r="F1380" s="1" t="str">
        <f>IFERROR(__xludf.DUMMYFUNCTION("CONCATENATE(GOOGLETRANSLATE(C1380, ""en"", ""ja""))"),"Creality 3D® CR-10 スマート プロ ホットエンド アクセサリー キット (加熱ブロック/ヒートシンク/スロート/シリコン スリーブ付き)")</f>
        <v>Creality 3D® CR-10 スマート プロ ホットエンド アクセサリー キット (加熱ブロック/ヒートシンク/スロート/シリコン スリーブ付き)</v>
      </c>
    </row>
    <row r="1381" ht="15.75" customHeight="1">
      <c r="A1381" s="1">
        <v>2854.0</v>
      </c>
      <c r="B1381" s="1" t="s">
        <v>381</v>
      </c>
      <c r="C1381" s="1" t="s">
        <v>1361</v>
      </c>
      <c r="D1381" s="1" t="str">
        <f>IFERROR(__xludf.DUMMYFUNCTION("CONCATENATE(GOOGLETRANSLATE(C1381, ""en"", ""zh-cn""))"),"笔记本电脑套袋帆布笔记本电脑保护套适用于 13/14/15 英寸笔记本电脑/平板电脑")</f>
        <v>笔记本电脑套袋帆布笔记本电脑保护套适用于 13/14/15 英寸笔记本电脑/平板电脑</v>
      </c>
      <c r="E1381" s="1" t="str">
        <f>IFERROR(__xludf.DUMMYFUNCTION("CONCATENATE(GOOGLETRANSLATE(C1381, ""en"", ""ko""))"),"13/14/15인치 노트북/태블릿용 노트북 슬리브 백 캔버스 노트북 보호 케이스")</f>
        <v>13/14/15인치 노트북/태블릿용 노트북 슬리브 백 캔버스 노트북 보호 케이스</v>
      </c>
      <c r="F1381" s="1" t="str">
        <f>IFERROR(__xludf.DUMMYFUNCTION("CONCATENATE(GOOGLETRANSLATE(C1381, ""en"", ""ja""))"),"ラップトップスリーブバッグ キャンバスラップトップ保護ケース 13/14/15インチのラップトップ/タブレット用")</f>
        <v>ラップトップスリーブバッグ キャンバスラップトップ保護ケース 13/14/15インチのラップトップ/タブレット用</v>
      </c>
    </row>
    <row r="1382" ht="15.75" customHeight="1">
      <c r="A1382" s="1">
        <v>2855.0</v>
      </c>
      <c r="B1382" s="1" t="s">
        <v>381</v>
      </c>
      <c r="C1382" s="1" t="s">
        <v>1362</v>
      </c>
      <c r="D1382" s="1" t="str">
        <f>IFERROR(__xludf.DUMMYFUNCTION("CONCATENATE(GOOGLETRANSLATE(C1382, ""en"", ""zh-cn""))"),"ULT联合0.3M平板手机高清线")</f>
        <v>ULT联合0.3M平板手机高清线</v>
      </c>
      <c r="E1382" s="1" t="str">
        <f>IFERROR(__xludf.DUMMYFUNCTION("CONCATENATE(GOOGLETRANSLATE(C1382, ""en"", ""ko""))"),"태블릿 휴대폰용 ULT unity 0.3M HD 케이블")</f>
        <v>태블릿 휴대폰용 ULT unity 0.3M HD 케이블</v>
      </c>
      <c r="F1382" s="1" t="str">
        <f>IFERROR(__xludf.DUMMYFUNCTION("CONCATENATE(GOOGLETRANSLATE(C1382, ""en"", ""ja""))"),"ULT Unite 0.3M HD ケーブル (タブレット携帯電話用)")</f>
        <v>ULT Unite 0.3M HD ケーブル (タブレット携帯電話用)</v>
      </c>
    </row>
    <row r="1383" ht="15.75" customHeight="1">
      <c r="A1383" s="1">
        <v>2856.0</v>
      </c>
      <c r="B1383" s="1" t="s">
        <v>381</v>
      </c>
      <c r="C1383" s="1" t="s">
        <v>1363</v>
      </c>
      <c r="D1383" s="1" t="str">
        <f>IFERROR(__xludf.DUMMYFUNCTION("CONCATENATE(GOOGLETRANSLATE(C1383, ""en"", ""zh-cn""))"),"ULT unite 高清红色透明扁平电缆")</f>
        <v>ULT unite 高清红色透明扁平电缆</v>
      </c>
      <c r="E1383" s="1" t="str">
        <f>IFERROR(__xludf.DUMMYFUNCTION("CONCATENATE(GOOGLETRANSLATE(C1383, ""en"", ""ko""))"),"ULT unity HD 빨간색 투명 평면 케이블")</f>
        <v>ULT unity HD 빨간색 투명 평면 케이블</v>
      </c>
      <c r="F1383" s="1" t="str">
        <f>IFERROR(__xludf.DUMMYFUNCTION("CONCATENATE(GOOGLETRANSLATE(C1383, ""en"", ""ja""))"),"ULT ユナイト HD レッド透明フラット​​ケーブル")</f>
        <v>ULT ユナイト HD レッド透明フラット​​ケーブル</v>
      </c>
    </row>
    <row r="1384" ht="15.75" customHeight="1">
      <c r="A1384" s="1">
        <v>2857.0</v>
      </c>
      <c r="B1384" s="1" t="s">
        <v>381</v>
      </c>
      <c r="C1384" s="1" t="s">
        <v>1364</v>
      </c>
      <c r="D1384" s="1" t="str">
        <f>IFERROR(__xludf.DUMMYFUNCTION("CONCATENATE(GOOGLETRANSLATE(C1384, ""en"", ""zh-cn""))"),"ULT联合0.2M平板手机高清扩展放大器")</f>
        <v>ULT联合0.2M平板手机高清扩展放大器</v>
      </c>
      <c r="E1384" s="1" t="str">
        <f>IFERROR(__xludf.DUMMYFUNCTION("CONCATENATE(GOOGLETRANSLATE(C1384, ""en"", ""ko""))"),"태블릿 휴대폰용 ULT unity 0.2M HD 확장 증폭기")</f>
        <v>태블릿 휴대폰용 ULT unity 0.2M HD 확장 증폭기</v>
      </c>
      <c r="F1384" s="1" t="str">
        <f>IFERROR(__xludf.DUMMYFUNCTION("CONCATENATE(GOOGLETRANSLATE(C1384, ""en"", ""ja""))"),"ULT タブレット携帯電話用 0.2M HD 拡張アンプ")</f>
        <v>ULT タブレット携帯電話用 0.2M HD 拡張アンプ</v>
      </c>
    </row>
    <row r="1385" ht="15.75" customHeight="1">
      <c r="A1385" s="1">
        <v>2858.0</v>
      </c>
      <c r="B1385" s="1" t="s">
        <v>381</v>
      </c>
      <c r="C1385" s="1" t="s">
        <v>1365</v>
      </c>
      <c r="D1385" s="1" t="str">
        <f>IFERROR(__xludf.DUMMYFUNCTION("CONCATENATE(GOOGLETRANSLATE(C1385, ""en"", ""zh-cn""))"),"50 件装各种美容涂鸦贴纸手提箱笔记本电脑吉他冰箱防水装饰贴纸")</f>
        <v>50 件装各种美容涂鸦贴纸手提箱笔记本电脑吉他冰箱防水装饰贴纸</v>
      </c>
      <c r="E1385" s="1" t="str">
        <f>IFERROR(__xludf.DUMMYFUNCTION("CONCATENATE(GOOGLETRANSLATE(C1385, ""en"", ""ko""))"),"50 Pcs 다양 한 아름다움 낙서 스티커 방수 장식 스티커 가방 노트북 기타 냉장고")</f>
        <v>50 Pcs 다양 한 아름다움 낙서 스티커 방수 장식 스티커 가방 노트북 기타 냉장고</v>
      </c>
      <c r="F1385" s="1" t="str">
        <f>IFERROR(__xludf.DUMMYFUNCTION("CONCATENATE(GOOGLETRANSLATE(C1385, ""en"", ""ja""))"),"50 個さまざまな美容落書きステッカー防水装飾ステッカースーツケースのラップトップギター冷蔵庫")</f>
        <v>50 個さまざまな美容落書きステッカー防水装飾ステッカースーツケースのラップトップギター冷蔵庫</v>
      </c>
    </row>
    <row r="1386" ht="15.75" customHeight="1">
      <c r="A1386" s="1">
        <v>2859.0</v>
      </c>
      <c r="B1386" s="1" t="s">
        <v>381</v>
      </c>
      <c r="C1386" s="1" t="s">
        <v>1366</v>
      </c>
      <c r="D1386" s="1" t="str">
        <f>IFERROR(__xludf.DUMMYFUNCTION("CONCATENATE(GOOGLETRANSLATE(C1386, ""en"", ""zh-cn""))"),"50 张彩色美容涂鸦贴纸手提箱笔记本电脑滑板防水装饰贴纸")</f>
        <v>50 张彩色美容涂鸦贴纸手提箱笔记本电脑滑板防水装饰贴纸</v>
      </c>
      <c r="E1386" s="1" t="str">
        <f>IFERROR(__xludf.DUMMYFUNCTION("CONCATENATE(GOOGLETRANSLATE(C1386, ""en"", ""ko""))"),"50 Pcs 다채로운 아름다움 낙서 스티커 방수 장식 스티커 가방 노트북 스케이트 보드")</f>
        <v>50 Pcs 다채로운 아름다움 낙서 스티커 방수 장식 스티커 가방 노트북 스케이트 보드</v>
      </c>
      <c r="F1386" s="1" t="str">
        <f>IFERROR(__xludf.DUMMYFUNCTION("CONCATENATE(GOOGLETRANSLATE(C1386, ""en"", ""ja""))"),"50 枚のカラフルな美容落書きステッカー防水装飾ステッカースーツケースのラップトップスケートボード")</f>
        <v>50 枚のカラフルな美容落書きステッカー防水装飾ステッカースーツケースのラップトップスケートボード</v>
      </c>
    </row>
    <row r="1387" ht="15.75" customHeight="1">
      <c r="A1387" s="1">
        <v>2860.0</v>
      </c>
      <c r="B1387" s="1" t="s">
        <v>381</v>
      </c>
      <c r="C1387" s="1" t="s">
        <v>1367</v>
      </c>
      <c r="D1387" s="1" t="str">
        <f>IFERROR(__xludf.DUMMYFUNCTION("CONCATENATE(GOOGLETRANSLATE(C1387, ""en"", ""zh-cn""))"),"MechZone 手工卷绕电缆键盘线圈 Type-C 迷你 USB DIY 卷绕电缆数据线 USB C 航空连接器适用于机械键盘")</f>
        <v>MechZone 手工卷绕电缆键盘线圈 Type-C 迷你 USB DIY 卷绕电缆数据线 USB C 航空连接器适用于机械键盘</v>
      </c>
      <c r="E1387" s="1" t="str">
        <f>IFERROR(__xludf.DUMMYFUNCTION("CONCATENATE(GOOGLETRANSLATE(C1387, ""en"", ""ko""))"),"MechZone 수제 코일 케이블 키보드 코일 유형-C 미니 USB DIY 코일 케이블 데이터 케이블 기계식 키보드용 USB C 항공 커넥터")</f>
        <v>MechZone 수제 코일 케이블 키보드 코일 유형-C 미니 USB DIY 코일 케이블 데이터 케이블 기계식 키보드용 USB C 항공 커넥터</v>
      </c>
      <c r="F1387" s="1" t="str">
        <f>IFERROR(__xludf.DUMMYFUNCTION("CONCATENATE(GOOGLETRANSLATE(C1387, ""en"", ""ja""))"),"MechZone 手作りコイルケーブル キーボードコイル Type-C ミニ USB DIY コイルケーブル データケーブル USB C 航空コネクタ メカニカルキーボード用")</f>
        <v>MechZone 手作りコイルケーブル キーボードコイル Type-C ミニ USB DIY コイルケーブル データケーブル USB C 航空コネクタ メカニカルキーボード用</v>
      </c>
    </row>
    <row r="1388" ht="15.75" customHeight="1">
      <c r="A1388" s="1">
        <v>2861.0</v>
      </c>
      <c r="B1388" s="1" t="s">
        <v>381</v>
      </c>
      <c r="C1388" s="1" t="s">
        <v>1368</v>
      </c>
      <c r="D1388" s="1" t="str">
        <f>IFERROR(__xludf.DUMMYFUNCTION("CONCATENATE(GOOGLETRANSLATE(C1388, ""en"", ""zh-cn""))"),"GS-C281 ABS 3.5mm 入耳式耳机带麦克风适用于平板手机")</f>
        <v>GS-C281 ABS 3.5mm 入耳式耳机带麦克风适用于平板手机</v>
      </c>
      <c r="E1388" s="1" t="str">
        <f>IFERROR(__xludf.DUMMYFUNCTION("CONCATENATE(GOOGLETRANSLATE(C1388, ""en"", ""ko""))"),"GS-C281 ABS 3.5mm 이어폰형 헤드폰(태블릿 휴대폰용 마이크 포함)")</f>
        <v>GS-C281 ABS 3.5mm 이어폰형 헤드폰(태블릿 휴대폰용 마이크 포함)</v>
      </c>
      <c r="F1388" s="1" t="str">
        <f>IFERROR(__xludf.DUMMYFUNCTION("CONCATENATE(GOOGLETRANSLATE(C1388, ""en"", ""ja""))"),"GS-C281 ABS 3.5mm インイヤーヘッドフォン マイク付き タブレット携帯電話用")</f>
        <v>GS-C281 ABS 3.5mm インイヤーヘッドフォン マイク付き タブレット携帯電話用</v>
      </c>
    </row>
    <row r="1389" ht="15.75" customHeight="1">
      <c r="A1389" s="1">
        <v>2862.0</v>
      </c>
      <c r="B1389" s="1" t="s">
        <v>381</v>
      </c>
      <c r="C1389" s="1" t="s">
        <v>1369</v>
      </c>
      <c r="D1389" s="1" t="str">
        <f>IFERROR(__xludf.DUMMYFUNCTION("CONCATENATE(GOOGLETRANSLATE(C1389, ""en"", ""zh-cn""))"),"GORSUN GS-C6 ABS 3.5mm 入耳式耳机带麦克风适用于平板手机")</f>
        <v>GORSUN GS-C6 ABS 3.5mm 入耳式耳机带麦克风适用于平板手机</v>
      </c>
      <c r="E1389" s="1" t="str">
        <f>IFERROR(__xludf.DUMMYFUNCTION("CONCATENATE(GOOGLETRANSLATE(C1389, ""en"", ""ko""))"),"GORSUN GS-C6 ABS 3.5mm 이어폰형 헤드폰(태블릿 휴대폰용 마이크 포함)")</f>
        <v>GORSUN GS-C6 ABS 3.5mm 이어폰형 헤드폰(태블릿 휴대폰용 마이크 포함)</v>
      </c>
      <c r="F1389" s="1" t="str">
        <f>IFERROR(__xludf.DUMMYFUNCTION("CONCATENATE(GOOGLETRANSLATE(C1389, ""en"", ""ja""))"),"GORSUN GS-C6 ABS 3.5mm インイヤーヘッドフォン マイク付き タブレット携帯電話用")</f>
        <v>GORSUN GS-C6 ABS 3.5mm インイヤーヘッドフォン マイク付き タブレット携帯電話用</v>
      </c>
    </row>
    <row r="1390" ht="15.75" customHeight="1">
      <c r="A1390" s="1">
        <v>2863.0</v>
      </c>
      <c r="B1390" s="1" t="s">
        <v>381</v>
      </c>
      <c r="C1390" s="1" t="s">
        <v>1370</v>
      </c>
      <c r="D1390" s="1" t="str">
        <f>IFERROR(__xludf.DUMMYFUNCTION("CONCATENATE(GOOGLETRANSLATE(C1390, ""en"", ""zh-cn""))")," JOYROOM L202 智能双USB平板手机充电器")</f>
        <v> JOYROOM L202 智能双USB平板手机充电器</v>
      </c>
      <c r="E1390" s="1" t="str">
        <f>IFERROR(__xludf.DUMMYFUNCTION("CONCATENATE(GOOGLETRANSLATE(C1390, ""en"", ""ko""))")," 태블릿 휴대폰용 JOYROOM L202 지능형 이중 USB 충전기")</f>
        <v> 태블릿 휴대폰용 JOYROOM L202 지능형 이중 USB 충전기</v>
      </c>
      <c r="F1390" s="1" t="str">
        <f>IFERROR(__xludf.DUMMYFUNCTION("CONCATENATE(GOOGLETRANSLATE(C1390, ""en"", ""ja""))")," JOYROOM L202 タブレット携帯電話用インテリジェント ダブル USB 充電器")</f>
        <v> JOYROOM L202 タブレット携帯電話用インテリジェント ダブル USB 充電器</v>
      </c>
    </row>
    <row r="1391" ht="15.75" customHeight="1">
      <c r="A1391" s="1">
        <v>2864.0</v>
      </c>
      <c r="B1391" s="1" t="s">
        <v>381</v>
      </c>
      <c r="C1391" s="1" t="s">
        <v>1371</v>
      </c>
      <c r="D1391" s="1" t="str">
        <f>IFERROR(__xludf.DUMMYFUNCTION("CONCATENATE(GOOGLETRANSLATE(C1391, ""en"", ""zh-cn""))"),"Marco 1650彩色铅笔送套装铅笔刨绘图学生绘画24色铅套装文具美术用品")</f>
        <v>Marco 1650彩色铅笔送套装铅笔刨绘图学生绘画24色铅套装文具美术用品</v>
      </c>
      <c r="E1391" s="1" t="str">
        <f>IFERROR(__xludf.DUMMYFUNCTION("CONCATENATE(GOOGLETRANSLATE(C1391, ""en"", ""ko""))"),"마르코 1650 컬러 연필 보내기 세트 연필 대패 드로잉 학생 그림 24 색 리드 세트 편지지 미술 용품")</f>
        <v>마르코 1650 컬러 연필 보내기 세트 연필 대패 드로잉 학생 그림 24 색 리드 세트 편지지 미술 용품</v>
      </c>
      <c r="F1391" s="1" t="str">
        <f>IFERROR(__xludf.DUMMYFUNCTION("CONCATENATE(GOOGLETRANSLATE(C1391, ""en"", ""ja""))"),"マルコ 1650 色鉛筆送信セット鉛筆かんな描画学生絵画 24 色鉛セット文具画材")</f>
        <v>マルコ 1650 色鉛筆送信セット鉛筆かんな描画学生絵画 24 色鉛セット文具画材</v>
      </c>
    </row>
    <row r="1392" ht="15.75" customHeight="1">
      <c r="A1392" s="1">
        <v>2865.0</v>
      </c>
      <c r="B1392" s="1" t="s">
        <v>381</v>
      </c>
      <c r="C1392" s="1" t="s">
        <v>1372</v>
      </c>
      <c r="D1392" s="1" t="str">
        <f>IFERROR(__xludf.DUMMYFUNCTION("CONCATENATE(GOOGLETRANSLATE(C1392, ""en"", ""zh-cn""))"),"Marco 5101B 黑木 12 色铅笔 素描填充和着色涂鸦铅")</f>
        <v>Marco 5101B 黑木 12 色铅笔 素描填充和着色涂鸦铅</v>
      </c>
      <c r="E1392" s="1" t="str">
        <f>IFERROR(__xludf.DUMMYFUNCTION("CONCATENATE(GOOGLETRANSLATE(C1392, ""en"", ""ko""))"),"마르코 5101B 블랙 우드 12색 연필 필링 및 채색 스케치용 그래피티 리드")</f>
        <v>마르코 5101B 블랙 우드 12색 연필 필링 및 채색 스케치용 그래피티 리드</v>
      </c>
      <c r="F1392" s="1" t="str">
        <f>IFERROR(__xludf.DUMMYFUNCTION("CONCATENATE(GOOGLETRANSLATE(C1392, ""en"", ""ja""))"),"マルコ 5101B ブラックウッド 12 色鉛筆充填と着色落書きリードスケッチ用")</f>
        <v>マルコ 5101B ブラックウッド 12 色鉛筆充填と着色落書きリードスケッチ用</v>
      </c>
    </row>
    <row r="1393" ht="15.75" customHeight="1">
      <c r="A1393" s="1">
        <v>2866.0</v>
      </c>
      <c r="B1393" s="1" t="s">
        <v>381</v>
      </c>
      <c r="C1393" s="1" t="s">
        <v>1373</v>
      </c>
      <c r="D1393" s="1" t="str">
        <f>IFERROR(__xludf.DUMMYFUNCTION("CONCATENATE(GOOGLETRANSLATE(C1393, ""en"", ""zh-cn""))"),"玛丽斯木炭条棉柳碳棒美术专用软木炭素描铅笔用品练习用")</f>
        <v>玛丽斯木炭条棉柳碳棒美术专用软木炭素描铅笔用品练习用</v>
      </c>
      <c r="E1393" s="1" t="str">
        <f>IFERROR(__xludf.DUMMYFUNCTION("CONCATENATE(GOOGLETRANSLATE(C1393, ""en"", ""ko""))"),"Maries 숯 스트립 목화 버드나무 탄소 막대 아트 연습을 위한 특수 부드러운 숯 스케치 연필 용품")</f>
        <v>Maries 숯 스트립 목화 버드나무 탄소 막대 아트 연습을 위한 특수 부드러운 숯 스케치 연필 용품</v>
      </c>
      <c r="F1393" s="1" t="str">
        <f>IFERROR(__xludf.DUMMYFUNCTION("CONCATENATE(GOOGLETRANSLATE(C1393, ""en"", ""ja""))"),"マリーズ木炭ストリップ綿ヤナギカーボンロッドアート特別なソフト木炭スケッチ鉛筆用品練習用")</f>
        <v>マリーズ木炭ストリップ綿ヤナギカーボンロッドアート特別なソフト木炭スケッチ鉛筆用品練習用</v>
      </c>
    </row>
    <row r="1394" ht="15.75" customHeight="1">
      <c r="A1394" s="1">
        <v>2867.0</v>
      </c>
      <c r="B1394" s="1" t="s">
        <v>381</v>
      </c>
      <c r="C1394" s="1" t="s">
        <v>1374</v>
      </c>
      <c r="D1394" s="1" t="str">
        <f>IFERROR(__xludf.DUMMYFUNCTION("CONCATENATE(GOOGLETRANSLATE(C1394, ""en"", ""zh-cn""))"),"Maries F2012 36/48 色铅笔艺术专用手绘专业粉彩棒粉笔用于涂鸦")</f>
        <v>Maries F2012 36/48 色铅笔艺术专用手绘专业粉彩棒粉笔用于涂鸦</v>
      </c>
      <c r="E1394" s="1" t="str">
        <f>IFERROR(__xludf.DUMMYFUNCTION("CONCATENATE(GOOGLETRANSLATE(C1394, ""en"", ""ko""))"),"Maries F2012 36/48 색 연필 아트 Grafitti 전용 손으로 그린 ​​전문 파스텔 스틱 분필")</f>
        <v>Maries F2012 36/48 색 연필 아트 Grafitti 전용 손으로 그린 ​​전문 파스텔 스틱 분필</v>
      </c>
      <c r="F1394" s="1" t="str">
        <f>IFERROR(__xludf.DUMMYFUNCTION("CONCATENATE(GOOGLETRANSLATE(C1394, ""en"", ""ja""))"),"マリーズ F2012 36/48 色鉛筆アート専用手描きプロパステルスティックチョークグラフィティ用")</f>
        <v>マリーズ F2012 36/48 色鉛筆アート専用手描きプロパステルスティックチョークグラフィティ用</v>
      </c>
    </row>
    <row r="1395" ht="15.75" customHeight="1">
      <c r="A1395" s="1">
        <v>2868.0</v>
      </c>
      <c r="B1395" s="1" t="s">
        <v>381</v>
      </c>
      <c r="C1395" s="1" t="s">
        <v>1375</v>
      </c>
      <c r="D1395" s="1" t="str">
        <f>IFERROR(__xludf.DUMMYFUNCTION("CONCATENATE(GOOGLETRANSLATE(C1395, ""en"", ""zh-cn""))"),"BIDENUO G780 线控耳机 3.5 毫米入耳式耳机带麦克风适用于手机平板电脑")</f>
        <v>BIDENUO G780 线控耳机 3.5 毫米入耳式耳机带麦克风适用于手机平板电脑</v>
      </c>
      <c r="E1395" s="1" t="str">
        <f>IFERROR(__xludf.DUMMYFUNCTION("CONCATENATE(GOOGLETRANSLATE(C1395, ""en"", ""ko""))"),"BIDENUO G780 와이어 헤드셋 3.5mm 이어폰형 헤드폰(마이크 포함) 휴대폰 태블릿용")</f>
        <v>BIDENUO G780 와이어 헤드셋 3.5mm 이어폰형 헤드폰(마이크 포함) 휴대폰 태블릿용</v>
      </c>
      <c r="F1395" s="1" t="str">
        <f>IFERROR(__xludf.DUMMYFUNCTION("CONCATENATE(GOOGLETRANSLATE(C1395, ""en"", ""ja""))"),"BIDENUO G780 ワイヤーヘッドセット 3.5mm インイヤーヘッドフォン マイク付き 携帯電話 タブレット用")</f>
        <v>BIDENUO G780 ワイヤーヘッドセット 3.5mm インイヤーヘッドフォン マイク付き 携帯電話 タブレット用</v>
      </c>
    </row>
    <row r="1396" ht="15.75" customHeight="1">
      <c r="A1396" s="1">
        <v>2869.0</v>
      </c>
      <c r="B1396" s="1" t="s">
        <v>381</v>
      </c>
      <c r="C1396" s="1" t="s">
        <v>1376</v>
      </c>
      <c r="D1396" s="1" t="str">
        <f>IFERROR(__xludf.DUMMYFUNCTION("CONCATENATE(GOOGLETRANSLATE(C1396, ""en"", ""zh-cn""))"),"1M Type-C 转 USB-A 平板手机充电编织线")</f>
        <v>1M Type-C 转 USB-A 平板手机充电编织线</v>
      </c>
      <c r="E1396" s="1" t="str">
        <f>IFERROR(__xludf.DUMMYFUNCTION("CONCATENATE(GOOGLETRANSLATE(C1396, ""en"", ""ko""))"),"태블릿 휴대폰용 1M Typc-C - USB-A 충전 편조 케이블")</f>
        <v>태블릿 휴대폰용 1M Typc-C - USB-A 충전 편조 케이블</v>
      </c>
      <c r="F1396" s="1" t="str">
        <f>IFERROR(__xludf.DUMMYFUNCTION("CONCATENATE(GOOGLETRANSLATE(C1396, ""en"", ""ja""))"),"タブレット携帯電話用 1M Typc-C to USB-A 充電編組ケーブル")</f>
        <v>タブレット携帯電話用 1M Typc-C to USB-A 充電編組ケーブル</v>
      </c>
    </row>
    <row r="1397" ht="15.75" customHeight="1">
      <c r="A1397" s="1">
        <v>2870.0</v>
      </c>
      <c r="B1397" s="1" t="s">
        <v>381</v>
      </c>
      <c r="C1397" s="1" t="s">
        <v>1377</v>
      </c>
      <c r="D1397" s="1" t="str">
        <f>IFERROR(__xludf.DUMMYFUNCTION("CONCATENATE(GOOGLETRANSLATE(C1397, ""en"", ""zh-cn""))"),"20T GT2 铝制同步皮带轮 2GT 5M 皮带适用于 RepRap Prusa Mendel 3D 打印机")</f>
        <v>20T GT2 铝制同步皮带轮 2GT 5M 皮带适用于 RepRap Prusa Mendel 3D 打印机</v>
      </c>
      <c r="E1397" s="1" t="str">
        <f>IFERROR(__xludf.DUMMYFUNCTION("CONCATENATE(GOOGLETRANSLATE(C1397, ""en"", ""ko""))"),"RepRap Prusa Mendel 3D 프린터용 20T GT2 알루미늄 타이밍 풀리 2GT 5M 벨트")</f>
        <v>RepRap Prusa Mendel 3D 프린터용 20T GT2 알루미늄 타이밍 풀리 2GT 5M 벨트</v>
      </c>
      <c r="F1397" s="1" t="str">
        <f>IFERROR(__xludf.DUMMYFUNCTION("CONCATENATE(GOOGLETRANSLATE(C1397, ""en"", ""ja""))"),"20T GT2 アルミタイミングプーリー 2GT 5 メートルベルト RepRap Prusa Mendel 3D プリンタ用")</f>
        <v>20T GT2 アルミタイミングプーリー 2GT 5 メートルベルト RepRap Prusa Mendel 3D プリンタ用</v>
      </c>
    </row>
    <row r="1398" ht="15.75" customHeight="1">
      <c r="A1398" s="1">
        <v>2871.0</v>
      </c>
      <c r="B1398" s="1" t="s">
        <v>381</v>
      </c>
      <c r="C1398" s="1" t="s">
        <v>1378</v>
      </c>
      <c r="D1398" s="1" t="str">
        <f>IFERROR(__xludf.DUMMYFUNCTION("CONCATENATE(GOOGLETRANSLATE(C1398, ""en"", ""zh-cn""))"),"200*3mm 圆形加热床加热垫隔热棉带软木胶用于 3D 打印机 Reprap Ultimaker Makerbot")</f>
        <v>200*3mm 圆形加热床加热垫隔热棉带软木胶用于 3D 打印机 Reprap Ultimaker Makerbot</v>
      </c>
      <c r="E1398" s="1" t="str">
        <f>IFERROR(__xludf.DUMMYFUNCTION("CONCATENATE(GOOGLETRANSLATE(C1398, ""en"", ""ko""))"),"200*3mm 원형 가열 침대 가열 패드 3D 프린터 용 코르크 접착제가있는 절연 면화 Reprap Ultimaker Makerbot")</f>
        <v>200*3mm 원형 가열 침대 가열 패드 3D 프린터 용 코르크 접착제가있는 절연 면화 Reprap Ultimaker Makerbot</v>
      </c>
      <c r="F1398" s="1" t="str">
        <f>IFERROR(__xludf.DUMMYFUNCTION("CONCATENATE(GOOGLETRANSLATE(C1398, ""en"", ""ja""))"),"200*3 ミリメートルラウンド加熱ベッド加熱パッド絶縁綿コルク接着剤 3D プリンタ Reprap Ultimaker Makerbot")</f>
        <v>200*3 ミリメートルラウンド加熱ベッド加熱パッド絶縁綿コルク接着剤 3D プリンタ Reprap Ultimaker Makerbot</v>
      </c>
    </row>
    <row r="1399" ht="15.75" customHeight="1">
      <c r="A1399" s="1">
        <v>2872.0</v>
      </c>
      <c r="B1399" s="1" t="s">
        <v>381</v>
      </c>
      <c r="C1399" s="1" t="s">
        <v>1379</v>
      </c>
      <c r="D1399" s="1" t="str">
        <f>IFERROR(__xludf.DUMMYFUNCTION("CONCATENATE(GOOGLETRANSLATE(C1399, ""en"", ""zh-cn""))"),"Ender 3 V2/Pro 3D 打印机升级套件 Black Knight 套件和皮带螺丝，用于正品 Hiwin 线性导轨改进")</f>
        <v>Ender 3 V2/Pro 3D 打印机升级套件 Black Knight 套件和皮带螺丝，用于正品 Hiwin 线性导轨改进</v>
      </c>
      <c r="E1399" s="1" t="str">
        <f>IFERROR(__xludf.DUMMYFUNCTION("CONCATENATE(GOOGLETRANSLATE(C1399, ""en"", ""ko""))"),"Ender 3 V2/Pro 3D 프린터 업그레이드 키트 정품 Hiwin 선형 레일 개선을 위한 Black Knight 키트 및 벨트 나사")</f>
        <v>Ender 3 V2/Pro 3D 프린터 업그레이드 키트 정품 Hiwin 선형 레일 개선을 위한 Black Knight 키트 및 벨트 나사</v>
      </c>
      <c r="F1399" s="1" t="str">
        <f>IFERROR(__xludf.DUMMYFUNCTION("CONCATENATE(GOOGLETRANSLATE(C1399, ""en"", ""ja""))"),"Ender 3 V2/Pro 3D プリンタ アップグレード キット Black Knight キットと純正 Hiwin リニア レール改善用ベルトネジ")</f>
        <v>Ender 3 V2/Pro 3D プリンタ アップグレード キット Black Knight キットと純正 Hiwin リニア レール改善用ベルトネジ</v>
      </c>
    </row>
    <row r="1400" ht="15.75" customHeight="1">
      <c r="A1400" s="1">
        <v>2873.0</v>
      </c>
      <c r="B1400" s="1" t="s">
        <v>381</v>
      </c>
      <c r="C1400" s="1" t="s">
        <v>1380</v>
      </c>
      <c r="D1400" s="1" t="str">
        <f>IFERROR(__xludf.DUMMYFUNCTION("CONCATENATE(GOOGLETRANSLATE(C1400, ""en"", ""zh-cn""))"),"Ender3 CR10 V6 双金属绝缘钛合金铜喉适用于 E3D V6 CR10 ENDER 5/3 CR-10S 1.75/4.1MM 热端 3D 打印机")</f>
        <v>Ender3 CR10 V6 双金属绝缘钛合金铜喉适用于 E3D V6 CR10 ENDER 5/3 CR-10S 1.75/4.1MM 热端 3D 打印机</v>
      </c>
      <c r="E1400" s="1" t="str">
        <f>IFERROR(__xludf.DUMMYFUNCTION("CONCATENATE(GOOGLETRANSLATE(C1400, ""en"", ""ko""))"),"Ender3 CR10 V6 E3D V6 CR10 ENDER 5/3 CR-10S 1.75/4.1MM Hotend 3D 프린터용 이중금속 절연 티타늄 합금 구리 목구멍")</f>
        <v>Ender3 CR10 V6 E3D V6 CR10 ENDER 5/3 CR-10S 1.75/4.1MM Hotend 3D 프린터용 이중금속 절연 티타늄 합금 구리 목구멍</v>
      </c>
      <c r="F1400" s="1" t="str">
        <f>IFERROR(__xludf.DUMMYFUNCTION("CONCATENATE(GOOGLETRANSLATE(C1400, ""en"", ""ja""))"),"Ender3 CR10 V6 バイメタル絶縁チタン合金銅スロート E3D V6 CR10 ENDER 5/3 CR-10S 1.75/4.1MM Hotend 3D プリンタ用")</f>
        <v>Ender3 CR10 V6 バイメタル絶縁チタン合金銅スロート E3D V6 CR10 ENDER 5/3 CR-10S 1.75/4.1MM Hotend 3D プリンタ用</v>
      </c>
    </row>
    <row r="1401" ht="15.75" customHeight="1">
      <c r="A1401" s="1">
        <v>2874.0</v>
      </c>
      <c r="B1401" s="1" t="s">
        <v>381</v>
      </c>
      <c r="C1401" s="1" t="s">
        <v>1381</v>
      </c>
      <c r="D1401" s="1" t="str">
        <f>IFERROR(__xludf.DUMMYFUNCTION("CONCATENATE(GOOGLETRANSLATE(C1401, ""en"", ""zh-cn""))"),"80x 光盘 CD DVD 便携式塑料收纳盒钱包硬盒包袋")</f>
        <v>80x 光盘 CD DVD 便携式塑料收纳盒钱包硬盒包袋</v>
      </c>
      <c r="E1401" s="1" t="str">
        <f>IFERROR(__xludf.DUMMYFUNCTION("CONCATENATE(GOOGLETRANSLATE(C1401, ""en"", ""ko""))"),"디스크 CD DVD 휴대용 플라스틱 보관 케이스 지갑 하드 박스 가방 홀더 80개")</f>
        <v>디스크 CD DVD 휴대용 플라스틱 보관 케이스 지갑 하드 박스 가방 홀더 80개</v>
      </c>
      <c r="F1401" s="1" t="str">
        <f>IFERROR(__xludf.DUMMYFUNCTION("CONCATENATE(GOOGLETRANSLATE(C1401, ""en"", ""ja""))"),"80x ディスク CD DVD ポータブルプラスチック収納ケース財布ハードボックスバッグホルダー")</f>
        <v>80x ディスク CD DVD ポータブルプラスチック収納ケース財布ハードボックスバッグホルダー</v>
      </c>
    </row>
    <row r="1402" ht="15.75" customHeight="1">
      <c r="A1402" s="1">
        <v>2875.0</v>
      </c>
      <c r="B1402" s="1" t="s">
        <v>381</v>
      </c>
      <c r="C1402" s="1" t="s">
        <v>1382</v>
      </c>
      <c r="D1402" s="1" t="str">
        <f>IFERROR(__xludf.DUMMYFUNCTION("CONCATENATE(GOOGLETRANSLATE(C1402, ""en"", ""zh-cn""))"),"123 键夏季喷漆键帽套装 XDA 热升华 PBT 机械键盘定制键帽")</f>
        <v>123 键夏季喷漆键帽套装 XDA 热升华 PBT 机械键盘定制键帽</v>
      </c>
      <c r="E1402" s="1" t="str">
        <f>IFERROR(__xludf.DUMMYFUNCTION("CONCATENATE(GOOGLETRANSLATE(C1402, ""en"", ""ko""))"),"123 키 여름 그림 키 캡 세트 XDA 프로필 승화 PBT 기계식 키보드 용 사용자 정의 키 캡")</f>
        <v>123 키 여름 그림 키 캡 세트 XDA 프로필 승화 PBT 기계식 키보드 용 사용자 정의 키 캡</v>
      </c>
      <c r="F1402" s="1" t="str">
        <f>IFERROR(__xludf.DUMMYFUNCTION("CONCATENATE(GOOGLETRANSLATE(C1402, ""en"", ""ja""))"),"123 キー夏塗装キーキャップセット XDA プロファイル昇華 PBT カスタムキーキャップメカニカルキーボード用")</f>
        <v>123 キー夏塗装キーキャップセット XDA プロファイル昇華 PBT カスタムキーキャップメカニカルキーボード用</v>
      </c>
    </row>
    <row r="1403" ht="15.75" customHeight="1">
      <c r="A1403" s="1">
        <v>2876.0</v>
      </c>
      <c r="B1403" s="1" t="s">
        <v>381</v>
      </c>
      <c r="C1403" s="1" t="s">
        <v>1383</v>
      </c>
      <c r="D1403" s="1" t="str">
        <f>IFERROR(__xludf.DUMMYFUNCTION("CONCATENATE(GOOGLETRANSLATE(C1403, ""en"", ""zh-cn""))"),"45 件 DAREU 糖果机械开关 5 针透明盖线性开关适用于 DIY 定制机械键盘")</f>
        <v>45 件 DAREU 糖果机械开关 5 针透明盖线性开关适用于 DIY 定制机械键盘</v>
      </c>
      <c r="E1403" s="1" t="str">
        <f>IFERROR(__xludf.DUMMYFUNCTION("CONCATENATE(GOOGLETRANSLATE(C1403, ""en"", ""ko""))"),"45Pcs DAREU 캔디 기계식 스위치 DIY 맞춤형 기계식 키보드 용 5 핀 투명 커버 선형 스위치")</f>
        <v>45Pcs DAREU 캔디 기계식 스위치 DIY 맞춤형 기계식 키보드 용 5 핀 투명 커버 선형 스위치</v>
      </c>
      <c r="F1403" s="1" t="str">
        <f>IFERROR(__xludf.DUMMYFUNCTION("CONCATENATE(GOOGLETRANSLATE(C1403, ""en"", ""ja""))"),"45 個 DAREU キャンディメカニカルスイッチ 5 ピン透明カバーリニアスイッチ DIY カスタマイズされたメカニカルキーボード用")</f>
        <v>45 個 DAREU キャンディメカニカルスイッチ 5 ピン透明カバーリニアスイッチ DIY カスタマイズされたメカニカルキーボード用</v>
      </c>
    </row>
    <row r="1404" ht="15.75" customHeight="1">
      <c r="A1404" s="1">
        <v>2877.0</v>
      </c>
      <c r="B1404" s="1" t="s">
        <v>381</v>
      </c>
      <c r="C1404" s="1" t="s">
        <v>1384</v>
      </c>
      <c r="D1404" s="1" t="str">
        <f>IFERROR(__xludf.DUMMYFUNCTION("CONCATENATE(GOOGLETRANSLATE(C1404, ""en"", ""zh-cn""))"),"Red Lizard V5 Pro V6 热端组件双金属隔热镀铜热端适用于 CR-10 CR10S Ender-3 V2 Ender-3 3D 打印机零件")</f>
        <v>Red Lizard V5 Pro V6 热端组件双金属隔热镀铜热端适用于 CR-10 CR10S Ender-3 V2 Ender-3 3D 打印机零件</v>
      </c>
      <c r="E1404" s="1" t="str">
        <f>IFERROR(__xludf.DUMMYFUNCTION("CONCATENATE(GOOGLETRANSLATE(C1404, ""en"", ""ko""))"),"Red Lizard V5 Pro V6 핫 엔드 어셈블리 CR-10 CR10S Ender-3 V2 Ender-3 3D 프린터 부품 용 바이메탈 단열 구리 도금 핫 엔드")</f>
        <v>Red Lizard V5 Pro V6 핫 엔드 어셈블리 CR-10 CR10S Ender-3 V2 Ender-3 3D 프린터 부품 용 바이메탈 단열 구리 도금 핫 엔드</v>
      </c>
      <c r="F1404" s="1" t="str">
        <f>IFERROR(__xludf.DUMMYFUNCTION("CONCATENATE(GOOGLETRANSLATE(C1404, ""en"", ""ja""))"),"レッドリザード V5 プロ V6 ホットエンドアセンブリバイメタル断熱銅メッキホットエンド CR-10 CR10S Ender-3 V2 Ender-3 3D プリンタ部品")</f>
        <v>レッドリザード V5 プロ V6 ホットエンドアセンブリバイメタル断熱銅メッキホットエンド CR-10 CR10S Ender-3 V2 Ender-3 3D プリンタ部品</v>
      </c>
    </row>
    <row r="1405" ht="15.75" customHeight="1">
      <c r="A1405" s="1">
        <v>2878.0</v>
      </c>
      <c r="B1405" s="1" t="s">
        <v>381</v>
      </c>
      <c r="C1405" s="1" t="s">
        <v>1385</v>
      </c>
      <c r="D1405" s="1" t="str">
        <f>IFERROR(__xludf.DUMMYFUNCTION("CONCATENATE(GOOGLETRANSLATE(C1405, ""en"", ""zh-cn""))"),"5 件装一种尺寸黄铜加热块喷嘴 1.75 毫米 0.4/0.6/0.8/1/1.2 毫米，适用于 3D 打印机")</f>
        <v>5 件装一种尺寸黄铜加热块喷嘴 1.75 毫米 0.4/0.6/0.8/1/1.2 毫米，适用于 3D 打印机</v>
      </c>
      <c r="E1405" s="1" t="str">
        <f>IFERROR(__xludf.DUMMYFUNCTION("CONCATENATE(GOOGLETRANSLATE(C1405, ""en"", ""ko""))"),"단일 크기 황동 가열 블록 노즐 용 5Pcs 3D 프린터 용 1.75mm 0.4/0.6/0.8/1/1.2mm")</f>
        <v>단일 크기 황동 가열 블록 노즐 용 5Pcs 3D 프린터 용 1.75mm 0.4/0.6/0.8/1/1.2mm</v>
      </c>
      <c r="F1405" s="1" t="str">
        <f>IFERROR(__xludf.DUMMYFUNCTION("CONCATENATE(GOOGLETRANSLATE(C1405, ""en"", ""ja""))"),"5 個ワンサイズ真鍮加熱ブロックノズル 1.75 ミリメートル 0.4/0.6/0.8/1/1.2 ミリメートル 3D プリンタ用")</f>
        <v>5 個ワンサイズ真鍮加熱ブロックノズル 1.75 ミリメートル 0.4/0.6/0.8/1/1.2 ミリメートル 3D プリンタ用</v>
      </c>
    </row>
    <row r="1406" ht="15.75" customHeight="1">
      <c r="A1406" s="1">
        <v>2879.0</v>
      </c>
      <c r="B1406" s="1" t="s">
        <v>381</v>
      </c>
      <c r="C1406" s="1" t="s">
        <v>1386</v>
      </c>
      <c r="D1406" s="1" t="str">
        <f>IFERROR(__xludf.DUMMYFUNCTION("CONCATENATE(GOOGLETRANSLATE(C1406, ""en"", ""zh-cn""))"),"16 件万圣节绘画模板绘画模板 DIY 涂鸦配件镂空模板油漆艺术设计")</f>
        <v>16 件万圣节绘画模板绘画模板 DIY 涂鸦配件镂空模板油漆艺术设计</v>
      </c>
      <c r="E1406" s="1" t="str">
        <f>IFERROR(__xludf.DUMMYFUNCTION("CONCATENATE(GOOGLETRANSLATE(C1406, ""en"", ""ko""))"),"16pcs 할로윈 그림 템플릿 그림 템플릿 DIY 낙서 액세서리 중공 템플릿 페인트 아트 디자인")</f>
        <v>16pcs 할로윈 그림 템플릿 그림 템플릿 DIY 낙서 액세서리 중공 템플릿 페인트 아트 디자인</v>
      </c>
      <c r="F1406" s="1" t="str">
        <f>IFERROR(__xludf.DUMMYFUNCTION("CONCATENATE(GOOGLETRANSLATE(C1406, ""en"", ""ja""))"),"16 個ハロウィン絵画テンプレート絵画テンプレート DIY 落書きアクセサリー中空テンプレートペイントアートデザイン")</f>
        <v>16 個ハロウィン絵画テンプレート絵画テンプレート DIY 落書きアクセサリー中空テンプレートペイントアートデザイン</v>
      </c>
    </row>
    <row r="1407" ht="15.75" customHeight="1">
      <c r="A1407" s="1">
        <v>2880.0</v>
      </c>
      <c r="B1407" s="1" t="s">
        <v>381</v>
      </c>
      <c r="C1407" s="1" t="s">
        <v>1387</v>
      </c>
      <c r="D1407" s="1" t="str">
        <f>IFERROR(__xludf.DUMMYFUNCTION("CONCATENATE(GOOGLETRANSLATE(C1407, ""en"", ""zh-cn""))"),"28 件 DIY 万圣节镂空模板绘画套装快乐镂空绘画装饰墙画成人儿童")</f>
        <v>28 件 DIY 万圣节镂空模板绘画套装快乐镂空绘画装饰墙画成人儿童</v>
      </c>
      <c r="E1407" s="1" t="str">
        <f>IFERROR(__xludf.DUMMYFUNCTION("CONCATENATE(GOOGLETRANSLATE(C1407, ""en"", ""ko""))"),"28pcs DIY 할로윈 Hollowed 템플릿 그림 세트 성인 어린이를위한 Happy Hollowed 드로잉 장식 벽화")</f>
        <v>28pcs DIY 할로윈 Hollowed 템플릿 그림 세트 성인 어린이를위한 Happy Hollowed 드로잉 장식 벽화</v>
      </c>
      <c r="F1407" s="1" t="str">
        <f>IFERROR(__xludf.DUMMYFUNCTION("CONCATENATE(GOOGLETRANSLATE(C1407, ""en"", ""ja""))"),"28 個 DIY ハロウィン中空テンプレート絵画セットハッピー中空描画装飾壁画大人子供用")</f>
        <v>28 個 DIY ハロウィン中空テンプレート絵画セットハッピー中空描画装飾壁画大人子供用</v>
      </c>
    </row>
    <row r="1408" ht="15.75" customHeight="1">
      <c r="A1408" s="1">
        <v>2881.0</v>
      </c>
      <c r="B1408" s="1" t="s">
        <v>381</v>
      </c>
      <c r="C1408" s="1" t="s">
        <v>1388</v>
      </c>
      <c r="D1408" s="1" t="str">
        <f>IFERROR(__xludf.DUMMYFUNCTION("CONCATENATE(GOOGLETRANSLATE(C1408, ""en"", ""zh-cn""))"),"CR-6 SE 装配热端，适用于 CR-5 CR5 PRO CR6 SE 3D 打印机零件的全金属挤出机")</f>
        <v>CR-6 SE 装配热端，适用于 CR-5 CR5 PRO CR6 SE 3D 打印机零件的全金属挤出机</v>
      </c>
      <c r="E1408" s="1" t="str">
        <f>IFERROR(__xludf.DUMMYFUNCTION("CONCATENATE(GOOGLETRANSLATE(C1408, ""en"", ""ko""))"),"CR-5 CR5 PRO CR6 SE 3D 프린터 부품용 모든 금속 압출 압출기용 CR-6 SE 어셈블리 핫 엔드")</f>
        <v>CR-5 CR5 PRO CR6 SE 3D 프린터 부품용 모든 금속 압출 압출기용 CR-6 SE 어셈블리 핫 엔드</v>
      </c>
      <c r="F1408" s="1" t="str">
        <f>IFERROR(__xludf.DUMMYFUNCTION("CONCATENATE(GOOGLETRANSLATE(C1408, ""en"", ""ja""))"),"CR-6 SE アセンブリホットエンドすべての金属押出押出機 CR-5 CR5 プロ CR6 SE 3D プリンタ部品")</f>
        <v>CR-6 SE アセンブリホットエンドすべての金属押出押出機 CR-5 CR5 プロ CR6 SE 3D プリンタ部品</v>
      </c>
    </row>
    <row r="1409" ht="15.75" customHeight="1">
      <c r="A1409" s="1">
        <v>2882.0</v>
      </c>
      <c r="B1409" s="1" t="s">
        <v>381</v>
      </c>
      <c r="C1409" s="1" t="s">
        <v>1389</v>
      </c>
      <c r="D1409" s="1" t="str">
        <f>IFERROR(__xludf.DUMMYFUNCTION("CONCATENATE(GOOGLETRANSLATE(C1409, ""en"", ""zh-cn""))"),"USB 3.1 C 型至 HD 电缆转换器适配器")</f>
        <v>USB 3.1 C 型至 HD 电缆转换器适配器</v>
      </c>
      <c r="E1409" s="1" t="str">
        <f>IFERROR(__xludf.DUMMYFUNCTION("CONCATENATE(GOOGLETRANSLATE(C1409, ""en"", ""ko""))"),"USB 3.1 유형 C-HD 케이블 변환기 어댑터")</f>
        <v>USB 3.1 유형 C-HD 케이블 변환기 어댑터</v>
      </c>
      <c r="F1409" s="1" t="str">
        <f>IFERROR(__xludf.DUMMYFUNCTION("CONCATENATE(GOOGLETRANSLATE(C1409, ""en"", ""ja""))"),"USB 3.1 Type C - HD ケーブル変換アダプター")</f>
        <v>USB 3.1 Type C - HD ケーブル変換アダプター</v>
      </c>
    </row>
    <row r="1410" ht="15.75" customHeight="1">
      <c r="A1410" s="1">
        <v>2883.0</v>
      </c>
      <c r="B1410" s="1" t="s">
        <v>381</v>
      </c>
      <c r="C1410" s="1" t="s">
        <v>1390</v>
      </c>
      <c r="D1410" s="1" t="str">
        <f>IFERROR(__xludf.DUMMYFUNCTION("CONCATENATE(GOOGLETRANSLATE(C1410, ""en"", ""zh-cn""))"),"PU 皮革折叠支架保护套适用于 ALLDOCUBE Cube T12/Cube T10 平板电脑")</f>
        <v>PU 皮革折叠支架保护套适用于 ALLDOCUBE Cube T12/Cube T10 平板电脑</v>
      </c>
      <c r="E1410" s="1" t="str">
        <f>IFERROR(__xludf.DUMMYFUNCTION("CONCATENATE(GOOGLETRANSLATE(C1410, ""en"", ""ko""))"),"ALLDOCUBE Cube T12/Cube T10 태블릿용 PU 가죽 접이식 스탠드 케이스 커버")</f>
        <v>ALLDOCUBE Cube T12/Cube T10 태블릿용 PU 가죽 접이식 스탠드 케이스 커버</v>
      </c>
      <c r="F1410" s="1" t="str">
        <f>IFERROR(__xludf.DUMMYFUNCTION("CONCATENATE(GOOGLETRANSLATE(C1410, ""en"", ""ja""))"),"ALLDOCUBE Cube T12/Cube T10 タブレット用 PU レザー折りたたみスタンド ケース カバー")</f>
        <v>ALLDOCUBE Cube T12/Cube T10 タブレット用 PU レザー折りたたみスタンド ケース カバー</v>
      </c>
    </row>
    <row r="1411" ht="15.75" customHeight="1">
      <c r="A1411" s="1">
        <v>2884.0</v>
      </c>
      <c r="B1411" s="1" t="s">
        <v>381</v>
      </c>
      <c r="C1411" s="1" t="s">
        <v>1391</v>
      </c>
      <c r="D1411" s="1" t="str">
        <f>IFERROR(__xludf.DUMMYFUNCTION("CONCATENATE(GOOGLETRANSLATE(C1411, ""en"", ""zh-cn""))"),"3 件 3D 打印机 12V DC 50mm*50mm 径向冷却风扇")</f>
        <v>3 件 3D 打印机 12V DC 50mm*50mm 径向冷却风扇</v>
      </c>
      <c r="E1411" s="1" t="str">
        <f>IFERROR(__xludf.DUMMYFUNCTION("CONCATENATE(GOOGLETRANSLATE(C1411, ""en"", ""ko""))"),"3Pcs 3D 프린터 12V DC 50mm*50mm 블로우 방사형 냉각 팬")</f>
        <v>3Pcs 3D 프린터 12V DC 50mm*50mm 블로우 방사형 냉각 팬</v>
      </c>
      <c r="F1411" s="1" t="str">
        <f>IFERROR(__xludf.DUMMYFUNCTION("CONCATENATE(GOOGLETRANSLATE(C1411, ""en"", ""ja""))"),"3D プリンタ 12V DC 50mm*50mm ブローラジアル冷却ファン 3 個")</f>
        <v>3D プリンタ 12V DC 50mm*50mm ブローラジアル冷却ファン 3 個</v>
      </c>
    </row>
    <row r="1412" ht="15.75" customHeight="1">
      <c r="A1412" s="1">
        <v>2885.0</v>
      </c>
      <c r="B1412" s="1" t="s">
        <v>381</v>
      </c>
      <c r="C1412" s="1" t="s">
        <v>1392</v>
      </c>
      <c r="D1412" s="1" t="str">
        <f>IFERROR(__xludf.DUMMYFUNCTION("CONCATENATE(GOOGLETRANSLATE(C1412, ""en"", ""zh-cn""))"),"UMI A4 纸质文件整理文件夹封面架文件办公学校用品")</f>
        <v>UMI A4 纸质文件整理文件夹封面架文件办公学校用品</v>
      </c>
      <c r="E1412" s="1" t="str">
        <f>IFERROR(__xludf.DUMMYFUNCTION("CONCATENATE(GOOGLETRANSLATE(C1412, ""en"", ""ko""))"),"UMI A4 종이 파일 정리 폴더 커버 홀더 문서 사무실 학교 용품")</f>
        <v>UMI A4 종이 파일 정리 폴더 커버 홀더 문서 사무실 학교 용품</v>
      </c>
      <c r="F1412" s="1" t="str">
        <f>IFERROR(__xludf.DUMMYFUNCTION("CONCATENATE(GOOGLETRANSLATE(C1412, ""en"", ""ja""))"),"UMI A4 紙ファイル整理フォルダーカバーホルダードキュメントオフィス学用品")</f>
        <v>UMI A4 紙ファイル整理フォルダーカバーホルダードキュメントオフィス学用品</v>
      </c>
    </row>
    <row r="1413" ht="15.75" customHeight="1">
      <c r="A1413" s="1">
        <v>2886.0</v>
      </c>
      <c r="B1413" s="1" t="s">
        <v>381</v>
      </c>
      <c r="C1413" s="1" t="s">
        <v>1393</v>
      </c>
      <c r="D1413" s="1" t="str">
        <f>IFERROR(__xludf.DUMMYFUNCTION("CONCATENATE(GOOGLETRANSLATE(C1413, ""en"", ""zh-cn""))"),"台电 Tbook 16 Power 纳米软防爆膜屏幕保护膜")</f>
        <v>台电 Tbook 16 Power 纳米软防爆膜屏幕保护膜</v>
      </c>
      <c r="E1413" s="1" t="str">
        <f>IFERROR(__xludf.DUMMYFUNCTION("CONCATENATE(GOOGLETRANSLATE(C1413, ""en"", ""ko""))"),"Teclast Tbook 16 Power용 나노 소프트 방폭형 멤브레인 스크린 보호 필름")</f>
        <v>Teclast Tbook 16 Power용 나노 소프트 방폭형 멤브레인 스크린 보호 필름</v>
      </c>
      <c r="F1413" s="1" t="str">
        <f>IFERROR(__xludf.DUMMYFUNCTION("CONCATENATE(GOOGLETRANSLATE(C1413, ""en"", ""ja""))"),"ナノソフト防爆膜スクリーン保護フィルム Teclast Tbook 16 電源")</f>
        <v>ナノソフト防爆膜スクリーン保護フィルム Teclast Tbook 16 電源</v>
      </c>
    </row>
    <row r="1414" ht="15.75" customHeight="1">
      <c r="A1414" s="1">
        <v>2887.0</v>
      </c>
      <c r="B1414" s="1" t="s">
        <v>381</v>
      </c>
      <c r="C1414" s="1" t="s">
        <v>1394</v>
      </c>
      <c r="D1414" s="1" t="str">
        <f>IFERROR(__xludf.DUMMYFUNCTION("CONCATENATE(GOOGLETRANSLATE(C1414, ""en"", ""zh-cn""))"),"Deli 72364 学生学习挂书包书桌收纳神器创意牛津布收纳学习用品")</f>
        <v>Deli 72364 学生学习挂书包书桌收纳神器创意牛津布收纳学习用品</v>
      </c>
      <c r="E1414" s="1" t="str">
        <f>IFERROR(__xludf.DUMMYFUNCTION("CONCATENATE(GOOGLETRANSLATE(C1414, ""en"", ""ko""))"),"델리 72364 학생 학습 교수형 책 가방 책상 주최자 유물 크리 에이 티브 옥스포드 천 보관 학교 용품")</f>
        <v>델리 72364 학생 학습 교수형 책 가방 책상 주최자 유물 크리 에이 티브 옥스포드 천 보관 학교 용품</v>
      </c>
      <c r="F1414" s="1" t="str">
        <f>IFERROR(__xludf.DUMMYFUNCTION("CONCATENATE(GOOGLETRANSLATE(C1414, ""en"", ""ja""))"),"デリ 72364 学生学習ハンギングブックバッグデスクオーガナイザーアーティファクトクリエイティブオックスフォード布収納学用品")</f>
        <v>デリ 72364 学生学習ハンギングブックバッグデスクオーガナイザーアーティファクトクリエイティブオックスフォード布収納学用品</v>
      </c>
    </row>
    <row r="1415" ht="15.75" customHeight="1">
      <c r="A1415" s="1">
        <v>2888.0</v>
      </c>
      <c r="B1415" s="1" t="s">
        <v>381</v>
      </c>
      <c r="C1415" s="1" t="s">
        <v>1395</v>
      </c>
      <c r="D1415" s="1" t="str">
        <f>IFERROR(__xludf.DUMMYFUNCTION("CONCATENATE(GOOGLETRANSLATE(C1415, ""en"", ""zh-cn""))"),"1 件创意筒式加热器加热管电缆 12V 24V 70W 向上 500 度适用于热端打印头 V6 挤出机 3D 打印机零件")</f>
        <v>1 件创意筒式加热器加热管电缆 12V 24V 70W 向上 500 度适用于热端打印头 V6 挤出机 3D 打印机零件</v>
      </c>
      <c r="E1415" s="1" t="str">
        <f>IFERROR(__xludf.DUMMYFUNCTION("CONCATENATE(GOOGLETRANSLATE(C1415, ""en"", ""ko""))"),"1PCS 창의력 카트리지 히터 가열 튜브 케이블 12V 24V 70W 최대 500 핫 엔드 프린트 헤드 V6 압출기 3D 프린터 부품")</f>
        <v>1PCS 창의력 카트리지 히터 가열 튜브 케이블 12V 24V 70W 최대 500 핫 엔드 프린트 헤드 V6 압출기 3D 프린터 부품</v>
      </c>
      <c r="F1415" s="1" t="str">
        <f>IFERROR(__xludf.DUMMYFUNCTION("CONCATENATE(GOOGLETRANSLATE(C1415, ""en"", ""ja""))"),"1 個創造性カートリッジヒーター加熱管ケーブル 12V 24V 70 ワット最大 500 度 Hotend プリントヘッド V6 押出機 3D プリンタ部品")</f>
        <v>1 個創造性カートリッジヒーター加熱管ケーブル 12V 24V 70 ワット最大 500 度 Hotend プリントヘッド V6 押出機 3D プリンタ部品</v>
      </c>
    </row>
    <row r="1416" ht="15.75" customHeight="1">
      <c r="A1416" s="1">
        <v>2889.0</v>
      </c>
      <c r="B1416" s="1" t="s">
        <v>381</v>
      </c>
      <c r="C1416" s="1" t="s">
        <v>1396</v>
      </c>
      <c r="D1416" s="1" t="str">
        <f>IFERROR(__xludf.DUMMYFUNCTION("CONCATENATE(GOOGLETRANSLATE(C1416, ""en"", ""zh-cn""))"),"16 件 DIY 圣诞镂空模板绘画套装模板装饰壁画成人儿童")</f>
        <v>16 件 DIY 圣诞镂空模板绘画套装模板装饰壁画成人儿童</v>
      </c>
      <c r="E1416" s="1" t="str">
        <f>IFERROR(__xludf.DUMMYFUNCTION("CONCATENATE(GOOGLETRANSLATE(C1416, ""en"", ""ko""))"),"16pcs DIY 크리스마스 템플릿 그림 세트 성인 어린이를위한 템플릿 장식 벽화")</f>
        <v>16pcs DIY 크리스마스 템플릿 그림 세트 성인 어린이를위한 템플릿 장식 벽화</v>
      </c>
      <c r="F1416" s="1" t="str">
        <f>IFERROR(__xludf.DUMMYFUNCTION("CONCATENATE(GOOGLETRANSLATE(C1416, ""en"", ""ja""))"),"16 個 DIY クリスマス中空テンプレート絵画セット テンプレート装飾壁画 大人子供用")</f>
        <v>16 個 DIY クリスマス中空テンプレート絵画セット テンプレート装飾壁画 大人子供用</v>
      </c>
    </row>
    <row r="1417" ht="15.75" customHeight="1">
      <c r="A1417" s="1">
        <v>2890.0</v>
      </c>
      <c r="B1417" s="1" t="s">
        <v>381</v>
      </c>
      <c r="C1417" s="1" t="s">
        <v>1397</v>
      </c>
      <c r="D1417" s="1" t="str">
        <f>IFERROR(__xludf.DUMMYFUNCTION("CONCATENATE(GOOGLETRANSLATE(C1417, ""en"", ""zh-cn""))"),"万圣节派对装饰字母旗帜花卉螺旋吊坠儿童派对幼儿园装饰用品")</f>
        <v>万圣节派对装饰字母旗帜花卉螺旋吊坠儿童派对幼儿园装饰用品</v>
      </c>
      <c r="E1417" s="1" t="str">
        <f>IFERROR(__xludf.DUMMYFUNCTION("CONCATENATE(GOOGLETRANSLATE(C1417, ""en"", ""ko""))"),"할로윈 파티 장식 편지 깃발 꽃 나선형 펜던트 어린이 파티 유치원 장식 용품")</f>
        <v>할로윈 파티 장식 편지 깃발 꽃 나선형 펜던트 어린이 파티 유치원 장식 용품</v>
      </c>
      <c r="F1417" s="1" t="str">
        <f>IFERROR(__xludf.DUMMYFUNCTION("CONCATENATE(GOOGLETRANSLATE(C1417, ""en"", ""ja""))"),"ハロウィンパーティー装飾文字旗花スパイラルペンダント子供パーティー幼稚園装飾用品")</f>
        <v>ハロウィンパーティー装飾文字旗花スパイラルペンダント子供パーティー幼稚園装飾用品</v>
      </c>
    </row>
    <row r="1418" ht="15.75" customHeight="1">
      <c r="A1418" s="1">
        <v>2891.0</v>
      </c>
      <c r="B1418" s="1" t="s">
        <v>381</v>
      </c>
      <c r="C1418" s="1" t="s">
        <v>1398</v>
      </c>
      <c r="D1418" s="1" t="str">
        <f>IFERROR(__xludf.DUMMYFUNCTION("CONCATENATE(GOOGLETRANSLATE(C1418, ""en"", ""zh-cn""))"),"Red Lizard K1 V6 热端组装热端镀铜喷嘴适用于 Ende3 V2 挤出机 Voron Prusa I3 MK3 挤出机 3D 打印机零件")</f>
        <v>Red Lizard K1 V6 热端组装热端镀铜喷嘴适用于 Ende3 V2 挤出机 Voron Prusa I3 MK3 挤出机 3D 打印机零件</v>
      </c>
      <c r="E1418" s="1" t="str">
        <f>IFERROR(__xludf.DUMMYFUNCTION("CONCATENATE(GOOGLETRANSLATE(C1418, ""en"", ""ko""))"),"붉은 도마뱀 K1 V6 Hotend Ende3 V2 압출기 Voron Prusa I3 MK3 압출기 3D 프린터 부품 용 핫 엔드 도금 구리 노즐 조립")</f>
        <v>붉은 도마뱀 K1 V6 Hotend Ende3 V2 압출기 Voron Prusa I3 MK3 압출기 3D 프린터 부품 용 핫 엔드 도금 구리 노즐 조립</v>
      </c>
      <c r="F1418" s="1" t="str">
        <f>IFERROR(__xludf.DUMMYFUNCTION("CONCATENATE(GOOGLETRANSLATE(C1418, ""en"", ""ja""))"),"レッドリザード K1 V6 Hotend 組み立てられた Hotend メッキ銅ノズル Ende3 V2 押出機 Voron Prusa I3 MK3 押出機 3D プリンタ部品用")</f>
        <v>レッドリザード K1 V6 Hotend 組み立てられた Hotend メッキ銅ノズル Ende3 V2 押出機 Voron Prusa I3 MK3 押出機 3D プリンタ部品用</v>
      </c>
    </row>
    <row r="1419" ht="15.75" customHeight="1">
      <c r="A1419" s="1">
        <v>2892.0</v>
      </c>
      <c r="B1419" s="1" t="s">
        <v>381</v>
      </c>
      <c r="C1419" s="1" t="s">
        <v>1399</v>
      </c>
      <c r="D1419" s="1" t="str">
        <f>IFERROR(__xludf.DUMMYFUNCTION("CONCATENATE(GOOGLETRANSLATE(C1419, ""en"", ""zh-cn""))"),"BIGTREETECH® Orbiter v2.0 Galileo 挤出机 LDO 升级套件，适用于 Voron2.4 3D 打印机配件")</f>
        <v>BIGTREETECH® Orbiter v2.0 Galileo 挤出机 LDO 升级套件，适用于 Voron2.4 3D 打印机配件</v>
      </c>
      <c r="E1419" s="1" t="str">
        <f>IFERROR(__xludf.DUMMYFUNCTION("CONCATENATE(GOOGLETRANSLATE(C1419, ""en"", ""ko""))"),"Voron2.4 3D 프린터 액세서리용 BIGTREETECH® Orbiter v2.0 Galileo 압출기 LDO 업그레이드 키트")</f>
        <v>Voron2.4 3D 프린터 액세서리용 BIGTREETECH® Orbiter v2.0 Galileo 압출기 LDO 업그레이드 키트</v>
      </c>
      <c r="F1419" s="1" t="str">
        <f>IFERROR(__xludf.DUMMYFUNCTION("CONCATENATE(GOOGLETRANSLATE(C1419, ""en"", ""ja""))"),"BIGTREETECH® Orbiter v2.0 Galileo Extruder LDO アップグレード キット Voron2.4 3D プリンタ アクセサリ用")</f>
        <v>BIGTREETECH® Orbiter v2.0 Galileo Extruder LDO アップグレード キット Voron2.4 3D プリンタ アクセサリ用</v>
      </c>
    </row>
    <row r="1420" ht="15.75" customHeight="1">
      <c r="A1420" s="1">
        <v>2893.0</v>
      </c>
      <c r="B1420" s="1" t="s">
        <v>381</v>
      </c>
      <c r="C1420" s="1" t="s">
        <v>1400</v>
      </c>
      <c r="D1420" s="1" t="str">
        <f>IFERROR(__xludf.DUMMYFUNCTION("CONCATENATE(GOOGLETRANSLATE(C1420, ""en"", ""zh-cn""))"),"JUHOR 4GB/8GB 1600MHz DDR3 台式内存 RAM 台式电脑 RAM")</f>
        <v>JUHOR 4GB/8GB 1600MHz DDR3 台式内存 RAM 台式电脑 RAM</v>
      </c>
      <c r="E1420" s="1" t="str">
        <f>IFERROR(__xludf.DUMMYFUNCTION("CONCATENATE(GOOGLETRANSLATE(C1420, ""en"", ""ko""))"),"JUHOR 4GB/8GB 1600MHz DDR3 데스크탑 메모리 Ram 데스크탑 컴퓨터 RAM")</f>
        <v>JUHOR 4GB/8GB 1600MHz DDR3 데스크탑 메모리 Ram 데스크탑 컴퓨터 RAM</v>
      </c>
      <c r="F1420" s="1" t="str">
        <f>IFERROR(__xludf.DUMMYFUNCTION("CONCATENATE(GOOGLETRANSLATE(C1420, ""en"", ""ja""))"),"JUHOR 4GB/8GB 1600MHz DDR3 デスクトップメモリ​​ Ram デスクトップコンピュータ RAM")</f>
        <v>JUHOR 4GB/8GB 1600MHz DDR3 デスクトップメモリ​​ Ram デスクトップコンピュータ RAM</v>
      </c>
    </row>
    <row r="1421" ht="15.75" customHeight="1">
      <c r="A1421" s="1">
        <v>2894.0</v>
      </c>
      <c r="B1421" s="1" t="s">
        <v>381</v>
      </c>
      <c r="C1421" s="1" t="s">
        <v>1401</v>
      </c>
      <c r="D1421" s="1" t="str">
        <f>IFERROR(__xludf.DUMMYFUNCTION("CONCATENATE(GOOGLETRANSLATE(C1421, ""en"", ""zh-cn""))"),"Earldom Type C 金属铝制平板手机适配器")</f>
        <v>Earldom Type C 金属铝制平板手机适配器</v>
      </c>
      <c r="E1421" s="1" t="str">
        <f>IFERROR(__xludf.DUMMYFUNCTION("CONCATENATE(GOOGLETRANSLATE(C1421, ""en"", ""ko""))"),"태블릿 휴대폰용 Earldom Type C 금속 알루미늄 어댑터")</f>
        <v>태블릿 휴대폰용 Earldom Type C 금속 알루미늄 어댑터</v>
      </c>
      <c r="F1421" s="1" t="str">
        <f>IFERROR(__xludf.DUMMYFUNCTION("CONCATENATE(GOOGLETRANSLATE(C1421, ""en"", ""ja""))"),"Earldom タブレット携帯電話用 Type C 金属アルミニウムアダプター")</f>
        <v>Earldom タブレット携帯電話用 Type C 金属アルミニウムアダプター</v>
      </c>
    </row>
    <row r="1422" ht="15.75" customHeight="1">
      <c r="A1422" s="1">
        <v>2895.0</v>
      </c>
      <c r="B1422" s="1" t="s">
        <v>381</v>
      </c>
      <c r="C1422" s="1" t="s">
        <v>1402</v>
      </c>
      <c r="D1422" s="1" t="str">
        <f>IFERROR(__xludf.DUMMYFUNCTION("CONCATENATE(GOOGLETRANSLATE(C1422, ""en"", ""zh-cn""))"),"Deli 文件存储盒办公室容器小物品多功能办公桌收纳袋便携式办公学校用品")</f>
        <v>Deli 文件存储盒办公室容器小物品多功能办公桌收纳袋便携式办公学校用品</v>
      </c>
      <c r="E1422" s="1" t="str">
        <f>IFERROR(__xludf.DUMMYFUNCTION("CONCATENATE(GOOGLETRANSLATE(C1422, ""en"", ""ko""))"),"델리 파일 보관함 사무실 컨테이너 작은 물체 다기능 책상 주최자 휴대용 사무실 학교 용품")</f>
        <v>델리 파일 보관함 사무실 컨테이너 작은 물체 다기능 책상 주최자 휴대용 사무실 학교 용품</v>
      </c>
      <c r="F1422" s="1" t="str">
        <f>IFERROR(__xludf.DUMMYFUNCTION("CONCATENATE(GOOGLETRANSLATE(C1422, ""en"", ""ja""))"),"デリファイル収納ボックスオフィスコンテナ小​​物多機能デスクオーガナイザーポータブルオフィス学用品")</f>
        <v>デリファイル収納ボックスオフィスコンテナ小​​物多機能デスクオーガナイザーポータブルオフィス学用品</v>
      </c>
    </row>
    <row r="1423" ht="15.75" customHeight="1">
      <c r="A1423" s="1">
        <v>2896.0</v>
      </c>
      <c r="B1423" s="1" t="s">
        <v>381</v>
      </c>
      <c r="C1423" s="1" t="s">
        <v>1403</v>
      </c>
      <c r="D1423" s="1" t="str">
        <f>IFERROR(__xludf.DUMMYFUNCTION("CONCATENATE(GOOGLETRANSLATE(C1423, ""en"", ""zh-cn""))"),"INSMA P1 Pro 高度可调节笔记本电脑支架便携式平板电脑支架散热适用于 Macbook 笔记本电脑 11.0 - 17.0 英寸")</f>
        <v>INSMA P1 Pro 高度可调节笔记本电脑支架便携式平板电脑支架散热适用于 Macbook 笔记本电脑 11.0 - 17.0 英寸</v>
      </c>
      <c r="E1423" s="1" t="str">
        <f>IFERROR(__xludf.DUMMYFUNCTION("CONCATENATE(GOOGLETRANSLATE(C1423, ""en"", ""ko""))"),"INSMA P1 Pro 높이 조절 가능한 노트북 스탠드 휴대용 태블릿 스탠드 Macbook 노트북 노트북 11.0 - 17.0 인치 용 방열")</f>
        <v>INSMA P1 Pro 높이 조절 가능한 노트북 스탠드 휴대용 태블릿 스탠드 Macbook 노트북 노트북 11.0 - 17.0 인치 용 방열</v>
      </c>
      <c r="F1423" s="1" t="str">
        <f>IFERROR(__xludf.DUMMYFUNCTION("CONCATENATE(GOOGLETRANSLATE(C1423, ""en"", ""ja""))"),"INSMA P1 Pro 高さ調節可能なラップトップスタンド ポータブルタブレットスタンド 放熱 Macbook ラップトップ ノートブック 11.0 - 17.0 インチ用")</f>
        <v>INSMA P1 Pro 高さ調節可能なラップトップスタンド ポータブルタブレットスタンド 放熱 Macbook ラップトップ ノートブック 11.0 - 17.0 インチ用</v>
      </c>
    </row>
    <row r="1424" ht="15.75" customHeight="1">
      <c r="A1424" s="1">
        <v>2897.0</v>
      </c>
      <c r="B1424" s="1" t="s">
        <v>381</v>
      </c>
      <c r="C1424" s="1" t="s">
        <v>1404</v>
      </c>
      <c r="D1424" s="1" t="str">
        <f>IFERROR(__xludf.DUMMYFUNCTION("CONCATENATE(GOOGLETRANSLATE(C1424, ""en"", ""zh-cn""))"),"办公文具桌面收纳盒简约多层收纳盒笔筒收纳容器化妆品收纳架")</f>
        <v>办公文具桌面收纳盒简约多层收纳盒笔筒收纳容器化妆品收纳架</v>
      </c>
      <c r="E1424" s="1" t="str">
        <f>IFERROR(__xludf.DUMMYFUNCTION("CONCATENATE(GOOGLETRANSLATE(C1424, ""en"", ""ko""))"),"오피스 문구 데스크탑 보관함 미니멀리스트 다층 주최자 펜 홀더 보관 용기 화장품 보관함")</f>
        <v>오피스 문구 데스크탑 보관함 미니멀리스트 다층 주최자 펜 홀더 보관 용기 화장품 보관함</v>
      </c>
      <c r="F1424" s="1" t="str">
        <f>IFERROR(__xludf.DUMMYFUNCTION("CONCATENATE(GOOGLETRANSLATE(C1424, ""en"", ""ja""))"),"オフィス文具デスクトップ収納ボックスミニマリスト多層オーガナイザーペンホルダー収納容器化粧品収納ラック")</f>
        <v>オフィス文具デスクトップ収納ボックスミニマリスト多層オーガナイザーペンホルダー収納容器化粧品収納ラック</v>
      </c>
    </row>
    <row r="1425" ht="15.75" customHeight="1">
      <c r="A1425" s="1">
        <v>2898.0</v>
      </c>
      <c r="B1425" s="1" t="s">
        <v>381</v>
      </c>
      <c r="C1425" s="1" t="s">
        <v>1405</v>
      </c>
      <c r="D1425" s="1" t="str">
        <f>IFERROR(__xludf.DUMMYFUNCTION("CONCATENATE(GOOGLETRANSLATE(C1425, ""en"", ""zh-cn""))"),"12 英寸编织笔记本电脑包 PU 皮套保护套适用于小米 Makbook 笔记本电脑")</f>
        <v>12 英寸编织笔记本电脑包 PU 皮套保护套适用于小米 Makbook 笔记本电脑</v>
      </c>
      <c r="E1425" s="1" t="str">
        <f>IFERROR(__xludf.DUMMYFUNCTION("CONCATENATE(GOOGLETRANSLATE(C1425, ""en"", ""ko""))"),"Xiaomi Makbook 노트북용 12인치 직조 노트북 가방 PU 가죽 케이스 커버 가방")</f>
        <v>Xiaomi Makbook 노트북용 12인치 직조 노트북 가방 PU 가죽 케이스 커버 가방</v>
      </c>
      <c r="F1425" s="1" t="str">
        <f>IFERROR(__xludf.DUMMYFUNCTION("CONCATENATE(GOOGLETRANSLATE(C1425, ""en"", ""ja""))"),"12 インチ織りラップトップバッグ PU レザーケースカバーバッグ Xiaomi Makbook ラップトップ用")</f>
        <v>12 インチ織りラップトップバッグ PU レザーケースカバーバッグ Xiaomi Makbook ラップトップ用</v>
      </c>
    </row>
    <row r="1426" ht="15.75" customHeight="1">
      <c r="A1426" s="1">
        <v>2899.0</v>
      </c>
      <c r="B1426" s="1" t="s">
        <v>381</v>
      </c>
      <c r="C1426" s="1" t="s">
        <v>1406</v>
      </c>
      <c r="D1426" s="1" t="str">
        <f>IFERROR(__xludf.DUMMYFUNCTION("CONCATENATE(GOOGLETRANSLATE(C1426, ""en"", ""zh-cn""))"),"M3 Delta Kossel 鱼眼效应器 3D 打印机注塑 3MM 起重机，带调平功能")</f>
        <v>M3 Delta Kossel 鱼眼效应器 3D 打印机注塑 3MM 起重机，带调平功能</v>
      </c>
      <c r="E1426" s="1" t="str">
        <f>IFERROR(__xludf.DUMMYFUNCTION("CONCATENATE(GOOGLETRANSLATE(C1426, ""en"", ""ko""))"),"수평하게 하기를 가진 M3 Delta Kossel Fisheye 이펙터 3D 프린터 사출 성형 3MM 크레인")</f>
        <v>수평하게 하기를 가진 M3 Delta Kossel Fisheye 이펙터 3D 프린터 사출 성형 3MM 크레인</v>
      </c>
      <c r="F1426" s="1" t="str">
        <f>IFERROR(__xludf.DUMMYFUNCTION("CONCATENATE(GOOGLETRANSLATE(C1426, ""en"", ""ja""))"),"M3 デルタ コッセル魚眼エフェクター 3D プリンター射出成形レベリング付き 3 MM クレーン")</f>
        <v>M3 デルタ コッセル魚眼エフェクター 3D プリンター射出成形レベリング付き 3 MM クレーン</v>
      </c>
    </row>
    <row r="1427" ht="15.75" customHeight="1">
      <c r="A1427" s="1">
        <v>2900.0</v>
      </c>
      <c r="B1427" s="1" t="s">
        <v>381</v>
      </c>
      <c r="C1427" s="1" t="s">
        <v>1407</v>
      </c>
      <c r="D1427" s="1" t="str">
        <f>IFERROR(__xludf.DUMMYFUNCTION("CONCATENATE(GOOGLETRANSLATE(C1427, ""en"", ""zh-cn""))"),"35*35*50mm Ultimaker2 铝合金十字滑座 4 个 3D 打印机喷嘴")</f>
        <v>35*35*50mm Ultimaker2 铝合金十字滑座 4 个 3D 打印机喷嘴</v>
      </c>
      <c r="E1427" s="1" t="str">
        <f>IFERROR(__xludf.DUMMYFUNCTION("CONCATENATE(GOOGLETRANSLATE(C1427, ""en"", ""ko""))"),"35*35*50mm Ultimaker2 알루미늄 합금 크로스 슬라이드 3D 프린터용 4 노즐")</f>
        <v>35*35*50mm Ultimaker2 알루미늄 합금 크로스 슬라이드 3D 프린터용 4 노즐</v>
      </c>
      <c r="F1427" s="1" t="str">
        <f>IFERROR(__xludf.DUMMYFUNCTION("CONCATENATE(GOOGLETRANSLATE(C1427, ""en"", ""ja""))"),"35*35*50 ミリメートル Ultimaker2 アルミ合金クロススライド 4 ノズル 3D プリンタ用")</f>
        <v>35*35*50 ミリメートル Ultimaker2 アルミ合金クロススライド 4 ノズル 3D プリンタ用</v>
      </c>
    </row>
    <row r="1428" ht="15.75" customHeight="1">
      <c r="A1428" s="1">
        <v>2901.0</v>
      </c>
      <c r="B1428" s="1" t="s">
        <v>381</v>
      </c>
      <c r="C1428" s="1" t="s">
        <v>1408</v>
      </c>
      <c r="D1428" s="1" t="str">
        <f>IFERROR(__xludf.DUMMYFUNCTION("CONCATENATE(GOOGLETRANSLATE(C1428, ""en"", ""zh-cn""))"),"3007 DC5V 2Pin-2.54 冷却风扇 适用于 Voron0/0.1 3D 打印机配件")</f>
        <v>3007 DC5V 2Pin-2.54 冷却风扇 适用于 Voron0/0.1 3D 打印机配件</v>
      </c>
      <c r="E1428" s="1" t="str">
        <f>IFERROR(__xludf.DUMMYFUNCTION("CONCATENATE(GOOGLETRANSLATE(C1428, ""en"", ""ko""))"),"Voron0/0.1 3D 프린터 액세서리용 3007 DC5V 2Pin-2.54 냉각 팬")</f>
        <v>Voron0/0.1 3D 프린터 액세서리용 3007 DC5V 2Pin-2.54 냉각 팬</v>
      </c>
      <c r="F1428" s="1" t="str">
        <f>IFERROR(__xludf.DUMMYFUNCTION("CONCATENATE(GOOGLETRANSLATE(C1428, ""en"", ""ja""))"),"3007 DC5V 2Pin-2.54 冷却ファン Voron0/0.1 3D プリンターアクセサリー用")</f>
        <v>3007 DC5V 2Pin-2.54 冷却ファン Voron0/0.1 3D プリンターアクセサリー用</v>
      </c>
    </row>
    <row r="1429" ht="15.75" customHeight="1">
      <c r="A1429" s="1">
        <v>2902.0</v>
      </c>
      <c r="B1429" s="1" t="s">
        <v>381</v>
      </c>
      <c r="C1429" s="1" t="s">
        <v>1409</v>
      </c>
      <c r="D1429" s="1" t="str">
        <f>IFERROR(__xludf.DUMMYFUNCTION("CONCATENATE(GOOGLETRANSLATE(C1429, ""en"", ""zh-cn""))"),"3D 打印机 J 头 Bulldog 头斗牛犬挤出机固定支架")</f>
        <v>3D 打印机 J 头 Bulldog 头斗牛犬挤出机固定支架</v>
      </c>
      <c r="E1429" s="1" t="str">
        <f>IFERROR(__xludf.DUMMYFUNCTION("CONCATENATE(GOOGLETRANSLATE(C1429, ""en"", ""ko""))"),"3D 프린터용 헤드 불독 압출기 고정 브래킷 J-헤드 불독")</f>
        <v>3D 프린터용 헤드 불독 압출기 고정 브래킷 J-헤드 불독</v>
      </c>
      <c r="F1429" s="1" t="str">
        <f>IFERROR(__xludf.DUMMYFUNCTION("CONCATENATE(GOOGLETRANSLATE(C1429, ""en"", ""ja""))"),"Head Bulldog 押出機 3D プリンター J-head Bulldog 用固定ブラケット")</f>
        <v>Head Bulldog 押出機 3D プリンター J-head Bulldog 用固定ブラケット</v>
      </c>
    </row>
    <row r="1430" ht="15.75" customHeight="1">
      <c r="A1430" s="1">
        <v>2903.0</v>
      </c>
      <c r="B1430" s="1" t="s">
        <v>381</v>
      </c>
      <c r="C1430" s="1" t="s">
        <v>1410</v>
      </c>
      <c r="D1430" s="1" t="str">
        <f>IFERROR(__xludf.DUMMYFUNCTION("CONCATENATE(GOOGLETRANSLATE(C1430, ""en"", ""zh-cn""))"),"1 件装毛毡笔袋笔袋学校办公用品文具袋零钱包收纳化妆包学校学生用品")</f>
        <v>1 件装毛毡笔袋笔袋学校办公用品文具袋零钱包收纳化妆包学校学生用品</v>
      </c>
      <c r="E1430" s="1" t="str">
        <f>IFERROR(__xludf.DUMMYFUNCTION("CONCATENATE(GOOGLETRANSLATE(C1430, ""en"", ""ko""))"),"1pcs 펠트 연필 가방 연필 케이스 학교 사무용품 편지지 파우치 지갑 보관 메이크업 가방 학교 학생 용품")</f>
        <v>1pcs 펠트 연필 가방 연필 케이스 학교 사무용품 편지지 파우치 지갑 보관 메이크업 가방 학교 학생 용품</v>
      </c>
      <c r="F1430" s="1" t="str">
        <f>IFERROR(__xludf.DUMMYFUNCTION("CONCATENATE(GOOGLETRANSLATE(C1430, ""en"", ""ja""))"),"1 個フェルト鉛筆バッグ鉛筆ケース学校事務用品文具ポーチ財布収納化粧バッグ学生用品")</f>
        <v>1 個フェルト鉛筆バッグ鉛筆ケース学校事務用品文具ポーチ財布収納化粧バッグ学生用品</v>
      </c>
    </row>
    <row r="1431" ht="15.75" customHeight="1">
      <c r="A1431" s="1">
        <v>2904.0</v>
      </c>
      <c r="B1431" s="1" t="s">
        <v>381</v>
      </c>
      <c r="C1431" s="1" t="s">
        <v>1411</v>
      </c>
      <c r="D1431" s="1" t="str">
        <f>IFERROR(__xludf.DUMMYFUNCTION("CONCATENATE(GOOGLETRANSLATE(C1431, ""en"", ""zh-cn""))"),"11.6 英寸 MacBook Air 笔记本电脑保护套")</f>
        <v>11.6 英寸 MacBook Air 笔记本电脑保护套</v>
      </c>
      <c r="E1431" s="1" t="str">
        <f>IFERROR(__xludf.DUMMYFUNCTION("CONCATENATE(GOOGLETRANSLATE(C1431, ""en"", ""ko""))"),"MacBook Air용 11.6인치 노트북 커버")</f>
        <v>MacBook Air용 11.6인치 노트북 커버</v>
      </c>
      <c r="F1431" s="1" t="str">
        <f>IFERROR(__xludf.DUMMYFUNCTION("CONCATENATE(GOOGLETRANSLATE(C1431, ""en"", ""ja""))"),"MacBook Air用11.6インチラップトップカバー")</f>
        <v>MacBook Air用11.6インチラップトップカバー</v>
      </c>
    </row>
    <row r="1432" ht="15.75" customHeight="1">
      <c r="A1432" s="1">
        <v>2905.0</v>
      </c>
      <c r="B1432" s="1" t="s">
        <v>381</v>
      </c>
      <c r="C1432" s="1" t="s">
        <v>1412</v>
      </c>
      <c r="D1432" s="1" t="str">
        <f>IFERROR(__xludf.DUMMYFUNCTION("CONCATENATE(GOOGLETRANSLATE(C1432, ""en"", ""zh-cn""))"),"13.3 英寸笔记本电脑磨砂保护套适用于 MacBook Air")</f>
        <v>13.3 英寸笔记本电脑磨砂保护套适用于 MacBook Air</v>
      </c>
      <c r="E1432" s="1" t="str">
        <f>IFERROR(__xludf.DUMMYFUNCTION("CONCATENATE(GOOGLETRANSLATE(C1432, ""en"", ""ko""))"),"MacBook Air용 13.3인치 노트북 반투명 커버")</f>
        <v>MacBook Air용 13.3인치 노트북 반투명 커버</v>
      </c>
      <c r="F1432" s="1" t="str">
        <f>IFERROR(__xludf.DUMMYFUNCTION("CONCATENATE(GOOGLETRANSLATE(C1432, ""en"", ""ja""))"),"MacBook Air用13.3インチラップトップつや消しカバー")</f>
        <v>MacBook Air用13.3インチラップトップつや消しカバー</v>
      </c>
    </row>
    <row r="1433" ht="15.75" customHeight="1">
      <c r="A1433" s="1">
        <v>2906.0</v>
      </c>
      <c r="B1433" s="1" t="s">
        <v>381</v>
      </c>
      <c r="C1433" s="1" t="s">
        <v>1413</v>
      </c>
      <c r="D1433" s="1" t="str">
        <f>IFERROR(__xludf.DUMMYFUNCTION("CONCATENATE(GOOGLETRANSLATE(C1433, ""en"", ""zh-cn""))"),"A6 人造皮革活页笔记本每周每月计划日记本封面")</f>
        <v>A6 人造皮革活页笔记本每周每月计划日记本封面</v>
      </c>
      <c r="E1433" s="1" t="str">
        <f>IFERROR(__xludf.DUMMYFUNCTION("CONCATENATE(GOOGLETRANSLATE(C1433, ""en"", ""ko""))"),"A6 인조 가죽 루스 리프 노트 주간 월간 플래너 다이어리 커버")</f>
        <v>A6 인조 가죽 루스 리프 노트 주간 월간 플래너 다이어리 커버</v>
      </c>
      <c r="F1433" s="1" t="str">
        <f>IFERROR(__xludf.DUMMYFUNCTION("CONCATENATE(GOOGLETRANSLATE(C1433, ""en"", ""ja""))"),"A6 フェイクレザー ルーズリーフ ノートブック ウィークリー マンスリー プランナー ダイアリー カバー")</f>
        <v>A6 フェイクレザー ルーズリーフ ノートブック ウィークリー マンスリー プランナー ダイアリー カバー</v>
      </c>
    </row>
    <row r="1434" ht="15.75" customHeight="1">
      <c r="A1434" s="1">
        <v>2907.0</v>
      </c>
      <c r="B1434" s="1" t="s">
        <v>381</v>
      </c>
      <c r="C1434" s="1" t="s">
        <v>1414</v>
      </c>
      <c r="D1434" s="1" t="str">
        <f>IFERROR(__xludf.DUMMYFUNCTION("CONCATENATE(GOOGLETRANSLATE(C1434, ""en"", ""zh-cn""))"),"USB 3.1 C 型至 VGA 转换器显示器 USB 3.0 C 型母充电器适配器适用于 Macbook")</f>
        <v>USB 3.1 C 型至 VGA 转换器显示器 USB 3.0 C 型母充电器适配器适用于 Macbook</v>
      </c>
      <c r="E1434" s="1" t="str">
        <f>IFERROR(__xludf.DUMMYFUNCTION("CONCATENATE(GOOGLETRANSLATE(C1434, ""en"", ""ko""))"),"USB 3.1 유형 C - VGA 변환기 모니터 Macbook용 USB 3.0 유형 C 암 충전기 어댑터")</f>
        <v>USB 3.1 유형 C - VGA 변환기 모니터 Macbook용 USB 3.0 유형 C 암 충전기 어댑터</v>
      </c>
      <c r="F1434" s="1" t="str">
        <f>IFERROR(__xludf.DUMMYFUNCTION("CONCATENATE(GOOGLETRANSLATE(C1434, ""en"", ""ja""))"),"USB 3.1 タイプ C - VGA コンバータ モニター USB 3.0 タイプ C メス充電アダプター Macbook 用")</f>
        <v>USB 3.1 タイプ C - VGA コンバータ モニター USB 3.0 タイプ C メス充電アダプター Macbook 用</v>
      </c>
    </row>
    <row r="1435" ht="15.75" customHeight="1">
      <c r="A1435" s="1">
        <v>2908.0</v>
      </c>
      <c r="B1435" s="1" t="s">
        <v>381</v>
      </c>
      <c r="C1435" s="1" t="s">
        <v>1415</v>
      </c>
      <c r="D1435" s="1" t="str">
        <f>IFERROR(__xludf.DUMMYFUNCTION("CONCATENATE(GOOGLETRANSLATE(C1435, ""en"", ""zh-cn""))"),"3 件 1M PTFE 鲍登管，适用于 Reprap 3D 打印机 1.75 毫米长丝")</f>
        <v>3 件 1M PTFE 鲍登管，适用于 Reprap 3D 打印机 1.75 毫米长丝</v>
      </c>
      <c r="E1435" s="1" t="str">
        <f>IFERROR(__xludf.DUMMYFUNCTION("CONCATENATE(GOOGLETRANSLATE(C1435, ""en"", ""ko""))"),"Reprap 3D 프린터 1.75mm 필라멘트용 1M PTFE 보우덴 튜브 3개")</f>
        <v>Reprap 3D 프린터 1.75mm 필라멘트용 1M PTFE 보우덴 튜브 3개</v>
      </c>
      <c r="F1435" s="1" t="str">
        <f>IFERROR(__xludf.DUMMYFUNCTION("CONCATENATE(GOOGLETRANSLATE(C1435, ""en"", ""ja""))"),"Reprap 3D プリンタ 1.75mm フィラメント用 1M PTFE ボーデン チューブ 3 本")</f>
        <v>Reprap 3D プリンタ 1.75mm フィラメント用 1M PTFE ボーデン チューブ 3 本</v>
      </c>
    </row>
    <row r="1436" ht="15.75" customHeight="1">
      <c r="A1436" s="1">
        <v>2909.0</v>
      </c>
      <c r="B1436" s="1" t="s">
        <v>381</v>
      </c>
      <c r="C1436" s="1" t="s">
        <v>1416</v>
      </c>
      <c r="D1436" s="1" t="str">
        <f>IFERROR(__xludf.DUMMYFUNCTION("CONCATENATE(GOOGLETRANSLATE(C1436, ""en"", ""zh-cn""))"),"Alardor 250V 旋转插座智能配线架 USB 插头板电源板")</f>
        <v>Alardor 250V 旋转插座智能配线架 USB 插头板电源板</v>
      </c>
      <c r="E1436" s="1" t="str">
        <f>IFERROR(__xludf.DUMMYFUNCTION("CONCATENATE(GOOGLETRANSLATE(C1436, ""en"", ""ko""))"),"Alardor 250V 회전 소켓 지능형 패치 패널 USB 플러그 보드 전원 스트립")</f>
        <v>Alardor 250V 회전 소켓 지능형 패치 패널 USB 플러그 보드 전원 스트립</v>
      </c>
      <c r="F1436" s="1" t="str">
        <f>IFERROR(__xludf.DUMMYFUNCTION("CONCATENATE(GOOGLETRANSLATE(C1436, ""en"", ""ja""))"),"Alardor 250V 回転ソケットインテリジェントパッチパネル USB プラグボード電源タップ")</f>
        <v>Alardor 250V 回転ソケットインテリジェントパッチパネル USB プラグボード電源タップ</v>
      </c>
    </row>
    <row r="1437" ht="15.75" customHeight="1">
      <c r="A1437" s="1">
        <v>2910.0</v>
      </c>
      <c r="B1437" s="1" t="s">
        <v>381</v>
      </c>
      <c r="C1437" s="1" t="s">
        <v>1417</v>
      </c>
      <c r="D1437" s="1" t="str">
        <f>IFERROR(__xludf.DUMMYFUNCTION("CONCATENATE(GOOGLETRANSLATE(C1437, ""en"", ""zh-cn""))"),"Alardor 250V 三层旋转插座智能配线架 USB 插板电源板")</f>
        <v>Alardor 250V 三层旋转插座智能配线架 USB 插板电源板</v>
      </c>
      <c r="E1437" s="1" t="str">
        <f>IFERROR(__xludf.DUMMYFUNCTION("CONCATENATE(GOOGLETRANSLATE(C1437, ""en"", ""ko""))"),"Alardor 250V 3단 회전 소켓 지능형 패치 패널 USB 플러그 보드 전원 스트립")</f>
        <v>Alardor 250V 3단 회전 소켓 지능형 패치 패널 USB 플러그 보드 전원 스트립</v>
      </c>
      <c r="F1437" s="1" t="str">
        <f>IFERROR(__xludf.DUMMYFUNCTION("CONCATENATE(GOOGLETRANSLATE(C1437, ""en"", ""ja""))"),"Alardor 250V 3 層回転ソケットインテリジェントパッチパネル USB プラグボード電源タップ")</f>
        <v>Alardor 250V 3 層回転ソケットインテリジェントパッチパネル USB プラグボード電源タップ</v>
      </c>
    </row>
    <row r="1438" ht="15.75" customHeight="1">
      <c r="A1438" s="1">
        <v>2911.0</v>
      </c>
      <c r="B1438" s="1" t="s">
        <v>381</v>
      </c>
      <c r="C1438" s="1" t="s">
        <v>1418</v>
      </c>
      <c r="D1438" s="1" t="str">
        <f>IFERROR(__xludf.DUMMYFUNCTION("CONCATENATE(GOOGLETRANSLATE(C1438, ""en"", ""zh-cn""))"),"排插支架免打孔壁挂收纳无痕迹插座粘贴墙贴挂式配线架支架")</f>
        <v>排插支架免打孔壁挂收纳无痕迹插座粘贴墙贴挂式配线架支架</v>
      </c>
      <c r="E1438" s="1" t="str">
        <f>IFERROR(__xludf.DUMMYFUNCTION("CONCATENATE(GOOGLETRANSLATE(C1438, ""en"", ""ko""))"),"행 및 삽입 홀더 흔적이 없는 펀치 없는 벽걸이형 스토리지 소켓 붙여넣기 벽 스티커 교수형 패치 패널 홀더")</f>
        <v>행 및 삽입 홀더 흔적이 없는 펀치 없는 벽걸이형 스토리지 소켓 붙여넣기 벽 스티커 교수형 패치 패널 홀더</v>
      </c>
      <c r="F1438" s="1" t="str">
        <f>IFERROR(__xludf.DUMMYFUNCTION("CONCATENATE(GOOGLETRANSLATE(C1438, ""en"", ""ja""))"),"行と挿入ホルダー パンチフリー 壁掛け収納 跡なし ソケットペースト ウォールステッカー 吊り下げパッチパネルホルダー")</f>
        <v>行と挿入ホルダー パンチフリー 壁掛け収納 跡なし ソケットペースト ウォールステッカー 吊り下げパッチパネルホルダー</v>
      </c>
    </row>
    <row r="1439" ht="15.75" customHeight="1">
      <c r="A1439" s="1">
        <v>2912.0</v>
      </c>
      <c r="B1439" s="1" t="s">
        <v>381</v>
      </c>
      <c r="C1439" s="1" t="s">
        <v>1419</v>
      </c>
      <c r="D1439" s="1" t="str">
        <f>IFERROR(__xludf.DUMMYFUNCTION("CONCATENATE(GOOGLETRANSLATE(C1439, ""en"", ""zh-cn""))"),"Miwoo M029 透明亚克力胶带切割器经典设计胶带座文具适用于学校办公室桌面")</f>
        <v>Miwoo M029 透明亚克力胶带切割器经典设计胶带座文具适用于学校办公室桌面</v>
      </c>
      <c r="E1439" s="1" t="str">
        <f>IFERROR(__xludf.DUMMYFUNCTION("CONCATENATE(GOOGLETRANSLATE(C1439, ""en"", ""ko""))"),"Miwoo M029 투명 아크릴 테이프 커터 클래식 디자인 테이프 디스펜서 편지지 학교 사무실 데스크탑")</f>
        <v>Miwoo M029 투명 아크릴 테이프 커터 클래식 디자인 테이프 디스펜서 편지지 학교 사무실 데스크탑</v>
      </c>
      <c r="F1439" s="1" t="str">
        <f>IFERROR(__xludf.DUMMYFUNCTION("CONCATENATE(GOOGLETRANSLATE(C1439, ""en"", ""ja""))"),"Miwoo M029 透明アクリルテープカッタークラシックデザインテープディスペンサー文具学校オフィスデスクトップ用")</f>
        <v>Miwoo M029 透明アクリルテープカッタークラシックデザインテープディスペンサー文具学校オフィスデスクトップ用</v>
      </c>
    </row>
    <row r="1440" ht="15.75" customHeight="1">
      <c r="A1440" s="1">
        <v>2913.0</v>
      </c>
      <c r="B1440" s="1" t="s">
        <v>381</v>
      </c>
      <c r="C1440" s="1" t="s">
        <v>1420</v>
      </c>
      <c r="D1440" s="1" t="str">
        <f>IFERROR(__xludf.DUMMYFUNCTION("CONCATENATE(GOOGLETRANSLATE(C1440, ""en"", ""zh-cn""))"),"Miwoo MW-021 简约铁艺书架 3 槽桌面书籍文件收纳架")</f>
        <v>Miwoo MW-021 简约铁艺书架 3 槽桌面书籍文件收纳架</v>
      </c>
      <c r="E1440" s="1" t="str">
        <f>IFERROR(__xludf.DUMMYFUNCTION("CONCATENATE(GOOGLETRANSLATE(C1440, ""en"", ""ko""))"),"Miwoo MW-021 간단한 철제 책장 3 슬롯 데스크탑 책 파일 정리 홀더")</f>
        <v>Miwoo MW-021 간단한 철제 책장 3 슬롯 데스크탑 책 파일 정리 홀더</v>
      </c>
      <c r="F1440" s="1" t="str">
        <f>IFERROR(__xludf.DUMMYFUNCTION("CONCATENATE(GOOGLETRANSLATE(C1440, ""en"", ""ja""))"),"Miwoo MW-021 シンプルなアイアン本棚 3 スロットデスクトップブックファイルオーガナイザーホルダー")</f>
        <v>Miwoo MW-021 シンプルなアイアン本棚 3 スロットデスクトップブックファイルオーガナイザーホルダー</v>
      </c>
    </row>
    <row r="1441" ht="15.75" customHeight="1">
      <c r="A1441" s="1">
        <v>2914.0</v>
      </c>
      <c r="B1441" s="1" t="s">
        <v>381</v>
      </c>
      <c r="C1441" s="1" t="s">
        <v>1421</v>
      </c>
      <c r="D1441" s="1" t="str">
        <f>IFERROR(__xludf.DUMMYFUNCTION("CONCATENATE(GOOGLETRANSLATE(C1441, ""en"", ""zh-cn""))"),"专业绘画笔套装丙烯油画水彩艺术家画笔艺术套件文具学生用品")</f>
        <v>专业绘画笔套装丙烯油画水彩艺术家画笔艺术套件文具学生用品</v>
      </c>
      <c r="E1441" s="1" t="str">
        <f>IFERROR(__xludf.DUMMYFUNCTION("CONCATENATE(GOOGLETRANSLATE(C1441, ""en"", ""ko""))"),"전문 드로잉 브러쉬 세트 아크릴 오일 수채화 아티스트 페인트 브러쉬 아트 키트 편지지 학생 용품")</f>
        <v>전문 드로잉 브러쉬 세트 아크릴 오일 수채화 아티스트 페인트 브러쉬 아트 키트 편지지 학생 용품</v>
      </c>
      <c r="F1441" s="1" t="str">
        <f>IFERROR(__xludf.DUMMYFUNCTION("CONCATENATE(GOOGLETRANSLATE(C1441, ""en"", ""ja""))"),"プロの描画ブラシセットアクリルオイル水彩アーティストペイントブラシアートキット文具学生用品")</f>
        <v>プロの描画ブラシセットアクリルオイル水彩アーティストペイントブラシアートキット文具学生用品</v>
      </c>
    </row>
    <row r="1442" ht="15.75" customHeight="1">
      <c r="A1442" s="1">
        <v>2915.0</v>
      </c>
      <c r="B1442" s="1" t="s">
        <v>381</v>
      </c>
      <c r="C1442" s="1" t="s">
        <v>1422</v>
      </c>
      <c r="D1442" s="1" t="str">
        <f>IFERROR(__xludf.DUMMYFUNCTION("CONCATENATE(GOOGLETRANSLATE(C1442, ""en"", ""zh-cn""))"),"Rosy Posy2019/2020 计划表挂历 365 天时间表倒计时日历")</f>
        <v>Rosy Posy2019/2020 计划表挂历 365 天时间表倒计时日历</v>
      </c>
      <c r="E1442" s="1" t="str">
        <f>IFERROR(__xludf.DUMMYFUNCTION("CONCATENATE(GOOGLETRANSLATE(C1442, ""en"", ""ko""))"),"Rosy Posy2019/2020 계획 탁상달력 365일 일정 카운트다운 달력")</f>
        <v>Rosy Posy2019/2020 계획 탁상달력 365일 일정 카운트다운 달력</v>
      </c>
      <c r="F1442" s="1" t="str">
        <f>IFERROR(__xludf.DUMMYFUNCTION("CONCATENATE(GOOGLETRANSLATE(C1442, ""en"", ""ja""))"),"Rosy Posy2019/2020 計画表壁掛けカレンダー 365日スケジュール カウントダウンカレンダー")</f>
        <v>Rosy Posy2019/2020 計画表壁掛けカレンダー 365日スケジュール カウントダウンカレンダー</v>
      </c>
    </row>
    <row r="1443" ht="15.75" customHeight="1">
      <c r="A1443" s="1">
        <v>2916.0</v>
      </c>
      <c r="B1443" s="1" t="s">
        <v>381</v>
      </c>
      <c r="C1443" s="1" t="s">
        <v>1423</v>
      </c>
      <c r="D1443" s="1" t="str">
        <f>IFERROR(__xludf.DUMMYFUNCTION("CONCATENATE(GOOGLETRANSLATE(C1443, ""en"", ""zh-cn""))"),"1/2/3 层壁挂架绳索木质壁挂式植物花盆储物架家庭办公室墙壁装饰品")</f>
        <v>1/2/3 层壁挂架绳索木质壁挂式植物花盆储物架家庭办公室墙壁装饰品</v>
      </c>
      <c r="E1443" s="1" t="str">
        <f>IFERROR(__xludf.DUMMYFUNCTION("CONCATENATE(GOOGLETRANSLATE(C1443, ""en"", ""ko""))"),"1/2/3 레이어 벽 교수형 랙 로프 나무 벽 마운트 식물 꽃 냄비 스토리지 선반 홈 오피스 벽 장식")</f>
        <v>1/2/3 레이어 벽 교수형 랙 로프 나무 벽 마운트 식물 꽃 냄비 스토리지 선반 홈 오피스 벽 장식</v>
      </c>
      <c r="F1443" s="1" t="str">
        <f>IFERROR(__xludf.DUMMYFUNCTION("CONCATENATE(GOOGLETRANSLATE(C1443, ""en"", ""ja""))"),"1/2/3 層壁掛けラックロープ木製壁掛け植物植木鉢収納棚ホームオフィスの壁の装飾")</f>
        <v>1/2/3 層壁掛けラックロープ木製壁掛け植物植木鉢収納棚ホームオフィスの壁の装飾</v>
      </c>
    </row>
    <row r="1444" ht="15.75" customHeight="1">
      <c r="A1444" s="1">
        <v>2917.0</v>
      </c>
      <c r="B1444" s="1" t="s">
        <v>381</v>
      </c>
      <c r="C1444" s="1" t="s">
        <v>1424</v>
      </c>
      <c r="D1444" s="1" t="str">
        <f>IFERROR(__xludf.DUMMYFUNCTION("CONCATENATE(GOOGLETRANSLATE(C1444, ""en"", ""zh-cn""))"),"1 件装毛毡笔袋纯色笔袋圆形扁袋拉链眼镜袋收纳盒办公室学校文具用品袋")</f>
        <v>1 件装毛毡笔袋纯色笔袋圆形扁袋拉链眼镜袋收纳盒办公室学校文具用品袋</v>
      </c>
      <c r="E1444" s="1" t="str">
        <f>IFERROR(__xludf.DUMMYFUNCTION("CONCATENATE(GOOGLETRANSLATE(C1444, ""en"", ""ko""))"),"1 Pcs 펠트 펜 가방 순수 컬러 연필 케이스 라운드 플랫 가방 지퍼 안경 가방 사무실 학교 문구 용품에 대 한 저장 상자 주머니")</f>
        <v>1 Pcs 펠트 펜 가방 순수 컬러 연필 케이스 라운드 플랫 가방 지퍼 안경 가방 사무실 학교 문구 용품에 대 한 저장 상자 주머니</v>
      </c>
      <c r="F1444" s="1" t="str">
        <f>IFERROR(__xludf.DUMMYFUNCTION("CONCATENATE(GOOGLETRANSLATE(C1444, ""en"", ""ja""))"),"1 個フェルトペンバッグピュアカラー鉛筆ケースラウンドフラットバッグジッパーメガネバッグ収納ボックスポーチオフィススクール文具用品")</f>
        <v>1 個フェルトペンバッグピュアカラー鉛筆ケースラウンドフラットバッグジッパーメガネバッグ収納ボックスポーチオフィススクール文具用品</v>
      </c>
    </row>
    <row r="1445" ht="15.75" customHeight="1">
      <c r="A1445" s="1">
        <v>2918.0</v>
      </c>
      <c r="B1445" s="1" t="s">
        <v>381</v>
      </c>
      <c r="C1445" s="1" t="s">
        <v>1425</v>
      </c>
      <c r="D1445" s="1" t="str">
        <f>IFERROR(__xludf.DUMMYFUNCTION("CONCATENATE(GOOGLETRANSLATE(C1445, ""en"", ""zh-cn""))"),"创意隐藏式桌子抽屉收纳隐藏粘贴式票房文具收纳可调节抽屉收纳盒适用于家庭办公用品")</f>
        <v>创意隐藏式桌子抽屉收纳隐藏粘贴式票房文具收纳可调节抽屉收纳盒适用于家庭办公用品</v>
      </c>
      <c r="E1445" s="1" t="str">
        <f>IFERROR(__xludf.DUMMYFUNCTION("CONCATENATE(GOOGLETRANSLATE(C1445, ""en"", ""ko""))"),"크리 에이 티브 숨겨진 테이블 서랍 스토리지 숨겨진 붙여 넣기 스타일 상자 Office 편지지 스토리지 홈 오피스 용품에 대한 조정 가능한 서랍 주최자")</f>
        <v>크리 에이 티브 숨겨진 테이블 서랍 스토리지 숨겨진 붙여 넣기 스타일 상자 Office 편지지 스토리지 홈 오피스 용품에 대한 조정 가능한 서랍 주최자</v>
      </c>
      <c r="F1445" s="1" t="str">
        <f>IFERROR(__xludf.DUMMYFUNCTION("CONCATENATE(GOOGLETRANSLATE(C1445, ""en"", ""ja""))"),"クリエイティブ隠しテーブル引き出し収納隠しペーストスタイルボックスオフィス文具収納調整可能な引き出しオーガナイザーホームオフィス用品用")</f>
        <v>クリエイティブ隠しテーブル引き出し収納隠しペーストスタイルボックスオフィス文具収納調整可能な引き出しオーガナイザーホームオフィス用品用</v>
      </c>
    </row>
    <row r="1446" ht="15.75" customHeight="1">
      <c r="A1446" s="1">
        <v>2919.0</v>
      </c>
      <c r="B1446" s="1" t="s">
        <v>381</v>
      </c>
      <c r="C1446" s="1" t="s">
        <v>1426</v>
      </c>
      <c r="D1446" s="1" t="str">
        <f>IFERROR(__xludf.DUMMYFUNCTION("CONCATENATE(GOOGLETRANSLATE(C1446, ""en"", ""zh-cn""))"),"京华3.5mm Type-C音频音乐适配器转换器充电听歌二合一适配器")</f>
        <v>京华3.5mm Type-C音频音乐适配器转换器充电听歌二合一适配器</v>
      </c>
      <c r="E1446" s="1" t="str">
        <f>IFERROR(__xludf.DUMMYFUNCTION("CONCATENATE(GOOGLETRANSLATE(C1446, ""en"", ""ko""))"),"충전 및 노래 듣기를 위한 Jinghua 3.5mm Type-C 오디오 음악 어댑터 변환기 투인원 어댑터")</f>
        <v>충전 및 노래 듣기를 위한 Jinghua 3.5mm Type-C 오디오 음악 어댑터 변환기 투인원 어댑터</v>
      </c>
      <c r="F1446" s="1" t="str">
        <f>IFERROR(__xludf.DUMMYFUNCTION("CONCATENATE(GOOGLETRANSLATE(C1446, ""en"", ""ja""))"),"Jinghua 3.5mm Type-C オーディオ音楽アダプターコンバーター 充電と曲鑑賞用 ツーインワンアダプター")</f>
        <v>Jinghua 3.5mm Type-C オーディオ音楽アダプターコンバーター 充電と曲鑑賞用 ツーインワンアダプター</v>
      </c>
    </row>
    <row r="1447" ht="15.75" customHeight="1">
      <c r="A1447" s="1">
        <v>2920.0</v>
      </c>
      <c r="B1447" s="1" t="s">
        <v>381</v>
      </c>
      <c r="C1447" s="1" t="s">
        <v>1427</v>
      </c>
      <c r="D1447" s="1" t="str">
        <f>IFERROR(__xludf.DUMMYFUNCTION("CONCATENATE(GOOGLETRANSLATE(C1447, ""en"", ""zh-cn""))"),"Deli 透明遮蔽胶带蓝色/粉色学生书写胶带切割 2 片 T 胶带文具办公室使用")</f>
        <v>Deli 透明遮蔽胶带蓝色/粉色学生书写胶带切割 2 片 T 胶带文具办公室使用</v>
      </c>
      <c r="E1447" s="1" t="str">
        <f>IFERROR(__xludf.DUMMYFUNCTION("CONCATENATE(GOOGLETRANSLATE(C1447, ""en"", ""ko""))"),"델리 투명 마스킹 테이프 블루/핑크 학생 쓰기 테이프 절단 2 조각 Ttapes 편지지 사무용")</f>
        <v>델리 투명 마스킹 테이프 블루/핑크 학생 쓰기 테이프 절단 2 조각 Ttapes 편지지 사무용</v>
      </c>
      <c r="F1447" s="1" t="str">
        <f>IFERROR(__xludf.DUMMYFUNCTION("CONCATENATE(GOOGLETRANSLATE(C1447, ""en"", ""ja""))"),"デリ透明マスキングテープ ブルー/ピンク 学生筆記テープ切断 2 個 Ttapes 文具オフィス使用")</f>
        <v>デリ透明マスキングテープ ブルー/ピンク 学生筆記テープ切断 2 個 Ttapes 文具オフィス使用</v>
      </c>
    </row>
    <row r="1448" ht="15.75" customHeight="1">
      <c r="A1448" s="1">
        <v>2921.0</v>
      </c>
      <c r="B1448" s="1" t="s">
        <v>381</v>
      </c>
      <c r="C1448" s="1" t="s">
        <v>1428</v>
      </c>
      <c r="D1448" s="1" t="str">
        <f>IFERROR(__xludf.DUMMYFUNCTION("CONCATENATE(GOOGLETRANSLATE(C1448, ""en"", ""zh-cn""))"),"35 件 GAMAKAY 黄蜂机械开关 3 针预润滑线性开关适用于 DIY 机械游戏键盘")</f>
        <v>35 件 GAMAKAY 黄蜂机械开关 3 针预润滑线性开关适用于 DIY 机械游戏键盘</v>
      </c>
      <c r="E1448" s="1" t="str">
        <f>IFERROR(__xludf.DUMMYFUNCTION("CONCATENATE(GOOGLETRANSLATE(C1448, ""en"", ""ko""))"),"35Pcs GAMAKAY Wasp 기계식 스위치 DIY 기계식 게임용 키보드 용 3 핀 사전 윤활 선형 스위치")</f>
        <v>35Pcs GAMAKAY Wasp 기계식 스위치 DIY 기계식 게임용 키보드 용 3 핀 사전 윤활 선형 스위치</v>
      </c>
      <c r="F1448" s="1" t="str">
        <f>IFERROR(__xludf.DUMMYFUNCTION("CONCATENATE(GOOGLETRANSLATE(C1448, ""en"", ""ja""))"),"35 個 GAMAKAY ワスプメカニカルスイッチ 3 ピン潤滑済みリニアスイッチ DIY メカニカルゲーミングキーボード用")</f>
        <v>35 個 GAMAKAY ワスプメカニカルスイッチ 3 ピン潤滑済みリニアスイッチ DIY メカニカルゲーミングキーボード用</v>
      </c>
    </row>
    <row r="1449" ht="15.75" customHeight="1">
      <c r="A1449" s="1">
        <v>2922.0</v>
      </c>
      <c r="B1449" s="1" t="s">
        <v>381</v>
      </c>
      <c r="C1449" s="1" t="s">
        <v>1429</v>
      </c>
      <c r="D1449" s="1" t="str">
        <f>IFERROR(__xludf.DUMMYFUNCTION("CONCATENATE(GOOGLETRANSLATE(C1449, ""en"", ""zh-cn""))"),"Creality 3D® CR-PLA 哑光 1.0Kg 1.75mm 用于 3D 打印机")</f>
        <v>Creality 3D® CR-PLA 哑光 1.0Kg 1.75mm 用于 3D 打印机</v>
      </c>
      <c r="E1449" s="1" t="str">
        <f>IFERROR(__xludf.DUMMYFUNCTION("CONCATENATE(GOOGLETRANSLATE(C1449, ""en"", ""ko""))"),"3D 프린터용 Creality 3D® CR-PLA 무광택 1.0Kg 1.75mm")</f>
        <v>3D 프린터용 Creality 3D® CR-PLA 무광택 1.0Kg 1.75mm</v>
      </c>
      <c r="F1449" s="1" t="str">
        <f>IFERROR(__xludf.DUMMYFUNCTION("CONCATENATE(GOOGLETRANSLATE(C1449, ""en"", ""ja""))"),"Creality 3D® CR-PLA マット 1.0Kg 1.75mm 3D プリンター用")</f>
        <v>Creality 3D® CR-PLA マット 1.0Kg 1.75mm 3D プリンター用</v>
      </c>
    </row>
    <row r="1450" ht="15.75" customHeight="1">
      <c r="A1450" s="1">
        <v>2923.0</v>
      </c>
      <c r="B1450" s="1" t="s">
        <v>381</v>
      </c>
      <c r="C1450" s="1" t="s">
        <v>1430</v>
      </c>
      <c r="D1450" s="1" t="str">
        <f>IFERROR(__xludf.DUMMYFUNCTION("CONCATENATE(GOOGLETRANSLATE(C1450, ""en"", ""zh-cn""))"),"3 件 3D 打印机零件 加热器块硅胶盖适用于 Sprite 挤出机 Ender-3S1 Ender-3 S1Pro 硅胶袜兼容")</f>
        <v>3 件 3D 打印机零件 加热器块硅胶盖适用于 Sprite 挤出机 Ender-3S1 Ender-3 S1Pro 硅胶袜兼容</v>
      </c>
      <c r="E1450" s="1" t="str">
        <f>IFERROR(__xludf.DUMMYFUNCTION("CONCATENATE(GOOGLETRANSLATE(C1450, ""en"", ""ko""))"),"3Pcs 3d 프린터 부품 스프라이트 압출기 용 히터 블록 실리콘 커버 Ender-3S1 Ender-3 S1Pro 실리콘 양말 호환")</f>
        <v>3Pcs 3d 프린터 부품 스프라이트 압출기 용 히터 블록 실리콘 커버 Ender-3S1 Ender-3 S1Pro 실리콘 양말 호환</v>
      </c>
      <c r="F1450" s="1" t="str">
        <f>IFERROR(__xludf.DUMMYFUNCTION("CONCATENATE(GOOGLETRANSLATE(C1450, ""en"", ""ja""))"),"3 個 3d プリンタ部品ヒーターブロックシリコンカバースプライト押出機 Ender-3S1 Ender-3 S1Pro シリコーン靴下互換")</f>
        <v>3 個 3d プリンタ部品ヒーターブロックシリコンカバースプライト押出機 Ender-3S1 Ender-3 S1Pro シリコーン靴下互換</v>
      </c>
    </row>
    <row r="1451" ht="15.75" customHeight="1">
      <c r="A1451" s="1">
        <v>2924.0</v>
      </c>
      <c r="B1451" s="1" t="s">
        <v>381</v>
      </c>
      <c r="C1451" s="1" t="s">
        <v>1431</v>
      </c>
      <c r="D1451" s="1" t="str">
        <f>IFERROR(__xludf.DUMMYFUNCTION("CONCATENATE(GOOGLETRANSLATE(C1451, ""en"", ""zh-cn""))"),"3D 打印机零件 Ender 3 S1 镀铜加热块 铝加热块 高温 3D 打印机零件")</f>
        <v>3D 打印机零件 Ender 3 S1 镀铜加热块 铝加热块 高温 3D 打印机零件</v>
      </c>
      <c r="E1451" s="1" t="str">
        <f>IFERROR(__xludf.DUMMYFUNCTION("CONCATENATE(GOOGLETRANSLATE(C1451, ""en"", ""ko""))"),"3D 프린터 부품 Ender 3 S1 구리 도금 열 블록 알루미늄 열 블록 고온 3D 프린터 부품")</f>
        <v>3D 프린터 부품 Ender 3 S1 구리 도금 열 블록 알루미늄 열 블록 고온 3D 프린터 부품</v>
      </c>
      <c r="F1451" s="1" t="str">
        <f>IFERROR(__xludf.DUMMYFUNCTION("CONCATENATE(GOOGLETRANSLATE(C1451, ""en"", ""ja""))"),"3D プリンタ部品 Ender 3 S1 銅メッキヒートブロックアルミヒートブロック高温 3D プリンタ部品")</f>
        <v>3D プリンタ部品 Ender 3 S1 銅メッキヒートブロックアルミヒートブロック高温 3D プリンタ部品</v>
      </c>
    </row>
    <row r="1452" ht="15.75" customHeight="1">
      <c r="A1452" s="1">
        <v>2925.0</v>
      </c>
      <c r="B1452" s="1" t="s">
        <v>381</v>
      </c>
      <c r="C1452" s="1" t="s">
        <v>1432</v>
      </c>
      <c r="D1452" s="1" t="str">
        <f>IFERROR(__xludf.DUMMYFUNCTION("CONCATENATE(GOOGLETRANSLATE(C1452, ""en"", ""zh-cn""))"),"Creality 3D® Ender-3 S1 Plus 3D 打印机 300*300*300mm 更大的打印体积，全金属双齿轮直接挤出机/CR Touch 自动调平")</f>
        <v>Creality 3D® Ender-3 S1 Plus 3D 打印机 300*300*300mm 更大的打印体积，全金属双齿轮直接挤出机/CR Touch 自动调平</v>
      </c>
      <c r="E1452" s="1" t="str">
        <f>IFERROR(__xludf.DUMMYFUNCTION("CONCATENATE(GOOGLETRANSLATE(C1452, ""en"", ""ko""))"),"Creality 3D® Ender-3 S1 Plus 3D 프린터 300*300*300mm 풀 메탈 듀얼 기어 직접 압출기/CR 터치 자동 레벨링으로 더 큰 빌드 볼륨")</f>
        <v>Creality 3D® Ender-3 S1 Plus 3D 프린터 300*300*300mm 풀 메탈 듀얼 기어 직접 압출기/CR 터치 자동 레벨링으로 더 큰 빌드 볼륨</v>
      </c>
      <c r="F1452" s="1" t="str">
        <f>IFERROR(__xludf.DUMMYFUNCTION("CONCATENATE(GOOGLETRANSLATE(C1452, ""en"", ""ja""))"),"Creality 3D® Ender-3 S1 Plus 3D プリンター 300*300*300mm フルメタルデュアルギアダイレクトエクストルーダー/CR タッチオートレベリングによるより大きなビルドボリューム")</f>
        <v>Creality 3D® Ender-3 S1 Plus 3D プリンター 300*300*300mm フルメタルデュアルギアダイレクトエクストルーダー/CR タッチオートレベリングによるより大きなビルドボリューム</v>
      </c>
    </row>
    <row r="1453" ht="15.75" customHeight="1">
      <c r="A1453" s="1">
        <v>2926.0</v>
      </c>
      <c r="B1453" s="1" t="s">
        <v>381</v>
      </c>
      <c r="C1453" s="1" t="s">
        <v>1433</v>
      </c>
      <c r="D1453" s="1" t="str">
        <f>IFERROR(__xludf.DUMMYFUNCTION("CONCATENATE(GOOGLETRANSLATE(C1453, ""en"", ""zh-cn""))"),"CoolKiller CK 178Mini 三模式游戏机械键盘低轴型 RGB 无线蓝牙5.0 适用于 MAC")</f>
        <v>CoolKiller CK 178Mini 三模式游戏机械键盘低轴型 RGB 无线蓝牙5.0 适用于 MAC</v>
      </c>
      <c r="E1453" s="1" t="str">
        <f>IFERROR(__xludf.DUMMYFUNCTION("CONCATENATE(GOOGLETRANSLATE(C1453, ""en"", ""ko""))"),"CoolKiller CK 178Mini 트리플 모드 게임용 기계식 키보드 MAC 용 로우 샤프트 프로파일 RGB 무선 bluetooth5.0")</f>
        <v>CoolKiller CK 178Mini 트리플 모드 게임용 기계식 키보드 MAC 용 로우 샤프트 프로파일 RGB 무선 bluetooth5.0</v>
      </c>
      <c r="F1453" s="1" t="str">
        <f>IFERROR(__xludf.DUMMYFUNCTION("CONCATENATE(GOOGLETRANSLATE(C1453, ""en"", ""ja""))"),"CoolKiller CK 178Mini トリプルモードゲーミングメカニカルキーボードローシャフトプロファイル RGB ワイヤレス bluetooth5.0 MAC 用")</f>
        <v>CoolKiller CK 178Mini トリプルモードゲーミングメカニカルキーボードローシャフトプロファイル RGB ワイヤレス bluetooth5.0 MAC 用</v>
      </c>
    </row>
    <row r="1454" ht="15.75" customHeight="1">
      <c r="A1454" s="1">
        <v>2927.0</v>
      </c>
      <c r="B1454" s="1" t="s">
        <v>381</v>
      </c>
      <c r="C1454" s="1" t="s">
        <v>1434</v>
      </c>
      <c r="D1454" s="1" t="str">
        <f>IFERROR(__xludf.DUMMYFUNCTION("CONCATENATE(GOOGLETRANSLATE(C1454, ""en"", ""zh-cn""))"),"12/6 GPU 矿箱架开放式钻机框架工具主板支架存储支架")</f>
        <v>12/6 GPU 矿箱架开放式钻机框架工具主板支架存储支架</v>
      </c>
      <c r="E1454" s="1" t="str">
        <f>IFERROR(__xludf.DUMMYFUNCTION("CONCATENATE(GOOGLETRANSLATE(C1454, ""en"", ""ko""))"),"12/6 GPU 마이닝 케이스 랙 오픈 리그 프레임 도구 마더보드 브래킷 보관 홀더")</f>
        <v>12/6 GPU 마이닝 케이스 랙 오픈 리그 프레임 도구 마더보드 브래킷 보관 홀더</v>
      </c>
      <c r="F1454" s="1" t="str">
        <f>IFERROR(__xludf.DUMMYFUNCTION("CONCATENATE(GOOGLETRANSLATE(C1454, ""en"", ""ja""))"),"12/6 GPU マイニング ケース ラック オープン リグ フレーム ツール マザーボード ブラケット ストレージ ホルダー")</f>
        <v>12/6 GPU マイニング ケース ラック オープン リグ フレーム ツール マザーボード ブラケット ストレージ ホルダー</v>
      </c>
    </row>
    <row r="1455" ht="15.75" customHeight="1">
      <c r="A1455" s="1">
        <v>2928.0</v>
      </c>
      <c r="B1455" s="1" t="s">
        <v>381</v>
      </c>
      <c r="C1455" s="1" t="s">
        <v>1435</v>
      </c>
      <c r="D1455" s="1" t="str">
        <f>IFERROR(__xludf.DUMMYFUNCTION("CONCATENATE(GOOGLETRANSLATE(C1455, ""en"", ""zh-cn""))"),"COMFAST CF-959AX USB 3.0 双频 WIFI6 无线网卡墙壁千兆网卡 1800Mbps 2.4ghz/5ghz WiFi 接收器适配器适用于笔记本电脑外部 WiFi 发射器接收器")</f>
        <v>COMFAST CF-959AX USB 3.0 双频 WIFI6 无线网卡墙壁千兆网卡 1800Mbps 2.4ghz/5ghz WiFi 接收器适配器适用于笔记本电脑外部 WiFi 发射器接收器</v>
      </c>
      <c r="E1455" s="1" t="str">
        <f>IFERROR(__xludf.DUMMYFUNCTION("CONCATENATE(GOOGLETRANSLATE(C1455, ""en"", ""ko""))"),"COMFAST CF-959AX USB 3.0 듀얼 밴드 WIFI6 무선 네트워크 카드 벽 기가비트 네트워크 카드 노트북 외부 WiFi 송신기 수신기 용 1800Mbps 2.4ghz/5ghz WiFi 수신기 어댑터")</f>
        <v>COMFAST CF-959AX USB 3.0 듀얼 밴드 WIFI6 무선 네트워크 카드 벽 기가비트 네트워크 카드 노트북 외부 WiFi 송신기 수신기 용 1800Mbps 2.4ghz/5ghz WiFi 수신기 어댑터</v>
      </c>
      <c r="F1455" s="1" t="str">
        <f>IFERROR(__xludf.DUMMYFUNCTION("CONCATENATE(GOOGLETRANSLATE(C1455, ""en"", ""ja""))"),"COMFAST CF-959AX USB 3.0 デュアルバンド WIFI6 ワイヤレス ネットワーク カード ウォール ギガビット ネットワーク カード 1800Mbps 2.4ghz/5ghz WiFi レシーバー アダプター ラップトップ用 外部 WiFi トランスミッター レシーバー")</f>
        <v>COMFAST CF-959AX USB 3.0 デュアルバンド WIFI6 ワイヤレス ネットワーク カード ウォール ギガビット ネットワーク カード 1800Mbps 2.4ghz/5ghz WiFi レシーバー アダプター ラップトップ用 外部 WiFi トランスミッター レシーバー</v>
      </c>
    </row>
    <row r="1456" ht="15.75" customHeight="1">
      <c r="A1456" s="1">
        <v>2929.0</v>
      </c>
      <c r="B1456" s="1" t="s">
        <v>381</v>
      </c>
      <c r="C1456" s="1" t="s">
        <v>1436</v>
      </c>
      <c r="D1456" s="1" t="str">
        <f>IFERROR(__xludf.DUMMYFUNCTION("CONCATENATE(GOOGLETRANSLATE(C1456, ""en"", ""zh-cn""))"),"牛津背包笔记本电脑包带 USB 充电端口学生书包时尚单肩包适用于 15.6 英寸笔记本电脑")</f>
        <v>牛津背包笔记本电脑包带 USB 充电端口学生书包时尚单肩包适用于 15.6 英寸笔记本电脑</v>
      </c>
      <c r="E1456" s="1" t="str">
        <f>IFERROR(__xludf.DUMMYFUNCTION("CONCATENATE(GOOGLETRANSLATE(C1456, ""en"", ""ko""))"),"옥스포드 배낭 노트북 가방 USB 충전 포트 학생 학교 가방 패션 어깨 가방 15.6 인치 노트북")</f>
        <v>옥스포드 배낭 노트북 가방 USB 충전 포트 학생 학교 가방 패션 어깨 가방 15.6 인치 노트북</v>
      </c>
      <c r="F1456" s="1" t="str">
        <f>IFERROR(__xludf.DUMMYFUNCTION("CONCATENATE(GOOGLETRANSLATE(C1456, ""en"", ""ja""))"),"オックスフォードバックパックラップトップバッグUSB充電ポート学生スクールバッグファッションショルダーバッグ15.6インチノートブック用")</f>
        <v>オックスフォードバックパックラップトップバッグUSB充電ポート学生スクールバッグファッションショルダーバッグ15.6インチノートブック用</v>
      </c>
    </row>
    <row r="1457" ht="15.75" customHeight="1">
      <c r="A1457" s="1">
        <v>2930.0</v>
      </c>
      <c r="B1457" s="1" t="s">
        <v>381</v>
      </c>
      <c r="C1457" s="1" t="s">
        <v>1437</v>
      </c>
      <c r="D1457" s="1" t="str">
        <f>IFERROR(__xludf.DUMMYFUNCTION("CONCATENATE(GOOGLETRANSLATE(C1457, ""en"", ""zh-cn""))"),"2 件万圣节横幅套装 ﻿Trick or Treat 万圣节门廊标志横幅旗帜南瓜家居门挂装饰")</f>
        <v>2 件万圣节横幅套装 ﻿Trick or Treat 万圣节门廊标志横幅旗帜南瓜家居门挂装饰</v>
      </c>
      <c r="E1457" s="1" t="str">
        <f>IFERROR(__xludf.DUMMYFUNCTION("CONCATENATE(GOOGLETRANSLATE(C1457, ""en"", ""ko""))"),"2Pcs 할로윈 배너 세트 트릭이나 치료 할로윈 베란다 로그인 배너 깃발 호박 홈 도어 매달려 장식")</f>
        <v>2Pcs 할로윈 배너 세트 트릭이나 치료 할로윈 베란다 로그인 배너 깃발 호박 홈 도어 매달려 장식</v>
      </c>
      <c r="F1457" s="1" t="str">
        <f>IFERROR(__xludf.DUMMYFUNCTION("CONCATENATE(GOOGLETRANSLATE(C1457, ""en"", ""ja""))"),"2 個のハロウィン バナー セット トリック オア トリート ハロウィン ポーチ サイン バナー フラグ パンプキン ホーム ドア 吊り下げ装飾")</f>
        <v>2 個のハロウィン バナー セット トリック オア トリート ハロウィン ポーチ サイン バナー フラグ パンプキン ホーム ドア 吊り下げ装飾</v>
      </c>
    </row>
    <row r="1458" ht="15.75" customHeight="1">
      <c r="A1458" s="1">
        <v>2931.0</v>
      </c>
      <c r="B1458" s="1" t="s">
        <v>381</v>
      </c>
      <c r="C1458" s="1" t="s">
        <v>1438</v>
      </c>
      <c r="D1458" s="1" t="str">
        <f>IFERROR(__xludf.DUMMYFUNCTION("CONCATENATE(GOOGLETRANSLATE(C1458, ""en"", ""zh-cn""))"),"Catda Micro HDMI 1.4 高清适配器公对公双向适配器适用于 Raspberry Pi 3B+")</f>
        <v>Catda Micro HDMI 1.4 高清适配器公对公双向适配器适用于 Raspberry Pi 3B+</v>
      </c>
      <c r="E1458" s="1" t="str">
        <f>IFERROR(__xludf.DUMMYFUNCTION("CONCATENATE(GOOGLETRANSLATE(C1458, ""en"", ""ko""))"),"라즈베리 파이 3B+용 Catda 마이크로 HDMI 1.4 HD 어댑터 남성-남성 양방향 어댑터")</f>
        <v>라즈베리 파이 3B+용 Catda 마이크로 HDMI 1.4 HD 어댑터 남성-남성 양방향 어댑터</v>
      </c>
      <c r="F1458" s="1" t="str">
        <f>IFERROR(__xludf.DUMMYFUNCTION("CONCATENATE(GOOGLETRANSLATE(C1458, ""en"", ""ja""))"),"Catda Micro HDMI 1.4 HD アダプター オス - オス 双方向アダプター Raspberry Pi 3B+ 用")</f>
        <v>Catda Micro HDMI 1.4 HD アダプター オス - オス 双方向アダプター Raspberry Pi 3B+ 用</v>
      </c>
    </row>
    <row r="1459" ht="15.75" customHeight="1">
      <c r="A1459" s="1">
        <v>2932.0</v>
      </c>
      <c r="B1459" s="1" t="s">
        <v>381</v>
      </c>
      <c r="C1459" s="1" t="s">
        <v>1439</v>
      </c>
      <c r="D1459" s="1" t="str">
        <f>IFERROR(__xludf.DUMMYFUNCTION("CONCATENATE(GOOGLETRANSLATE(C1459, ""en"", ""zh-cn""))"),"BAYNAST 10m 3RCA 至 3RCA 音频视频线 AV 电缆连接器 DVD 音频线 1.5m 3m 5m 适用于音响电视电脑")</f>
        <v>BAYNAST 10m 3RCA 至 3RCA 音频视频线 AV 电缆连接器 DVD 音频线 1.5m 3m 5m 适用于音响电视电脑</v>
      </c>
      <c r="E1459" s="1" t="str">
        <f>IFERROR(__xludf.DUMMYFUNCTION("CONCATENATE(GOOGLETRANSLATE(C1459, ""en"", ""ko""))"),"BAYNAST 10m 3RCA ~ 3RCA 오디오 비디오 케이블 AV 케이블 커넥터 사운드 TV 컴퓨터 용 DVD 오디오 케이블 1.5m 3m 5m")</f>
        <v>BAYNAST 10m 3RCA ~ 3RCA 오디오 비디오 케이블 AV 케이블 커넥터 사운드 TV 컴퓨터 용 DVD 오디오 케이블 1.5m 3m 5m</v>
      </c>
      <c r="F1459" s="1" t="str">
        <f>IFERROR(__xludf.DUMMYFUNCTION("CONCATENATE(GOOGLETRANSLATE(C1459, ""en"", ""ja""))"),"BAYNAST 10 メートル 3RCA に 3RCA オーディオビデオケーブル AV ケーブルコネクタ DVD オーディオケーブル 1.5 メートル 3 メートル 5 メートルサウンドテレビコンピュータ用")</f>
        <v>BAYNAST 10 メートル 3RCA に 3RCA オーディオビデオケーブル AV ケーブルコネクタ DVD オーディオケーブル 1.5 メートル 3 メートル 5 メートルサウンドテレビコンピュータ用</v>
      </c>
    </row>
    <row r="1460" ht="15.75" customHeight="1">
      <c r="A1460" s="1">
        <v>2933.0</v>
      </c>
      <c r="B1460" s="1" t="s">
        <v>381</v>
      </c>
      <c r="C1460" s="1" t="s">
        <v>1440</v>
      </c>
      <c r="D1460" s="1" t="str">
        <f>IFERROR(__xludf.DUMMYFUNCTION("CONCATENATE(GOOGLETRANSLATE(C1460, ""en"", ""zh-cn""))"),"金属挂篮铁艺黑白挂钩设计壁挂架厨房浴室毛巾刀收纳架家居装饰")</f>
        <v>金属挂篮铁艺黑白挂钩设计壁挂架厨房浴室毛巾刀收纳架家居装饰</v>
      </c>
      <c r="E1460" s="1" t="str">
        <f>IFERROR(__xludf.DUMMYFUNCTION("CONCATENATE(GOOGLETRANSLATE(C1460, ""en"", ""ko""))"),"금속 교수형 바구니 철 블랙/화이트 후크 디자인 벽 교수형 랙 주방 욕실 수건 칼 스토리지 선반 홈 인테리어")</f>
        <v>금속 교수형 바구니 철 블랙/화이트 후크 디자인 벽 교수형 랙 주방 욕실 수건 칼 스토리지 선반 홈 인테리어</v>
      </c>
      <c r="F1460" s="1" t="str">
        <f>IFERROR(__xludf.DUMMYFUNCTION("CONCATENATE(GOOGLETRANSLATE(C1460, ""en"", ""ja""))"),"金属ハンギングバスケット鉄黒/白フックデザイン壁掛けラックキッチンバスルームタオルナイフ収納棚家の装飾")</f>
        <v>金属ハンギングバスケット鉄黒/白フックデザイン壁掛けラックキッチンバスルームタオルナイフ収納棚家の装飾</v>
      </c>
    </row>
    <row r="1461" ht="15.75" customHeight="1">
      <c r="A1461" s="1">
        <v>2934.0</v>
      </c>
      <c r="B1461" s="1" t="s">
        <v>381</v>
      </c>
      <c r="C1461" s="1" t="s">
        <v>1441</v>
      </c>
      <c r="D1461" s="1" t="str">
        <f>IFERROR(__xludf.DUMMYFUNCTION("CONCATENATE(GOOGLETRANSLATE(C1461, ""en"", ""zh-cn""))"),"指尖陀螺指尖陀螺减压玩具儿童减压益智玩具有趣的儿童成人礼物")</f>
        <v>指尖陀螺指尖陀螺减压玩具儿童减压益智玩具有趣的儿童成人礼物</v>
      </c>
      <c r="E1461" s="1" t="str">
        <f>IFERROR(__xludf.DUMMYFUNCTION("CONCATENATE(GOOGLETRANSLATE(C1461, ""en"", ""ko""))"),"Fidget 핸드 스피너 손끝 자이로 스트레스 릴리버 장난감 어린이 감압 퍼즐 장난감 재미 있은 어린이 성인 선물")</f>
        <v>Fidget 핸드 스피너 손끝 자이로 스트레스 릴리버 장난감 어린이 감압 퍼즐 장난감 재미 있은 어린이 성인 선물</v>
      </c>
      <c r="F1461" s="1" t="str">
        <f>IFERROR(__xludf.DUMMYFUNCTION("CONCATENATE(GOOGLETRANSLATE(C1461, ""en"", ""ja""))"),"フィジェットハンドスピナー指先ジャイロストレス解消おもちゃ子供減圧パズルおもちゃ面白い子供大人のギフト")</f>
        <v>フィジェットハンドスピナー指先ジャイロストレス解消おもちゃ子供減圧パズルおもちゃ面白い子供大人のギフト</v>
      </c>
    </row>
    <row r="1462" ht="15.75" customHeight="1">
      <c r="A1462" s="1">
        <v>2935.0</v>
      </c>
      <c r="B1462" s="1" t="s">
        <v>381</v>
      </c>
      <c r="C1462" s="1" t="s">
        <v>1442</v>
      </c>
      <c r="D1462" s="1" t="str">
        <f>IFERROR(__xludf.DUMMYFUNCTION("CONCATENATE(GOOGLETRANSLATE(C1462, ""en"", ""zh-cn""))"),"树脂攀岩人物雕刻运动雕像悬挂雕像家居客厅墙壁装饰吊坠")</f>
        <v>树脂攀岩人物雕刻运动雕像悬挂雕像家居客厅墙壁装饰吊坠</v>
      </c>
      <c r="E1462" s="1" t="str">
        <f>IFERROR(__xludf.DUMMYFUNCTION("CONCATENATE(GOOGLETRANSLATE(C1462, ""en"", ""ko""))"),"수지 암벽 등반 인물 조각 스포츠 동상 교수형 동상 홈 거실 벽 장식 펜던트")</f>
        <v>수지 암벽 등반 인물 조각 스포츠 동상 교수형 동상 홈 거실 벽 장식 펜던트</v>
      </c>
      <c r="F1462" s="1" t="str">
        <f>IFERROR(__xludf.DUMMYFUNCTION("CONCATENATE(GOOGLETRANSLATE(C1462, ""en"", ""ja""))"),"樹脂ロッククライミングフィギュア彫刻スポーツ彫像ぶら下げ像ホームリビングルームの壁の装飾ペンダント")</f>
        <v>樹脂ロッククライミングフィギュア彫刻スポーツ彫像ぶら下げ像ホームリビングルームの壁の装飾ペンダント</v>
      </c>
    </row>
    <row r="1463" ht="15.75" customHeight="1">
      <c r="A1463" s="1">
        <v>2936.0</v>
      </c>
      <c r="B1463" s="1" t="s">
        <v>381</v>
      </c>
      <c r="C1463" s="1" t="s">
        <v>1443</v>
      </c>
      <c r="D1463" s="1" t="str">
        <f>IFERROR(__xludf.DUMMYFUNCTION("CONCATENATE(GOOGLETRANSLATE(C1463, ""en"", ""zh-cn""))"),"22 件套儿童游戏厨房套装无毒 ABS 蓝色/粉色厨房烹饪套装儿童动手能力智力开发工具")</f>
        <v>22 件套儿童游戏厨房套装无毒 ABS 蓝色/粉色厨房烹饪套装儿童动手能力智力开发工具</v>
      </c>
      <c r="E1463" s="1" t="str">
        <f>IFERROR(__xludf.DUMMYFUNCTION("CONCATENATE(GOOGLETRANSLATE(C1463, ""en"", ""ko""))"),"22Pcs 어린이 놀이 주방 세트 무독성 ABS 블루/핑크 주방 요리 세트 어린이 실습 능력 Intellgence 개발 도구")</f>
        <v>22Pcs 어린이 놀이 주방 세트 무독성 ABS 블루/핑크 주방 요리 세트 어린이 실습 능력 Intellgence 개발 도구</v>
      </c>
      <c r="F1463" s="1" t="str">
        <f>IFERROR(__xludf.DUMMYFUNCTION("CONCATENATE(GOOGLETRANSLATE(C1463, ""en"", ""ja""))"),"22 個子供プレイキッチンセット非毒性 ABS ブルー/ピンクキッチン調理セット子供実践能力知能開発ツール")</f>
        <v>22 個子供プレイキッチンセット非毒性 ABS ブルー/ピンクキッチン調理セット子供実践能力知能開発ツール</v>
      </c>
    </row>
    <row r="1464" ht="15.75" customHeight="1">
      <c r="A1464" s="1">
        <v>2937.0</v>
      </c>
      <c r="B1464" s="1" t="s">
        <v>381</v>
      </c>
      <c r="C1464" s="1" t="s">
        <v>1444</v>
      </c>
      <c r="D1464" s="1" t="str">
        <f>IFERROR(__xludf.DUMMYFUNCTION("CONCATENATE(GOOGLETRANSLATE(C1464, ""en"", ""zh-cn""))"),"彩虹拱形积木组合木制儿童益智多彩半圆形积木儿童玩具礼物")</f>
        <v>彩虹拱形积木组合木制儿童益智多彩半圆形积木儿童玩具礼物</v>
      </c>
      <c r="E1464" s="1" t="str">
        <f>IFERROR(__xludf.DUMMYFUNCTION("CONCATENATE(GOOGLETRANSLATE(C1464, ""en"", ""ko""))"),"무지개 아치형 빌딩 블록 조합 나무 어린이 교육 다채로운 반원형 빌딩 블록 어린이 장난감 선물")</f>
        <v>무지개 아치형 빌딩 블록 조합 나무 어린이 교육 다채로운 반원형 빌딩 블록 어린이 장난감 선물</v>
      </c>
      <c r="F1464" s="1" t="str">
        <f>IFERROR(__xludf.DUMMYFUNCTION("CONCATENATE(GOOGLETRANSLATE(C1464, ""en"", ""ja""))"),"虹アーチ型ビルディングブロック組み合わせ木製子供の教育用カラフルな半円ビルディングブロック子供のおもちゃギフト")</f>
        <v>虹アーチ型ビルディングブロック組み合わせ木製子供の教育用カラフルな半円ビルディングブロック子供のおもちゃギフト</v>
      </c>
    </row>
    <row r="1465" ht="15.75" customHeight="1">
      <c r="A1465" s="1">
        <v>2938.0</v>
      </c>
      <c r="B1465" s="1" t="s">
        <v>381</v>
      </c>
      <c r="C1465" s="1" t="s">
        <v>1445</v>
      </c>
      <c r="D1465" s="1" t="str">
        <f>IFERROR(__xludf.DUMMYFUNCTION("CONCATENATE(GOOGLETRANSLATE(C1465, ""en"", ""zh-cn""))"),"防尘化妆品收纳盒带抽屉大容量桌面家具收纳盒家用办公桌杂物收纳")</f>
        <v>防尘化妆品收纳盒带抽屉大容量桌面家具收纳盒家用办公桌杂物收纳</v>
      </c>
      <c r="E1465" s="1" t="str">
        <f>IFERROR(__xludf.DUMMYFUNCTION("CONCATENATE(GOOGLETRANSLATE(C1465, ""en"", ""ko""))"),"서랍이있는 방진 화장품 보관 상자 대용량 데스크탑 가구 주최자 홈 데스크 잡화 보관")</f>
        <v>서랍이있는 방진 화장품 보관 상자 대용량 데스크탑 가구 주최자 홈 데스크 잡화 보관</v>
      </c>
      <c r="F1465" s="1" t="str">
        <f>IFERROR(__xludf.DUMMYFUNCTION("CONCATENATE(GOOGLETRANSLATE(C1465, ""en"", ""ja""))"),"防塵化粧品収納ボックス 引き出し付き 大容量 デスクトップ家具オーガナイザー ホームデスク 雑貨収納")</f>
        <v>防塵化粧品収納ボックス 引き出し付き 大容量 デスクトップ家具オーガナイザー ホームデスク 雑貨収納</v>
      </c>
    </row>
    <row r="1466" ht="15.75" customHeight="1">
      <c r="A1466" s="1">
        <v>2939.0</v>
      </c>
      <c r="B1466" s="1" t="s">
        <v>381</v>
      </c>
      <c r="C1466" s="1" t="s">
        <v>1446</v>
      </c>
      <c r="D1466" s="1" t="str">
        <f>IFERROR(__xludf.DUMMYFUNCTION("CONCATENATE(GOOGLETRANSLATE(C1466, ""en"", ""zh-cn""))"),"LED 美容灯架 10 个 LED 灯自由可调支架夹式流光补光支持家庭办公室照明设备")</f>
        <v>LED 美容灯架 10 个 LED 灯自由可调支架夹式流光补光支持家庭办公室照明设备</v>
      </c>
      <c r="E1466" s="1" t="str">
        <f>IFERROR(__xludf.DUMMYFUNCTION("CONCATENATE(GOOGLETRANSLATE(C1466, ""en"", ""ko""))"),"LED 뷰티 라이트 스탠드 10 LED 조명 무료 조절 스탠드 클립 온 스트리밍 라이트 보충 지원 홈 오피스 조명 장비")</f>
        <v>LED 뷰티 라이트 스탠드 10 LED 조명 무료 조절 스탠드 클립 온 스트리밍 라이트 보충 지원 홈 오피스 조명 장비</v>
      </c>
      <c r="F1466" s="1" t="str">
        <f>IFERROR(__xludf.DUMMYFUNCTION("CONCATENATE(GOOGLETRANSLATE(C1466, ""en"", ""ja""))"),"LED ビューティーライトスタンド 10 LED ライト無料調整可能なスタンドクリップオンストリーミングライト補充サポートホームオフィス照明機器")</f>
        <v>LED ビューティーライトスタンド 10 LED ライト無料調整可能なスタンドクリップオンストリーミングライト補充サポートホームオフィス照明機器</v>
      </c>
    </row>
    <row r="1467" ht="15.75" customHeight="1">
      <c r="A1467" s="1">
        <v>2940.0</v>
      </c>
      <c r="B1467" s="1" t="s">
        <v>381</v>
      </c>
      <c r="C1467" s="1" t="s">
        <v>1447</v>
      </c>
      <c r="D1467" s="1" t="str">
        <f>IFERROR(__xludf.DUMMYFUNCTION("CONCATENATE(GOOGLETRANSLATE(C1467, ""en"", ""zh-cn""))"),"英文单词拼写游戏套装 英文字母和单词卡套装 儿童早教单词识别工具")</f>
        <v>英文单词拼写游戏套装 英文字母和单词卡套装 儿童早教单词识别工具</v>
      </c>
      <c r="E1467" s="1" t="str">
        <f>IFERROR(__xludf.DUMMYFUNCTION("CONCATENATE(GOOGLETRANSLATE(C1467, ""en"", ""ko""))"),"영어 단어 철자 게임 세트 영어 문자 및 단어 카드 세트 어린이 조기 교육 단어 인식 도구")</f>
        <v>영어 단어 철자 게임 세트 영어 문자 및 단어 카드 세트 어린이 조기 교육 단어 인식 도구</v>
      </c>
      <c r="F1467" s="1" t="str">
        <f>IFERROR(__xludf.DUMMYFUNCTION("CONCATENATE(GOOGLETRANSLATE(C1467, ""en"", ""ja""))"),"英単語スペルゲームセット英語の文字と単語カードセット子供の早期教育単語認識ツール")</f>
        <v>英単語スペルゲームセット英語の文字と単語カードセット子供の早期教育単語認識ツール</v>
      </c>
    </row>
    <row r="1468" ht="15.75" customHeight="1">
      <c r="A1468" s="1">
        <v>2941.0</v>
      </c>
      <c r="B1468" s="1" t="s">
        <v>381</v>
      </c>
      <c r="C1468" s="1" t="s">
        <v>1448</v>
      </c>
      <c r="D1468" s="1" t="str">
        <f>IFERROR(__xludf.DUMMYFUNCTION("CONCATENATE(GOOGLETRANSLATE(C1468, ""en"", ""zh-cn""))"),"手工钩针花边挂毯月亮猫头鹰编织流苏墙壁装饰挂毯家居婚礼装饰装饰品")</f>
        <v>手工钩针花边挂毯月亮猫头鹰编织流苏墙壁装饰挂毯家居婚礼装饰装饰品</v>
      </c>
      <c r="E1468" s="1" t="str">
        <f>IFERROR(__xludf.DUMMYFUNCTION("CONCATENATE(GOOGLETRANSLATE(C1468, ""en"", ""ko""))"),"수제 크로 셰 뜨개질 레이스 태피스트리 달 올빼미 짠 술 벽 장식 장식 매달려 태피스 트리 홈 웨딩 장식 장식품")</f>
        <v>수제 크로 셰 뜨개질 레이스 태피스트리 달 올빼미 짠 술 벽 장식 장식 매달려 태피스 트리 홈 웨딩 장식 장식품</v>
      </c>
      <c r="F1468" s="1" t="str">
        <f>IFERROR(__xludf.DUMMYFUNCTION("CONCATENATE(GOOGLETRANSLATE(C1468, ""en"", ""ja""))"),"手作りかぎ針編みレースタペストリー月フクロウ織タッセル壁装飾装飾壁掛けタペストリーホームウェディング装飾飾り")</f>
        <v>手作りかぎ針編みレースタペストリー月フクロウ織タッセル壁装飾装飾壁掛けタペストリーホームウェディング装飾飾り</v>
      </c>
    </row>
    <row r="1469" ht="15.75" customHeight="1">
      <c r="A1469" s="1">
        <v>2942.0</v>
      </c>
      <c r="B1469" s="1" t="s">
        <v>381</v>
      </c>
      <c r="C1469" s="1" t="s">
        <v>1449</v>
      </c>
      <c r="D1469" s="1" t="str">
        <f>IFERROR(__xludf.DUMMYFUNCTION("CONCATENATE(GOOGLETRANSLATE(C1469, ""en"", ""zh-cn""))"),"儿童木制彩石叠叠乐积木玩具益智玩具创意堆叠积木平衡游戏礼物玩具")</f>
        <v>儿童木制彩石叠叠乐积木玩具益智玩具创意堆叠积木平衡游戏礼物玩具</v>
      </c>
      <c r="E1469" s="1" t="str">
        <f>IFERROR(__xludf.DUMMYFUNCTION("CONCATENATE(GOOGLETRANSLATE(C1469, ""en"", ""ko""))"),"어린이 나무 컬러 스톤 Jenga 빌딩 블록 장난감 교육 장난감 크리 에이 티브 스태킹 블록 균형 게임 선물 장난감")</f>
        <v>어린이 나무 컬러 스톤 Jenga 빌딩 블록 장난감 교육 장난감 크리 에이 티브 스태킹 블록 균형 게임 선물 장난감</v>
      </c>
      <c r="F1469" s="1" t="str">
        <f>IFERROR(__xludf.DUMMYFUNCTION("CONCATENATE(GOOGLETRANSLATE(C1469, ""en"", ""ja""))"),"子供の木製カラーストーンジェンガビルディングブロックおもちゃ知育玩具クリエイティブスタッキングブロックバランスゲームギフトおもちゃ")</f>
        <v>子供の木製カラーストーンジェンガビルディングブロックおもちゃ知育玩具クリエイティブスタッキングブロックバランスゲームギフトおもちゃ</v>
      </c>
    </row>
    <row r="1470" ht="15.75" customHeight="1">
      <c r="A1470" s="1">
        <v>2943.0</v>
      </c>
      <c r="B1470" s="1" t="s">
        <v>381</v>
      </c>
      <c r="C1470" s="1" t="s">
        <v>1450</v>
      </c>
      <c r="D1470" s="1" t="str">
        <f>IFERROR(__xludf.DUMMYFUNCTION("CONCATENATE(GOOGLETRANSLATE(C1470, ""en"", ""zh-cn""))"),"办公室 PU 皮革手腕鼠标垫腕托支撑垫带防滑凝胶")</f>
        <v>办公室 PU 皮革手腕鼠标垫腕托支撑垫带防滑凝胶</v>
      </c>
      <c r="E1470" s="1" t="str">
        <f>IFERROR(__xludf.DUMMYFUNCTION("CONCATENATE(GOOGLETRANSLATE(C1470, ""en"", ""ko""))"),"미끄럼 방지 젤이 포함된 사무실 PU 가죽 손목 받침대 마우스 패드 손목 받침대 지원 매트")</f>
        <v>미끄럼 방지 젤이 포함된 사무실 PU 가죽 손목 받침대 마우스 패드 손목 받침대 지원 매트</v>
      </c>
      <c r="F1470" s="1" t="str">
        <f>IFERROR(__xludf.DUMMYFUNCTION("CONCATENATE(GOOGLETRANSLATE(C1470, ""en"", ""ja""))"),"オフィス PU レザー リスト マウスパッド リストレスト サポート マット 滑り止めジェル付き")</f>
        <v>オフィス PU レザー リスト マウスパッド リストレスト サポート マット 滑り止めジェル付き</v>
      </c>
    </row>
    <row r="1471" ht="15.75" customHeight="1">
      <c r="A1471" s="1">
        <v>2944.0</v>
      </c>
      <c r="B1471" s="1" t="s">
        <v>381</v>
      </c>
      <c r="C1471" s="1" t="s">
        <v>1451</v>
      </c>
      <c r="D1471" s="1" t="str">
        <f>IFERROR(__xludf.DUMMYFUNCTION("CONCATENATE(GOOGLETRANSLATE(C1471, ""en"", ""zh-cn""))"),"微波炉支架储物架厨房储物支架架子节省空间厨房收纳件")</f>
        <v>微波炉支架储物架厨房储物支架架子节省空间厨房收纳件</v>
      </c>
      <c r="E1471" s="1" t="str">
        <f>IFERROR(__xludf.DUMMYFUNCTION("CONCATENATE(GOOGLETRANSLATE(C1471, ""en"", ""ko""))"),"전자 레인지 스탠드 스토리지 랙 주방 스토리지 브래킷 선반 공간 절약 주방 주최자")</f>
        <v>전자 레인지 스탠드 스토리지 랙 주방 스토리지 브래킷 선반 공간 절약 주방 주최자</v>
      </c>
      <c r="F1471" s="1" t="str">
        <f>IFERROR(__xludf.DUMMYFUNCTION("CONCATENATE(GOOGLETRANSLATE(C1471, ""en"", ""ja""))"),"電子レンジスタンド収納ラックキッチン収納ブラケット棚省スペースキッチンオーガナイザー")</f>
        <v>電子レンジスタンド収納ラックキッチン収納ブラケット棚省スペースキッチンオーガナイザー</v>
      </c>
    </row>
    <row r="1472" ht="15.75" customHeight="1">
      <c r="A1472" s="1">
        <v>2945.0</v>
      </c>
      <c r="B1472" s="1" t="s">
        <v>381</v>
      </c>
      <c r="C1472" s="1" t="s">
        <v>1452</v>
      </c>
      <c r="D1472" s="1" t="str">
        <f>IFERROR(__xludf.DUMMYFUNCTION("CONCATENATE(GOOGLETRANSLATE(C1472, ""en"", ""zh-cn""))"),"木质方形储物展示架壁挂式储物架家庭办公室悬挂装饰收纳架")</f>
        <v>木质方形储物展示架壁挂式储物架家庭办公室悬挂装饰收纳架</v>
      </c>
      <c r="E1472" s="1" t="str">
        <f>IFERROR(__xludf.DUMMYFUNCTION("CONCATENATE(GOOGLETRANSLATE(C1472, ""en"", ""ko""))"),"나무 광장 스토리지 디스플레이 선반 캐비닛 벽 마운트 스토리지 랙 홈 오피스 매달려 장식 주최자")</f>
        <v>나무 광장 스토리지 디스플레이 선반 캐비닛 벽 마운트 스토리지 랙 홈 오피스 매달려 장식 주최자</v>
      </c>
      <c r="F1472" s="1" t="str">
        <f>IFERROR(__xludf.DUMMYFUNCTION("CONCATENATE(GOOGLETRANSLATE(C1472, ""en"", ""ja""))"),"木製正方形収納ディスプレイ棚キャビネット壁掛け収納ラックホームオフィス吊り装飾オーガナイザー")</f>
        <v>木製正方形収納ディスプレイ棚キャビネット壁掛け収納ラックホームオフィス吊り装飾オーガナイザー</v>
      </c>
    </row>
    <row r="1473" ht="15.75" customHeight="1">
      <c r="A1473" s="1">
        <v>2946.0</v>
      </c>
      <c r="B1473" s="1" t="s">
        <v>381</v>
      </c>
      <c r="C1473" s="1" t="s">
        <v>1453</v>
      </c>
      <c r="D1473" s="1" t="str">
        <f>IFERROR(__xludf.DUMMYFUNCTION("CONCATENATE(GOOGLETRANSLATE(C1473, ""en"", ""zh-cn""))"),"角色扮演骷髅面具玻璃纤维尼龙抗冲击面具气枪彩弹自行车战斗游戏头盔室内户外")</f>
        <v>角色扮演骷髅面具玻璃纤维尼龙抗冲击面具气枪彩弹自行车战斗游戏头盔室内户外</v>
      </c>
      <c r="E1473" s="1" t="str">
        <f>IFERROR(__xludf.DUMMYFUNCTION("CONCATENATE(GOOGLETRANSLATE(C1473, ""en"", ""ko""))"),"코스프레 해골 마스크 유리 섬유 나일론 충격 저항 마스크 Airsoft 페인트 볼 자전거 전투 게임 헬멧 실내 옥외")</f>
        <v>코스프레 해골 마스크 유리 섬유 나일론 충격 저항 마스크 Airsoft 페인트 볼 자전거 전투 게임 헬멧 실내 옥외</v>
      </c>
      <c r="F1473" s="1" t="str">
        <f>IFERROR(__xludf.DUMMYFUNCTION("CONCATENATE(GOOGLETRANSLATE(C1473, ""en"", ""ja""))"),"コスプレスカルマスクガラス繊維ナイロン耐衝撃マスクエアガンペイントボール自転車戦闘ゲームヘルメット屋内屋外用")</f>
        <v>コスプレスカルマスクガラス繊維ナイロン耐衝撃マスクエアガンペイントボール自転車戦闘ゲームヘルメット屋内屋外用</v>
      </c>
    </row>
    <row r="1474" ht="15.75" customHeight="1">
      <c r="A1474" s="1">
        <v>2947.0</v>
      </c>
      <c r="B1474" s="1" t="s">
        <v>381</v>
      </c>
      <c r="C1474" s="1" t="s">
        <v>1454</v>
      </c>
      <c r="D1474" s="1" t="str">
        <f>IFERROR(__xludf.DUMMYFUNCTION("CONCATENATE(GOOGLETRANSLATE(C1474, ""en"", ""zh-cn""))"),"创意3D立体卡通书签海洋动物可爱PVC书签学习办公用品1PCS")</f>
        <v>创意3D立体卡通书签海洋动物可爱PVC书签学习办公用品1PCS</v>
      </c>
      <c r="E1474" s="1" t="str">
        <f>IFERROR(__xludf.DUMMYFUNCTION("CONCATENATE(GOOGLETRANSLATE(C1474, ""en"", ""ko""))"),"크리 에이 티브 3D 스테레오 만화 책갈피 바다 동물 귀여운 PVC 책 마커 학습 사무 용품 1PCS")</f>
        <v>크리 에이 티브 3D 스테레오 만화 책갈피 바다 동물 귀여운 PVC 책 마커 학습 사무 용품 1PCS</v>
      </c>
      <c r="F1474" s="1" t="str">
        <f>IFERROR(__xludf.DUMMYFUNCTION("CONCATENATE(GOOGLETRANSLATE(C1474, ""en"", ""ja""))"),"クリエイティブ 3D ステレオ漫画ブックマーク海洋動物かわいい PVC ブックマーカー学習事務用品 1 個")</f>
        <v>クリエイティブ 3D ステレオ漫画ブックマーク海洋動物かわいい PVC ブックマーカー学習事務用品 1 個</v>
      </c>
    </row>
    <row r="1475" ht="15.75" customHeight="1">
      <c r="A1475" s="1">
        <v>2948.0</v>
      </c>
      <c r="B1475" s="1" t="s">
        <v>381</v>
      </c>
      <c r="C1475" s="1" t="s">
        <v>1455</v>
      </c>
      <c r="D1475" s="1" t="str">
        <f>IFERROR(__xludf.DUMMYFUNCTION("CONCATENATE(GOOGLETRANSLATE(C1475, ""en"", ""zh-cn""))"),"T8 Type-C HDMI 无线显示适配器适配器 4K 电视适配器高清电视电缆适配器兼容投影仪无线手机同屏")</f>
        <v>T8 Type-C HDMI 无线显示适配器适配器 4K 电视适配器高清电视电缆适配器兼容投影仪无线手机同屏</v>
      </c>
      <c r="E1475" s="1" t="str">
        <f>IFERROR(__xludf.DUMMYFUNCTION("CONCATENATE(GOOGLETRANSLATE(C1475, ""en"", ""ko""))"),"T8 Type-C HDMI 무선 디스플레이 동글 어댑터 4K TV 동글 HDTV 케이블 어댑터 프로젝터 무선 전화와 호환 가능 동일한 화면")</f>
        <v>T8 Type-C HDMI 무선 디스플레이 동글 어댑터 4K TV 동글 HDTV 케이블 어댑터 프로젝터 무선 전화와 호환 가능 동일한 화면</v>
      </c>
      <c r="F1475" s="1" t="str">
        <f>IFERROR(__xludf.DUMMYFUNCTION("CONCATENATE(GOOGLETRANSLATE(C1475, ""en"", ""ja""))"),"T8 Type-C HDMI ワイヤレス ディスプレイ ドングル アダプター 4K TV ドングル HDTV ケーブル アダプター プロジェクター ワイヤレス電話と互換性あり 同じ画面")</f>
        <v>T8 Type-C HDMI ワイヤレス ディスプレイ ドングル アダプター 4K TV ドングル HDTV ケーブル アダプター プロジェクター ワイヤレス電話と互換性あり 同じ画面</v>
      </c>
    </row>
    <row r="1476" ht="15.75" customHeight="1">
      <c r="A1476" s="1">
        <v>2949.0</v>
      </c>
      <c r="B1476" s="1" t="s">
        <v>381</v>
      </c>
      <c r="C1476" s="1" t="s">
        <v>1456</v>
      </c>
      <c r="D1476" s="1" t="str">
        <f>IFERROR(__xludf.DUMMYFUNCTION("CONCATENATE(GOOGLETRANSLATE(C1476, ""en"", ""zh-cn""))"),"迷你花盆创意桌面摆件北欧圆形笔筒桌面配件树脂")</f>
        <v>迷你花盆创意桌面摆件北欧圆形笔筒桌面配件树脂</v>
      </c>
      <c r="E1476" s="1" t="str">
        <f>IFERROR(__xludf.DUMMYFUNCTION("CONCATENATE(GOOGLETRANSLATE(C1476, ""en"", ""ko""))"),"미니 식물 냄비 크리 에이 티브 데스크탑 장식 북유럽 라운드 펜 홀더 데스크탑 액세서리 수지")</f>
        <v>미니 식물 냄비 크리 에이 티브 데스크탑 장식 북유럽 라운드 펜 홀더 데스크탑 액세서리 수지</v>
      </c>
      <c r="F1476" s="1" t="str">
        <f>IFERROR(__xludf.DUMMYFUNCTION("CONCATENATE(GOOGLETRANSLATE(C1476, ""en"", ""ja""))"),"ミニ植木鉢クリエイティブデスクトップ装飾北欧ラウンドペンホルダーデスクトップアクセサリー樹脂")</f>
        <v>ミニ植木鉢クリエイティブデスクトップ装飾北欧ラウンドペンホルダーデスクトップアクセサリー樹脂</v>
      </c>
    </row>
    <row r="1477" ht="15.75" customHeight="1">
      <c r="A1477" s="1">
        <v>2950.0</v>
      </c>
      <c r="B1477" s="1" t="s">
        <v>381</v>
      </c>
      <c r="C1477" s="1" t="s">
        <v>1457</v>
      </c>
      <c r="D1477" s="1" t="str">
        <f>IFERROR(__xludf.DUMMYFUNCTION("CONCATENATE(GOOGLETRANSLATE(C1477, ""en"", ""zh-cn""))"),"防水涤纶面料蓝色海洋生物贝壳防水浴帘180*180cm")</f>
        <v>防水涤纶面料蓝色海洋生物贝壳防水浴帘180*180cm</v>
      </c>
      <c r="E1477" s="1" t="str">
        <f>IFERROR(__xludf.DUMMYFUNCTION("CONCATENATE(GOOGLETRANSLATE(C1477, ""en"", ""ko""))"),"방수 폴리에스테르 직물 푸른 바다 생물 바다 쉘 방수 샤워 커튼 180*180cm")</f>
        <v>방수 폴리에스테르 직물 푸른 바다 생물 바다 쉘 방수 샤워 커튼 180*180cm</v>
      </c>
      <c r="F1477" s="1" t="str">
        <f>IFERROR(__xludf.DUMMYFUNCTION("CONCATENATE(GOOGLETRANSLATE(C1477, ""en"", ""ja""))"),"防水ポリエステル生地ブルー海の生物貝殻防水シャワーカーテン 180*180 センチメートル")</f>
        <v>防水ポリエステル生地ブルー海の生物貝殻防水シャワーカーテン 180*180 センチメートル</v>
      </c>
    </row>
    <row r="1478" ht="15.75" customHeight="1">
      <c r="A1478" s="1">
        <v>2951.0</v>
      </c>
      <c r="B1478" s="1" t="s">
        <v>381</v>
      </c>
      <c r="C1478" s="1" t="s">
        <v>1458</v>
      </c>
      <c r="D1478" s="1" t="str">
        <f>IFERROR(__xludf.DUMMYFUNCTION("CONCATENATE(GOOGLETRANSLATE(C1478, ""en"", ""zh-cn""))"),"3D立体胡萝卜形状书签趣味阅读书籍文件夹便签信学生文具礼品学校办公用品")</f>
        <v>3D立体胡萝卜形状书签趣味阅读书籍文件夹便签信学生文具礼品学校办公用品</v>
      </c>
      <c r="E1478" s="1" t="str">
        <f>IFERROR(__xludf.DUMMYFUNCTION("CONCATENATE(GOOGLETRANSLATE(C1478, ""en"", ""ko""))"),"3D 스테레오 당근 모양 북마크 재미 독서 책 폴더 노트 학생을위한 편지 편지지 선물 학교 사무용품")</f>
        <v>3D 스테레오 당근 모양 북마크 재미 독서 책 폴더 노트 학생을위한 편지 편지지 선물 학교 사무용품</v>
      </c>
      <c r="F1478" s="1" t="str">
        <f>IFERROR(__xludf.DUMMYFUNCTION("CONCATENATE(GOOGLETRANSLATE(C1478, ""en"", ""ja""))"),"3D ステレオニンジン形状ブックマーク楽しい読書ブックフォルダーノート学生のための手紙文具ギフト学校事務用品")</f>
        <v>3D ステレオニンジン形状ブックマーク楽しい読書ブックフォルダーノート学生のための手紙文具ギフト学校事務用品</v>
      </c>
    </row>
    <row r="1479" ht="15.75" customHeight="1">
      <c r="A1479" s="1">
        <v>2952.0</v>
      </c>
      <c r="B1479" s="1" t="s">
        <v>381</v>
      </c>
      <c r="C1479" s="1" t="s">
        <v>1459</v>
      </c>
      <c r="D1479" s="1" t="str">
        <f>IFERROR(__xludf.DUMMYFUNCTION("CONCATENATE(GOOGLETRANSLATE(C1479, ""en"", ""zh-cn""))"),"可拆卸化妆品收纳盒化妆品收纳盒抽屉式桌面文具收纳盒指甲油口红收纳盒首饰盒")</f>
        <v>可拆卸化妆品收纳盒化妆品收纳盒抽屉式桌面文具收纳盒指甲油口红收纳盒首饰盒</v>
      </c>
      <c r="E1479" s="1" t="str">
        <f>IFERROR(__xludf.DUMMYFUNCTION("CONCATENATE(GOOGLETRANSLATE(C1479, ""en"", ""ko""))"),"이동식 화장품 보관 상자 메이크업 주최자 서랍 데스크탑 문구 보관 상자 매니큐어 립스틱 보관 상자 보석 케이스")</f>
        <v>이동식 화장품 보관 상자 메이크업 주최자 서랍 데스크탑 문구 보관 상자 매니큐어 립스틱 보관 상자 보석 케이스</v>
      </c>
      <c r="F1479" s="1" t="str">
        <f>IFERROR(__xludf.DUMMYFUNCTION("CONCATENATE(GOOGLETRANSLATE(C1479, ""en"", ""ja""))"),"リムーバブル化粧品収納ボックスメイクアップオーガナイザー引き出しデスクトップ文具収納ボックスマニキュア口紅収納ボックスジュエリーケース")</f>
        <v>リムーバブル化粧品収納ボックスメイクアップオーガナイザー引き出しデスクトップ文具収納ボックスマニキュア口紅収納ボックスジュエリーケース</v>
      </c>
    </row>
    <row r="1480" ht="15.75" customHeight="1">
      <c r="A1480" s="1">
        <v>2953.0</v>
      </c>
      <c r="B1480" s="1" t="s">
        <v>381</v>
      </c>
      <c r="C1480" s="1" t="s">
        <v>1460</v>
      </c>
      <c r="D1480" s="1" t="str">
        <f>IFERROR(__xludf.DUMMYFUNCTION("CONCATENATE(GOOGLETRANSLATE(C1480, ""en"", ""zh-cn""))"),"腰包化妆包 PU 皮革多槽设计腰包化妆师专业化妆工具存储工作室演出后台")</f>
        <v>腰包化妆包 PU 皮革多槽设计腰包化妆师专业化妆工具存储工作室演出后台</v>
      </c>
      <c r="E1480" s="1" t="str">
        <f>IFERROR(__xludf.DUMMYFUNCTION("CONCATENATE(GOOGLETRANSLATE(C1480, ""en"", ""ko""))"),"허리 메이크업 가방 PU 가죽 다중 슬롯 디자인 허리 가방 메이크업 아티스트 전문 메이크업 도구 스튜디오 쇼 백 스테이지 보관")</f>
        <v>허리 메이크업 가방 PU 가죽 다중 슬롯 디자인 허리 가방 메이크업 아티스트 전문 메이크업 도구 스튜디오 쇼 백 스테이지 보관</v>
      </c>
      <c r="F1480" s="1" t="str">
        <f>IFERROR(__xludf.DUMMYFUNCTION("CONCATENATE(GOOGLETRANSLATE(C1480, ""en"", ""ja""))"),"ウエストメイクアップバッグ PU レザー複数スロットデザインウエストバッグメイクアップアーティストプロフェッショナルメイクアップツール収納スタジオショーバックステージ")</f>
        <v>ウエストメイクアップバッグ PU レザー複数スロットデザインウエストバッグメイクアップアーティストプロフェッショナルメイクアップツール収納スタジオショーバックステージ</v>
      </c>
    </row>
    <row r="1481" ht="15.75" customHeight="1">
      <c r="A1481" s="1">
        <v>2954.0</v>
      </c>
      <c r="B1481" s="1" t="s">
        <v>381</v>
      </c>
      <c r="C1481" s="1" t="s">
        <v>1461</v>
      </c>
      <c r="D1481" s="1" t="str">
        <f>IFERROR(__xludf.DUMMYFUNCTION("CONCATENATE(GOOGLETRANSLATE(C1481, ""en"", ""zh-cn""))"),"100 件装饰球套装圣诞树装饰球小玩意包悬挂球适合家庭办公室商场天花板装饰")</f>
        <v>100 件装饰球套装圣诞树装饰球小玩意包悬挂球适合家庭办公室商场天花板装饰</v>
      </c>
      <c r="E1481" s="1" t="str">
        <f>IFERROR(__xludf.DUMMYFUNCTION("CONCATENATE(GOOGLETRANSLATE(C1481, ""en"", ""ko""))"),"100pcs Decration 공 세트 크리스마스 트리 장식 공 Bauble 팩 홈 오피스 몰 천장 장식에 대 한 교수형 공")</f>
        <v>100pcs Decration 공 세트 크리스마스 트리 장식 공 Bauble 팩 홈 오피스 몰 천장 장식에 대 한 교수형 공</v>
      </c>
      <c r="F1481" s="1" t="str">
        <f>IFERROR(__xludf.DUMMYFUNCTION("CONCATENATE(GOOGLETRANSLATE(C1481, ""en"", ""ja""))"),"100 個装飾ボールセットクリスマスツリーの装飾ボール安物の宝石パックホームオフィスモール天井装飾用ボール")</f>
        <v>100 個装飾ボールセットクリスマスツリーの装飾ボール安物の宝石パックホームオフィスモール天井装飾用ボール</v>
      </c>
    </row>
    <row r="1482" ht="15.75" customHeight="1">
      <c r="A1482" s="1">
        <v>2955.0</v>
      </c>
      <c r="B1482" s="1" t="s">
        <v>381</v>
      </c>
      <c r="C1482" s="1" t="s">
        <v>1462</v>
      </c>
      <c r="D1482" s="1" t="str">
        <f>IFERROR(__xludf.DUMMYFUNCTION("CONCATENATE(GOOGLETRANSLATE(C1482, ""en"", ""zh-cn""))"),"泡泡感官减压玩具八角形抗压挤压烦躁缓解器有趣的教育益智玩具成人儿童")</f>
        <v>泡泡感官减压玩具八角形抗压挤压烦躁缓解器有趣的教育益智玩具成人儿童</v>
      </c>
      <c r="E1482" s="1" t="str">
        <f>IFERROR(__xludf.DUMMYFUNCTION("CONCATENATE(GOOGLETRANSLATE(C1482, ""en"", ""ko""))"),"버블 감각 감압 장난감 팔각형 안티 스트레스 압출 Fidget Reliever 성인을위한 재미있는 교육 퍼즐 장난감 어린이")</f>
        <v>버블 감각 감압 장난감 팔각형 안티 스트레스 압출 Fidget Reliever 성인을위한 재미있는 교육 퍼즐 장난감 어린이</v>
      </c>
      <c r="F1482" s="1" t="str">
        <f>IFERROR(__xludf.DUMMYFUNCTION("CONCATENATE(GOOGLETRANSLATE(C1482, ""en"", ""ja""))"),"バブル感覚減圧おもちゃ八角形抗ストレス押し出しそわそわリリーバー面白い教育パズルおもちゃ大人子供のため")</f>
        <v>バブル感覚減圧おもちゃ八角形抗ストレス押し出しそわそわリリーバー面白い教育パズルおもちゃ大人子供のため</v>
      </c>
    </row>
    <row r="1483" ht="15.75" customHeight="1">
      <c r="A1483" s="1">
        <v>2956.0</v>
      </c>
      <c r="B1483" s="1" t="s">
        <v>381</v>
      </c>
      <c r="C1483" s="1" t="s">
        <v>1463</v>
      </c>
      <c r="D1483" s="1" t="str">
        <f>IFERROR(__xludf.DUMMYFUNCTION("CONCATENATE(GOOGLETRANSLATE(C1483, ""en"", ""zh-cn""))"),"泡泡感官减压玩具花形抗压挤压烦躁缓解器趣味教育益智玩具成人儿童")</f>
        <v>泡泡感官减压玩具花形抗压挤压烦躁缓解器趣味教育益智玩具成人儿童</v>
      </c>
      <c r="E1483" s="1" t="str">
        <f>IFERROR(__xludf.DUMMYFUNCTION("CONCATENATE(GOOGLETRANSLATE(C1483, ""en"", ""ko""))"),"거품 감각 감압 장난감 꽃 모양 안티 스트레스 압출 Fidget Reliever 성인을위한 재미있는 교육 퍼즐 장난감 어린이")</f>
        <v>거품 감각 감압 장난감 꽃 모양 안티 스트레스 압출 Fidget Reliever 성인을위한 재미있는 교육 퍼즐 장난감 어린이</v>
      </c>
      <c r="F1483" s="1" t="str">
        <f>IFERROR(__xludf.DUMMYFUNCTION("CONCATENATE(GOOGLETRANSLATE(C1483, ""en"", ""ja""))"),"バブル感覚減圧おもちゃ花の形の抗ストレス押出そわそわリリーバー面白い教育パズルおもちゃ大人子供のため")</f>
        <v>バブル感覚減圧おもちゃ花の形の抗ストレス押出そわそわリリーバー面白い教育パズルおもちゃ大人子供のため</v>
      </c>
    </row>
    <row r="1484" ht="15.75" customHeight="1">
      <c r="A1484" s="1">
        <v>2957.0</v>
      </c>
      <c r="B1484" s="1" t="s">
        <v>381</v>
      </c>
      <c r="C1484" s="1" t="s">
        <v>1464</v>
      </c>
      <c r="D1484" s="1" t="str">
        <f>IFERROR(__xludf.DUMMYFUNCTION("CONCATENATE(GOOGLETRANSLATE(C1484, ""en"", ""zh-cn""))"),"电脑显示器立管桌面 LED LCD 笔记本电脑显示器支撑架 带存储架的桌面收纳架")</f>
        <v>电脑显示器立管桌面 LED LCD 笔记本电脑显示器支撑架 带存储架的桌面收纳架</v>
      </c>
      <c r="E1484" s="1" t="str">
        <f>IFERROR(__xludf.DUMMYFUNCTION("CONCATENATE(GOOGLETRANSLATE(C1484, ""en"", ""ko""))"),"컴퓨터 모니터 라이저 데스크탑 LED LCD 노트북 모니터 지원 스탠드 스토리지 랙이 있는 데스크탑 주최자")</f>
        <v>컴퓨터 모니터 라이저 데스크탑 LED LCD 노트북 모니터 지원 스탠드 스토리지 랙이 있는 데스크탑 주최자</v>
      </c>
      <c r="F1484" s="1" t="str">
        <f>IFERROR(__xludf.DUMMYFUNCTION("CONCATENATE(GOOGLETRANSLATE(C1484, ""en"", ""ja""))"),"コンピュータ モニター ライザー デスクトップ LED LCD ラップトップ モニター サポート スタンド デスクトップ オーガナイザー 収納ラック付き")</f>
        <v>コンピュータ モニター ライザー デスクトップ LED LCD ラップトップ モニター サポート スタンド デスクトップ オーガナイザー 収納ラック付き</v>
      </c>
    </row>
    <row r="1485" ht="15.75" customHeight="1">
      <c r="A1485" s="1">
        <v>2958.0</v>
      </c>
      <c r="B1485" s="1" t="s">
        <v>381</v>
      </c>
      <c r="C1485" s="1" t="s">
        <v>1465</v>
      </c>
      <c r="D1485" s="1" t="str">
        <f>IFERROR(__xludf.DUMMYFUNCTION("CONCATENATE(GOOGLETRANSLATE(C1485, ""en"", ""zh-cn""))"),"厨房规则墙贴门牌乙烯基 DIY 壁纸墙贴花家居餐厅厨房墙壁装饰")</f>
        <v>厨房规则墙贴门牌乙烯基 DIY 壁纸墙贴花家居餐厅厨房墙壁装饰</v>
      </c>
      <c r="E1485" s="1" t="str">
        <f>IFERROR(__xludf.DUMMYFUNCTION("CONCATENATE(GOOGLETRANSLATE(C1485, ""en"", ""ko""))"),"주방 규칙 벽 스티커 문 로그인 비닐 DIY 벽지 벽 데칼 홈 레스토랑 주방 벽 장식")</f>
        <v>주방 규칙 벽 스티커 문 로그인 비닐 DIY 벽지 벽 데칼 홈 레스토랑 주방 벽 장식</v>
      </c>
      <c r="F1485" s="1" t="str">
        <f>IFERROR(__xludf.DUMMYFUNCTION("CONCATENATE(GOOGLETRANSLATE(C1485, ""en"", ""ja""))"),"キッチンルールウォールステッカードアサインビニール DIY 壁紙壁デカールホームレストランキッチン壁の装飾")</f>
        <v>キッチンルールウォールステッカードアサインビニール DIY 壁紙壁デカールホームレストランキッチン壁の装飾</v>
      </c>
    </row>
    <row r="1486" ht="15.75" customHeight="1">
      <c r="A1486" s="1">
        <v>2959.0</v>
      </c>
      <c r="B1486" s="1" t="s">
        <v>381</v>
      </c>
      <c r="C1486" s="1" t="s">
        <v>1466</v>
      </c>
      <c r="D1486" s="1" t="str">
        <f>IFERROR(__xludf.DUMMYFUNCTION("CONCATENATE(GOOGLETRANSLATE(C1486, ""en"", ""zh-cn""))"),"PE 泡沫 3D 墙贴 DIY 壁纸墙贴花家庭办公室厨房客厅墙壁装饰")</f>
        <v>PE 泡沫 3D 墙贴 DIY 壁纸墙贴花家庭办公室厨房客厅墙壁装饰</v>
      </c>
      <c r="E1486" s="1" t="str">
        <f>IFERROR(__xludf.DUMMYFUNCTION("CONCATENATE(GOOGLETRANSLATE(C1486, ""en"", ""ko""))"),"PE 폼 3D 벽 스티커 DIY 벽지 벽 데칼 홈 오피스 주방 거실 벽 장식")</f>
        <v>PE 폼 3D 벽 스티커 DIY 벽지 벽 데칼 홈 오피스 주방 거실 벽 장식</v>
      </c>
      <c r="F1486" s="1" t="str">
        <f>IFERROR(__xludf.DUMMYFUNCTION("CONCATENATE(GOOGLETRANSLATE(C1486, ""en"", ""ja""))"),"PE フォーム 3D ウォールステッカー DIY 壁紙ウォールステッカーホームオフィスキッチンリビングルームの壁の装飾")</f>
        <v>PE フォーム 3D ウォールステッカー DIY 壁紙ウォールステッカーホームオフィスキッチンリビングルームの壁の装飾</v>
      </c>
    </row>
    <row r="1487" ht="15.75" customHeight="1">
      <c r="A1487" s="1">
        <v>2960.0</v>
      </c>
      <c r="B1487" s="1" t="s">
        <v>381</v>
      </c>
      <c r="C1487" s="1" t="s">
        <v>1467</v>
      </c>
      <c r="D1487" s="1" t="str">
        <f>IFERROR(__xludf.DUMMYFUNCTION("CONCATENATE(GOOGLETRANSLATE(C1487, ""en"", ""zh-cn""))"),"DIY装饰膜亮光墙贴厨房橱柜橱柜衣柜覆盖自粘墙纸家具装修贴纸")</f>
        <v>DIY装饰膜亮光墙贴厨房橱柜橱柜衣柜覆盖自粘墙纸家具装修贴纸</v>
      </c>
      <c r="E1487" s="1" t="str">
        <f>IFERROR(__xludf.DUMMYFUNCTION("CONCATENATE(GOOGLETRANSLATE(C1487, ""en"", ""ko""))"),"DIY 장식 필름 광택 벽 스티커 주방 캐비닛 찬장 옷장 자체 접착 벽 종이 가구 혁신 스티커를 덮고")</f>
        <v>DIY 장식 필름 광택 벽 스티커 주방 캐비닛 찬장 옷장 자체 접착 벽 종이 가구 혁신 스티커를 덮고</v>
      </c>
      <c r="F1487" s="1" t="str">
        <f>IFERROR(__xludf.DUMMYFUNCTION("CONCATENATE(GOOGLETRANSLATE(C1487, ""en"", ""ja""))"),"DIY 装飾フィルム光沢ウォールステッカーキッチンキャビネット食器棚ワードローブカバー自己粘着壁紙家具リフォームステッカー")</f>
        <v>DIY 装飾フィルム光沢ウォールステッカーキッチンキャビネット食器棚ワードローブカバー自己粘着壁紙家具リフォームステッカー</v>
      </c>
    </row>
    <row r="1488" ht="15.75" customHeight="1">
      <c r="A1488" s="1">
        <v>2961.0</v>
      </c>
      <c r="B1488" s="1" t="s">
        <v>381</v>
      </c>
      <c r="C1488" s="1" t="s">
        <v>1468</v>
      </c>
      <c r="D1488" s="1" t="str">
        <f>IFERROR(__xludf.DUMMYFUNCTION("CONCATENATE(GOOGLETRANSLATE(C1488, ""en"", ""zh-cn""))"),"纯色椅套涤纶花朵图案弹性椅套家庭办公室餐厅装饰")</f>
        <v>纯色椅套涤纶花朵图案弹性椅套家庭办公室餐厅装饰</v>
      </c>
      <c r="E1488" s="1" t="str">
        <f>IFERROR(__xludf.DUMMYFUNCTION("CONCATENATE(GOOGLETRANSLATE(C1488, ""en"", ""ko""))"),"가정 사무실 대중음식점 훈장을 위한 순수한 색깔 의자 덮개 폴리에스테 꽃 본 탄력 있는 의자 덮개")</f>
        <v>가정 사무실 대중음식점 훈장을 위한 순수한 색깔 의자 덮개 폴리에스테 꽃 본 탄력 있는 의자 덮개</v>
      </c>
      <c r="F1488" s="1" t="str">
        <f>IFERROR(__xludf.DUMMYFUNCTION("CONCATENATE(GOOGLETRANSLATE(C1488, ""en"", ""ja""))"),"純粋な色の椅子カバーポリエステル花柄弾性椅子カバーホームオフィスレストラン装飾用")</f>
        <v>純粋な色の椅子カバーポリエステル花柄弾性椅子カバーホームオフィスレストラン装飾用</v>
      </c>
    </row>
    <row r="1489" ht="15.75" customHeight="1">
      <c r="A1489" s="1">
        <v>2962.0</v>
      </c>
      <c r="B1489" s="1" t="s">
        <v>381</v>
      </c>
      <c r="C1489" s="1" t="s">
        <v>1469</v>
      </c>
      <c r="D1489" s="1" t="str">
        <f>IFERROR(__xludf.DUMMYFUNCTION("CONCATENATE(GOOGLETRANSLATE(C1489, ""en"", ""zh-cn""))"),"TZe 231 12mm*8m 标签带 适用于 Brother P-Touch 标签打印机 PT-E500W PT-E100B")</f>
        <v>TZe 231 12mm*8m 标签带 适用于 Brother P-Touch 标签打印机 PT-E500W PT-E100B</v>
      </c>
      <c r="E1489" s="1" t="str">
        <f>IFERROR(__xludf.DUMMYFUNCTION("CONCATENATE(GOOGLETRANSLATE(C1489, ""en"", ""ko""))"),"브라더 P-터치 라벨 프린터 PT-E500W PT-E100B용 TZe 231 12mm*8m 라벨 테이프")</f>
        <v>브라더 P-터치 라벨 프린터 PT-E500W PT-E100B용 TZe 231 12mm*8m 라벨 테이프</v>
      </c>
      <c r="F1489" s="1" t="str">
        <f>IFERROR(__xludf.DUMMYFUNCTION("CONCATENATE(GOOGLETRANSLATE(C1489, ""en"", ""ja""))"),"TZe 231 12 ミリメートル * 8 メートルラベルテープブラザーピータッチラベルプリンタ PT-E500W PT-E100B")</f>
        <v>TZe 231 12 ミリメートル * 8 メートルラベルテープブラザーピータッチラベルプリンタ PT-E500W PT-E100B</v>
      </c>
    </row>
    <row r="1490" ht="15.75" customHeight="1">
      <c r="A1490" s="1">
        <v>2963.0</v>
      </c>
      <c r="B1490" s="1" t="s">
        <v>381</v>
      </c>
      <c r="C1490" s="1" t="s">
        <v>1470</v>
      </c>
      <c r="D1490" s="1" t="str">
        <f>IFERROR(__xludf.DUMMYFUNCTION("CONCATENATE(GOOGLETRANSLATE(C1490, ""en"", ""zh-cn""))"),"A4/6/8/10寸3D镂空相框木质蝴蝶蜻蜓干花相框家用办公桌面摆件礼品用品")</f>
        <v>A4/6/8/10寸3D镂空相框木质蝴蝶蜻蜓干花相框家用办公桌面摆件礼品用品</v>
      </c>
      <c r="E1490" s="1" t="str">
        <f>IFERROR(__xludf.DUMMYFUNCTION("CONCATENATE(GOOGLETRANSLATE(C1490, ""en"", ""ko""))"),"A4/6/8/10 인치 3D 중공 사진 프레임 나무 나비 잠자리 마른 꽃 프레임 홈 오피스 데스크탑 장식 선물 용품")</f>
        <v>A4/6/8/10 인치 3D 중공 사진 프레임 나무 나비 잠자리 마른 꽃 프레임 홈 오피스 데스크탑 장식 선물 용품</v>
      </c>
      <c r="F1490" s="1" t="str">
        <f>IFERROR(__xludf.DUMMYFUNCTION("CONCATENATE(GOOGLETRANSLATE(C1490, ""en"", ""ja""))"),"A4/6/8/10 インチ 3D 中空フォトフレーム木製蝶トンボドライフラワーフレームホームオフィスデスクトップ装飾ギフト用品")</f>
        <v>A4/6/8/10 インチ 3D 中空フォトフレーム木製蝶トンボドライフラワーフレームホームオフィスデスクトップ装飾ギフト用品</v>
      </c>
    </row>
    <row r="1491" ht="15.75" customHeight="1">
      <c r="A1491" s="1">
        <v>2964.0</v>
      </c>
      <c r="B1491" s="1" t="s">
        <v>381</v>
      </c>
      <c r="C1491" s="1" t="s">
        <v>1471</v>
      </c>
      <c r="D1491" s="1" t="str">
        <f>IFERROR(__xludf.DUMMYFUNCTION("CONCATENATE(GOOGLETRANSLATE(C1491, ""en"", ""zh-cn""))"),"30 厘米/12 英寸 T 尺凹陷刻度绘图尺 DIY 工艺通用测量工具文具办公用品")</f>
        <v>30 厘米/12 英寸 T 尺凹陷刻度绘图尺 DIY 工艺通用测量工具文具办公用品</v>
      </c>
      <c r="E1491" s="1" t="str">
        <f>IFERROR(__xludf.DUMMYFUNCTION("CONCATENATE(GOOGLETRANSLATE(C1491, ""en"", ""ko""))"),"30cm/12inch T-자 우울증 스케일 드로잉 눈금자 DIY 공예 일반 작업 측정 도구 편지지 사무용품")</f>
        <v>30cm/12inch T-자 우울증 스케일 드로잉 눈금자 DIY 공예 일반 작업 측정 도구 편지지 사무용품</v>
      </c>
      <c r="F1491" s="1" t="str">
        <f>IFERROR(__xludf.DUMMYFUNCTION("CONCATENATE(GOOGLETRANSLATE(C1491, ""en"", ""ja""))"),"30 センチメートル/12 インチ T 定規うつ病スケール描画定規 DIY クラフト一般的な作業測定ツール文具事務用品")</f>
        <v>30 センチメートル/12 インチ T 定規うつ病スケール描画定規 DIY クラフト一般的な作業測定ツール文具事務用品</v>
      </c>
    </row>
    <row r="1492" ht="15.75" customHeight="1">
      <c r="A1492" s="1">
        <v>2965.0</v>
      </c>
      <c r="B1492" s="1" t="s">
        <v>381</v>
      </c>
      <c r="C1492" s="1" t="s">
        <v>1472</v>
      </c>
      <c r="D1492" s="1" t="str">
        <f>IFERROR(__xludf.DUMMYFUNCTION("CONCATENATE(GOOGLETRANSLATE(C1492, ""en"", ""zh-cn""))"),"金属花盆架 3 层圆形植物架室内室外花卉植物架展示架适用于家庭花园露台")</f>
        <v>金属花盆架 3 层圆形植物架室内室外花卉植物架展示架适用于家庭花园露台</v>
      </c>
      <c r="E1492" s="1" t="str">
        <f>IFERROR(__xludf.DUMMYFUNCTION("CONCATENATE(GOOGLETRANSLATE(C1492, ""en"", ""ko""))"),"금속 꽃 냄비 스탠드 3 계층 둥근 식물 홀더 실내 야외 꽃 식물 스탠드 홈 가든 파티오에 대한 랙 표시")</f>
        <v>금속 꽃 냄비 스탠드 3 계층 둥근 식물 홀더 실내 야외 꽃 식물 스탠드 홈 가든 파티오에 대한 랙 표시</v>
      </c>
      <c r="F1492" s="1" t="str">
        <f>IFERROR(__xludf.DUMMYFUNCTION("CONCATENATE(GOOGLETRANSLATE(C1492, ""en"", ""ja""))"),"金属製植木鉢スタンド 3 段丸い植物ホルダー屋内屋外花植物スタンド家庭菜園パティオ用のディスプレイラック")</f>
        <v>金属製植木鉢スタンド 3 段丸い植物ホルダー屋内屋外花植物スタンド家庭菜園パティオ用のディスプレイラック</v>
      </c>
    </row>
    <row r="1493" ht="15.75" customHeight="1">
      <c r="A1493" s="1">
        <v>2966.0</v>
      </c>
      <c r="B1493" s="1" t="s">
        <v>381</v>
      </c>
      <c r="C1493" s="1" t="s">
        <v>1473</v>
      </c>
      <c r="D1493" s="1" t="str">
        <f>IFERROR(__xludf.DUMMYFUNCTION("CONCATENATE(GOOGLETRANSLATE(C1493, ""en"", ""zh-cn""))"),"带麦克风的高清网络摄像头夜视摄像头 480P/720P/1080P USB 电脑桌面网络摄像头 Facecam 可调节旋转")</f>
        <v>带麦克风的高清网络摄像头夜视摄像头 480P/720P/1080P USB 电脑桌面网络摄像头 Facecam 可调节旋转</v>
      </c>
      <c r="E1493" s="1" t="str">
        <f>IFERROR(__xludf.DUMMYFUNCTION("CONCATENATE(GOOGLETRANSLATE(C1493, ""en"", ""ko""))"),"마이크가있는 HD 웹캠 야간 투시경 카메라 480P/720P/1080P USB 컴퓨터 데스크탑 웹 캠 Facecam 조정 가능한 회전")</f>
        <v>마이크가있는 HD 웹캠 야간 투시경 카메라 480P/720P/1080P USB 컴퓨터 데스크탑 웹 캠 Facecam 조정 가능한 회전</v>
      </c>
      <c r="F1493" s="1" t="str">
        <f>IFERROR(__xludf.DUMMYFUNCTION("CONCATENATE(GOOGLETRANSLATE(C1493, ""en"", ""ja""))"),"HD ウェブカメラ マイク付き ナイトビジョンカメラ 480P/720P/1080P USB コンピュータデスクトップ Web カム フェイスカム 回転調整可能")</f>
        <v>HD ウェブカメラ マイク付き ナイトビジョンカメラ 480P/720P/1080P USB コンピュータデスクトップ Web カム フェイスカム 回転調整可能</v>
      </c>
    </row>
    <row r="1494" ht="15.75" customHeight="1">
      <c r="A1494" s="1">
        <v>2967.0</v>
      </c>
      <c r="B1494" s="1" t="s">
        <v>381</v>
      </c>
      <c r="C1494" s="1" t="s">
        <v>1474</v>
      </c>
      <c r="D1494" s="1" t="str">
        <f>IFERROR(__xludf.DUMMYFUNCTION("CONCATENATE(GOOGLETRANSLATE(C1494, ""en"", ""zh-cn""))"),"气泡垫塑料气泡经线工作学习压力释放纸快递包装气泡经线安全适合儿童成人")</f>
        <v>气泡垫塑料气泡经线工作学习压力释放纸快递包装气泡经线安全适合儿童成人</v>
      </c>
      <c r="E1494" s="1" t="str">
        <f>IFERROR(__xludf.DUMMYFUNCTION("CONCATENATE(GOOGLETRANSLATE(C1494, ""en"", ""ko""))"),"버블 패드 플라스틱 버블 워프 작업 공부 압력 해제 종이 익스프레스 포장 버블 워프 어린이 성인을위한 안전")</f>
        <v>버블 패드 플라스틱 버블 워프 작업 공부 압력 해제 종이 익스프레스 포장 버블 워프 어린이 성인을위한 안전</v>
      </c>
      <c r="F1494" s="1" t="str">
        <f>IFERROR(__xludf.DUMMYFUNCTION("CONCATENATE(GOOGLETRANSLATE(C1494, ""en"", ""ja""))"),"バブルパッドプラスチックバブルワープ作業学習圧力解放紙エクスプレス包装バブルワープ安全な子供大人")</f>
        <v>バブルパッドプラスチックバブルワープ作業学習圧力解放紙エクスプレス包装バブルワープ安全な子供大人</v>
      </c>
    </row>
    <row r="1495" ht="15.75" customHeight="1">
      <c r="A1495" s="1">
        <v>2968.0</v>
      </c>
      <c r="B1495" s="1" t="s">
        <v>381</v>
      </c>
      <c r="C1495" s="1" t="s">
        <v>1475</v>
      </c>
      <c r="D1495" s="1" t="str">
        <f>IFERROR(__xludf.DUMMYFUNCTION("CONCATENATE(GOOGLETRANSLATE(C1495, ""en"", ""zh-cn""))"),"键盘支架吊装架电脑桌多功能可调节收纳滑轨人体工学键盘支架")</f>
        <v>键盘支架吊装架电脑桌多功能可调节收纳滑轨人体工学键盘支架</v>
      </c>
      <c r="E1495" s="1" t="str">
        <f>IFERROR(__xludf.DUMMYFUNCTION("CONCATENATE(GOOGLETRANSLATE(C1495, ""en"", ""ko""))"),"키보드 브래킷 호이 스팅 랙 컴퓨터 책상 다기능 조절 식 스토리지 슬라이드 레일 인체 공학적 키보드 브래킷")</f>
        <v>키보드 브래킷 호이 스팅 랙 컴퓨터 책상 다기능 조절 식 스토리지 슬라이드 레일 인체 공학적 키보드 브래킷</v>
      </c>
      <c r="F1495" s="1" t="str">
        <f>IFERROR(__xludf.DUMMYFUNCTION("CONCATENATE(GOOGLETRANSLATE(C1495, ""en"", ""ja""))"),"キーボードブラケット昇降ラックコンピュータデスク多機能調節可能な収納スライドレール人間工学に基づいたキーボードブラケット")</f>
        <v>キーボードブラケット昇降ラックコンピュータデスク多機能調節可能な収納スライドレール人間工学に基づいたキーボードブラケット</v>
      </c>
    </row>
    <row r="1496" ht="15.75" customHeight="1">
      <c r="A1496" s="1">
        <v>2969.0</v>
      </c>
      <c r="B1496" s="1" t="s">
        <v>381</v>
      </c>
      <c r="C1496" s="1" t="s">
        <v>1476</v>
      </c>
      <c r="D1496" s="1" t="str">
        <f>IFERROR(__xludf.DUMMYFUNCTION("CONCATENATE(GOOGLETRANSLATE(C1496, ""en"", ""zh-cn""))"),"金豪鲨鱼系列钢笔0.5毫米细尖鲨鱼形笔帽设计笔书写签名书法墨水笔")</f>
        <v>金豪鲨鱼系列钢笔0.5毫米细尖鲨鱼形笔帽设计笔书写签名书法墨水笔</v>
      </c>
      <c r="E1496" s="1" t="str">
        <f>IFERROR(__xludf.DUMMYFUNCTION("CONCATENATE(GOOGLETRANSLATE(C1496, ""en"", ""ko""))"),"JINHAO 상어 시리즈 만년필 0.5mm 고급 펜촉 상어 모양 펜 캡 디자인 펜 쓰기 서명 서예 잉크 펜")</f>
        <v>JINHAO 상어 시리즈 만년필 0.5mm 고급 펜촉 상어 모양 펜 캡 디자인 펜 쓰기 서명 서예 잉크 펜</v>
      </c>
      <c r="F1496" s="1" t="str">
        <f>IFERROR(__xludf.DUMMYFUNCTION("CONCATENATE(GOOGLETRANSLATE(C1496, ""en"", ""ja""))"),"JINHAO サメシリーズ万年筆 0.5 ミリメートル細ペン先サメ形状ペンキャップデザインペン書き込み署名書道インクペン")</f>
        <v>JINHAO サメシリーズ万年筆 0.5 ミリメートル細ペン先サメ形状ペンキャップデザインペン書き込み署名書道インクペン</v>
      </c>
    </row>
    <row r="1497" ht="15.75" customHeight="1">
      <c r="A1497" s="1">
        <v>2970.0</v>
      </c>
      <c r="B1497" s="1" t="s">
        <v>381</v>
      </c>
      <c r="C1497" s="1" t="s">
        <v>1477</v>
      </c>
      <c r="D1497" s="1" t="str">
        <f>IFERROR(__xludf.DUMMYFUNCTION("CONCATENATE(GOOGLETRANSLATE(C1497, ""en"", ""zh-cn""))"),"竹制笔记本电脑桌架膝上桌桌子花朵图案可折叠早餐服务床托盘带储物抽屉带可调节腿")</f>
        <v>竹制笔记本电脑桌架膝上桌桌子花朵图案可折叠早餐服务床托盘带储物抽屉带可调节腿</v>
      </c>
      <c r="E1497" s="1" t="str">
        <f>IFERROR(__xludf.DUMMYFUNCTION("CONCATENATE(GOOGLETRANSLATE(C1497, ""en"", ""ko""))"),"대나무 노트북 책상 스탠드 무릎 책상 테이블 꽃 패턴 접이식 아침 식사 조절 가능한 다리가있는 보관 서랍이있는 침대 트레이 제공")</f>
        <v>대나무 노트북 책상 스탠드 무릎 책상 테이블 꽃 패턴 접이식 아침 식사 조절 가능한 다리가있는 보관 서랍이있는 침대 트레이 제공</v>
      </c>
      <c r="F1497" s="1" t="str">
        <f>IFERROR(__xludf.DUMMYFUNCTION("CONCATENATE(GOOGLETRANSLATE(C1497, ""en"", ""ja""))"),"竹製ラップトップデスクスタンド ラップデスクテーブル 花柄 折りたたみ式朝食用ベッドトレイ 収納引き出し付き 調節可能な脚付き")</f>
        <v>竹製ラップトップデスクスタンド ラップデスクテーブル 花柄 折りたたみ式朝食用ベッドトレイ 収納引き出し付き 調節可能な脚付き</v>
      </c>
    </row>
    <row r="1498" ht="15.75" customHeight="1">
      <c r="A1498" s="1">
        <v>2971.0</v>
      </c>
      <c r="B1498" s="1" t="s">
        <v>381</v>
      </c>
      <c r="C1498" s="1" t="s">
        <v>1478</v>
      </c>
      <c r="D1498" s="1" t="str">
        <f>IFERROR(__xludf.DUMMYFUNCTION("CONCATENATE(GOOGLETRANSLATE(C1498, ""en"", ""zh-cn""))"),"木制大象拼图 DIY 独特形状件动物礼物神秘早教玩具儿童成人儿童")</f>
        <v>木制大象拼图 DIY 独特形状件动物礼物神秘早教玩具儿童成人儿童</v>
      </c>
      <c r="E1498" s="1" t="str">
        <f>IFERROR(__xludf.DUMMYFUNCTION("CONCATENATE(GOOGLETRANSLATE(C1498, ""en"", ""ko""))"),"나무 코끼리 직소 퍼즐 DIY 독특한 모양 조각 동물 선물 신비한 조기 교육 장난감 어린이 성인 어린이")</f>
        <v>나무 코끼리 직소 퍼즐 DIY 독특한 모양 조각 동물 선물 신비한 조기 교육 장난감 어린이 성인 어린이</v>
      </c>
      <c r="F1498" s="1" t="str">
        <f>IFERROR(__xludf.DUMMYFUNCTION("CONCATENATE(GOOGLETRANSLATE(C1498, ""en"", ""ja""))"),"木製象のジグソーパズル DIY ユニークな形状のピース動物ギフト神秘的な早期教育のおもちゃ子供大人子供のため")</f>
        <v>木製象のジグソーパズル DIY ユニークな形状のピース動物ギフト神秘的な早期教育のおもちゃ子供大人子供のため</v>
      </c>
    </row>
    <row r="1499" ht="15.75" customHeight="1">
      <c r="A1499" s="1">
        <v>2972.0</v>
      </c>
      <c r="B1499" s="1" t="s">
        <v>381</v>
      </c>
      <c r="C1499" s="1" t="s">
        <v>1479</v>
      </c>
      <c r="D1499" s="1" t="str">
        <f>IFERROR(__xludf.DUMMYFUNCTION("CONCATENATE(GOOGLETRANSLATE(C1499, ""en"", ""zh-cn""))"),"Dotbit 165*105mm DLP PC 保护套 FEP 薄膜粘胶便携式防尘垫适用于 3D 打印机")</f>
        <v>Dotbit 165*105mm DLP PC 保护套 FEP 薄膜粘胶便携式防尘垫适用于 3D 打印机</v>
      </c>
      <c r="E1499" s="1" t="str">
        <f>IFERROR(__xludf.DUMMYFUNCTION("CONCATENATE(GOOGLETRANSLATE(C1499, ""en"", ""ko""))"),"Dotbit 165*105mm DLP PC 보호 커버 FEP 필름 비스코스 3D 프린터용 휴대용 방진 패드")</f>
        <v>Dotbit 165*105mm DLP PC 보호 커버 FEP 필름 비스코스 3D 프린터용 휴대용 방진 패드</v>
      </c>
      <c r="F1499" s="1" t="str">
        <f>IFERROR(__xludf.DUMMYFUNCTION("CONCATENATE(GOOGLETRANSLATE(C1499, ""en"", ""ja""))"),"Dotbit 165*105 ミリメートル DLP PC 保護カバー FEP フィルムビスコースポータブル防塵パッド 3D プリンタ用")</f>
        <v>Dotbit 165*105 ミリメートル DLP PC 保護カバー FEP フィルムビスコースポータブル防塵パッド 3D プリンタ用</v>
      </c>
    </row>
    <row r="1500" ht="15.75" customHeight="1">
      <c r="A1500" s="1">
        <v>2973.0</v>
      </c>
      <c r="B1500" s="1" t="s">
        <v>381</v>
      </c>
      <c r="C1500" s="1" t="s">
        <v>1480</v>
      </c>
      <c r="D1500" s="1" t="str">
        <f>IFERROR(__xludf.DUMMYFUNCTION("CONCATENATE(GOOGLETRANSLATE(C1500, ""en"", ""zh-cn""))"),"铝合金升降电脑手支架手腕支撑可调节鼠标支撑懒人鼠标垫支架")</f>
        <v>铝合金升降电脑手支架手腕支撑可调节鼠标支撑懒人鼠标垫支架</v>
      </c>
      <c r="E1500" s="1" t="str">
        <f>IFERROR(__xludf.DUMMYFUNCTION("CONCATENATE(GOOGLETRANSLATE(C1500, ""en"", ""ko""))"),"알루미늄 합금 리프팅 컴퓨터 핸드 브래킷, 손목 지지대, 조정 가능한 마우스 지지대, 게으른 마우스 패드 브래킷")</f>
        <v>알루미늄 합금 리프팅 컴퓨터 핸드 브래킷, 손목 지지대, 조정 가능한 마우스 지지대, 게으른 마우스 패드 브래킷</v>
      </c>
      <c r="F1500" s="1" t="str">
        <f>IFERROR(__xludf.DUMMYFUNCTION("CONCATENATE(GOOGLETRANSLATE(C1500, ""en"", ""ja""))"),"アルミニウム合金リフティングコンピュータハンドブラケット、手首サポート、調節可能なマウスサポート、レイジーマウスパッドブラケット")</f>
        <v>アルミニウム合金リフティングコンピュータハンドブラケット、手首サポート、調節可能なマウスサポート、レイジーマウスパッドブラケット</v>
      </c>
    </row>
    <row r="1501" ht="15.75" customHeight="1">
      <c r="A1501" s="1">
        <v>2974.0</v>
      </c>
      <c r="B1501" s="1" t="s">
        <v>381</v>
      </c>
      <c r="C1501" s="1" t="s">
        <v>1481</v>
      </c>
      <c r="D1501" s="1" t="str">
        <f>IFERROR(__xludf.DUMMYFUNCTION("CONCATENATE(GOOGLETRANSLATE(C1501, ""en"", ""zh-cn""))"),"充气 150 厘米姜饼人防水涤纶布 LED 照明玩具圣诞家庭派对装饰")</f>
        <v>充气 150 厘米姜饼人防水涤纶布 LED 照明玩具圣诞家庭派对装饰</v>
      </c>
      <c r="E1501" s="1" t="str">
        <f>IFERROR(__xludf.DUMMYFUNCTION("CONCATENATE(GOOGLETRANSLATE(C1501, ""en"", ""ko""))"),"풍선 150cm 진저 브레드 남자 방수 폴리 에스터 직물 LED 조명 장난감 크리스마스 홈 파티 장식")</f>
        <v>풍선 150cm 진저 브레드 남자 방수 폴리 에스터 직물 LED 조명 장난감 크리스마스 홈 파티 장식</v>
      </c>
      <c r="F1501" s="1" t="str">
        <f>IFERROR(__xludf.DUMMYFUNCTION("CONCATENATE(GOOGLETRANSLATE(C1501, ""en"", ""ja""))"),"インフレータブル 150 センチメートルジンジャーブレッドマン防水ポリエステル生地 LED 照明おもちゃクリスマスホームパーティーの装飾")</f>
        <v>インフレータブル 150 センチメートルジンジャーブレッドマン防水ポリエステル生地 LED 照明おもちゃクリスマスホームパーティーの装飾</v>
      </c>
    </row>
    <row r="1502" ht="15.75" customHeight="1">
      <c r="A1502" s="1">
        <v>2975.0</v>
      </c>
      <c r="B1502" s="1" t="s">
        <v>381</v>
      </c>
      <c r="C1502" s="1" t="s">
        <v>1482</v>
      </c>
      <c r="D1502" s="1" t="str">
        <f>IFERROR(__xludf.DUMMYFUNCTION("CONCATENATE(GOOGLETRANSLATE(C1502, ""en"", ""zh-cn""))"),"A4 木制月亮龙拼图 DIY 独特形状件动物礼物神秘早教玩具儿童成人儿童")</f>
        <v>A4 木制月亮龙拼图 DIY 独特形状件动物礼物神秘早教玩具儿童成人儿童</v>
      </c>
      <c r="E1502" s="1" t="str">
        <f>IFERROR(__xludf.DUMMYFUNCTION("CONCATENATE(GOOGLETRANSLATE(C1502, ""en"", ""ko""))"),"A4 나무 달 드래곤 직소 퍼즐 DIY 독특한 모양 조각 동물 선물 신비한 조기 교육 장난감 어린이 성인 어린이")</f>
        <v>A4 나무 달 드래곤 직소 퍼즐 DIY 독특한 모양 조각 동물 선물 신비한 조기 교육 장난감 어린이 성인 어린이</v>
      </c>
      <c r="F1502" s="1" t="str">
        <f>IFERROR(__xludf.DUMMYFUNCTION("CONCATENATE(GOOGLETRANSLATE(C1502, ""en"", ""ja""))"),"A4 木製ムーンドラゴンジグソーパズル DIY ユニークな形状ピース動物ギフト神秘的な早期教育おもちゃ子供大人子供のため")</f>
        <v>A4 木製ムーンドラゴンジグソーパズル DIY ユニークな形状ピース動物ギフト神秘的な早期教育おもちゃ子供大人子供のため</v>
      </c>
    </row>
    <row r="1503" ht="15.75" customHeight="1">
      <c r="A1503" s="1">
        <v>2976.0</v>
      </c>
      <c r="B1503" s="1" t="s">
        <v>381</v>
      </c>
      <c r="C1503" s="1" t="s">
        <v>1483</v>
      </c>
      <c r="D1503" s="1" t="str">
        <f>IFERROR(__xludf.DUMMYFUNCTION("CONCATENATE(GOOGLETRANSLATE(C1503, ""en"", ""zh-cn""))"),"迷你扫把簸箕组合套装家用软毛魔法小扫帚扫地便携式清洁刷桌面工具")</f>
        <v>迷你扫把簸箕组合套装家用软毛魔法小扫帚扫地便携式清洁刷桌面工具</v>
      </c>
      <c r="E1503" s="1" t="str">
        <f>IFERROR(__xludf.DUMMYFUNCTION("CONCATENATE(GOOGLETRANSLATE(C1503, ""en"", ""ko""))"),"미니 빗자루 쓰레받기 조합 세트 홈 소프트 모피 매직 작은 빗자루 스윕 휴대용 청소 브러시 ​​데스크탑 도구")</f>
        <v>미니 빗자루 쓰레받기 조합 세트 홈 소프트 모피 매직 작은 빗자루 스윕 휴대용 청소 브러시 ​​데스크탑 도구</v>
      </c>
      <c r="F1503" s="1" t="str">
        <f>IFERROR(__xludf.DUMMYFUNCTION("CONCATENATE(GOOGLETRANSLATE(C1503, ""en"", ""ja""))"),"ミニほうきちりとりコンビネーションセットホームソフトファーマジック小さなほうきスイープポータブルクリーニングブラシデスクトップツール用")</f>
        <v>ミニほうきちりとりコンビネーションセットホームソフトファーマジック小さなほうきスイープポータブルクリーニングブラシデスクトップツール用</v>
      </c>
    </row>
    <row r="1504" ht="15.75" customHeight="1">
      <c r="A1504" s="1">
        <v>2977.0</v>
      </c>
      <c r="B1504" s="1" t="s">
        <v>381</v>
      </c>
      <c r="C1504" s="1" t="s">
        <v>1484</v>
      </c>
      <c r="D1504" s="1" t="str">
        <f>IFERROR(__xludf.DUMMYFUNCTION("CONCATENATE(GOOGLETRANSLATE(C1504, ""en"", ""zh-cn""))"),"创意天文桌垫超大900x400x3mm桌垫家用办公桌垫游戏鼠标垫")</f>
        <v>创意天文桌垫超大900x400x3mm桌垫家用办公桌垫游戏鼠标垫</v>
      </c>
      <c r="E1504" s="1" t="str">
        <f>IFERROR(__xludf.DUMMYFUNCTION("CONCATENATE(GOOGLETRANSLATE(C1504, ""en"", ""ko""))"),"크리 에이 티브 천문 테이블 매트 초대형 900x400x3mm 테이블 매트 홈 오피스 테이블 매트 게임 마우스 패드")</f>
        <v>크리 에이 티브 천문 테이블 매트 초대형 900x400x3mm 테이블 매트 홈 오피스 테이블 매트 게임 마우스 패드</v>
      </c>
      <c r="F1504" s="1" t="str">
        <f>IFERROR(__xludf.DUMMYFUNCTION("CONCATENATE(GOOGLETRANSLATE(C1504, ""en"", ""ja""))"),"クリエイティブ天文テーブルマット特大 900 × 400 × 3 ミリメートルテーブルマットホームオフィステーブルマットゲームマウスパッド")</f>
        <v>クリエイティブ天文テーブルマット特大 900 × 400 × 3 ミリメートルテーブルマットホームオフィステーブルマットゲームマウスパッド</v>
      </c>
    </row>
    <row r="1505" ht="15.75" customHeight="1">
      <c r="A1505" s="1">
        <v>2978.0</v>
      </c>
      <c r="B1505" s="1" t="s">
        <v>381</v>
      </c>
      <c r="C1505" s="1" t="s">
        <v>1485</v>
      </c>
      <c r="D1505" s="1" t="str">
        <f>IFERROR(__xludf.DUMMYFUNCTION("CONCATENATE(GOOGLETRANSLATE(C1505, ""en"", ""zh-cn""))"),"3 件/套壁挂式储物架浮动架子悬挂式储物展示架装饰适用于卧室办公室浴室")</f>
        <v>3 件/套壁挂式储物架浮动架子悬挂式储物展示架装饰适用于卧室办公室浴室</v>
      </c>
      <c r="E1505" s="1" t="str">
        <f>IFERROR(__xludf.DUMMYFUNCTION("CONCATENATE(GOOGLETRANSLATE(C1505, ""en"", ""ko""))"),"3 개/대 벽 마운트 스토리지 랙 부동 선반 침실 사무실 욕실에 대 한 스토리지 디스플레이 랙 장식 매달려")</f>
        <v>3 개/대 벽 마운트 스토리지 랙 부동 선반 침실 사무실 욕실에 대 한 스토리지 디스플레이 랙 장식 매달려</v>
      </c>
      <c r="F1505" s="1" t="str">
        <f>IFERROR(__xludf.DUMMYFUNCTION("CONCATENATE(GOOGLETRANSLATE(C1505, ""en"", ""ja""))"),"3 ピース/セット壁掛け収納ラックフローティング棚吊り下げ収納ディスプレイラック装飾寝室オフィスバスルーム")</f>
        <v>3 ピース/セット壁掛け収納ラックフローティング棚吊り下げ収納ディスプレイラック装飾寝室オフィスバスルーム</v>
      </c>
    </row>
    <row r="1506" ht="15.75" customHeight="1">
      <c r="A1506" s="1">
        <v>2979.0</v>
      </c>
      <c r="B1506" s="1" t="s">
        <v>381</v>
      </c>
      <c r="C1506" s="1" t="s">
        <v>1486</v>
      </c>
      <c r="D1506" s="1" t="str">
        <f>IFERROR(__xludf.DUMMYFUNCTION("CONCATENATE(GOOGLETRANSLATE(C1506, ""en"", ""zh-cn""))"),"得力0334长臂重型订书机金属专用订书机加长订书机纸张装订办公订书机装订工具")</f>
        <v>得力0334长臂重型订书机金属专用订书机加长订书机纸张装订办公订书机装订工具</v>
      </c>
      <c r="E1506" s="1" t="str">
        <f>IFERROR(__xludf.DUMMYFUNCTION("CONCATENATE(GOOGLETRANSLATE(C1506, ""en"", ""ko""))"),"델리 0334 긴 팔 무거운 스테이플러 금속 특수 스테이플 스테이플러 종이 스테이플링 사무실 스테이플러 제본 도구")</f>
        <v>델리 0334 긴 팔 무거운 스테이플러 금속 특수 스테이플 스테이플러 종이 스테이플링 사무실 스테이플러 제본 도구</v>
      </c>
      <c r="F1506" s="1" t="str">
        <f>IFERROR(__xludf.DUMMYFUNCTION("CONCATENATE(GOOGLETRANSLATE(C1506, ""en"", ""ja""))"),"デリ 0334 ロングアームヘビーホッチキス金属特殊ステープル延長ホッチキス紙ホッチキス留めオフィスホッチキス製本ツール")</f>
        <v>デリ 0334 ロングアームヘビーホッチキス金属特殊ステープル延長ホッチキス紙ホッチキス留めオフィスホッチキス製本ツール</v>
      </c>
    </row>
    <row r="1507" ht="15.75" customHeight="1">
      <c r="A1507" s="1">
        <v>2980.0</v>
      </c>
      <c r="B1507" s="1" t="s">
        <v>381</v>
      </c>
      <c r="C1507" s="1" t="s">
        <v>1487</v>
      </c>
      <c r="D1507" s="1" t="str">
        <f>IFERROR(__xludf.DUMMYFUNCTION("CONCATENATE(GOOGLETRANSLATE(C1507, ""en"", ""zh-cn""))"),"用于 3D 打印机电机驱动的 TL-Smoother V1.0 附加模块")</f>
        <v>用于 3D 打印机电机驱动的 TL-Smoother V1.0 附加模块</v>
      </c>
      <c r="E1507" s="1" t="str">
        <f>IFERROR(__xludf.DUMMYFUNCTION("CONCATENATE(GOOGLETRANSLATE(C1507, ""en"", ""ko""))"),"3D 프린터 모터 드라이브용 TL-Smoother V1.0 애드온 모듈")</f>
        <v>3D 프린터 모터 드라이브용 TL-Smoother V1.0 애드온 모듈</v>
      </c>
      <c r="F1507" s="1" t="str">
        <f>IFERROR(__xludf.DUMMYFUNCTION("CONCATENATE(GOOGLETRANSLATE(C1507, ""en"", ""ja""))"),"3D プリンター モーター ドライブ用 TL-Smoother V1.0 アドオン モジュール")</f>
        <v>3D プリンター モーター ドライブ用 TL-Smoother V1.0 アドオン モジュール</v>
      </c>
    </row>
    <row r="1508" ht="15.75" customHeight="1">
      <c r="A1508" s="1">
        <v>2981.0</v>
      </c>
      <c r="B1508" s="1" t="s">
        <v>381</v>
      </c>
      <c r="C1508" s="1" t="s">
        <v>1488</v>
      </c>
      <c r="D1508" s="1" t="str">
        <f>IFERROR(__xludf.DUMMYFUNCTION("CONCATENATE(GOOGLETRANSLATE(C1508, ""en"", ""zh-cn""))"),"MECO 笔记本 13.3/13 英寸笔记本电脑套 笔记本电脑包 适用于 MacBook Air/Pro")</f>
        <v>MECO 笔记本 13.3/13 英寸笔记本电脑套 笔记本电脑包 适用于 MacBook Air/Pro</v>
      </c>
      <c r="E1508" s="1" t="str">
        <f>IFERROR(__xludf.DUMMYFUNCTION("CONCATENATE(GOOGLETRANSLATE(C1508, ""en"", ""ko""))"),"MECO 노트북 13.3/13인치 노트북 슬리브 케이스 MacBook Air/Pro용 노트북 가방")</f>
        <v>MECO 노트북 13.3/13인치 노트북 슬리브 케이스 MacBook Air/Pro용 노트북 가방</v>
      </c>
      <c r="F1508" s="1" t="str">
        <f>IFERROR(__xludf.DUMMYFUNCTION("CONCATENATE(GOOGLETRANSLATE(C1508, ""en"", ""ja""))"),"MECO ノートブック 13.3/13 インチ ラップトップ スリーブ ケース ラップトップ バッグ MacBook Air/Pro 用")</f>
        <v>MECO ノートブック 13.3/13 インチ ラップトップ スリーブ ケース ラップトップ バッグ MacBook Air/Pro 用</v>
      </c>
    </row>
    <row r="1509" ht="15.75" customHeight="1">
      <c r="A1509" s="1">
        <v>2982.0</v>
      </c>
      <c r="B1509" s="1" t="s">
        <v>381</v>
      </c>
      <c r="C1509" s="1" t="s">
        <v>1489</v>
      </c>
      <c r="D1509" s="1" t="str">
        <f>IFERROR(__xludf.DUMMYFUNCTION("CONCATENATE(GOOGLETRANSLATE(C1509, ""en"", ""zh-cn""))"),"AtailorBird 270 * 210 * 2 毫米 PU 皮革保护桌垫防水防滑书写双面游戏鼠标垫适合办公室家庭 ")</f>
        <v>AtailorBird 270 * 210 * 2 毫米 PU 皮革保护桌垫防水防滑书写双面游戏鼠标垫适合办公室家庭 </v>
      </c>
      <c r="E1509" s="1" t="str">
        <f>IFERROR(__xludf.DUMMYFUNCTION("CONCATENATE(GOOGLETRANSLATE(C1509, ""en"", ""ko""))"),"AtailorBird 270*210*2mm PU 가죽 보호 책상 패드 방수 미끄럼 방지 쓰기 사무실 홈용 양면 게임 마우스 패드 ")</f>
        <v>AtailorBird 270*210*2mm PU 가죽 보호 책상 패드 방수 미끄럼 방지 쓰기 사무실 홈용 양면 게임 마우스 패드 </v>
      </c>
      <c r="F1509" s="1" t="str">
        <f>IFERROR(__xludf.DUMMYFUNCTION("CONCATENATE(GOOGLETRANSLATE(C1509, ""en"", ""ja""))"),"AtailorBird 270*210*2 ミリメートル PU レザー保護デスクパッド防水ノンスリップ書き込み両面ゲームマウスパッドオフィスホーム ")</f>
        <v>AtailorBird 270*210*2 ミリメートル PU レザー保護デスクパッド防水ノンスリップ書き込み両面ゲームマウスパッドオフィスホーム </v>
      </c>
    </row>
    <row r="1510" ht="15.75" customHeight="1">
      <c r="A1510" s="1">
        <v>2983.0</v>
      </c>
      <c r="B1510" s="1" t="s">
        <v>381</v>
      </c>
      <c r="C1510" s="1" t="s">
        <v>1490</v>
      </c>
      <c r="D1510" s="1" t="str">
        <f>IFERROR(__xludf.DUMMYFUNCTION("CONCATENATE(GOOGLETRANSLATE(C1510, ""en"", ""zh-cn""))"),"Sanag J1 TWS 自适应降噪蓝牙耳机 平板电脑智能手机耳塞")</f>
        <v>Sanag J1 TWS 自适应降噪蓝牙耳机 平板电脑智能手机耳塞</v>
      </c>
      <c r="E1510" s="1" t="str">
        <f>IFERROR(__xludf.DUMMYFUNCTION("CONCATENATE(GOOGLETRANSLATE(C1510, ""en"", ""ko""))"),"Sanag J1 TWS 적응형 소음 차단 블루투스 이어폰 태블릿 스마트폰용 이어버드")</f>
        <v>Sanag J1 TWS 적응형 소음 차단 블루투스 이어폰 태블릿 스마트폰용 이어버드</v>
      </c>
      <c r="F1510" s="1" t="str">
        <f>IFERROR(__xludf.DUMMYFUNCTION("CONCATENATE(GOOGLETRANSLATE(C1510, ""en"", ""ja""))"),"Sanag J1 TWS アダプティブ ノイズ キャンセリング Bluetooth イヤホン タブレット スマートフォン用")</f>
        <v>Sanag J1 TWS アダプティブ ノイズ キャンセリング Bluetooth イヤホン タブレット スマートフォン用</v>
      </c>
    </row>
    <row r="1511" ht="15.75" customHeight="1">
      <c r="A1511" s="1">
        <v>2984.0</v>
      </c>
      <c r="B1511" s="1" t="s">
        <v>381</v>
      </c>
      <c r="C1511" s="1" t="s">
        <v>1491</v>
      </c>
      <c r="D1511" s="1" t="str">
        <f>IFERROR(__xludf.DUMMYFUNCTION("CONCATENATE(GOOGLETRANSLATE(C1511, ""en"", ""zh-cn""))"),"APEXEL APL-0610WM 光学夹长焦望远镜相机镜头适用于平板电脑智能手机")</f>
        <v>APEXEL APL-0610WM 光学夹长焦望远镜相机镜头适用于平板电脑智能手机</v>
      </c>
      <c r="E1511" s="1" t="str">
        <f>IFERROR(__xludf.DUMMYFUNCTION("CONCATENATE(GOOGLETRANSLATE(C1511, ""en"", ""ko""))"),"APEXEL APL-0610WM 태블릿 스마트폰용 광학 클립 망원 망원경 카메라 렌즈")</f>
        <v>APEXEL APL-0610WM 태블릿 스마트폰용 광학 클립 망원 망원경 카메라 렌즈</v>
      </c>
      <c r="F1511" s="1" t="str">
        <f>IFERROR(__xludf.DUMMYFUNCTION("CONCATENATE(GOOGLETRANSLATE(C1511, ""en"", ""ja""))"),"APEXEL APL-0610WM 光学クリップ望遠鏡カメラレンズタブレットスマートフォン用")</f>
        <v>APEXEL APL-0610WM 光学クリップ望遠鏡カメラレンズタブレットスマートフォン用</v>
      </c>
    </row>
    <row r="1512" ht="15.75" customHeight="1">
      <c r="A1512" s="1">
        <v>2985.0</v>
      </c>
      <c r="B1512" s="1" t="s">
        <v>381</v>
      </c>
      <c r="C1512" s="1" t="s">
        <v>1492</v>
      </c>
      <c r="D1512" s="1" t="str">
        <f>IFERROR(__xludf.DUMMYFUNCTION("CONCATENATE(GOOGLETRANSLATE(C1512, ""en"", ""zh-cn""))"),"便携式外部硬盘驱动器磁盘袋硬盘携带盖 USB 线存储盒硬盘耳机存储盒收纳袋")</f>
        <v>便携式外部硬盘驱动器磁盘袋硬盘携带盖 USB 线存储盒硬盘耳机存储盒收纳袋</v>
      </c>
      <c r="E1512" s="1" t="str">
        <f>IFERROR(__xludf.DUMMYFUNCTION("CONCATENATE(GOOGLETRANSLATE(C1512, ""en"", ""ko""))"),"휴대용 외장형 하드 드라이브 디스크 파우치 가방 HDD 캐리 커버 USB 케이블 보관 케이스 주최자 가방 하드 디스크 이어폰 보관 케이스")</f>
        <v>휴대용 외장형 하드 드라이브 디스크 파우치 가방 HDD 캐리 커버 USB 케이블 보관 케이스 주최자 가방 하드 디스크 이어폰 보관 케이스</v>
      </c>
      <c r="F1512" s="1" t="str">
        <f>IFERROR(__xludf.DUMMYFUNCTION("CONCATENATE(GOOGLETRANSLATE(C1512, ""en"", ""ja""))"),"ポータブル外付けハードドライブディスクポーチバッグ HDD キャリーカバー USB ケーブル収納ケースオーガナイザーバッグハードディスクイヤホン収納ケース")</f>
        <v>ポータブル外付けハードドライブディスクポーチバッグ HDD キャリーカバー USB ケーブル収納ケースオーガナイザーバッグハードディスクイヤホン収納ケース</v>
      </c>
    </row>
    <row r="1513" ht="15.75" customHeight="1">
      <c r="A1513" s="1">
        <v>2986.0</v>
      </c>
      <c r="B1513" s="1" t="s">
        <v>381</v>
      </c>
      <c r="C1513" s="1" t="s">
        <v>1493</v>
      </c>
      <c r="D1513" s="1" t="str">
        <f>IFERROR(__xludf.DUMMYFUNCTION("CONCATENATE(GOOGLETRANSLATE(C1513, ""en"", ""zh-cn""))"),"创意日记本闪光带亮片锁纸笔记本书写本")</f>
        <v>创意日记本闪光带亮片锁纸笔记本书写本</v>
      </c>
      <c r="E1513" s="1" t="str">
        <f>IFERROR(__xludf.DUMMYFUNCTION("CONCATENATE(GOOGLETRANSLATE(C1513, ""en"", ""ko""))"),"장식 조각 잠금 종이 노트북 쓰기 도서와 크리 에이 티브 일기 저널 반짝이")</f>
        <v>장식 조각 잠금 종이 노트북 쓰기 도서와 크리 에이 티브 일기 저널 반짝이</v>
      </c>
      <c r="F1513" s="1" t="str">
        <f>IFERROR(__xludf.DUMMYFUNCTION("CONCATENATE(GOOGLETRANSLATE(C1513, ""en"", ""ja""))"),"クリエイティブダイアリージャーナルグリッタースパンコールロック付きペーパーノートブックライティングブック")</f>
        <v>クリエイティブダイアリージャーナルグリッタースパンコールロック付きペーパーノートブックライティングブック</v>
      </c>
    </row>
    <row r="1514" ht="15.75" customHeight="1">
      <c r="A1514" s="1">
        <v>2987.0</v>
      </c>
      <c r="B1514" s="1" t="s">
        <v>381</v>
      </c>
      <c r="C1514" s="1" t="s">
        <v>1494</v>
      </c>
      <c r="D1514" s="1" t="str">
        <f>IFERROR(__xludf.DUMMYFUNCTION("CONCATENATE(GOOGLETRANSLATE(C1514, ""en"", ""zh-cn""))"),"80 * 30 RGB 彩色 LED 照明游戏鼠标垫适用于 PC 笔记本电脑 LOL Dota OW")</f>
        <v>80 * 30 RGB 彩色 LED 照明游戏鼠标垫适用于 PC 笔记本电脑 LOL Dota OW</v>
      </c>
      <c r="E1514" s="1" t="str">
        <f>IFERROR(__xludf.DUMMYFUNCTION("CONCATENATE(GOOGLETRANSLATE(C1514, ""en"", ""ko""))"),"PC 노트북 LOL Dota OW용 80 * 30 RGB 다채로운 LED 조명 게임용 마우스 패드 매트")</f>
        <v>PC 노트북 LOL Dota OW용 80 * 30 RGB 다채로운 LED 조명 게임용 마우스 패드 매트</v>
      </c>
      <c r="F1514" s="1" t="str">
        <f>IFERROR(__xludf.DUMMYFUNCTION("CONCATENATE(GOOGLETRANSLATE(C1514, ""en"", ""ja""))"),"80*30 RGB カラフルな LED 照明ゲームマウスパッドマット PC ラップトップ LOL Dota OW 用")</f>
        <v>80*30 RGB カラフルな LED 照明ゲームマウスパッドマット PC ラップトップ LOL Dota OW 用</v>
      </c>
    </row>
    <row r="1515" ht="15.75" customHeight="1">
      <c r="A1515" s="1">
        <v>2988.0</v>
      </c>
      <c r="B1515" s="1" t="s">
        <v>381</v>
      </c>
      <c r="C1515" s="1" t="s">
        <v>1495</v>
      </c>
      <c r="D1515" s="1" t="str">
        <f>IFERROR(__xludf.DUMMYFUNCTION("CONCATENATE(GOOGLETRANSLATE(C1515, ""en"", ""zh-cn""))"),"平板触摸 A4-F-T 触摸控制可调光超薄复印站 LED 笔书写站图形平板电脑适用于 PC 笔记本电脑绘图设计")</f>
        <v>平板触摸 A4-F-T 触摸控制可调光超薄复印站 LED 笔书写站图形平板电脑适用于 PC 笔记本电脑绘图设计</v>
      </c>
      <c r="E1515" s="1" t="str">
        <f>IFERROR(__xludf.DUMMYFUNCTION("CONCATENATE(GOOGLETRANSLATE(C1515, ""en"", ""ko""))"),"플랫 터치 A4-F-T 터치 컨트롤 디밍 가능 초박형 복사 스테이션 LED 펜 쓰기 스테이션 그래픽 태블릿 PC 노트북 드로잉 디자인")</f>
        <v>플랫 터치 A4-F-T 터치 컨트롤 디밍 가능 초박형 복사 스테이션 LED 펜 쓰기 스테이션 그래픽 태블릿 PC 노트북 드로잉 디자인</v>
      </c>
      <c r="F1515" s="1" t="str">
        <f>IFERROR(__xludf.DUMMYFUNCTION("CONCATENATE(GOOGLETRANSLATE(C1515, ""en"", ""ja""))"),"フラットタッチ A4-F-T タッチコントロール調光可能な超薄型コピーステーション LED ペン書き込みステーション PC ラップトップ描画デザイン用グラフィックタブレット")</f>
        <v>フラットタッチ A4-F-T タッチコントロール調光可能な超薄型コピーステーション LED ペン書き込みステーション PC ラップトップ描画デザイン用グラフィックタブレット</v>
      </c>
    </row>
    <row r="1516" ht="15.75" customHeight="1">
      <c r="A1516" s="1">
        <v>2989.0</v>
      </c>
      <c r="B1516" s="1" t="s">
        <v>381</v>
      </c>
      <c r="C1516" s="1" t="s">
        <v>1496</v>
      </c>
      <c r="D1516" s="1" t="str">
        <f>IFERROR(__xludf.DUMMYFUNCTION("CONCATENATE(GOOGLETRANSLATE(C1516, ""en"", ""zh-cn""))"),"笔记本电脑平板电脑支架塑料便携式折叠电脑支架散热底座桌面 ")</f>
        <v>笔记本电脑平板电脑支架塑料便携式折叠电脑支架散热底座桌面 </v>
      </c>
      <c r="E1516" s="1" t="str">
        <f>IFERROR(__xludf.DUMMYFUNCTION("CONCATENATE(GOOGLETRANSLATE(C1516, ""en"", ""ko""))"),"노트북 노트북 태블릿 브래킷 플라스틱 휴대용 접이식 컴퓨터 스탠드 냉각 베이스 데스크탑 ")</f>
        <v>노트북 노트북 태블릿 브래킷 플라스틱 휴대용 접이식 컴퓨터 스탠드 냉각 베이스 데스크탑 </v>
      </c>
      <c r="F1516" s="1" t="str">
        <f>IFERROR(__xludf.DUMMYFUNCTION("CONCATENATE(GOOGLETRANSLATE(C1516, ""en"", ""ja""))"),"ノートブックラップトップタブレットブラケットプラスチックポータブル折りたたみコンピュータスタンド冷却ベースデスクトップ ")</f>
        <v>ノートブックラップトップタブレットブラケットプラスチックポータブル折りたたみコンピュータスタンド冷却ベースデスクトップ </v>
      </c>
    </row>
    <row r="1517" ht="15.75" customHeight="1">
      <c r="A1517" s="1">
        <v>2990.0</v>
      </c>
      <c r="B1517" s="1" t="s">
        <v>381</v>
      </c>
      <c r="C1517" s="1" t="s">
        <v>1497</v>
      </c>
      <c r="D1517" s="1" t="str">
        <f>IFERROR(__xludf.DUMMYFUNCTION("CONCATENATE(GOOGLETRANSLATE(C1517, ""en"", ""zh-cn""))"),"QC3.0 USB 车载充电器适配器适用于智能手机平板电脑黑色")</f>
        <v>QC3.0 USB 车载充电器适配器适用于智能手机平板电脑黑色</v>
      </c>
      <c r="E1517" s="1" t="str">
        <f>IFERROR(__xludf.DUMMYFUNCTION("CONCATENATE(GOOGLETRANSLATE(C1517, ""en"", ""ko""))"),"스마트폰 태블릿용 QC3.0 USB 차량용 충전기 어댑터 블랙")</f>
        <v>스마트폰 태블릿용 QC3.0 USB 차량용 충전기 어댑터 블랙</v>
      </c>
      <c r="F1517" s="1" t="str">
        <f>IFERROR(__xludf.DUMMYFUNCTION("CONCATENATE(GOOGLETRANSLATE(C1517, ""en"", ""ja""))"),"QC3.0 USB カーチャージャー アダプター スマートフォン タブレット用 ブラック")</f>
        <v>QC3.0 USB カーチャージャー アダプター スマートフォン タブレット用 ブラック</v>
      </c>
    </row>
    <row r="1518" ht="15.75" customHeight="1">
      <c r="A1518" s="1">
        <v>2991.0</v>
      </c>
      <c r="B1518" s="1" t="s">
        <v>381</v>
      </c>
      <c r="C1518" s="1" t="s">
        <v>1498</v>
      </c>
      <c r="D1518" s="1" t="str">
        <f>IFERROR(__xludf.DUMMYFUNCTION("CONCATENATE(GOOGLETRANSLATE(C1518, ""en"", ""zh-cn""))"),"A5笔记本办公用品50页记事本日记本异形钻石画笔记本")</f>
        <v>A5笔记本办公用品50页记事本日记本异形钻石画笔记本</v>
      </c>
      <c r="E1518" s="1" t="str">
        <f>IFERROR(__xludf.DUMMYFUNCTION("CONCATENATE(GOOGLETRANSLATE(C1518, ""en"", ""ko""))"),"A5 노트 사무용품 50 페이지 메모장 일기장 특수 모양의 다이아몬드 페인팅 노트")</f>
        <v>A5 노트 사무용품 50 페이지 메모장 일기장 특수 모양의 다이아몬드 페인팅 노트</v>
      </c>
      <c r="F1518" s="1" t="str">
        <f>IFERROR(__xludf.DUMMYFUNCTION("CONCATENATE(GOOGLETRANSLATE(C1518, ""en"", ""ja""))"),"A5 ノートブック事務用品 50 ページメモ帳日記プランナー特殊形状ダイヤモンド塗装ノートブック")</f>
        <v>A5 ノートブック事務用品 50 ページメモ帳日記プランナー特殊形状ダイヤモンド塗装ノートブック</v>
      </c>
    </row>
    <row r="1519" ht="15.75" customHeight="1">
      <c r="A1519" s="1">
        <v>2992.0</v>
      </c>
      <c r="B1519" s="1" t="s">
        <v>381</v>
      </c>
      <c r="C1519" s="1" t="s">
        <v>1499</v>
      </c>
      <c r="D1519" s="1" t="str">
        <f>IFERROR(__xludf.DUMMYFUNCTION("CONCATENATE(GOOGLETRANSLATE(C1519, ""en"", ""zh-cn""))"),"3卷7款烫金纸胶带3M装饰胶带办公室学校文具用品装饰")</f>
        <v>3卷7款烫金纸胶带3M装饰胶带办公室学校文具用品装饰</v>
      </c>
      <c r="E1519" s="1" t="str">
        <f>IFERROR(__xludf.DUMMYFUNCTION("CONCATENATE(GOOGLETRANSLATE(C1519, ""en"", ""ko""))"),"3 롤 7 스타일 핫 호일 종이 테이프 3M 장식 테이프 사무실 학교 문구 용품 장식")</f>
        <v>3 롤 7 스타일 핫 호일 종이 테이프 3M 장식 테이프 사무실 학교 문구 용품 장식</v>
      </c>
      <c r="F1519" s="1" t="str">
        <f>IFERROR(__xludf.DUMMYFUNCTION("CONCATENATE(GOOGLETRANSLATE(C1519, ""en"", ""ja""))"),"3 ロール 7 スタイルホット箔紙テープ 3 メートル装飾テープオフィス学校文具用品装飾")</f>
        <v>3 ロール 7 スタイルホット箔紙テープ 3 メートル装飾テープオフィス学校文具用品装飾</v>
      </c>
    </row>
    <row r="1520" ht="15.75" customHeight="1">
      <c r="A1520" s="1">
        <v>2993.0</v>
      </c>
      <c r="B1520" s="1" t="s">
        <v>381</v>
      </c>
      <c r="C1520" s="1" t="s">
        <v>1500</v>
      </c>
      <c r="D1520" s="1" t="str">
        <f>IFERROR(__xludf.DUMMYFUNCTION("CONCATENATE(GOOGLETRANSLATE(C1520, ""en"", ""zh-cn""))"),"4 层角架架子浴室厨房储物篮节省空间")</f>
        <v>4 层角架架子浴室厨房储物篮节省空间</v>
      </c>
      <c r="E1520" s="1" t="str">
        <f>IFERROR(__xludf.DUMMYFUNCTION("CONCATENATE(GOOGLETRANSLATE(C1520, ""en"", ""ko""))"),"4개의 층 코너 선반 선반 욕실 주방 보관 바구니 공간 절약")</f>
        <v>4개의 층 코너 선반 선반 욕실 주방 보관 바구니 공간 절약</v>
      </c>
      <c r="F1520" s="1" t="str">
        <f>IFERROR(__xludf.DUMMYFUNCTION("CONCATENATE(GOOGLETRANSLATE(C1520, ""en"", ""ja""))"),"4層コーナーラック棚バスルームキッチン収納バスケット省スペース")</f>
        <v>4層コーナーラック棚バスルームキッチン収納バスケット省スペース</v>
      </c>
    </row>
    <row r="1521" ht="15.75" customHeight="1">
      <c r="A1521" s="1">
        <v>2994.0</v>
      </c>
      <c r="B1521" s="1" t="s">
        <v>381</v>
      </c>
      <c r="C1521" s="1" t="s">
        <v>1501</v>
      </c>
      <c r="D1521" s="1" t="str">
        <f>IFERROR(__xludf.DUMMYFUNCTION("CONCATENATE(GOOGLETRANSLATE(C1521, ""en"", ""zh-cn""))"),"北欧木质三角置物架壁挂收纳架书架办公室家居装饰品架")</f>
        <v>北欧木质三角置物架壁挂收纳架书架办公室家居装饰品架</v>
      </c>
      <c r="E1521" s="1" t="str">
        <f>IFERROR(__xludf.DUMMYFUNCTION("CONCATENATE(GOOGLETRANSLATE(C1521, ""en"", ""ko""))"),"북유럽 나무 삼각형 선반 벽 교수형 스토리지 랙 책장 사무실 홈 장식 스탠드")</f>
        <v>북유럽 나무 삼각형 선반 벽 교수형 스토리지 랙 책장 사무실 홈 장식 스탠드</v>
      </c>
      <c r="F1521" s="1" t="str">
        <f>IFERROR(__xludf.DUMMYFUNCTION("CONCATENATE(GOOGLETRANSLATE(C1521, ""en"", ""ja""))"),"北欧木製三角棚壁掛け収納ラック本棚オフィスホームデコレーションスタンド")</f>
        <v>北欧木製三角棚壁掛け収納ラック本棚オフィスホームデコレーションスタンド</v>
      </c>
    </row>
    <row r="1522" ht="15.75" customHeight="1">
      <c r="A1522" s="1">
        <v>2995.0</v>
      </c>
      <c r="B1522" s="1" t="s">
        <v>381</v>
      </c>
      <c r="C1522" s="1" t="s">
        <v>1502</v>
      </c>
      <c r="D1522" s="1" t="str">
        <f>IFERROR(__xludf.DUMMYFUNCTION("CONCATENATE(GOOGLETRANSLATE(C1522, ""en"", ""zh-cn""))"),"HOCO U112 60W Type-C 发光充电数据线 适用于三星小米华为智能手机平板电脑")</f>
        <v>HOCO U112 60W Type-C 发光充电数据线 适用于三星小米华为智能手机平板电脑</v>
      </c>
      <c r="E1522" s="1" t="str">
        <f>IFERROR(__xludf.DUMMYFUNCTION("CONCATENATE(GOOGLETRANSLATE(C1522, ""en"", ""ko""))"),"HOCO U112 삼성 XIAOMI HUAWEI 스마트폰 태블릿용 60W Type-C 발광 충전 데이터 케이블")</f>
        <v>HOCO U112 삼성 XIAOMI HUAWEI 스마트폰 태블릿용 60W Type-C 발광 충전 데이터 케이블</v>
      </c>
      <c r="F1522" s="1" t="str">
        <f>IFERROR(__xludf.DUMMYFUNCTION("CONCATENATE(GOOGLETRANSLATE(C1522, ""en"", ""ja""))"),"HOCO U112 60W Type-C 発光充電データケーブル Samsung XIAOMI HUAWEI スマートフォン タブレット用")</f>
        <v>HOCO U112 60W Type-C 発光充電データケーブル Samsung XIAOMI HUAWEI スマートフォン タブレット用</v>
      </c>
    </row>
    <row r="1523" ht="15.75" customHeight="1">
      <c r="A1523" s="1">
        <v>2996.0</v>
      </c>
      <c r="B1523" s="1" t="s">
        <v>381</v>
      </c>
      <c r="C1523" s="1" t="s">
        <v>1503</v>
      </c>
      <c r="D1523" s="1" t="str">
        <f>IFERROR(__xludf.DUMMYFUNCTION("CONCATENATE(GOOGLETRANSLATE(C1523, ""en"", ""zh-cn""))"),"适用于 Redmi Pad 平板电脑双面折叠保护套")</f>
        <v>适用于 Redmi Pad 平板电脑双面折叠保护套</v>
      </c>
      <c r="E1523" s="1" t="str">
        <f>IFERROR(__xludf.DUMMYFUNCTION("CONCATENATE(GOOGLETRANSLATE(C1523, ""en"", ""ko""))"),"Redmi Pad Tablet용 양면 접이식 보호 케이스 커버")</f>
        <v>Redmi Pad Tablet용 양면 접이식 보호 케이스 커버</v>
      </c>
      <c r="F1523" s="1" t="str">
        <f>IFERROR(__xludf.DUMMYFUNCTION("CONCATENATE(GOOGLETRANSLATE(C1523, ""en"", ""ja""))"),"Redmi Padタブレット用両面折りたたみ保護ケースカバー")</f>
        <v>Redmi Padタブレット用両面折りたたみ保護ケースカバー</v>
      </c>
    </row>
    <row r="1524" ht="15.75" customHeight="1">
      <c r="A1524" s="1">
        <v>2997.0</v>
      </c>
      <c r="B1524" s="1" t="s">
        <v>381</v>
      </c>
      <c r="C1524" s="1" t="s">
        <v>1504</v>
      </c>
      <c r="D1524" s="1" t="str">
        <f>IFERROR(__xludf.DUMMYFUNCTION("CONCATENATE(GOOGLETRANSLATE(C1524, ""en"", ""zh-cn""))"),"To Tv C42 WiFi 显示适配器 FHD 屏幕镜像适配器接收器适用于 Google 2.4G 电视棒视频")</f>
        <v>To Tv C42 WiFi 显示适配器 FHD 屏幕镜像适配器接收器适用于 Google 2.4G 电视棒视频</v>
      </c>
      <c r="E1524" s="1" t="str">
        <f>IFERROR(__xludf.DUMMYFUNCTION("CONCATENATE(GOOGLETRANSLATE(C1524, ""en"", ""ko""))"),"Google 2.4G TV 스틱 비디오용 Tv C42 WiFi 디스플레이 동글 FHD 화면 미러링 동글 수신기")</f>
        <v>Google 2.4G TV 스틱 비디오용 Tv C42 WiFi 디스플레이 동글 FHD 화면 미러링 동글 수신기</v>
      </c>
      <c r="F1524" s="1" t="str">
        <f>IFERROR(__xludf.DUMMYFUNCTION("CONCATENATE(GOOGLETRANSLATE(C1524, ""en"", ""ja""))"),"テレビ C42 WiFi ディスプレイドングル FHD スクリーンミラーリングドングルレシーバー Google 2.4 グラムテレビスティックビデオ")</f>
        <v>テレビ C42 WiFi ディスプレイドングル FHD スクリーンミラーリングドングルレシーバー Google 2.4 グラムテレビスティックビデオ</v>
      </c>
    </row>
    <row r="1525" ht="15.75" customHeight="1">
      <c r="A1525" s="1">
        <v>2998.0</v>
      </c>
      <c r="B1525" s="1" t="s">
        <v>381</v>
      </c>
      <c r="C1525" s="1" t="s">
        <v>1505</v>
      </c>
      <c r="D1525" s="1" t="str">
        <f>IFERROR(__xludf.DUMMYFUNCTION("CONCATENATE(GOOGLETRANSLATE(C1525, ""en"", ""zh-cn""))"),"USB公对母延长线数据线USB3.0芯线0.5M/1M/2M/3M长镀镍抗氧化数据线电脑平板电脑键盘打印机电视")</f>
        <v>USB公对母延长线数据线USB3.0芯线0.5M/1M/2M/3M长镀镍抗氧化数据线电脑平板电脑键盘打印机电视</v>
      </c>
      <c r="E1525" s="1" t="str">
        <f>IFERROR(__xludf.DUMMYFUNCTION("CONCATENATE(GOOGLETRANSLATE(C1525, ""en"", ""ko""))"),"USB 남성-여성 연장 케이블 데이터 케이블 USB3.0 코어 와이어 컴퓨터 태블릿 키보드 프린터 TV 용 0.5M/1M/2M/3M 긴 니켈 도금 항산화 데이터 케이블")</f>
        <v>USB 남성-여성 연장 케이블 데이터 케이블 USB3.0 코어 와이어 컴퓨터 태블릿 키보드 프린터 TV 용 0.5M/1M/2M/3M 긴 니켈 도금 항산화 데이터 케이블</v>
      </c>
      <c r="F1525" s="1" t="str">
        <f>IFERROR(__xludf.DUMMYFUNCTION("CONCATENATE(GOOGLETRANSLATE(C1525, ""en"", ""ja""))"),"USB オス - メス延長ケーブル データケーブル USB3.0 コアワイヤー 0.5 メートル/1 メートル/2 メートル/3 メートルロングニッケルメッキ抗酸化データケーブルコンピュータタブレットキーボードプリンタテレビ用")</f>
        <v>USB オス - メス延長ケーブル データケーブル USB3.0 コアワイヤー 0.5 メートル/1 メートル/2 メートル/3 メートルロングニッケルメッキ抗酸化データケーブルコンピュータタブレットキーボードプリンタテレビ用</v>
      </c>
    </row>
    <row r="1526" ht="15.75" customHeight="1">
      <c r="A1526" s="1">
        <v>2999.0</v>
      </c>
      <c r="B1526" s="1" t="s">
        <v>381</v>
      </c>
      <c r="C1526" s="1" t="s">
        <v>1506</v>
      </c>
      <c r="D1526" s="1" t="str">
        <f>IFERROR(__xludf.DUMMYFUNCTION("CONCATENATE(GOOGLETRANSLATE(C1526, ""en"", ""zh-cn""))"),"T8 消间隙弹簧加载螺母，适用于 2mm / 8mm Acme 螺杆丝杠")</f>
        <v>T8 消间隙弹簧加载螺母，适用于 2mm / 8mm Acme 螺杆丝杠</v>
      </c>
      <c r="E1526" s="1" t="str">
        <f>IFERROR(__xludf.DUMMYFUNCTION("CONCATENATE(GOOGLETRANSLATE(C1526, ""en"", ""ko""))"),"2mm/8mm Acme 나사산 로드 리드 나사용 T8 백래시 방지 스프링 장착 너트")</f>
        <v>2mm/8mm Acme 나사산 로드 리드 나사용 T8 백래시 방지 스프링 장착 너트</v>
      </c>
      <c r="F1526" s="1" t="str">
        <f>IFERROR(__xludf.DUMMYFUNCTION("CONCATENATE(GOOGLETRANSLATE(C1526, ""en"", ""ja""))"),"T8 アンチバックラッシュスプリングナット 2mm / 8mm Acme ねじ付きロッドリードスクリュー用")</f>
        <v>T8 アンチバックラッシュスプリングナット 2mm / 8mm Acme ねじ付きロッドリードスクリュー用</v>
      </c>
    </row>
    <row r="1527" ht="15.75" customHeight="1">
      <c r="A1527" s="1">
        <v>3000.0</v>
      </c>
      <c r="B1527" s="1" t="s">
        <v>381</v>
      </c>
      <c r="C1527" s="1" t="s">
        <v>1507</v>
      </c>
      <c r="D1527" s="1" t="str">
        <f>IFERROR(__xludf.DUMMYFUNCTION("CONCATENATE(GOOGLETRANSLATE(C1527, ""en"", ""zh-cn""))"),"TWOTREES® 5M PTFE 管红色/蓝色/黑色/白色/透明喷嘴进料管 2x4mm 带便携式切割器用于 3D 打印机")</f>
        <v>TWOTREES® 5M PTFE 管红色/蓝色/黑色/白色/透明喷嘴进料管 2x4mm 带便携式切割器用于 3D 打印机</v>
      </c>
      <c r="E1527" s="1" t="str">
        <f>IFERROR(__xludf.DUMMYFUNCTION("CONCATENATE(GOOGLETRANSLATE(C1527, ""en"", ""ko""))"),"TWOTREES® 5M PTFE 튜브 빨간색/파란색/검은색/흰색/투명 노즐 피드 튜브 2x4mm(3D 프린터용 휴대용 커터 포함)")</f>
        <v>TWOTREES® 5M PTFE 튜브 빨간색/파란색/검은색/흰색/투명 노즐 피드 튜브 2x4mm(3D 프린터용 휴대용 커터 포함)</v>
      </c>
      <c r="F1527" s="1" t="str">
        <f>IFERROR(__xludf.DUMMYFUNCTION("CONCATENATE(GOOGLETRANSLATE(C1527, ""en"", ""ja""))"),"TWOTREES® 5M PTFE チューブ 赤/青/黒/白/透明 ノズルフィードチューブ 2x4mm 3D プリンター用ポータブルカッター付き")</f>
        <v>TWOTREES® 5M PTFE チューブ 赤/青/黒/白/透明 ノズルフィードチューブ 2x4mm 3D プリンター用ポータブルカッター付き</v>
      </c>
    </row>
    <row r="1528" ht="15.75" customHeight="1">
      <c r="A1528" s="1">
        <v>3001.0</v>
      </c>
      <c r="B1528" s="1" t="s">
        <v>381</v>
      </c>
      <c r="C1528" s="1" t="s">
        <v>1508</v>
      </c>
      <c r="D1528" s="1" t="str">
        <f>IFERROR(__xludf.DUMMYFUNCTION("CONCATENATE(GOOGLETRANSLATE(C1528, ""en"", ""zh-cn""))"),"笔记本电脑套袋帆布笔记本电脑保护套适用于 13/14/15 英寸笔记本电脑平板电脑")</f>
        <v>笔记本电脑套袋帆布笔记本电脑保护套适用于 13/14/15 英寸笔记本电脑平板电脑</v>
      </c>
      <c r="E1528" s="1" t="str">
        <f>IFERROR(__xludf.DUMMYFUNCTION("CONCATENATE(GOOGLETRANSLATE(C1528, ""en"", ""ko""))"),"13/14/15인치 노트북 태블릿용 노트북 슬리브 백 캔버스 노트북 보호 케이스")</f>
        <v>13/14/15인치 노트북 태블릿용 노트북 슬리브 백 캔버스 노트북 보호 케이스</v>
      </c>
      <c r="F1528" s="1" t="str">
        <f>IFERROR(__xludf.DUMMYFUNCTION("CONCATENATE(GOOGLETRANSLATE(C1528, ""en"", ""ja""))"),"ラップトップスリーブバッグキャンバスラップトップ保護ケース13/14/15インチラップトップタブレット用")</f>
        <v>ラップトップスリーブバッグキャンバスラップトップ保護ケース13/14/15インチラップトップタブレット用</v>
      </c>
    </row>
    <row r="1529" ht="15.75" customHeight="1">
      <c r="A1529" s="1">
        <v>3002.0</v>
      </c>
      <c r="B1529" s="1" t="s">
        <v>381</v>
      </c>
      <c r="C1529" s="1" t="s">
        <v>1509</v>
      </c>
      <c r="D1529" s="1" t="str">
        <f>IFERROR(__xludf.DUMMYFUNCTION("CONCATENATE(GOOGLETRANSLATE(C1529, ""en"", ""zh-cn""))"),"8K HDMI 兼容电缆 2.1 48Gbps 高速 2.1 高清视频电缆编织线 1M/2M/3M/5M 适用于 PS3/4 电视笔记本电脑显示器投影仪")</f>
        <v>8K HDMI 兼容电缆 2.1 48Gbps 高速 2.1 高清视频电缆编织线 1M/2M/3M/5M 适用于 PS3/4 电视笔记本电脑显示器投影仪</v>
      </c>
      <c r="E1529" s="1" t="str">
        <f>IFERROR(__xludf.DUMMYFUNCTION("CONCATENATE(GOOGLETRANSLATE(C1529, ""en"", ""ko""))"),"8K HDMI 호환 케이블 2.1 48Gbps 고속 2.1 HD 비디오 케이블 PS3/4 TV 노트북 모니터 프로젝터 용 꼰 코드 1M/2M/3M/5M")</f>
        <v>8K HDMI 호환 케이블 2.1 48Gbps 고속 2.1 HD 비디오 케이블 PS3/4 TV 노트북 모니터 프로젝터 용 꼰 코드 1M/2M/3M/5M</v>
      </c>
      <c r="F1529" s="1" t="str">
        <f>IFERROR(__xludf.DUMMYFUNCTION("CONCATENATE(GOOGLETRANSLATE(C1529, ""en"", ""ja""))"),"8K HDMI 互換ケーブル 2.1 48Gbps 高速 2.1 HD ビデオケーブル編組コード 1M/2M/3M/5M PS3/4 TV ラップトップモニタープロジェクター用")</f>
        <v>8K HDMI 互換ケーブル 2.1 48Gbps 高速 2.1 HD ビデオケーブル編組コード 1M/2M/3M/5M PS3/4 TV ラップトップモニタープロジェクター用</v>
      </c>
    </row>
    <row r="1530" ht="15.75" customHeight="1">
      <c r="A1530" s="1">
        <v>3003.0</v>
      </c>
      <c r="B1530" s="1" t="s">
        <v>381</v>
      </c>
      <c r="C1530" s="1" t="s">
        <v>1510</v>
      </c>
      <c r="D1530" s="1" t="str">
        <f>IFERROR(__xludf.DUMMYFUNCTION("CONCATENATE(GOOGLETRANSLATE(C1530, ""en"", ""zh-cn""))"),"圣诞树风铃不锈钢镜面旋转吊坠水晶旋转器幻觉装饰")</f>
        <v>圣诞树风铃不锈钢镜面旋转吊坠水晶旋转器幻觉装饰</v>
      </c>
      <c r="E1530" s="1" t="str">
        <f>IFERROR(__xludf.DUMMYFUNCTION("CONCATENATE(GOOGLETRANSLATE(C1530, ""en"", ""ko""))"),"크리스마스 트리 바람 종소리 스테인레스 스틸 거울 표면 로터리 펜던트 크리스탈 스피너 환상 장식")</f>
        <v>크리스마스 트리 바람 종소리 스테인레스 스틸 거울 표면 로터리 펜던트 크리스탈 스피너 환상 장식</v>
      </c>
      <c r="F1530" s="1" t="str">
        <f>IFERROR(__xludf.DUMMYFUNCTION("CONCATENATE(GOOGLETRANSLATE(C1530, ""en"", ""ja""))"),"クリスマスツリー風鈴ステンレス鋼鏡面ロータリーペンダントクリスタルスピナーイリュージョン装飾")</f>
        <v>クリスマスツリー風鈴ステンレス鋼鏡面ロータリーペンダントクリスタルスピナーイリュージョン装飾</v>
      </c>
    </row>
    <row r="1531" ht="15.75" customHeight="1">
      <c r="A1531" s="1">
        <v>3004.0</v>
      </c>
      <c r="B1531" s="1" t="s">
        <v>381</v>
      </c>
      <c r="C1531" s="1" t="s">
        <v>1511</v>
      </c>
      <c r="D1531" s="1" t="str">
        <f>IFERROR(__xludf.DUMMYFUNCTION("CONCATENATE(GOOGLETRANSLATE(C1531, ""en"", ""zh-cn""))"),"BIGTREETECH® TMC2208 V3.0 STEP/DIR 步进电机 StepStick 驱动程序，适用于 3D 打印机部件")</f>
        <v>BIGTREETECH® TMC2208 V3.0 STEP/DIR 步进电机 StepStick 驱动程序，适用于 3D 打印机部件</v>
      </c>
      <c r="E1531" s="1" t="str">
        <f>IFERROR(__xludf.DUMMYFUNCTION("CONCATENATE(GOOGLETRANSLATE(C1531, ""en"", ""ko""))"),"BIGTREETECH® TMC2208 V3.0 STEP/DIR 스테퍼 모터 3D 프린터 부품용 스텝스틱 드라이버")</f>
        <v>BIGTREETECH® TMC2208 V3.0 STEP/DIR 스테퍼 모터 3D 프린터 부품용 스텝스틱 드라이버</v>
      </c>
      <c r="F1531" s="1" t="str">
        <f>IFERROR(__xludf.DUMMYFUNCTION("CONCATENATE(GOOGLETRANSLATE(C1531, ""en"", ""ja""))"),"BIGTREETECH® TMC2208 V3.0 STEP/DIR ステッピング モーター StepStick ドライバー (3D プリンター部品用)")</f>
        <v>BIGTREETECH® TMC2208 V3.0 STEP/DIR ステッピング モーター StepStick ドライバー (3D プリンター部品用)</v>
      </c>
    </row>
    <row r="1532" ht="15.75" customHeight="1">
      <c r="A1532" s="1">
        <v>3005.0</v>
      </c>
      <c r="B1532" s="1" t="s">
        <v>381</v>
      </c>
      <c r="C1532" s="1" t="s">
        <v>1512</v>
      </c>
      <c r="D1532" s="1" t="str">
        <f>IFERROR(__xludf.DUMMYFUNCTION("CONCATENATE(GOOGLETRANSLATE(C1532, ""en"", ""zh-cn""))"),"TWOTREES® DDB 挤出机 透明版双驱动 3D 打印机挤出机")</f>
        <v>TWOTREES® DDB 挤出机 透明版双驱动 3D 打印机挤出机</v>
      </c>
      <c r="E1532" s="1" t="str">
        <f>IFERROR(__xludf.DUMMYFUNCTION("CONCATENATE(GOOGLETRANSLATE(C1532, ""en"", ""ko""))"),"TWOTREES® DDB 압출기 투명 버전 3D 프린터용 듀얼 드라이브 압출기")</f>
        <v>TWOTREES® DDB 압출기 투명 버전 3D 프린터용 듀얼 드라이브 압출기</v>
      </c>
      <c r="F1532" s="1" t="str">
        <f>IFERROR(__xludf.DUMMYFUNCTION("CONCATENATE(GOOGLETRANSLATE(C1532, ""en"", ""ja""))"),"TWOTREES® DDB 押出機 透明バージョン 3D プリンター用デュアルドライブ押出機")</f>
        <v>TWOTREES® DDB 押出機 透明バージョン 3D プリンター用デュアルドライブ押出機</v>
      </c>
    </row>
    <row r="1533" ht="15.75" customHeight="1">
      <c r="A1533" s="1">
        <v>3006.0</v>
      </c>
      <c r="B1533" s="1" t="s">
        <v>381</v>
      </c>
      <c r="C1533" s="1" t="s">
        <v>1513</v>
      </c>
      <c r="D1533" s="1" t="str">
        <f>IFERROR(__xludf.DUMMYFUNCTION("CONCATENATE(GOOGLETRANSLATE(C1533, ""en"", ""zh-cn""))"),"DM USB3.0 延长线公对母延长线高速数据同步线电缆 1.5M/3M/5M 长适用于笔记本电脑投影仪鼠标键盘")</f>
        <v>DM USB3.0 延长线公对母延长线高速数据同步线电缆 1.5M/3M/5M 长适用于笔记本电脑投影仪鼠标键盘</v>
      </c>
      <c r="E1533" s="1" t="str">
        <f>IFERROR(__xludf.DUMMYFUNCTION("CONCATENATE(GOOGLETRANSLATE(C1533, ""en"", ""ko""))"),"DM USB3.0 연장 케이블 남성-여성 익스텐더 고속 데이터 동기화 코드 케이블 1.5M/3M/5M 길이 노트북 PC 프로젝터 마우스 키보드")</f>
        <v>DM USB3.0 연장 케이블 남성-여성 익스텐더 고속 데이터 동기화 코드 케이블 1.5M/3M/5M 길이 노트북 PC 프로젝터 마우스 키보드</v>
      </c>
      <c r="F1533" s="1" t="str">
        <f>IFERROR(__xludf.DUMMYFUNCTION("CONCATENATE(GOOGLETRANSLATE(C1533, ""en"", ""ja""))"),"DM USB3.0 延長ケーブル オス - メス エクステンダー 高速データ同期コードケーブル 1.5M/3M/5M 長さ ラップトップ PC プロジェクター マウス キーボード用")</f>
        <v>DM USB3.0 延長ケーブル オス - メス エクステンダー 高速データ同期コードケーブル 1.5M/3M/5M 長さ ラップトップ PC プロジェクター マウス キーボード用</v>
      </c>
    </row>
    <row r="1534" ht="15.75" customHeight="1">
      <c r="A1534" s="1">
        <v>3007.0</v>
      </c>
      <c r="B1534" s="1" t="s">
        <v>381</v>
      </c>
      <c r="C1534" s="1" t="s">
        <v>1514</v>
      </c>
      <c r="D1534" s="1" t="str">
        <f>IFERROR(__xludf.DUMMYFUNCTION("CONCATENATE(GOOGLETRANSLATE(C1534, ""en"", ""zh-cn""))"),"137 键植物园键帽套装樱桃型材热升华 PBT 键帽适用于机械键盘")</f>
        <v>137 键植物园键帽套装樱桃型材热升华 PBT 键帽适用于机械键盘</v>
      </c>
      <c r="E1534" s="1" t="str">
        <f>IFERROR(__xludf.DUMMYFUNCTION("CONCATENATE(GOOGLETRANSLATE(C1534, ""en"", ""ko""))"),"137 키 식물원 키캡 세트 기계식 키보드 용 체리 프로필 승화 PBT 키캡")</f>
        <v>137 키 식물원 키캡 세트 기계식 키보드 용 체리 프로필 승화 PBT 키캡</v>
      </c>
      <c r="F1534" s="1" t="str">
        <f>IFERROR(__xludf.DUMMYFUNCTION("CONCATENATE(GOOGLETRANSLATE(C1534, ""en"", ""ja""))"),"137 キー植物園キーキャップセットメカニカルキーボード用チェリープロファイル昇華 PBT キーキャップ")</f>
        <v>137 キー植物園キーキャップセットメカニカルキーボード用チェリープロファイル昇華 PBT キーキャップ</v>
      </c>
    </row>
    <row r="1535" ht="15.75" customHeight="1">
      <c r="A1535" s="1">
        <v>3008.0</v>
      </c>
      <c r="B1535" s="1" t="s">
        <v>381</v>
      </c>
      <c r="C1535" s="1" t="s">
        <v>1515</v>
      </c>
      <c r="D1535" s="1" t="str">
        <f>IFERROR(__xludf.DUMMYFUNCTION("CONCATENATE(GOOGLETRANSLATE(C1535, ""en"", ""zh-cn""))"),"Mechzone T9 外置光驱 USB3.0 Type-C 外置 CD 刻录机多功能高速 CD/DVD 播放器 TF/SD 读卡器适用于车载电脑 PC 笔记本电脑")</f>
        <v>Mechzone T9 外置光驱 USB3.0 Type-C 外置 CD 刻录机多功能高速 CD/DVD 播放器 TF/SD 读卡器适用于车载电脑 PC 笔记本电脑</v>
      </c>
      <c r="E1535" s="1" t="str">
        <f>IFERROR(__xludf.DUMMYFUNCTION("CONCATENATE(GOOGLETRANSLATE(C1535, ""en"", ""ko""))"),"Mechzone T9 외장형 광학 드라이브 USB3.0 Type-C 외장형 CD 버너 차량용 컴퓨터 PC 노트북 용 다기능 고속 CD/DVD 플레이어 TF/SD 카드 리더기")</f>
        <v>Mechzone T9 외장형 광학 드라이브 USB3.0 Type-C 외장형 CD 버너 차량용 컴퓨터 PC 노트북 용 다기능 고속 CD/DVD 플레이어 TF/SD 카드 리더기</v>
      </c>
      <c r="F1535" s="1" t="str">
        <f>IFERROR(__xludf.DUMMYFUNCTION("CONCATENATE(GOOGLETRANSLATE(C1535, ""en"", ""ja""))"),"Mechzone T9 外部光学ドライブ USB3.0 Type-C 外部 CD バーナー 多機能高速 CD/DVD プレーヤー TF/SD カードリーダー 車載コンピュータ PC ラップトップ用")</f>
        <v>Mechzone T9 外部光学ドライブ USB3.0 Type-C 外部 CD バーナー 多機能高速 CD/DVD プレーヤー TF/SD カードリーダー 車載コンピュータ PC ラップトップ用</v>
      </c>
    </row>
    <row r="1536" ht="15.75" customHeight="1">
      <c r="A1536" s="1">
        <v>3009.0</v>
      </c>
      <c r="B1536" s="1" t="s">
        <v>381</v>
      </c>
      <c r="C1536" s="1" t="s">
        <v>1516</v>
      </c>
      <c r="D1536" s="1" t="str">
        <f>IFERROR(__xludf.DUMMYFUNCTION("CONCATENATE(GOOGLETRANSLATE(C1536, ""en"", ""zh-cn""))"),"VEIDADZ 壁挂投影仪屏幕 4K 高清抗光白色网格屏幕 72 英寸 160° 全视角 16:9 防皱防水家庭影院投影幕")</f>
        <v>VEIDADZ 壁挂投影仪屏幕 4K 高清抗光白色网格屏幕 72 英寸 160° 全视角 16:9 防皱防水家庭影院投影幕</v>
      </c>
      <c r="E1536" s="1" t="str">
        <f>IFERROR(__xludf.DUMMYFUNCTION("CONCATENATE(GOOGLETRANSLATE(C1536, ""en"", ""ko""))"),"VEIDADZ 벽걸이형 프로젝터 스크린 4K HD 안티 라이트 화이트 그리드 스크린 72인치 160° 전체 보기 16:9 주름 방지 방수 홈 시어터 프로젝션 커튼")</f>
        <v>VEIDADZ 벽걸이형 프로젝터 스크린 4K HD 안티 라이트 화이트 그리드 스크린 72인치 160° 전체 보기 16:9 주름 방지 방수 홈 시어터 프로젝션 커튼</v>
      </c>
      <c r="F1536" s="1" t="str">
        <f>IFERROR(__xludf.DUMMYFUNCTION("CONCATENATE(GOOGLETRANSLATE(C1536, ""en"", ""ja""))"),"VEIDADZ 壁掛けプロジェクタースクリーン 4K HD アンチライトホワイトグリッドスクリーン 72 インチ 160° フルビュー 16:9 しわ防止 防水 ホームシアター 投影カーテン")</f>
        <v>VEIDADZ 壁掛けプロジェクタースクリーン 4K HD アンチライトホワイトグリッドスクリーン 72 インチ 160° フルビュー 16:9 しわ防止 防水 ホームシアター 投影カーテン</v>
      </c>
    </row>
    <row r="1537" ht="15.75" customHeight="1">
      <c r="A1537" s="1">
        <v>3010.0</v>
      </c>
      <c r="B1537" s="1" t="s">
        <v>381</v>
      </c>
      <c r="C1537" s="1" t="s">
        <v>1517</v>
      </c>
      <c r="D1537" s="1" t="str">
        <f>IFERROR(__xludf.DUMMYFUNCTION("CONCATENATE(GOOGLETRANSLATE(C1537, ""en"", ""zh-cn""))"),"倍思 4 合 1 USB-A 扩展坞 USB-A 转 USB2.0*4 4 端口 USB 集线器分路器适配器适用于 PC 笔记本电脑 MacBook")</f>
        <v>倍思 4 合 1 USB-A 扩展坞 USB-A 转 USB2.0*4 4 端口 USB 集线器分路器适配器适用于 PC 笔记本电脑 MacBook</v>
      </c>
      <c r="E1537" s="1" t="str">
        <f>IFERROR(__xludf.DUMMYFUNCTION("CONCATENATE(GOOGLETRANSLATE(C1537, ""en"", ""ko""))"),"Baseus 4 in 1 USB-A 도킹 스테이션 USB-A - USB2.0*4 PC 노트북 MacBook용 4포트 USB 허브 분배기 어댑터")</f>
        <v>Baseus 4 in 1 USB-A 도킹 스테이션 USB-A - USB2.0*4 PC 노트북 MacBook용 4포트 USB 허브 분배기 어댑터</v>
      </c>
      <c r="F1537" s="1" t="str">
        <f>IFERROR(__xludf.DUMMYFUNCTION("CONCATENATE(GOOGLETRANSLATE(C1537, ""en"", ""ja""))"),"Baseus 4 in 1 USB-A ドッキング ステーション USB-A から USB2.0*4 4 ポート USB ハブ スプリッター アダプター PC ラップトップ MacBook 用")</f>
        <v>Baseus 4 in 1 USB-A ドッキング ステーション USB-A から USB2.0*4 4 ポート USB ハブ スプリッター アダプター PC ラップトップ MacBook 用</v>
      </c>
    </row>
    <row r="1538" ht="15.75" customHeight="1">
      <c r="A1538" s="1">
        <v>3011.0</v>
      </c>
      <c r="B1538" s="1" t="s">
        <v>381</v>
      </c>
      <c r="C1538" s="1" t="s">
        <v>1518</v>
      </c>
      <c r="D1538" s="1" t="str">
        <f>IFERROR(__xludf.DUMMYFUNCTION("CONCATENATE(GOOGLETRANSLATE(C1538, ""en"", ""zh-cn""))"),"智能屏幕灯 USB 电源铝制护眼 LED 台灯适用于电脑 PC 显示器屏幕悬挂灯触摸按钮")</f>
        <v>智能屏幕灯 USB 电源铝制护眼 LED 台灯适用于电脑 PC 显示器屏幕悬挂灯触摸按钮</v>
      </c>
      <c r="E1538" s="1" t="str">
        <f>IFERROR(__xludf.DUMMYFUNCTION("CONCATENATE(GOOGLETRANSLATE(C1538, ""en"", ""ko""))"),"스마트 스크린 램프 USB 전원 알루미늄 아이 케어 LED 책상 램프 컴퓨터 PC 모니터 화면 매달려 라이트 터치 버튼")</f>
        <v>스마트 스크린 램프 USB 전원 알루미늄 아이 케어 LED 책상 램프 컴퓨터 PC 모니터 화면 매달려 라이트 터치 버튼</v>
      </c>
      <c r="F1538" s="1" t="str">
        <f>IFERROR(__xludf.DUMMYFUNCTION("CONCATENATE(GOOGLETRANSLATE(C1538, ""en"", ""ja""))"),"スマートスクリーンランプ USB 電源アルミアイケア LED デスクランプコンピュータ PC モニター画面吊りライトタッチボタン")</f>
        <v>スマートスクリーンランプ USB 電源アルミアイケア LED デスクランプコンピュータ PC モニター画面吊りライトタッチボタン</v>
      </c>
    </row>
    <row r="1539" ht="15.75" customHeight="1">
      <c r="A1539" s="1">
        <v>3012.0</v>
      </c>
      <c r="B1539" s="1" t="s">
        <v>381</v>
      </c>
      <c r="C1539" s="1" t="s">
        <v>1519</v>
      </c>
      <c r="D1539" s="1" t="str">
        <f>IFERROR(__xludf.DUMMYFUNCTION("CONCATENATE(GOOGLETRANSLATE(C1539, ""en"", ""zh-cn""))"),"30 件 Gateron Baby Racoon 开关线性 5 针预润滑开关 55 克 POM 材料用于热插拔机械键盘")</f>
        <v>30 件 Gateron Baby Racoon 开关线性 5 针预润滑开关 55 克 POM 材料用于热插拔机械键盘</v>
      </c>
      <c r="E1539" s="1" t="str">
        <f>IFERROR(__xludf.DUMMYFUNCTION("CONCATENATE(GOOGLETRANSLATE(C1539, ""en"", ""ko""))"),"30 Pcs Gateron 아기 너구리 스위치 선형 5pin 사전 윤활 스위치 핫 스왑 가능 기계식 키보드 용 55g POM 소재")</f>
        <v>30 Pcs Gateron 아기 너구리 스위치 선형 5pin 사전 윤활 스위치 핫 스왑 가능 기계식 키보드 용 55g POM 소재</v>
      </c>
      <c r="F1539" s="1" t="str">
        <f>IFERROR(__xludf.DUMMYFUNCTION("CONCATENATE(GOOGLETRANSLATE(C1539, ""en"", ""ja""))"),"30 個 Gateron Baby Racoon スイッチ リニア 5pin 潤滑済みスイッチ 55g POM 素材 ホットスワップ可能メカニカルキーボード用")</f>
        <v>30 個 Gateron Baby Racoon スイッチ リニア 5pin 潤滑済みスイッチ 55g POM 素材 ホットスワップ可能メカニカルキーボード用</v>
      </c>
    </row>
    <row r="1540" ht="15.75" customHeight="1">
      <c r="A1540" s="1">
        <v>3013.0</v>
      </c>
      <c r="B1540" s="1" t="s">
        <v>381</v>
      </c>
      <c r="C1540" s="1" t="s">
        <v>1520</v>
      </c>
      <c r="D1540" s="1" t="str">
        <f>IFERROR(__xludf.DUMMYFUNCTION("CONCATENATE(GOOGLETRANSLATE(C1540, ""en"", ""zh-cn""))"),"AD17 吹尘器 100000 转吹尘键盘清洁器 USB 压缩空气鼓风机清洁 适用于电脑笔记本电脑键盘相机清洁")</f>
        <v>AD17 吹尘器 100000 转吹尘键盘清洁器 USB 压缩空气鼓风机清洁 适用于电脑笔记本电脑键盘相机清洁</v>
      </c>
      <c r="E1540" s="1" t="str">
        <f>IFERROR(__xludf.DUMMYFUNCTION("CONCATENATE(GOOGLETRANSLATE(C1540, ""en"", ""ko""))"),"AD17 공기 살포기 불어 100000 RPM 먼지 날리는 키보드 클리너 USB 압축 공기 송풍기 컴퓨터 노트북 키보드 카메라 청소 청소")</f>
        <v>AD17 공기 살포기 불어 100000 RPM 먼지 날리는 키보드 클리너 USB 압축 공기 송풍기 컴퓨터 노트북 키보드 카메라 청소 청소</v>
      </c>
      <c r="F1540" s="1" t="str">
        <f>IFERROR(__xludf.DUMMYFUNCTION("CONCATENATE(GOOGLETRANSLATE(C1540, ""en"", ""ja""))"),"AD17 エアダスターブロー 100000 RPM ほこり吹きキーボードクリーナー USB 圧縮空気送風機クリーニングコンピュータラップトップキーボードカメラクリーニング")</f>
        <v>AD17 エアダスターブロー 100000 RPM ほこり吹きキーボードクリーナー USB 圧縮空気送風機クリーニングコンピュータラップトップキーボードカメラクリーニング</v>
      </c>
    </row>
    <row r="1541" ht="15.75" customHeight="1">
      <c r="A1541" s="1">
        <v>3014.0</v>
      </c>
      <c r="B1541" s="1" t="s">
        <v>381</v>
      </c>
      <c r="C1541" s="1" t="s">
        <v>1521</v>
      </c>
      <c r="D1541" s="1" t="str">
        <f>IFERROR(__xludf.DUMMYFUNCTION("CONCATENATE(GOOGLETRANSLATE(C1541, ""en"", ""zh-cn""))"),"Extreme Pro SD 卡 256GB 128GB 64GB 32GB 闪存卡 C10 高速 SDXC SDHC 卡适用于佳能适用于索尼 SRL 相机")</f>
        <v>Extreme Pro SD 卡 256GB 128GB 64GB 32GB 闪存卡 C10 高速 SDXC SDHC 卡适用于佳能适用于索尼 SRL 相机</v>
      </c>
      <c r="E1541" s="1" t="str">
        <f>IFERROR(__xludf.DUMMYFUNCTION("CONCATENATE(GOOGLETRANSLATE(C1541, ""en"", ""ko""))"),"Extreme Pro SD 카드 256GB 128GB 64GB 32GB 플래시 메모리 카드 C10 Sony SRL 카메라 용 Canon 용 고속 SDXC SDHC 카드")</f>
        <v>Extreme Pro SD 카드 256GB 128GB 64GB 32GB 플래시 메모리 카드 C10 Sony SRL 카메라 용 Canon 용 고속 SDXC SDHC 카드</v>
      </c>
      <c r="F1541" s="1" t="str">
        <f>IFERROR(__xludf.DUMMYFUNCTION("CONCATENATE(GOOGLETRANSLATE(C1541, ""en"", ""ja""))"),"エクストリームプロ SD カード 256 ギガバイト 128 ギガバイト 64 ギガバイト 32 ギガバイトフラッシュメモリカード C10 高速 SDXC SDHC カードキヤノン用ソニー SRL カメラ")</f>
        <v>エクストリームプロ SD カード 256 ギガバイト 128 ギガバイト 64 ギガバイト 32 ギガバイトフラッシュメモリカード C10 高速 SDXC SDHC カードキヤノン用ソニー SRL カメラ</v>
      </c>
    </row>
    <row r="1542" ht="15.75" customHeight="1">
      <c r="A1542" s="1">
        <v>3015.0</v>
      </c>
      <c r="B1542" s="1" t="s">
        <v>381</v>
      </c>
      <c r="C1542" s="1" t="s">
        <v>1522</v>
      </c>
      <c r="D1542" s="1" t="str">
        <f>IFERROR(__xludf.DUMMYFUNCTION("CONCATENATE(GOOGLETRANSLATE(C1542, ""en"", ""zh-cn""))"),"迷彩第二代3D打印笔带欧规插头")</f>
        <v>迷彩第二代3D打印笔带欧规插头</v>
      </c>
      <c r="E1542" s="1" t="str">
        <f>IFERROR(__xludf.DUMMYFUNCTION("CONCATENATE(GOOGLETRANSLATE(C1542, ""en"", ""ko""))"),"EU 플러그가 포함된 위장 2세대 3D 프린팅 펜")</f>
        <v>EU 플러그가 포함된 위장 2세대 3D 프린팅 펜</v>
      </c>
      <c r="F1542" s="1" t="str">
        <f>IFERROR(__xludf.DUMMYFUNCTION("CONCATENATE(GOOGLETRANSLATE(C1542, ""en"", ""ja""))"),"EU プラグ付き迷彩第 2 世代 3D 印刷ペン")</f>
        <v>EU プラグ付き迷彩第 2 世代 3D 印刷ペン</v>
      </c>
    </row>
    <row r="1543" ht="15.75" customHeight="1">
      <c r="A1543" s="1">
        <v>3016.0</v>
      </c>
      <c r="B1543" s="1" t="s">
        <v>381</v>
      </c>
      <c r="C1543" s="1" t="s">
        <v>1523</v>
      </c>
      <c r="D1543" s="1" t="str">
        <f>IFERROR(__xludf.DUMMYFUNCTION("CONCATENATE(GOOGLETRANSLATE(C1543, ""en"", ""zh-cn""))"),"V8有线键盘可调背光效果双色注塑26键无冲人体工学机械手感游戏键盘")</f>
        <v>V8有线键盘可调背光效果双色注塑26键无冲人体工学机械手感游戏键盘</v>
      </c>
      <c r="E1543" s="1" t="str">
        <f>IFERROR(__xludf.DUMMYFUNCTION("CONCATENATE(GOOGLETRANSLATE(C1543, ""en"", ""ko""))"),"V8 유선 키보드 조정 가능한 백라이트 효과 2색 사출 성형 펀치가 없는 26개의 키 인체 공학적 기계적 느낌 게임용 키보드")</f>
        <v>V8 유선 키보드 조정 가능한 백라이트 효과 2색 사출 성형 펀치가 없는 26개의 키 인체 공학적 기계적 느낌 게임용 키보드</v>
      </c>
      <c r="F1543" s="1" t="str">
        <f>IFERROR(__xludf.DUMMYFUNCTION("CONCATENATE(GOOGLETRANSLATE(C1543, ""en"", ""ja""))"),"V8 有線キーボード 調節可能なバックライト効果 2 色射出成形 26 キー パンチなし 人間工学 メカニカルフィール ゲーミングキーボード")</f>
        <v>V8 有線キーボード 調節可能なバックライト効果 2 色射出成形 26 キー パンチなし 人間工学 メカニカルフィール ゲーミングキーボード</v>
      </c>
    </row>
    <row r="1544" ht="15.75" customHeight="1">
      <c r="A1544" s="1">
        <v>3017.0</v>
      </c>
      <c r="B1544" s="1" t="s">
        <v>381</v>
      </c>
      <c r="C1544" s="1" t="s">
        <v>1524</v>
      </c>
      <c r="D1544" s="1" t="str">
        <f>IFERROR(__xludf.DUMMYFUNCTION("CONCATENATE(GOOGLETRANSLATE(C1544, ""en"", ""zh-cn""))"),"OUTERDO YX-098 游戏鼠标绿色专业人体工学光学 USB 有线 1600DPI 电脑游戏鼠标")</f>
        <v>OUTERDO YX-098 游戏鼠标绿色专业人体工学光学 USB 有线 1600DPI 电脑游戏鼠标</v>
      </c>
      <c r="E1544" s="1" t="str">
        <f>IFERROR(__xludf.DUMMYFUNCTION("CONCATENATE(GOOGLETRANSLATE(C1544, ""en"", ""ko""))"),"OUTERDO YX-098 게임용 마우스 녹색 전문 인체 공학적 광학 USB 유선 1600DPI 컴퓨터 게임 마우스")</f>
        <v>OUTERDO YX-098 게임용 마우스 녹색 전문 인체 공학적 광학 USB 유선 1600DPI 컴퓨터 게임 마우스</v>
      </c>
      <c r="F1544" s="1" t="str">
        <f>IFERROR(__xludf.DUMMYFUNCTION("CONCATENATE(GOOGLETRANSLATE(C1544, ""en"", ""ja""))"),"OUTERDO YX-098 ゲーミングマウス グリーン プロフェッショナル 人間工学に基づいた光学式 USB 有線 1600DPI コンピュータ ゲーム マウス")</f>
        <v>OUTERDO YX-098 ゲーミングマウス グリーン プロフェッショナル 人間工学に基づいた光学式 USB 有線 1600DPI コンピュータ ゲーム マウス</v>
      </c>
    </row>
    <row r="1545" ht="15.75" customHeight="1">
      <c r="A1545" s="1">
        <v>3018.0</v>
      </c>
      <c r="B1545" s="1" t="s">
        <v>381</v>
      </c>
      <c r="C1545" s="1" t="s">
        <v>1525</v>
      </c>
      <c r="D1545" s="1" t="str">
        <f>IFERROR(__xludf.DUMMYFUNCTION("CONCATENATE(GOOGLETRANSLATE(C1545, ""en"", ""zh-cn""))"),"126 键涂鸦 PBT 键帽套装 XDA 轮廓热升华可爱动漫定制键帽适用于机械键盘")</f>
        <v>126 键涂鸦 PBT 键帽套装 XDA 轮廓热升华可爱动漫定制键帽适用于机械键盘</v>
      </c>
      <c r="E1545" s="1" t="str">
        <f>IFERROR(__xludf.DUMMYFUNCTION("CONCATENATE(GOOGLETRANSLATE(C1545, ""en"", ""ko""))"),"126 키 낙서 PBT 키캡 세트 XDA 프로필 승화 기계식 키보드 용 귀여운 애니메이션 맞춤형 키캡")</f>
        <v>126 키 낙서 PBT 키캡 세트 XDA 프로필 승화 기계식 키보드 용 귀여운 애니메이션 맞춤형 키캡</v>
      </c>
      <c r="F1545" s="1" t="str">
        <f>IFERROR(__xludf.DUMMYFUNCTION("CONCATENATE(GOOGLETRANSLATE(C1545, ""en"", ""ja""))"),"126 キー落書き PBT キーキャップセット XDA プロファイル昇華かわいいアニメカスタムキーキャップメカニカルキーボード用")</f>
        <v>126 キー落書き PBT キーキャップセット XDA プロファイル昇華かわいいアニメカスタムキーキャップメカニカルキーボード用</v>
      </c>
    </row>
    <row r="1546" ht="15.75" customHeight="1">
      <c r="A1546" s="1">
        <v>3019.0</v>
      </c>
      <c r="B1546" s="1" t="s">
        <v>381</v>
      </c>
      <c r="C1546" s="1" t="s">
        <v>1526</v>
      </c>
      <c r="D1546" s="1" t="str">
        <f>IFERROR(__xludf.DUMMYFUNCTION("CONCATENATE(GOOGLETRANSLATE(C1546, ""en"", ""zh-cn""))"),"HXSJ V700 61 键游戏 RGB 键盘 USB 背光，具有多种快捷键组合，适合游戏玩家")</f>
        <v>HXSJ V700 61 键游戏 RGB 键盘 USB 背光，具有多种快捷键组合，适合游戏玩家</v>
      </c>
      <c r="E1546" s="1" t="str">
        <f>IFERROR(__xludf.DUMMYFUNCTION("CONCATENATE(GOOGLETRANSLATE(C1546, ""en"", ""ko""))"),"HXSJ V700 61 키 게이밍 RGB 키보드 USB 백라이트(게이머를 위한 다중 단축키 조합 포함)")</f>
        <v>HXSJ V700 61 키 게이밍 RGB 키보드 USB 백라이트(게이머를 위한 다중 단축키 조합 포함)</v>
      </c>
      <c r="F1546" s="1" t="str">
        <f>IFERROR(__xludf.DUMMYFUNCTION("CONCATENATE(GOOGLETRANSLATE(C1546, ""en"", ""ja""))"),"HXSJ V700 61 キーゲーミング RGB キーボード USB バックライト、ゲーマー向けの複数のショートカット キーの組み合わせ付き")</f>
        <v>HXSJ V700 61 キーゲーミング RGB キーボード USB バックライト、ゲーマー向けの複数のショートカット キーの組み合わせ付き</v>
      </c>
    </row>
    <row r="1547" ht="15.75" customHeight="1">
      <c r="A1547" s="1">
        <v>3020.0</v>
      </c>
      <c r="B1547" s="1" t="s">
        <v>381</v>
      </c>
      <c r="C1547" s="1" t="s">
        <v>1527</v>
      </c>
      <c r="D1547" s="1" t="str">
        <f>IFERROR(__xludf.DUMMYFUNCTION("CONCATENATE(GOOGLETRANSLATE(C1547, ""en"", ""zh-cn""))"),"V700 61 键游戏 RGB 键盘 USB 背光机械手感，具有多种快捷键组合，适合游戏玩家")</f>
        <v>V700 61 键游戏 RGB 键盘 USB 背光机械手感，具有多种快捷键组合，适合游戏玩家</v>
      </c>
      <c r="E1547" s="1" t="str">
        <f>IFERROR(__xludf.DUMMYFUNCTION("CONCATENATE(GOOGLETRANSLATE(C1547, ""en"", ""ko""))"),"V700 61 키 게임용 RGB 키보드 USB 백라이트 게이머를 위한 다중 단축키 조합으로 기계적 느낌")</f>
        <v>V700 61 키 게임용 RGB 키보드 USB 백라이트 게이머를 위한 다중 단축키 조합으로 기계적 느낌</v>
      </c>
      <c r="F1547" s="1" t="str">
        <f>IFERROR(__xludf.DUMMYFUNCTION("CONCATENATE(GOOGLETRANSLATE(C1547, ""en"", ""ja""))"),"V700 61 キーゲーミング RGB キーボード USB バックライト機械的な感触と複数のショートカットキーの組み合わせゲーマー向け")</f>
        <v>V700 61 キーゲーミング RGB キーボード USB バックライト機械的な感触と複数のショートカットキーの組み合わせゲーマー向け</v>
      </c>
    </row>
    <row r="1548" ht="15.75" customHeight="1">
      <c r="A1548" s="1">
        <v>3021.0</v>
      </c>
      <c r="B1548" s="1" t="s">
        <v>381</v>
      </c>
      <c r="C1548" s="1" t="s">
        <v>1528</v>
      </c>
      <c r="D1548" s="1" t="str">
        <f>IFERROR(__xludf.DUMMYFUNCTION("CONCATENATE(GOOGLETRANSLATE(C1548, ""en"", ""zh-cn""))"),"BUBM 便携式收纳盒尼龙拉绒防水面料多功能电子配件包电缆充电器收纳包保护手提箱")</f>
        <v>BUBM 便携式收纳盒尼龙拉绒防水面料多功能电子配件包电缆充电器收纳包保护手提箱</v>
      </c>
      <c r="E1548" s="1" t="str">
        <f>IFERROR(__xludf.DUMMYFUNCTION("CONCATENATE(GOOGLETRANSLATE(C1548, ""en"", ""ko""))"),"BUBM 휴대용 보관 케이스 나일론 닦았 방수 직물 다기능 전자 액세서리 가방 케이블 충전기 보관 가방 보호 운반 케이스")</f>
        <v>BUBM 휴대용 보관 케이스 나일론 닦았 방수 직물 다기능 전자 액세서리 가방 케이블 충전기 보관 가방 보호 운반 케이스</v>
      </c>
      <c r="F1548" s="1" t="str">
        <f>IFERROR(__xludf.DUMMYFUNCTION("CONCATENATE(GOOGLETRANSLATE(C1548, ""en"", ""ja""))"),"BUBM ポータブル収納ケースナイロン起毛防水生地多機能電子アクセサリーバッグケーブル充電器収納袋保護キャリーケース")</f>
        <v>BUBM ポータブル収納ケースナイロン起毛防水生地多機能電子アクセサリーバッグケーブル充電器収納袋保護キャリーケース</v>
      </c>
    </row>
    <row r="1549" ht="15.75" customHeight="1">
      <c r="A1549" s="1">
        <v>3022.0</v>
      </c>
      <c r="B1549" s="1" t="s">
        <v>381</v>
      </c>
      <c r="C1549" s="1" t="s">
        <v>1529</v>
      </c>
      <c r="D1549" s="1" t="str">
        <f>IFERROR(__xludf.DUMMYFUNCTION("CONCATENATE(GOOGLETRANSLATE(C1549, ""en"", ""zh-cn""))"),"BUBM 便携式收纳盒多功能收纳携带保护袋收纳袋")</f>
        <v>BUBM 便携式收纳盒多功能收纳携带保护袋收纳袋</v>
      </c>
      <c r="E1549" s="1" t="str">
        <f>IFERROR(__xludf.DUMMYFUNCTION("CONCATENATE(GOOGLETRANSLATE(C1549, ""en"", ""ko""))"),"BUBM 휴대용 보관 케이스 다기능 보관 운반 보호 주머니 주최자 케이스 가방")</f>
        <v>BUBM 휴대용 보관 케이스 다기능 보관 운반 보호 주머니 주최자 케이스 가방</v>
      </c>
      <c r="F1549" s="1" t="str">
        <f>IFERROR(__xludf.DUMMYFUNCTION("CONCATENATE(GOOGLETRANSLATE(C1549, ""en"", ""ja""))"),"BUBM ポータブル収納ケース多機能収納キャリー保護ポーチオーガナイザーケースバッグ")</f>
        <v>BUBM ポータブル収納ケース多機能収納キャリー保護ポーチオーガナイザーケースバッグ</v>
      </c>
    </row>
    <row r="1550" ht="15.75" customHeight="1">
      <c r="A1550" s="1">
        <v>3023.0</v>
      </c>
      <c r="B1550" s="1" t="s">
        <v>381</v>
      </c>
      <c r="C1550" s="1" t="s">
        <v>1530</v>
      </c>
      <c r="D1550" s="1" t="str">
        <f>IFERROR(__xludf.DUMMYFUNCTION("CONCATENATE(GOOGLETRANSLATE(C1550, ""en"", ""zh-cn""))"),"4 合 1 Type-C 扩展坞 100W PD 4K/30Hz HDMI 1080P VGA USB3.0 集线器 USB-C 分路器适配器适用于 PC 笔记本电脑")</f>
        <v>4 合 1 Type-C 扩展坞 100W PD 4K/30Hz HDMI 1080P VGA USB3.0 集线器 USB-C 分路器适配器适用于 PC 笔记本电脑</v>
      </c>
      <c r="E1550" s="1" t="str">
        <f>IFERROR(__xludf.DUMMYFUNCTION("CONCATENATE(GOOGLETRANSLATE(C1550, ""en"", ""ko""))"),"4 in 1 Type-C 도킹 스테이션 100W PD 4K/30Hz HDMI 1080P VGA USB3.0 허브 PC 노트북용 USB-C 분배기 어댑터")</f>
        <v>4 in 1 Type-C 도킹 스테이션 100W PD 4K/30Hz HDMI 1080P VGA USB3.0 허브 PC 노트북용 USB-C 분배기 어댑터</v>
      </c>
      <c r="F1550" s="1" t="str">
        <f>IFERROR(__xludf.DUMMYFUNCTION("CONCATENATE(GOOGLETRANSLATE(C1550, ""en"", ""ja""))"),"4 in 1 Type-C ドッキングステーション 100W PD 4K/30Hz HDMI 1080P VGA USB3.0 ハブ USB-C スプリッターアダプター PC ラップトップ用")</f>
        <v>4 in 1 Type-C ドッキングステーション 100W PD 4K/30Hz HDMI 1080P VGA USB3.0 ハブ USB-C スプリッターアダプター PC ラップトップ用</v>
      </c>
    </row>
    <row r="1551" ht="15.75" customHeight="1">
      <c r="A1551" s="1">
        <v>3024.0</v>
      </c>
      <c r="B1551" s="1" t="s">
        <v>381</v>
      </c>
      <c r="C1551" s="1" t="s">
        <v>1531</v>
      </c>
      <c r="D1551" s="1" t="str">
        <f>IFERROR(__xludf.DUMMYFUNCTION("CONCATENATE(GOOGLETRANSLATE(C1551, ""en"", ""zh-cn""))"),"4K 3D HDMI 分配器高清 1 输入 2 输出视频 HDMI 切换器适用于 PC DVD 电视盒 1×2 HDMI 分配器")</f>
        <v>4K 3D HDMI 分配器高清 1 输入 2 输出视频 HDMI 切换器适用于 PC DVD 电视盒 1×2 HDMI 分配器</v>
      </c>
      <c r="E1551" s="1" t="str">
        <f>IFERROR(__xludf.DUMMYFUNCTION("CONCATENATE(GOOGLETRANSLATE(C1551, ""en"", ""ko""))"),"4K 3D HDMI 분배기 HD 1 입력 2 출력 비디오 HDMI 스위처 PC DVD TV 박스 1×2 HDMI 분배기")</f>
        <v>4K 3D HDMI 분배기 HD 1 입력 2 출력 비디오 HDMI 스위처 PC DVD TV 박스 1×2 HDMI 분배기</v>
      </c>
      <c r="F1551" s="1" t="str">
        <f>IFERROR(__xludf.DUMMYFUNCTION("CONCATENATE(GOOGLETRANSLATE(C1551, ""en"", ""ja""))"),"4K 3D HDMI スプリッター HD 1 入力 2 出力ビデオ HDMI スイッチャー PC DVD TV ボックス 1×2 HDMI スプリッター")</f>
        <v>4K 3D HDMI スプリッター HD 1 入力 2 出力ビデオ HDMI スイッチャー PC DVD TV ボックス 1×2 HDMI スプリッター</v>
      </c>
    </row>
    <row r="1552" ht="15.75" customHeight="1">
      <c r="A1552" s="1">
        <v>3025.0</v>
      </c>
      <c r="B1552" s="1" t="s">
        <v>381</v>
      </c>
      <c r="C1552" s="1" t="s">
        <v>1532</v>
      </c>
      <c r="D1552" s="1" t="str">
        <f>IFERROR(__xludf.DUMMYFUNCTION("CONCATENATE(GOOGLETRANSLATE(C1552, ""en"", ""zh-cn""))"),"5 件装 22 厘米 8 针母头转 2x8 针(6+2) 公头 GPU 电源线 PCI-E 分线器线适用于主板显卡 GPU 电源数据线")</f>
        <v>5 件装 22 厘米 8 针母头转 2x8 针(6+2) 公头 GPU 电源线 PCI-E 分线器线适用于主板显卡 GPU 电源数据线</v>
      </c>
      <c r="E1552" s="1" t="str">
        <f>IFERROR(__xludf.DUMMYFUNCTION("CONCATENATE(GOOGLETRANSLATE(C1552, ""en"", ""ko""))"),"5PCS 22cm 8Pin 여성 2x8Pin(6+2) 남성 GPU 전원 케이블 마더보드 그래픽 카드 GPU 전원 데이터 케이블용 PCI-E 분배기 코드")</f>
        <v>5PCS 22cm 8Pin 여성 2x8Pin(6+2) 남성 GPU 전원 케이블 마더보드 그래픽 카드 GPU 전원 데이터 케이블용 PCI-E 분배기 코드</v>
      </c>
      <c r="F1552" s="1" t="str">
        <f>IFERROR(__xludf.DUMMYFUNCTION("CONCATENATE(GOOGLETRANSLATE(C1552, ""en"", ""ja""))"),"5 個 22 センチメートル 8Pin メスから 2x8Pin (6 + 2) オス GPU 電源ケーブル PCI-E スプリッタコードマザーボードグラフィックスカード GPU 電源データケーブル")</f>
        <v>5 個 22 センチメートル 8Pin メスから 2x8Pin (6 + 2) オス GPU 電源ケーブル PCI-E スプリッタコードマザーボードグラフィックスカード GPU 電源データケーブル</v>
      </c>
    </row>
    <row r="1553" ht="15.75" customHeight="1">
      <c r="A1553" s="1">
        <v>3026.0</v>
      </c>
      <c r="B1553" s="1" t="s">
        <v>381</v>
      </c>
      <c r="C1553" s="1" t="s">
        <v>1533</v>
      </c>
      <c r="D1553" s="1" t="str">
        <f>IFERROR(__xludf.DUMMYFUNCTION("CONCATENATE(GOOGLETRANSLATE(C1553, ""en"", ""zh-cn""))"),"PENGQIAO 3A 60W USB-A 转 USB-C 电缆 USB3.2 10Gbps QC3.0 快速充电数据传输 USB Type-C SSD 硬盘电缆")</f>
        <v>PENGQIAO 3A 60W USB-A 转 USB-C 电缆 USB3.2 10Gbps QC3.0 快速充电数据传输 USB Type-C SSD 硬盘电缆</v>
      </c>
      <c r="E1553" s="1" t="str">
        <f>IFERROR(__xludf.DUMMYFUNCTION("CONCATENATE(GOOGLETRANSLATE(C1553, ""en"", ""ko""))"),"PENGQIAO 3A 60W USB-A-USB-C 케이블 USB3.2 10Gbps QC3.0 고속 충전 데이터 전송 USB Type-C SSD 하드 디스크 케이블")</f>
        <v>PENGQIAO 3A 60W USB-A-USB-C 케이블 USB3.2 10Gbps QC3.0 고속 충전 데이터 전송 USB Type-C SSD 하드 디스크 케이블</v>
      </c>
      <c r="F1553" s="1" t="str">
        <f>IFERROR(__xludf.DUMMYFUNCTION("CONCATENATE(GOOGLETRANSLATE(C1553, ""en"", ""ja""))"),"PENGQIAO 3A 60 ワット USB-A to USB-C ケーブル USB3.2 10Gbps QC3.0 高速充電データ伝送 USB タイプ C SSD ハードディスクケーブル")</f>
        <v>PENGQIAO 3A 60 ワット USB-A to USB-C ケーブル USB3.2 10Gbps QC3.0 高速充電データ伝送 USB タイプ C SSD ハードディスクケーブル</v>
      </c>
    </row>
    <row r="1554" ht="15.75" customHeight="1">
      <c r="A1554" s="1">
        <v>3027.0</v>
      </c>
      <c r="B1554" s="1" t="s">
        <v>381</v>
      </c>
      <c r="C1554" s="1" t="s">
        <v>1534</v>
      </c>
      <c r="D1554" s="1" t="str">
        <f>IFERROR(__xludf.DUMMYFUNCTION("CONCATENATE(GOOGLETRANSLATE(C1554, ""en"", ""zh-cn""))"),"PENGQIAO USB3.2 公头转 Type-C 母头电缆适配器 10Gbps 高速充电和数据传输电缆转换器，适用于手机、笔记本电脑、平板电脑")</f>
        <v>PENGQIAO USB3.2 公头转 Type-C 母头电缆适配器 10Gbps 高速充电和数据传输电缆转换器，适用于手机、笔记本电脑、平板电脑</v>
      </c>
      <c r="E1554" s="1" t="str">
        <f>IFERROR(__xludf.DUMMYFUNCTION("CONCATENATE(GOOGLETRANSLATE(C1554, ""en"", ""ko""))"),"PENGQIAO USB3.2 남성-Type-C 여성 케이블 어댑터 10Gbps 고속 충전 및 데이터 전송 케이블 변환기 (전화 노트북 태블릿 용)")</f>
        <v>PENGQIAO USB3.2 남성-Type-C 여성 케이블 어댑터 10Gbps 고속 충전 및 데이터 전송 케이블 변환기 (전화 노트북 태블릿 용)</v>
      </c>
      <c r="F1554" s="1" t="str">
        <f>IFERROR(__xludf.DUMMYFUNCTION("CONCATENATE(GOOGLETRANSLATE(C1554, ""en"", ""ja""))"),"PENGQIAO USB3.2 オス - Type-C メス ケーブル アダプター 10Gbps 高速充電およびデータ転送ケーブル コンバーター 電話、ラップトップ、タブレット用")</f>
        <v>PENGQIAO USB3.2 オス - Type-C メス ケーブル アダプター 10Gbps 高速充電およびデータ転送ケーブル コンバーター 電話、ラップトップ、タブレット用</v>
      </c>
    </row>
    <row r="1555" ht="15.75" customHeight="1">
      <c r="A1555" s="1">
        <v>3028.0</v>
      </c>
      <c r="B1555" s="1" t="s">
        <v>381</v>
      </c>
      <c r="C1555" s="1" t="s">
        <v>1535</v>
      </c>
      <c r="D1555" s="1" t="str">
        <f>IFERROR(__xludf.DUMMYFUNCTION("CONCATENATE(GOOGLETRANSLATE(C1555, ""en"", ""zh-cn""))"),"便携式 RCA 同轴数字光纤 Toslink 信号至模拟音频转换器")</f>
        <v>便携式 RCA 同轴数字光纤 Toslink 信号至模拟音频转换器</v>
      </c>
      <c r="E1555" s="1" t="str">
        <f>IFERROR(__xludf.DUMMYFUNCTION("CONCATENATE(GOOGLETRANSLATE(C1555, ""en"", ""ko""))"),"휴대용 RCA 동축 디지털 광 Toslink 신호-아날로그 오디오 변환기")</f>
        <v>휴대용 RCA 동축 디지털 광 Toslink 신호-아날로그 오디오 변환기</v>
      </c>
      <c r="F1555" s="1" t="str">
        <f>IFERROR(__xludf.DUMMYFUNCTION("CONCATENATE(GOOGLETRANSLATE(C1555, ""en"", ""ja""))"),"ポータブル RCA 同軸デジタル光 Toslink 信号 - アナログ オーディオ コンバーター")</f>
        <v>ポータブル RCA 同軸デジタル光 Toslink 信号 - アナログ オーディオ コンバーター</v>
      </c>
    </row>
    <row r="1556" ht="15.75" customHeight="1">
      <c r="A1556" s="1">
        <v>3029.0</v>
      </c>
      <c r="B1556" s="1" t="s">
        <v>381</v>
      </c>
      <c r="C1556" s="1" t="s">
        <v>1536</v>
      </c>
      <c r="D1556" s="1" t="str">
        <f>IFERROR(__xludf.DUMMYFUNCTION("CONCATENATE(GOOGLETRANSLATE(C1556, ""en"", ""zh-cn""))"),"Creality 3D 高端硬化钢喷嘴套件")</f>
        <v>Creality 3D 高端硬化钢喷嘴套件</v>
      </c>
      <c r="E1556" s="1" t="str">
        <f>IFERROR(__xludf.DUMMYFUNCTION("CONCATENATE(GOOGLETRANSLATE(C1556, ""en"", ""ko""))"),"Creality 3D 고급 강화 강철 노즐 키트")</f>
        <v>Creality 3D 고급 강화 강철 노즐 키트</v>
      </c>
      <c r="F1556" s="1" t="str">
        <f>IFERROR(__xludf.DUMMYFUNCTION("CONCATENATE(GOOGLETRANSLATE(C1556, ""en"", ""ja""))"),"Creality 3D ハイエンド硬化鋼ノズルキット")</f>
        <v>Creality 3D ハイエンド硬化鋼ノズルキット</v>
      </c>
    </row>
    <row r="1557" ht="15.75" customHeight="1">
      <c r="A1557" s="1">
        <v>3030.0</v>
      </c>
      <c r="B1557" s="1" t="s">
        <v>381</v>
      </c>
      <c r="C1557" s="1" t="s">
        <v>1537</v>
      </c>
      <c r="D1557" s="1" t="str">
        <f>IFERROR(__xludf.DUMMYFUNCTION("CONCATENATE(GOOGLETRANSLATE(C1557, ""en"", ""zh-cn""))"),"HXSJ X300 有线游戏鼠标 1200-7200DPI 可调节人体工程学鼠标 RGB 背光 6 键宏编程，带可更换后盖游戏玩家鼠标，适用于 PC 笔记本电脑")</f>
        <v>HXSJ X300 有线游戏鼠标 1200-7200DPI 可调节人体工程学鼠标 RGB 背光 6 键宏编程，带可更换后盖游戏玩家鼠标，适用于 PC 笔记本电脑</v>
      </c>
      <c r="E1557" s="1" t="str">
        <f>IFERROR(__xludf.DUMMYFUNCTION("CONCATENATE(GOOGLETRANSLATE(C1557, ""en"", ""ko""))"),"HXSJ X300 유선 게이밍 마우스 1200-7200DPI 조정 가능한 인체공학 마우스 RGB 백라이트 6키 매크로 프로그래밍, PC 노트북용 교체 가능한 뒷면 커버 게이머 마우스 포함")</f>
        <v>HXSJ X300 유선 게이밍 마우스 1200-7200DPI 조정 가능한 인체공학 마우스 RGB 백라이트 6키 매크로 프로그래밍, PC 노트북용 교체 가능한 뒷면 커버 게이머 마우스 포함</v>
      </c>
      <c r="F1557" s="1" t="str">
        <f>IFERROR(__xludf.DUMMYFUNCTION("CONCATENATE(GOOGLETRANSLATE(C1557, ""en"", ""ja""))"),"HXSJ X300 有線ゲーミングマウス 1200-7200DPI 調整可能なエルゴノミクスマウス RGB バックライト付き 6 キーマクロプログラミング 交換可能なバックカバー付きゲーマーマウス PC ラップトップ用")</f>
        <v>HXSJ X300 有線ゲーミングマウス 1200-7200DPI 調整可能なエルゴノミクスマウス RGB バックライト付き 6 キーマクロプログラミング 交換可能なバックカバー付きゲーマーマウス PC ラップトップ用</v>
      </c>
    </row>
    <row r="1558" ht="15.75" customHeight="1">
      <c r="A1558" s="1">
        <v>3031.0</v>
      </c>
      <c r="B1558" s="1" t="s">
        <v>381</v>
      </c>
      <c r="C1558" s="1" t="s">
        <v>1538</v>
      </c>
      <c r="D1558" s="1" t="str">
        <f>IFERROR(__xludf.DUMMYFUNCTION("CONCATENATE(GOOGLETRANSLATE(C1558, ""en"", ""zh-cn""))"),"ORICO 10 合 1 Type-C 扩展坞 USB-C 集线器，带 5Gbps USB3.0*3 PD100W 4K HDMI-com VGA 1000M Gige 3.5mm 音频 SD/TF 读卡器多端口集线器分路器适配器适用于 PC 计算机")</f>
        <v>ORICO 10 合 1 Type-C 扩展坞 USB-C 集线器，带 5Gbps USB3.0*3 PD100W 4K HDMI-com VGA 1000M Gige 3.5mm 音频 SD/TF 读卡器多端口集线器分路器适配器适用于 PC 计算机</v>
      </c>
      <c r="E1558" s="1" t="str">
        <f>IFERROR(__xludf.DUMMYFUNCTION("CONCATENATE(GOOGLETRANSLATE(C1558, ""en"", ""ko""))"),"ORICO 10 in 1 Type-C 도킹 스테이션 USB-C 허브, 5Gbps USB3.0*3 PD100W 4K HDMI-com VGA 1000M Gige 3.5mm 오디오 SD/TF 카드 리더기 PC 컴퓨터용 멀티포트 허브 분배기 어댑터")</f>
        <v>ORICO 10 in 1 Type-C 도킹 스테이션 USB-C 허브, 5Gbps USB3.0*3 PD100W 4K HDMI-com VGA 1000M Gige 3.5mm 오디오 SD/TF 카드 리더기 PC 컴퓨터용 멀티포트 허브 분배기 어댑터</v>
      </c>
      <c r="F1558" s="1" t="str">
        <f>IFERROR(__xludf.DUMMYFUNCTION("CONCATENATE(GOOGLETRANSLATE(C1558, ""en"", ""ja""))"),"ORICO 10 in 1 Type-C ドッキングステーション USB-C ハブ 5Gbps USB3.0*3 PD100W 4K HDMI-com VGA 1000M Gige 3.5mm オーディオ SD/TF カードリーダーマルチポートハブスプリッタアダプタ PC コンピュータ用")</f>
        <v>ORICO 10 in 1 Type-C ドッキングステーション USB-C ハブ 5Gbps USB3.0*3 PD100W 4K HDMI-com VGA 1000M Gige 3.5mm オーディオ SD/TF カードリーダーマルチポートハブスプリッタアダプタ PC コンピュータ用</v>
      </c>
    </row>
    <row r="1559" ht="15.75" customHeight="1">
      <c r="A1559" s="1">
        <v>3032.0</v>
      </c>
      <c r="B1559" s="1" t="s">
        <v>381</v>
      </c>
      <c r="C1559" s="1" t="s">
        <v>1539</v>
      </c>
      <c r="D1559" s="1" t="str">
        <f>IFERROR(__xludf.DUMMYFUNCTION("CONCATENATE(GOOGLETRANSLATE(C1559, ""en"", ""zh-cn""))"),"磁吸保护夹保护套适用于 11.2 英寸联想小新 Pad Pro 2022 平板电脑")</f>
        <v>磁吸保护夹保护套适用于 11.2 英寸联想小新 Pad Pro 2022 平板电脑</v>
      </c>
      <c r="E1559" s="1" t="str">
        <f>IFERROR(__xludf.DUMMYFUNCTION("CONCATENATE(GOOGLETRANSLATE(C1559, ""en"", ""ko""))"),"11.2인치 Lenovo Xiaoxin Pad Pro 2022 태블릿용 자기 매력 보호 클립 케이스 커버")</f>
        <v>11.2인치 Lenovo Xiaoxin Pad Pro 2022 태블릿용 자기 매력 보호 클립 케이스 커버</v>
      </c>
      <c r="F1559" s="1" t="str">
        <f>IFERROR(__xludf.DUMMYFUNCTION("CONCATENATE(GOOGLETRANSLATE(C1559, ""en"", ""ja""))"),"磁気吸引保護クリップケースカバー 11.2 インチ Lenovo Xiaoxin Pad Pro 2022 タブレット用")</f>
        <v>磁気吸引保護クリップケースカバー 11.2 インチ Lenovo Xiaoxin Pad Pro 2022 タブレット用</v>
      </c>
    </row>
    <row r="1560" ht="15.75" customHeight="1">
      <c r="A1560" s="1">
        <v>3033.0</v>
      </c>
      <c r="B1560" s="1" t="s">
        <v>381</v>
      </c>
      <c r="C1560" s="1" t="s">
        <v>1540</v>
      </c>
      <c r="D1560" s="1" t="str">
        <f>IFERROR(__xludf.DUMMYFUNCTION("CONCATENATE(GOOGLETRANSLATE(C1560, ""en"", ""zh-cn""))"),"倍思 SD/TF 读卡器 2 合 1 USB3.0/Type-C 智能存储卡闪存驱动器适配器适用于手机平板电脑笔记本电脑配件")</f>
        <v>倍思 SD/TF 读卡器 2 合 1 USB3.0/Type-C 智能存储卡闪存驱动器适配器适用于手机平板电脑笔记本电脑配件</v>
      </c>
      <c r="E1560" s="1" t="str">
        <f>IFERROR(__xludf.DUMMYFUNCTION("CONCATENATE(GOOGLETRANSLATE(C1560, ""en"", ""ko""))"),"Baseus SD/TF 카드 리더기 2 in 1 USB3.0/Type-C 스마트 메모리 카드 플래시 드라이브 어댑터(전화 태블릿 노트북 액세서리)")</f>
        <v>Baseus SD/TF 카드 리더기 2 in 1 USB3.0/Type-C 스마트 메모리 카드 플래시 드라이브 어댑터(전화 태블릿 노트북 액세서리)</v>
      </c>
      <c r="F1560" s="1" t="str">
        <f>IFERROR(__xludf.DUMMYFUNCTION("CONCATENATE(GOOGLETRANSLATE(C1560, ""en"", ""ja""))"),"Baseus SD/TF カードリーダー 2 in 1 USB3.0/Type-C スマート メモリ カード フラッシュ ドライブ アダプター 電話 タブレット ラップトップ アクセサリー用")</f>
        <v>Baseus SD/TF カードリーダー 2 in 1 USB3.0/Type-C スマート メモリ カード フラッシュ ドライブ アダプター 電話 タブレット ラップトップ アクセサリー用</v>
      </c>
    </row>
    <row r="1561" ht="15.75" customHeight="1">
      <c r="A1561" s="1">
        <v>3034.0</v>
      </c>
      <c r="B1561" s="1" t="s">
        <v>381</v>
      </c>
      <c r="C1561" s="1" t="s">
        <v>1541</v>
      </c>
      <c r="D1561" s="1" t="str">
        <f>IFERROR(__xludf.DUMMYFUNCTION("CONCATENATE(GOOGLETRANSLATE(C1561, ""en"", ""zh-cn""))"),"适用于10.6英寸联想小新Pad 2022平板电脑全屏高清钢化膜高清防指纹")</f>
        <v>适用于10.6英寸联想小新Pad 2022平板电脑全屏高清钢化膜高清防指纹</v>
      </c>
      <c r="E1561" s="1" t="str">
        <f>IFERROR(__xludf.DUMMYFUNCTION("CONCATENATE(GOOGLETRANSLATE(C1561, ""en"", ""ko""))"),"10.6인치 Lenovo XiaoXin Pad 2022 태블릿용 전체 화면 HD 강화 필름 HD 지문 방지")</f>
        <v>10.6인치 Lenovo XiaoXin Pad 2022 태블릿용 전체 화면 HD 강화 필름 HD 지문 방지</v>
      </c>
      <c r="F1561" s="1" t="str">
        <f>IFERROR(__xludf.DUMMYFUNCTION("CONCATENATE(GOOGLETRANSLATE(C1561, ""en"", ""ja""))"),"フルスクリーン HD 強化フィルム HD 指紋防止 10.6 インチ Lenovo XiaoXin Pad 2022 タブレット用")</f>
        <v>フルスクリーン HD 強化フィルム HD 指紋防止 10.6 インチ Lenovo XiaoXin Pad 2022 タブレット用</v>
      </c>
    </row>
    <row r="1562" ht="15.75" customHeight="1">
      <c r="A1562" s="1">
        <v>3035.0</v>
      </c>
      <c r="B1562" s="1" t="s">
        <v>381</v>
      </c>
      <c r="C1562" s="1" t="s">
        <v>1542</v>
      </c>
      <c r="D1562" s="1" t="str">
        <f>IFERROR(__xludf.DUMMYFUNCTION("CONCATENATE(GOOGLETRANSLATE(C1562, ""en"", ""zh-cn""))"),"MnnWuu AUX USB 蓝牙 5.3 音乐接收器适配器适配器 3.5 毫米插孔 SBC AAC 音频 CVC 降噪免提通话带麦克风支持 TF 卡")</f>
        <v>MnnWuu AUX USB 蓝牙 5.3 音乐接收器适配器适配器 3.5 毫米插孔 SBC AAC 音频 CVC 降噪免提通话带麦克风支持 TF 卡</v>
      </c>
      <c r="E1562" s="1" t="str">
        <f>IFERROR(__xludf.DUMMYFUNCTION("CONCATENATE(GOOGLETRANSLATE(C1562, ""en"", ""ko""))"),"MnnWuu AUX USB 블루투스 5.3 음악 수신기 어댑터 동글 3.5mm 잭 SBC AAC 오디오 CVC 소음 차단 마이크 지원 TF 카드가있는 핸즈프리 통화")</f>
        <v>MnnWuu AUX USB 블루투스 5.3 음악 수신기 어댑터 동글 3.5mm 잭 SBC AAC 오디오 CVC 소음 차단 마이크 지원 TF 카드가있는 핸즈프리 통화</v>
      </c>
      <c r="F1562" s="1" t="str">
        <f>IFERROR(__xludf.DUMMYFUNCTION("CONCATENATE(GOOGLETRANSLATE(C1562, ""en"", ""ja""))"),"MnnWuu AUX USB Bluetooth 5.3 音楽レシーバーアダプター ドングル 3.5mm ジャック SBC AAC オーディオ CVC ノイズキャンセリング マイク付きハンズフリー通話 サポート TF カード")</f>
        <v>MnnWuu AUX USB Bluetooth 5.3 音楽レシーバーアダプター ドングル 3.5mm ジャック SBC AAC オーディオ CVC ノイズキャンセリング マイク付きハンズフリー通話 サポート TF カード</v>
      </c>
    </row>
    <row r="1563" ht="15.75" customHeight="1">
      <c r="A1563" s="1">
        <v>3036.0</v>
      </c>
      <c r="B1563" s="1" t="s">
        <v>381</v>
      </c>
      <c r="C1563" s="1" t="s">
        <v>1543</v>
      </c>
      <c r="D1563" s="1" t="str">
        <f>IFERROR(__xludf.DUMMYFUNCTION("CONCATENATE(GOOGLETRANSLATE(C1563, ""en"", ""zh-cn""))"),"Easytrid 3D打印机Easythirdd K7迷你可爱易用儿童儿童新年礼物入门级玩具个人学生")</f>
        <v>Easytrid 3D打印机Easythirdd K7迷你可爱易用儿童儿童新年礼物入门级玩具个人学生</v>
      </c>
      <c r="E1563" s="1" t="str">
        <f>IFERROR(__xludf.DUMMYFUNCTION("CONCATENATE(GOOGLETRANSLATE(C1563, ""en"", ""ko""))"),"Easythirdd 3D 프린터 Easythirdd K7 미니 귀여운 사용하기 쉬운 어린이 어린이 새해 선물 입문 수준 장난감 개인 학생")</f>
        <v>Easythirdd 3D 프린터 Easythirdd K7 미니 귀여운 사용하기 쉬운 어린이 어린이 새해 선물 입문 수준 장난감 개인 학생</v>
      </c>
      <c r="F1563" s="1" t="str">
        <f>IFERROR(__xludf.DUMMYFUNCTION("CONCATENATE(GOOGLETRANSLATE(C1563, ""en"", ""ja""))"),"Easythreed 3D プリンター Easythreed K7 ミニ かわいい 使いやすい キッズ 子供 新年 ギフト 入門 おもちゃ 個人 学生")</f>
        <v>Easythreed 3D プリンター Easythreed K7 ミニ かわいい 使いやすい キッズ 子供 新年 ギフト 入門 おもちゃ 個人 学生</v>
      </c>
    </row>
    <row r="1564" ht="15.75" customHeight="1">
      <c r="A1564" s="1">
        <v>3037.0</v>
      </c>
      <c r="B1564" s="1" t="s">
        <v>381</v>
      </c>
      <c r="C1564" s="1" t="s">
        <v>1544</v>
      </c>
      <c r="D1564" s="1" t="str">
        <f>IFERROR(__xludf.DUMMYFUNCTION("CONCATENATE(GOOGLETRANSLATE(C1564, ""en"", ""zh-cn""))"),"Easytrid K4 3D 打印机套件，带热床可拆卸磁性平台/切片软件")</f>
        <v>Easytrid K4 3D 打印机套件，带热床可拆卸磁性平台/切片软件</v>
      </c>
      <c r="E1564" s="1" t="str">
        <f>IFERROR(__xludf.DUMMYFUNCTION("CONCATENATE(GOOGLETRANSLATE(C1564, ""en"", ""ko""))"),"온돌 분리형 자기 플랫폼/슬라이싱 소프트웨어가 포함된 EasyThreed K4 3D 프린터 키트")</f>
        <v>온돌 분리형 자기 플랫폼/슬라이싱 소프트웨어가 포함된 EasyThreed K4 3D 프린터 키트</v>
      </c>
      <c r="F1564" s="1" t="str">
        <f>IFERROR(__xludf.DUMMYFUNCTION("CONCATENATE(GOOGLETRANSLATE(C1564, ""en"", ""ja""))"),"Easythreed K4 3D プリンター キット (ホットベッド取り外し可能な磁気プラットフォーム/スライシング ソフトウェア付き)")</f>
        <v>Easythreed K4 3D プリンター キット (ホットベッド取り外し可能な磁気プラットフォーム/スライシング ソフトウェア付き)</v>
      </c>
    </row>
    <row r="1565" ht="15.75" customHeight="1">
      <c r="A1565" s="1">
        <v>3038.0</v>
      </c>
      <c r="B1565" s="1" t="s">
        <v>381</v>
      </c>
      <c r="C1565" s="1" t="s">
        <v>1545</v>
      </c>
      <c r="D1565" s="1" t="str">
        <f>IFERROR(__xludf.DUMMYFUNCTION("CONCATENATE(GOOGLETRANSLATE(C1565, ""en"", ""zh-cn""))"),"Easytrid® NANO 迷你 3D 打印机完全组装 90*110*110mm 打印尺寸")</f>
        <v>Easytrid® NANO 迷你 3D 打印机完全组装 90*110*110mm 打印尺寸</v>
      </c>
      <c r="E1565" s="1" t="str">
        <f>IFERROR(__xludf.DUMMYFUNCTION("CONCATENATE(GOOGLETRANSLATE(C1565, ""en"", ""ko""))"),"Easythirdd® NANO 미니 3D 프린터 완전 조립 90*110*110mm 인쇄 크기")</f>
        <v>Easythirdd® NANO 미니 3D 프린터 완전 조립 90*110*110mm 인쇄 크기</v>
      </c>
      <c r="F1565" s="1" t="str">
        <f>IFERROR(__xludf.DUMMYFUNCTION("CONCATENATE(GOOGLETRANSLATE(C1565, ""en"", ""ja""))"),"Easythreed® NANO ミニ 3D プリンタ完全に組み立てられた 90*110*110 ミリメートル印刷サイズ")</f>
        <v>Easythreed® NANO ミニ 3D プリンタ完全に組み立てられた 90*110*110 ミリメートル印刷サイズ</v>
      </c>
    </row>
    <row r="1566" ht="15.75" customHeight="1">
      <c r="A1566" s="1">
        <v>3039.0</v>
      </c>
      <c r="B1566" s="1" t="s">
        <v>381</v>
      </c>
      <c r="C1566" s="1" t="s">
        <v>1546</v>
      </c>
      <c r="D1566" s="1" t="str">
        <f>IFERROR(__xludf.DUMMYFUNCTION("CONCATENATE(GOOGLETRANSLATE(C1566, ""en"", ""zh-cn""))"),"小型家用取暖器台式电暖器冬季暖脚器空气取暖器省电")</f>
        <v>小型家用取暖器台式电暖器冬季暖脚器空气取暖器省电</v>
      </c>
      <c r="E1566" s="1" t="str">
        <f>IFERROR(__xludf.DUMMYFUNCTION("CONCATENATE(GOOGLETRANSLATE(C1566, ""en"", ""ko""))"),"소형 가정용 히터 데스크탑 전기 히터 겨울 발 온열 장치 공기 히터 절전")</f>
        <v>소형 가정용 히터 데스크탑 전기 히터 겨울 발 온열 장치 공기 히터 절전</v>
      </c>
      <c r="F1566" s="1" t="str">
        <f>IFERROR(__xludf.DUMMYFUNCTION("CONCATENATE(GOOGLETRANSLATE(C1566, ""en"", ""ja""))"),"小型ホームヒーターデスクトップ電気ヒーター冬フットウォーマーエアヒーター節電")</f>
        <v>小型ホームヒーターデスクトップ電気ヒーター冬フットウォーマーエアヒーター節電</v>
      </c>
    </row>
    <row r="1567" ht="15.75" customHeight="1">
      <c r="A1567" s="1">
        <v>3040.0</v>
      </c>
      <c r="B1567" s="1" t="s">
        <v>381</v>
      </c>
      <c r="C1567" s="1" t="s">
        <v>1547</v>
      </c>
      <c r="D1567" s="1" t="str">
        <f>IFERROR(__xludf.DUMMYFUNCTION("CONCATENATE(GOOGLETRANSLATE(C1567, ""en"", ""zh-cn""))"),"创意木封面笔记本复古记事本日记日记办公室学校用品")</f>
        <v>创意木封面笔记本复古记事本日记日记办公室学校用品</v>
      </c>
      <c r="E1567" s="1" t="str">
        <f>IFERROR(__xludf.DUMMYFUNCTION("CONCATENATE(GOOGLETRANSLATE(C1567, ""en"", ""ko""))"),"크리 에이 티브 나무 커버 노트 빈티지 메모장 저널 일기 사무실 학교 용품")</f>
        <v>크리 에이 티브 나무 커버 노트 빈티지 메모장 저널 일기 사무실 학교 용품</v>
      </c>
      <c r="F1567" s="1" t="str">
        <f>IFERROR(__xludf.DUMMYFUNCTION("CONCATENATE(GOOGLETRANSLATE(C1567, ""en"", ""ja""))"),"クリエイティブ木製カバーノートブックヴィンテージメモ帳ジャーナル日記オフィス学用品")</f>
        <v>クリエイティブ木製カバーノートブックヴィンテージメモ帳ジャーナル日記オフィス学用品</v>
      </c>
    </row>
    <row r="1568" ht="15.75" customHeight="1">
      <c r="A1568" s="1">
        <v>3041.0</v>
      </c>
      <c r="B1568" s="1" t="s">
        <v>381</v>
      </c>
      <c r="C1568" s="1" t="s">
        <v>1548</v>
      </c>
      <c r="D1568" s="1" t="str">
        <f>IFERROR(__xludf.DUMMYFUNCTION("CONCATENATE(GOOGLETRANSLATE(C1568, ""en"", ""zh-cn""))"),"72孔铅笔盒素描彩色铅笔袋大容量儿童笔袋文具袋收纳用品")</f>
        <v>72孔铅笔盒素描彩色铅笔袋大容量儿童笔袋文具袋收纳用品</v>
      </c>
      <c r="E1568" s="1" t="str">
        <f>IFERROR(__xludf.DUMMYFUNCTION("CONCATENATE(GOOGLETRANSLATE(C1568, ""en"", ""ko""))"),"72 구멍 형벌 연필 케이스 스케치 컬러 연필 가방 어린이 펜 가방 대용량 편지지 파우치 보관 용품")</f>
        <v>72 구멍 형벌 연필 케이스 스케치 컬러 연필 가방 어린이 펜 가방 대용량 편지지 파우치 보관 용품</v>
      </c>
      <c r="F1568" s="1" t="str">
        <f>IFERROR(__xludf.DUMMYFUNCTION("CONCATENATE(GOOGLETRANSLATE(C1568, ""en"", ""ja""))"),"72 穴刑筆ケーススケッチ色鉛筆バッグ大容量子供用ペンバッグ文具ポーチ収納用品")</f>
        <v>72 穴刑筆ケーススケッチ色鉛筆バッグ大容量子供用ペンバッグ文具ポーチ収納用品</v>
      </c>
    </row>
    <row r="1569" ht="15.75" customHeight="1">
      <c r="A1569" s="1">
        <v>3042.0</v>
      </c>
      <c r="B1569" s="1" t="s">
        <v>381</v>
      </c>
      <c r="C1569" s="1" t="s">
        <v>1549</v>
      </c>
      <c r="D1569" s="1" t="str">
        <f>IFERROR(__xludf.DUMMYFUNCTION("CONCATENATE(GOOGLETRANSLATE(C1569, ""en"", ""zh-cn""))"),"带卷笔刀的铅笔延长器可调节旋转笔盒笔架")</f>
        <v>带卷笔刀的铅笔延长器可调节旋转笔盒笔架</v>
      </c>
      <c r="E1569" s="1" t="str">
        <f>IFERROR(__xludf.DUMMYFUNCTION("CONCATENATE(GOOGLETRANSLATE(C1569, ""en"", ""ko""))"),"연필깎이가 있는 연필 익스텐더 조절 가능한 회전 펜 케이스 펜 홀더")</f>
        <v>연필깎이가 있는 연필 익스텐더 조절 가능한 회전 펜 케이스 펜 홀더</v>
      </c>
      <c r="F1569" s="1" t="str">
        <f>IFERROR(__xludf.DUMMYFUNCTION("CONCATENATE(GOOGLETRANSLATE(C1569, ""en"", ""ja""))"),"鉛筆エクステンダー 鉛筆削り付き 調節可能な回転ペンケース ペンホルダー")</f>
        <v>鉛筆エクステンダー 鉛筆削り付き 調節可能な回転ペンケース ペンホルダー</v>
      </c>
    </row>
    <row r="1570" ht="15.75" customHeight="1">
      <c r="A1570" s="1">
        <v>3043.0</v>
      </c>
      <c r="B1570" s="1" t="s">
        <v>381</v>
      </c>
      <c r="C1570" s="1" t="s">
        <v>1550</v>
      </c>
      <c r="D1570" s="1" t="str">
        <f>IFERROR(__xludf.DUMMYFUNCTION("CONCATENATE(GOOGLETRANSLATE(C1570, ""en"", ""zh-cn""))"),"A4切割垫套装加厚PVC艺术雕刻垫尺雕刻工具实用切割刀手工美术工作纸皮革布切割工具")</f>
        <v>A4切割垫套装加厚PVC艺术雕刻垫尺雕刻工具实用切割刀手工美术工作纸皮革布切割工具</v>
      </c>
      <c r="E1570" s="1" t="str">
        <f>IFERROR(__xludf.DUMMYFUNCTION("CONCATENATE(GOOGLETRANSLATE(C1570, ""en"", ""ko""))"),"A4 커팅 매트 세트 두꺼운 PVC 아트 조각 패드 눈금자 조각 도구 유틸리티 커터 핸드 아트 작업 종이 가죽 천 절단 도구")</f>
        <v>A4 커팅 매트 세트 두꺼운 PVC 아트 조각 패드 눈금자 조각 도구 유틸리티 커터 핸드 아트 작업 종이 가죽 천 절단 도구</v>
      </c>
      <c r="F1570" s="1" t="str">
        <f>IFERROR(__xludf.DUMMYFUNCTION("CONCATENATE(GOOGLETRANSLATE(C1570, ""en"", ""ja""))"),"A4 カッティングマットセット厚みの PVC アート彫刻パッド定規彫刻ツールユーティリティカッターハンドアートワーク紙革布切削工具")</f>
        <v>A4 カッティングマットセット厚みの PVC アート彫刻パッド定規彫刻ツールユーティリティカッターハンドアートワーク紙革布切削工具</v>
      </c>
    </row>
    <row r="1571" ht="15.75" customHeight="1">
      <c r="A1571" s="1">
        <v>3044.0</v>
      </c>
      <c r="B1571" s="1" t="s">
        <v>381</v>
      </c>
      <c r="C1571" s="1" t="s">
        <v>1551</v>
      </c>
      <c r="D1571" s="1" t="str">
        <f>IFERROR(__xludf.DUMMYFUNCTION("CONCATENATE(GOOGLETRANSLATE(C1571, ""en"", ""zh-cn""))"),"桌面遥控器储物架手机支架支架钥匙储物架收纳架")</f>
        <v>桌面遥控器储物架手机支架支架钥匙储物架收纳架</v>
      </c>
      <c r="E1571" s="1" t="str">
        <f>IFERROR(__xludf.DUMMYFUNCTION("CONCATENATE(GOOGLETRANSLATE(C1571, ""en"", ""ko""))"),"데스크탑 원격 제어 보관 선반 전화 스탠드 브래킷 키 보관 랙 정리")</f>
        <v>데스크탑 원격 제어 보관 선반 전화 스탠드 브래킷 키 보관 랙 정리</v>
      </c>
      <c r="F1571" s="1" t="str">
        <f>IFERROR(__xludf.DUMMYFUNCTION("CONCATENATE(GOOGLETRANSLATE(C1571, ""en"", ""ja""))"),"デスクトップリモコン収納棚電話スタンドブラケットキー収納ラックオーガナイザー")</f>
        <v>デスクトップリモコン収納棚電話スタンドブラケットキー収納ラックオーガナイザー</v>
      </c>
    </row>
    <row r="1572" ht="15.75" customHeight="1">
      <c r="A1572" s="1">
        <v>3045.0</v>
      </c>
      <c r="B1572" s="1" t="s">
        <v>381</v>
      </c>
      <c r="C1572" s="1" t="s">
        <v>1552</v>
      </c>
      <c r="D1572" s="1" t="str">
        <f>IFERROR(__xludf.DUMMYFUNCTION("CONCATENATE(GOOGLETRANSLATE(C1572, ""en"", ""zh-cn""))"),"FS2-47-B 1 件可调节双头铅笔延长器素描铅笔架办公室学校艺术绘画书写工具礼品")</f>
        <v>FS2-47-B 1 件可调节双头铅笔延长器素描铅笔架办公室学校艺术绘画书写工具礼品</v>
      </c>
      <c r="E1572" s="1" t="str">
        <f>IFERROR(__xludf.DUMMYFUNCTION("CONCATENATE(GOOGLETRANSLATE(C1572, ""en"", ""ko""))"),"FS2-47-B 1 조각 조정 가능한 듀얼 헤드 연필 익스텐더 스케치 연필 홀더 사무실 학교 미술 그림 쓰기 도구 선물")</f>
        <v>FS2-47-B 1 조각 조정 가능한 듀얼 헤드 연필 익스텐더 스케치 연필 홀더 사무실 학교 미술 그림 쓰기 도구 선물</v>
      </c>
      <c r="F1572" s="1" t="str">
        <f>IFERROR(__xludf.DUMMYFUNCTION("CONCATENATE(GOOGLETRANSLATE(C1572, ""en"", ""ja""))"),"FS2-47-B 1 ピース調節可能なデュアルヘッド鉛筆エクステンダースケッチ鉛筆ホルダーオフィススクールアート絵画筆記具ギフト")</f>
        <v>FS2-47-B 1 ピース調節可能なデュアルヘッド鉛筆エクステンダースケッチ鉛筆ホルダーオフィススクールアート絵画筆記具ギフト</v>
      </c>
    </row>
    <row r="1573" ht="15.75" customHeight="1">
      <c r="A1573" s="1">
        <v>3046.0</v>
      </c>
      <c r="B1573" s="1" t="s">
        <v>381</v>
      </c>
      <c r="C1573" s="1" t="s">
        <v>1553</v>
      </c>
      <c r="D1573" s="1" t="str">
        <f>IFERROR(__xludf.DUMMYFUNCTION("CONCATENATE(GOOGLETRANSLATE(C1573, ""en"", ""zh-cn""))"),"1 件装 Apple Pencil 笔袋 iPad 铅笔防滑布身笔袋")</f>
        <v>1 件装 Apple Pencil 笔袋 iPad 铅笔防滑布身笔袋</v>
      </c>
      <c r="E1573" s="1" t="str">
        <f>IFERROR(__xludf.DUMMYFUNCTION("CONCATENATE(GOOGLETRANSLATE(C1573, ""en"", ""ko""))"),"Apple Pencil용 펜 케이스 1개 IPad Pencil용 미끄럼 방지 천 바디 연필 케이스")</f>
        <v>Apple Pencil용 펜 케이스 1개 IPad Pencil용 미끄럼 방지 천 바디 연필 케이스</v>
      </c>
      <c r="F1573" s="1" t="str">
        <f>IFERROR(__xludf.DUMMYFUNCTION("CONCATENATE(GOOGLETRANSLATE(C1573, ""en"", ""ja""))"),"1 個の Apple Pencil 用ペンケース滑り止め布ボディ鉛筆ケース IPad Pencil 用")</f>
        <v>1 個の Apple Pencil 用ペンケース滑り止め布ボディ鉛筆ケース IPad Pencil 用</v>
      </c>
    </row>
    <row r="1574" ht="15.75" customHeight="1">
      <c r="A1574" s="1">
        <v>3047.0</v>
      </c>
      <c r="B1574" s="1" t="s">
        <v>381</v>
      </c>
      <c r="C1574" s="1" t="s">
        <v>1554</v>
      </c>
      <c r="D1574" s="1" t="str">
        <f>IFERROR(__xludf.DUMMYFUNCTION("CONCATENATE(GOOGLETRANSLATE(C1574, ""en"", ""zh-cn""))"),"7 件装油画笔木质 Handel 尼龙毛钩线笔适用于水彩丙烯画")</f>
        <v>7 件装油画笔木质 Handel 尼龙毛钩线笔适用于水彩丙烯画</v>
      </c>
      <c r="E1574" s="1" t="str">
        <f>IFERROR(__xludf.DUMMYFUNCTION("CONCATENATE(GOOGLETRANSLATE(C1574, ""en"", ""ko""))"),"수채화 아크릴 그림에 대 한 7 PCS 유화 브러시 나무 헨델 나일론 머리 후크 라인 펜")</f>
        <v>수채화 아크릴 그림에 대 한 7 PCS 유화 브러시 나무 헨델 나일론 머리 후크 라인 펜</v>
      </c>
      <c r="F1574" s="1" t="str">
        <f>IFERROR(__xludf.DUMMYFUNCTION("CONCATENATE(GOOGLETRANSLATE(C1574, ""en"", ""ja""))"),"7 個油絵ブラシ木材ヘンデルナイロン毛フックラインペン水彩アクリル絵画用")</f>
        <v>7 個油絵ブラシ木材ヘンデルナイロン毛フックラインペン水彩アクリル絵画用</v>
      </c>
    </row>
    <row r="1575" ht="15.75" customHeight="1">
      <c r="A1575" s="1">
        <v>3048.0</v>
      </c>
      <c r="B1575" s="1" t="s">
        <v>381</v>
      </c>
      <c r="C1575" s="1" t="s">
        <v>1555</v>
      </c>
      <c r="D1575" s="1" t="str">
        <f>IFERROR(__xludf.DUMMYFUNCTION("CONCATENATE(GOOGLETRANSLATE(C1575, ""en"", ""zh-cn""))"),"5 件装山羊毛画钩线刷练习书写刷油画刷")</f>
        <v>5 件装山羊毛画钩线刷练习书写刷油画刷</v>
      </c>
      <c r="E1575" s="1" t="str">
        <f>IFERROR(__xludf.DUMMYFUNCTION("CONCATENATE(GOOGLETRANSLATE(C1575, ""en"", ""ko""))"),"5 PCS 염소 머리 그리기 후크 라인 브러시 연습 쓰기 브러시 유화 브러시")</f>
        <v>5 PCS 염소 머리 그리기 후크 라인 브러시 연습 쓰기 브러시 유화 브러시</v>
      </c>
      <c r="F1575" s="1" t="str">
        <f>IFERROR(__xludf.DUMMYFUNCTION("CONCATENATE(GOOGLETRANSLATE(C1575, ""en"", ""ja""))"),"5 個ヤギ毛描画フックラインブラシ練習用筆油絵ブラシ")</f>
        <v>5 個ヤギ毛描画フックラインブラシ練習用筆油絵ブラシ</v>
      </c>
    </row>
    <row r="1576" ht="15.75" customHeight="1">
      <c r="A1576" s="1">
        <v>3049.0</v>
      </c>
      <c r="B1576" s="1" t="s">
        <v>381</v>
      </c>
      <c r="C1576" s="1" t="s">
        <v>1556</v>
      </c>
      <c r="D1576" s="1" t="str">
        <f>IFERROR(__xludf.DUMMYFUNCTION("CONCATENATE(GOOGLETRANSLATE(C1576, ""en"", ""zh-cn""))"),"10 件装 00 钩线笔水彩软毛画刷适用于丙烯画")</f>
        <v>10 件装 00 钩线笔水彩软毛画刷适用于丙烯画</v>
      </c>
      <c r="E1576" s="1" t="str">
        <f>IFERROR(__xludf.DUMMYFUNCTION("CONCATENATE(GOOGLETRANSLATE(C1576, ""en"", ""ko""))"),"아크릴 그림에 대 한 10 PCS 00 후크 라인 펜 수채화 부드러운 머리 그림 브러쉬")</f>
        <v>아크릴 그림에 대 한 10 PCS 00 후크 라인 펜 수채화 부드러운 머리 그림 브러쉬</v>
      </c>
      <c r="F1576" s="1" t="str">
        <f>IFERROR(__xludf.DUMMYFUNCTION("CONCATENATE(GOOGLETRANSLATE(C1576, ""en"", ""ja""))"),"10 個 00 フックラインペン水彩ソフトヘアペイントブラシアクリル絵画用")</f>
        <v>10 個 00 フックラインペン水彩ソフトヘアペイントブラシアクリル絵画用</v>
      </c>
    </row>
    <row r="1577" ht="15.75" customHeight="1">
      <c r="A1577" s="1">
        <v>3050.0</v>
      </c>
      <c r="B1577" s="1" t="s">
        <v>381</v>
      </c>
      <c r="C1577" s="1" t="s">
        <v>1557</v>
      </c>
      <c r="D1577" s="1" t="str">
        <f>IFERROR(__xludf.DUMMYFUNCTION("CONCATENATE(GOOGLETRANSLATE(C1577, ""en"", ""zh-cn""))"),"30W笔记本电脑电源适配器PD高速充电笔记本")</f>
        <v>30W笔记本电脑电源适配器PD高速充电笔记本</v>
      </c>
      <c r="E1577" s="1" t="str">
        <f>IFERROR(__xludf.DUMMYFUNCTION("CONCATENATE(GOOGLETRANSLATE(C1577, ""en"", ""ko""))"),"노트북용 30W 노트북 전원 어댑터 PD 고속 충전기")</f>
        <v>노트북용 30W 노트북 전원 어댑터 PD 고속 충전기</v>
      </c>
      <c r="F1577" s="1" t="str">
        <f>IFERROR(__xludf.DUMMYFUNCTION("CONCATENATE(GOOGLETRANSLATE(C1577, ""en"", ""ja""))"),"ノートブック用30Wラップトップ電源アダプタPD高速充電")</f>
        <v>ノートブック用30Wラップトップ電源アダプタPD高速充電</v>
      </c>
    </row>
    <row r="1578" ht="15.75" customHeight="1">
      <c r="A1578" s="1">
        <v>3051.0</v>
      </c>
      <c r="B1578" s="1" t="s">
        <v>381</v>
      </c>
      <c r="C1578" s="1" t="s">
        <v>1558</v>
      </c>
      <c r="D1578" s="1" t="str">
        <f>IFERROR(__xludf.DUMMYFUNCTION("CONCATENATE(GOOGLETRANSLATE(C1578, ""en"", ""zh-cn""))"),"木质显示器支架桌面储物架笔记本电脑支架电脑屏幕架办公桌电脑支架支架收纳架")</f>
        <v>木质显示器支架桌面储物架笔记本电脑支架电脑屏幕架办公桌电脑支架支架收纳架</v>
      </c>
      <c r="E1578" s="1" t="str">
        <f>IFERROR(__xludf.DUMMYFUNCTION("CONCATENATE(GOOGLETRANSLATE(C1578, ""en"", ""ko""))"),"나무 모니터 브래킷 스탠드 데스크탑 스토리지 선반 노트북 스탠드 컴퓨터 스크린 랙 데스크 PC 라이저 홀더 주최자")</f>
        <v>나무 모니터 브래킷 스탠드 데스크탑 스토리지 선반 노트북 스탠드 컴퓨터 스크린 랙 데스크 PC 라이저 홀더 주최자</v>
      </c>
      <c r="F1578" s="1" t="str">
        <f>IFERROR(__xludf.DUMMYFUNCTION("CONCATENATE(GOOGLETRANSLATE(C1578, ""en"", ""ja""))"),"木製モニターブラケットスタンドデスクトップ収納棚ラップトップスタンドコンピュータスクリーンラックデスクPCライザーホルダーオーガナイザー")</f>
        <v>木製モニターブラケットスタンドデスクトップ収納棚ラップトップスタンドコンピュータスクリーンラックデスクPCライザーホルダーオーガナイザー</v>
      </c>
    </row>
    <row r="1579" ht="15.75" customHeight="1">
      <c r="A1579" s="1">
        <v>3052.0</v>
      </c>
      <c r="B1579" s="1" t="s">
        <v>381</v>
      </c>
      <c r="C1579" s="1" t="s">
        <v>1559</v>
      </c>
      <c r="D1579" s="1" t="str">
        <f>IFERROR(__xludf.DUMMYFUNCTION("CONCATENATE(GOOGLETRANSLATE(C1579, ""en"", ""zh-cn""))"),"CHOETECH Q5003 18W QC 3.0 快速充电 USB 端口壁式充电器适用于智能手机平板电脑笔记本电脑")</f>
        <v>CHOETECH Q5003 18W QC 3.0 快速充电 USB 端口壁式充电器适用于智能手机平板电脑笔记本电脑</v>
      </c>
      <c r="E1579" s="1" t="str">
        <f>IFERROR(__xludf.DUMMYFUNCTION("CONCATENATE(GOOGLETRANSLATE(C1579, ""en"", ""ko""))"),"CHOETECH Q5003 18W QC 3.0 스마트폰 태블릿 노트북용 빠른 충전 USB 포트 벽 충전기")</f>
        <v>CHOETECH Q5003 18W QC 3.0 스마트폰 태블릿 노트북용 빠른 충전 USB 포트 벽 충전기</v>
      </c>
      <c r="F1579" s="1" t="str">
        <f>IFERROR(__xludf.DUMMYFUNCTION("CONCATENATE(GOOGLETRANSLATE(C1579, ""en"", ""ja""))"),"CHOETECH Q5003 18 ワット QC 3.0 急速充電 USB ポート壁の充電器スマートフォンタブレットラップトップ用")</f>
        <v>CHOETECH Q5003 18 ワット QC 3.0 急速充電 USB ポート壁の充電器スマートフォンタブレットラップトップ用</v>
      </c>
    </row>
    <row r="1580" ht="15.75" customHeight="1">
      <c r="A1580" s="1">
        <v>3053.0</v>
      </c>
      <c r="B1580" s="1" t="s">
        <v>381</v>
      </c>
      <c r="C1580" s="1" t="s">
        <v>1560</v>
      </c>
      <c r="D1580" s="1" t="str">
        <f>IFERROR(__xludf.DUMMYFUNCTION("CONCATENATE(GOOGLETRANSLATE(C1580, ""en"", ""zh-cn""))"),"2020 日历桌面收纳盒可爱桌面日记创意桌面备忘录线圈日历")</f>
        <v>2020 日历桌面收纳盒可爱桌面日记创意桌面备忘录线圈日历</v>
      </c>
      <c r="E1580" s="1" t="str">
        <f>IFERROR(__xludf.DUMMYFUNCTION("CONCATENATE(GOOGLETRANSLATE(C1580, ""en"", ""ko""))"),"2020 달력 책상 주최자 귀여운 책상 일기 크리 에이 티브 데스크탑 메모 코일 달력")</f>
        <v>2020 달력 책상 주최자 귀여운 책상 일기 크리 에이 티브 데스크탑 메모 코일 달력</v>
      </c>
      <c r="F1580" s="1" t="str">
        <f>IFERROR(__xludf.DUMMYFUNCTION("CONCATENATE(GOOGLETRANSLATE(C1580, ""en"", ""ja""))"),"2020 カレンダー デスクオーガナイザー かわいいデスクダイアリー クリエイティブデスクトップメモ コイルカレンダー")</f>
        <v>2020 カレンダー デスクオーガナイザー かわいいデスクダイアリー クリエイティブデスクトップメモ コイルカレンダー</v>
      </c>
    </row>
    <row r="1581" ht="15.75" customHeight="1">
      <c r="A1581" s="1">
        <v>3054.0</v>
      </c>
      <c r="B1581" s="1" t="s">
        <v>381</v>
      </c>
      <c r="C1581" s="1" t="s">
        <v>1561</v>
      </c>
      <c r="D1581" s="1" t="str">
        <f>IFERROR(__xludf.DUMMYFUNCTION("CONCATENATE(GOOGLETRANSLATE(C1581, ""en"", ""zh-cn""))"),"2020年日历办公桌面带台历创意桌面日记")</f>
        <v>2020年日历办公桌面带台历创意桌面日记</v>
      </c>
      <c r="E1581" s="1" t="str">
        <f>IFERROR(__xludf.DUMMYFUNCTION("CONCATENATE(GOOGLETRANSLATE(C1581, ""en"", ""ko""))"),"2020년 달력 사무용 데스크탑(탁상형 달력 포함) 크리에이티브 데스크탑 다이어리")</f>
        <v>2020년 달력 사무용 데스크탑(탁상형 달력 포함) 크리에이티브 데스크탑 다이어리</v>
      </c>
      <c r="F1581" s="1" t="str">
        <f>IFERROR(__xludf.DUMMYFUNCTION("CONCATENATE(GOOGLETRANSLATE(C1581, ""en"", ""ja""))"),"2020 カレンダー オフィス デスクトップ 卓上カレンダー クリエイティブ デスクトップ ダイアリー")</f>
        <v>2020 カレンダー オフィス デスクトップ 卓上カレンダー クリエイティブ デスクトップ ダイアリー</v>
      </c>
    </row>
    <row r="1582" ht="15.75" customHeight="1">
      <c r="A1582" s="1">
        <v>3055.0</v>
      </c>
      <c r="B1582" s="1" t="s">
        <v>381</v>
      </c>
      <c r="C1582" s="1" t="s">
        <v>1562</v>
      </c>
      <c r="D1582" s="1" t="str">
        <f>IFERROR(__xludf.DUMMYFUNCTION("CONCATENATE(GOOGLETRANSLATE(C1582, ""en"", ""zh-cn""))"),"2020 计划书书桌收纳日历可爱创意商务鼠标垫桌面日记本")</f>
        <v>2020 计划书书桌收纳日历可爱创意商务鼠标垫桌面日记本</v>
      </c>
      <c r="E1582" s="1" t="str">
        <f>IFERROR(__xludf.DUMMYFUNCTION("CONCATENATE(GOOGLETRANSLATE(C1582, ""en"", ""ko""))"),"2020 계획 도서 데스크 주최자 달력 귀여운 크리 에이 티브 비즈니스 마우스 패드 데스크탑 일기")</f>
        <v>2020 계획 도서 데스크 주최자 달력 귀여운 크리 에이 티브 비즈니스 마우스 패드 데스크탑 일기</v>
      </c>
      <c r="F1582" s="1" t="str">
        <f>IFERROR(__xludf.DUMMYFUNCTION("CONCATENATE(GOOGLETRANSLATE(C1582, ""en"", ""ja""))"),"2020 プランブックデスクオーガナイザーカレンダーかわいいクリエイティブビジネスマウスパッドデスクトップ日記")</f>
        <v>2020 プランブックデスクオーガナイザーカレンダーかわいいクリエイティブビジネスマウスパッドデスクトップ日記</v>
      </c>
    </row>
    <row r="1583" ht="15.75" customHeight="1">
      <c r="A1583" s="1">
        <v>3056.0</v>
      </c>
      <c r="B1583" s="1" t="s">
        <v>381</v>
      </c>
      <c r="C1583" s="1" t="s">
        <v>1563</v>
      </c>
      <c r="D1583" s="1" t="str">
        <f>IFERROR(__xludf.DUMMYFUNCTION("CONCATENATE(GOOGLETRANSLATE(C1583, ""en"", ""zh-cn""))"),"2020年创意商务台历多功能壁挂月历")</f>
        <v>2020年创意商务台历多功能壁挂月历</v>
      </c>
      <c r="E1583" s="1" t="str">
        <f>IFERROR(__xludf.DUMMYFUNCTION("CONCATENATE(GOOGLETRANSLATE(C1583, ""en"", ""ko""))"),"2020 크리에이티브 비즈니스 데스크 캘린더 다기능 벽걸이 월간 캘린더")</f>
        <v>2020 크리에이티브 비즈니스 데스크 캘린더 다기능 벽걸이 월간 캘린더</v>
      </c>
      <c r="F1583" s="1" t="str">
        <f>IFERROR(__xludf.DUMMYFUNCTION("CONCATENATE(GOOGLETRANSLATE(C1583, ""en"", ""ja""))"),"2020 クリエイティブ ビジネス デスク カレンダー 多機能壁掛けマンスリー カレンダー")</f>
        <v>2020 クリエイティブ ビジネス デスク カレンダー 多機能壁掛けマンスリー カレンダー</v>
      </c>
    </row>
    <row r="1584" ht="15.75" customHeight="1">
      <c r="A1584" s="1">
        <v>3057.0</v>
      </c>
      <c r="B1584" s="1" t="s">
        <v>381</v>
      </c>
      <c r="C1584" s="1" t="s">
        <v>1564</v>
      </c>
      <c r="D1584" s="1" t="str">
        <f>IFERROR(__xludf.DUMMYFUNCTION("CONCATENATE(GOOGLETRANSLATE(C1584, ""en"", ""zh-cn""))"),"13/15 英寸多功能笔记本电脑包可折叠笔记本电脑支架带鼠标垫设计防水防刮适用于 MacBook Pro Air")</f>
        <v>13/15 英寸多功能笔记本电脑包可折叠笔记本电脑支架带鼠标垫设计防水防刮适用于 MacBook Pro Air</v>
      </c>
      <c r="E1584" s="1" t="str">
        <f>IFERROR(__xludf.DUMMYFUNCTION("CONCATENATE(GOOGLETRANSLATE(C1584, ""en"", ""ko""))"),"13/15 인치 다기능 노트북 가방 접이식 노트북 스탠드 마우스 패드 디자인 MacBook Pro Air 용 방수 스크래치 방지")</f>
        <v>13/15 인치 다기능 노트북 가방 접이식 노트북 스탠드 마우스 패드 디자인 MacBook Pro Air 용 방수 스크래치 방지</v>
      </c>
      <c r="F1584" s="1" t="str">
        <f>IFERROR(__xludf.DUMMYFUNCTION("CONCATENATE(GOOGLETRANSLATE(C1584, ""en"", ""ja""))"),"13/15 インチ多機能ラップトップバッグ折りたたみラップトップスタンドマウスパッドデザイン防水傷防止 MacBook Pro Air")</f>
        <v>13/15 インチ多機能ラップトップバッグ折りたたみラップトップスタンドマウスパッドデザイン防水傷防止 MacBook Pro Air</v>
      </c>
    </row>
    <row r="1585" ht="15.75" customHeight="1">
      <c r="A1585" s="1">
        <v>3058.0</v>
      </c>
      <c r="B1585" s="1" t="s">
        <v>381</v>
      </c>
      <c r="C1585" s="1" t="s">
        <v>1565</v>
      </c>
      <c r="D1585" s="1" t="str">
        <f>IFERROR(__xludf.DUMMYFUNCTION("CONCATENATE(GOOGLETRANSLATE(C1585, ""en"", ""zh-cn""))"),"多类型 90W 电源车载充电器笔记本电脑适配器带 LED 屏幕 USB 插槽")</f>
        <v>多类型 90W 电源车载充电器笔记本电脑适配器带 LED 屏幕 USB 插槽</v>
      </c>
      <c r="E1585" s="1" t="str">
        <f>IFERROR(__xludf.DUMMYFUNCTION("CONCATENATE(GOOGLETRANSLATE(C1585, ""en"", ""ko""))"),"LED 스크린 USB 슬롯이 있는 다중 유형 90W 전원 공급 장치 차량용 충전기 노트북 어댑터")</f>
        <v>LED 스크린 USB 슬롯이 있는 다중 유형 90W 전원 공급 장치 차량용 충전기 노트북 어댑터</v>
      </c>
      <c r="F1585" s="1" t="str">
        <f>IFERROR(__xludf.DUMMYFUNCTION("CONCATENATE(GOOGLETRANSLATE(C1585, ""en"", ""ja""))"),"マルチタイプ 90W 電源カーチャージャーラップトップアダプター LED スクリーン USB スロット付き")</f>
        <v>マルチタイプ 90W 電源カーチャージャーラップトップアダプター LED スクリーン USB スロット付き</v>
      </c>
    </row>
    <row r="1586" ht="15.75" customHeight="1">
      <c r="A1586" s="1">
        <v>3059.0</v>
      </c>
      <c r="B1586" s="1" t="s">
        <v>381</v>
      </c>
      <c r="C1586" s="1" t="s">
        <v>1566</v>
      </c>
      <c r="D1586" s="1" t="str">
        <f>IFERROR(__xludf.DUMMYFUNCTION("CONCATENATE(GOOGLETRANSLATE(C1586, ""en"", ""zh-cn""))"),"2020 日程安排此定制徽标365 天每日日程安排日历记事本工作日志笔记本")</f>
        <v>2020 日程安排此定制徽标365 天每日日程安排日历记事本工作日志笔记本</v>
      </c>
      <c r="E1586" s="1" t="str">
        <f>IFERROR(__xludf.DUMMYFUNCTION("CONCATENATE(GOOGLETRANSLATE(C1586, ""en"", ""ko""))"),"2020 이 맞춤형 로고 일정365일 일일 일정 달력 메모장 작업 기록 노트")</f>
        <v>2020 이 맞춤형 로고 일정365일 일일 일정 달력 메모장 작업 기록 노트</v>
      </c>
      <c r="F1586" s="1" t="str">
        <f>IFERROR(__xludf.DUMMYFUNCTION("CONCATENATE(GOOGLETRANSLATE(C1586, ""en"", ""ja""))"),"2020 スケジュールこのカスタムロゴ365 日デイリースケジュールカレンダーメモ帳作業ログノートブック")</f>
        <v>2020 スケジュールこのカスタムロゴ365 日デイリースケジュールカレンダーメモ帳作業ログノートブック</v>
      </c>
    </row>
    <row r="1587" ht="15.75" customHeight="1">
      <c r="A1587" s="1">
        <v>3060.0</v>
      </c>
      <c r="B1587" s="1" t="s">
        <v>381</v>
      </c>
      <c r="C1587" s="1" t="s">
        <v>1567</v>
      </c>
      <c r="D1587" s="1" t="str">
        <f>IFERROR(__xludf.DUMMYFUNCTION("CONCATENATE(GOOGLETRANSLATE(C1587, ""en"", ""zh-cn""))"),"欧洲大象浮雕复古笔记本礼品本 PU 旅行礼物 8yue")</f>
        <v>欧洲大象浮雕复古笔记本礼品本 PU 旅行礼物 8yue</v>
      </c>
      <c r="E1587" s="1" t="str">
        <f>IFERROR(__xludf.DUMMYFUNCTION("CONCATENATE(GOOGLETRANSLATE(C1587, ""en"", ""ko""))"),"유럽 ​​코끼리 구호 복고풍 노트북 선물 도서 PU 여행 선물 8yue")</f>
        <v>유럽 ​​코끼리 구호 복고풍 노트북 선물 도서 PU 여행 선물 8yue</v>
      </c>
      <c r="F1587" s="1" t="str">
        <f>IFERROR(__xludf.DUMMYFUNCTION("CONCATENATE(GOOGLETRANSLATE(C1587, ""en"", ""ja""))"),"ヨーロッパ象レリーフレトロノートブックギフトブック PU トラベルギフト 8yue")</f>
        <v>ヨーロッパ象レリーフレトロノートブックギフトブック PU トラベルギフト 8yue</v>
      </c>
    </row>
    <row r="1588" ht="15.75" customHeight="1">
      <c r="A1588" s="1">
        <v>3061.0</v>
      </c>
      <c r="B1588" s="1" t="s">
        <v>381</v>
      </c>
      <c r="C1588" s="1" t="s">
        <v>1568</v>
      </c>
      <c r="D1588" s="1" t="str">
        <f>IFERROR(__xludf.DUMMYFUNCTION("CONCATENATE(GOOGLETRANSLATE(C1588, ""en"", ""zh-cn""))"),"创意笔记本定制手工皮革记事本复古旅行本")</f>
        <v>创意笔记本定制手工皮革记事本复古旅行本</v>
      </c>
      <c r="E1588" s="1" t="str">
        <f>IFERROR(__xludf.DUMMYFUNCTION("CONCATENATE(GOOGLETRANSLATE(C1588, ""en"", ""ko""))"),"크리 에이 티브 노트북 맞춤형 수제 가죽 메모장 복고풍 여행 책")</f>
        <v>크리 에이 티브 노트북 맞춤형 수제 가죽 메모장 복고풍 여행 책</v>
      </c>
      <c r="F1588" s="1" t="str">
        <f>IFERROR(__xludf.DUMMYFUNCTION("CONCATENATE(GOOGLETRANSLATE(C1588, ""en"", ""ja""))"),"クリエイティブノートブックカスタム手作りレザーメモ帳レトロトラベルブック")</f>
        <v>クリエイティブノートブックカスタム手作りレザーメモ帳レトロトラベルブック</v>
      </c>
    </row>
    <row r="1589" ht="15.75" customHeight="1">
      <c r="A1589" s="1">
        <v>3062.0</v>
      </c>
      <c r="B1589" s="1" t="s">
        <v>381</v>
      </c>
      <c r="C1589" s="1" t="s">
        <v>1569</v>
      </c>
      <c r="D1589" s="1" t="str">
        <f>IFERROR(__xludf.DUMMYFUNCTION("CONCATENATE(GOOGLETRANSLATE(C1589, ""en"", ""zh-cn""))"),"1 件 R4 圆角器 4 毫米纸质打孔卡照片切割工具工艺剪贴簿 DIY 工具")</f>
        <v>1 件 R4 圆角器 4 毫米纸质打孔卡照片切割工具工艺剪贴簿 DIY 工具</v>
      </c>
      <c r="E1589" s="1" t="str">
        <f>IFERROR(__xludf.DUMMYFUNCTION("CONCATENATE(GOOGLETRANSLATE(C1589, ""en"", ""ko""))"),"1 조각 R4 코너 라운더 4mm 종이 펀치 카드 사진 커터 도구 공예 스크랩북 DIY 도구")</f>
        <v>1 조각 R4 코너 라운더 4mm 종이 펀치 카드 사진 커터 도구 공예 스크랩북 DIY 도구</v>
      </c>
      <c r="F1589" s="1" t="str">
        <f>IFERROR(__xludf.DUMMYFUNCTION("CONCATENATE(GOOGLETRANSLATE(C1589, ""en"", ""ja""))"),"1 ピース R4 コーナーラウンダー 4 ミリメートル紙パンチカードフォトカッターツールクラフトスクラップブッキング DIY ツール")</f>
        <v>1 ピース R4 コーナーラウンダー 4 ミリメートル紙パンチカードフォトカッターツールクラフトスクラップブッキング DIY ツール</v>
      </c>
    </row>
    <row r="1590" ht="15.75" customHeight="1">
      <c r="A1590" s="1">
        <v>3063.0</v>
      </c>
      <c r="B1590" s="1" t="s">
        <v>381</v>
      </c>
      <c r="C1590" s="1" t="s">
        <v>1570</v>
      </c>
      <c r="D1590" s="1" t="str">
        <f>IFERROR(__xludf.DUMMYFUNCTION("CONCATENATE(GOOGLETRANSLATE(C1590, ""en"", ""zh-cn""))"),"奇艺指尖魔方 1x3x3 专业速度游戏成人教育学习益智玩具儿童礼物")</f>
        <v>奇艺指尖魔方 1x3x3 专业速度游戏成人教育学习益智玩具儿童礼物</v>
      </c>
      <c r="E1590" s="1" t="str">
        <f>IFERROR(__xludf.DUMMYFUNCTION("CONCATENATE(GOOGLETRANSLATE(C1590, ""en"", ""ko""))"),"Qiyi 손가락 끝 매직 큐브 1x3x3 전문 속도 게임 성인 교육 학습 퍼즐 장난감 어린이 선물 용품")</f>
        <v>Qiyi 손가락 끝 매직 큐브 1x3x3 전문 속도 게임 성인 교육 학습 퍼즐 장난감 어린이 선물 용품</v>
      </c>
      <c r="F1590" s="1" t="str">
        <f>IFERROR(__xludf.DUMMYFUNCTION("CONCATENATE(GOOGLETRANSLATE(C1590, ""en"", ""ja""))"),"Qiyi 指先マジックキューブ 1x3x3 プロのスピードゲーム大人の教育学習パズルのおもちゃ子供のギフト用")</f>
        <v>Qiyi 指先マジックキューブ 1x3x3 プロのスピードゲーム大人の教育学習パズルのおもちゃ子供のギフト用</v>
      </c>
    </row>
    <row r="1591" ht="15.75" customHeight="1">
      <c r="A1591" s="1">
        <v>3064.0</v>
      </c>
      <c r="B1591" s="1" t="s">
        <v>381</v>
      </c>
      <c r="C1591" s="1" t="s">
        <v>1571</v>
      </c>
      <c r="D1591" s="1" t="str">
        <f>IFERROR(__xludf.DUMMYFUNCTION("CONCATENATE(GOOGLETRANSLATE(C1591, ""en"", ""zh-cn""))"),"勇俊 12 件/套飞碟杯运动飞行速度魔术杯专业训练儿童教育玩具")</f>
        <v>勇俊 12 件/套飞碟杯运动飞行速度魔术杯专业训练儿童教育玩具</v>
      </c>
      <c r="E1591" s="1" t="str">
        <f>IFERROR(__xludf.DUMMYFUNCTION("CONCATENATE(GOOGLETRANSLATE(C1591, ""en"", ""ko""))"),"Yongjun 12 개/대 비행 접시 컵 스포츠 비행 속도 매직 컵 전문 교육 교육 완구 어린이를위한")</f>
        <v>Yongjun 12 개/대 비행 접시 컵 스포츠 비행 속도 매직 컵 전문 교육 교육 완구 어린이를위한</v>
      </c>
      <c r="F1591" s="1" t="str">
        <f>IFERROR(__xludf.DUMMYFUNCTION("CONCATENATE(GOOGLETRANSLATE(C1591, ""en"", ""ja""))"),"Yongjun 12 ピース/セット空飛ぶ円盤カップスポーツ飛行速度マジックカッププロフェッショナルトレーニング教育玩具子供のための")</f>
        <v>Yongjun 12 ピース/セット空飛ぶ円盤カップスポーツ飛行速度マジックカッププロフェッショナルトレーニング教育玩具子供のための</v>
      </c>
    </row>
    <row r="1592" ht="15.75" customHeight="1">
      <c r="A1592" s="1">
        <v>3065.0</v>
      </c>
      <c r="B1592" s="1" t="s">
        <v>381</v>
      </c>
      <c r="C1592" s="1" t="s">
        <v>1572</v>
      </c>
      <c r="D1592" s="1" t="str">
        <f>IFERROR(__xludf.DUMMYFUNCTION("CONCATENATE(GOOGLETRANSLATE(C1592, ""en"", ""zh-cn""))"),"塑料化妆品收纳盒抽屉卧室桌面化妆收纳盒容器架")</f>
        <v>塑料化妆品收纳盒抽屉卧室桌面化妆收纳盒容器架</v>
      </c>
      <c r="E1592" s="1" t="str">
        <f>IFERROR(__xludf.DUMMYFUNCTION("CONCATENATE(GOOGLETRANSLATE(C1592, ""en"", ""ko""))"),"플라스틱 화장품 보관 상자 서랍 침실 데스크탑 메이크업 주최자 컨테이너 홀더")</f>
        <v>플라스틱 화장품 보관 상자 서랍 침실 데스크탑 메이크업 주최자 컨테이너 홀더</v>
      </c>
      <c r="F1592" s="1" t="str">
        <f>IFERROR(__xludf.DUMMYFUNCTION("CONCATENATE(GOOGLETRANSLATE(C1592, ""en"", ""ja""))"),"プラスチック化粧品収納ボックス引き出し寝室デスクトップ化粧オーガナイザーコンテナホルダー")</f>
        <v>プラスチック化粧品収納ボックス引き出し寝室デスクトップ化粧オーガナイザーコンテナホルダー</v>
      </c>
    </row>
    <row r="1593" ht="15.75" customHeight="1">
      <c r="A1593" s="1">
        <v>3066.0</v>
      </c>
      <c r="B1593" s="1" t="s">
        <v>381</v>
      </c>
      <c r="C1593" s="1" t="s">
        <v>1573</v>
      </c>
      <c r="D1593" s="1" t="str">
        <f>IFERROR(__xludf.DUMMYFUNCTION("CONCATENATE(GOOGLETRANSLATE(C1593, ""en"", ""zh-cn""))"),"DIY 毛毡圣诞树毛毡吊坠圣诞树家居壁挂装饰品儿童圣诞节礼物")</f>
        <v>DIY 毛毡圣诞树毛毡吊坠圣诞树家居壁挂装饰品儿童圣诞节礼物</v>
      </c>
      <c r="E1593" s="1" t="str">
        <f>IFERROR(__xludf.DUMMYFUNCTION("CONCATENATE(GOOGLETRANSLATE(C1593, ""en"", ""ko""))"),"DIY 펠트 크리스마스 트리 펠트 펜던트 크리스마스 트리 홈 벽 매달려 장식 장식 어린이를위한 크리스마스 선물")</f>
        <v>DIY 펠트 크리스마스 트리 펠트 펜던트 크리스마스 트리 홈 벽 매달려 장식 장식 어린이를위한 크리스마스 선물</v>
      </c>
      <c r="F1593" s="1" t="str">
        <f>IFERROR(__xludf.DUMMYFUNCTION("CONCATENATE(GOOGLETRANSLATE(C1593, ""en"", ""ja""))"),"DIY フェルトクリスマスツリーフェルトペンダントクリスマスツリーホーム壁掛け装飾装飾子供のためのクリスマスギフト")</f>
        <v>DIY フェルトクリスマスツリーフェルトペンダントクリスマスツリーホーム壁掛け装飾装飾子供のためのクリスマスギフト</v>
      </c>
    </row>
    <row r="1594" ht="15.75" customHeight="1">
      <c r="A1594" s="1">
        <v>3067.0</v>
      </c>
      <c r="B1594" s="1" t="s">
        <v>381</v>
      </c>
      <c r="C1594" s="1" t="s">
        <v>1574</v>
      </c>
      <c r="D1594" s="1" t="str">
        <f>IFERROR(__xludf.DUMMYFUNCTION("CONCATENATE(GOOGLETRANSLATE(C1594, ""en"", ""zh-cn""))"),"迷你镜子蓝牙音响闹钟 LED 无线便携式音乐播放器闹钟家用床头办公室桌面用品")</f>
        <v>迷你镜子蓝牙音响闹钟 LED 无线便携式音乐播放器闹钟家用床头办公室桌面用品</v>
      </c>
      <c r="E1594" s="1" t="str">
        <f>IFERROR(__xludf.DUMMYFUNCTION("CONCATENATE(GOOGLETRANSLATE(C1594, ""en"", ""ko""))"),"미니 미러 블루투스 어쿠스틱 알람 시계 LED 무선 휴대용 음악 플레이어 알람 시계 홈 침대 옆 사무실 데스크탑 용품")</f>
        <v>미니 미러 블루투스 어쿠스틱 알람 시계 LED 무선 휴대용 음악 플레이어 알람 시계 홈 침대 옆 사무실 데스크탑 용품</v>
      </c>
      <c r="F1594" s="1" t="str">
        <f>IFERROR(__xludf.DUMMYFUNCTION("CONCATENATE(GOOGLETRANSLATE(C1594, ""en"", ""ja""))"),"ミニミラー Bluetooth 音響目覚まし時計 LED ワイヤレスポータブル音楽プレーヤー目覚まし時計ホームベッドサイドオフィスデスクトップ用品")</f>
        <v>ミニミラー Bluetooth 音響目覚まし時計 LED ワイヤレスポータブル音楽プレーヤー目覚まし時計ホームベッドサイドオフィスデスクトップ用品</v>
      </c>
    </row>
    <row r="1595" ht="15.75" customHeight="1">
      <c r="A1595" s="1">
        <v>3068.0</v>
      </c>
      <c r="B1595" s="1" t="s">
        <v>381</v>
      </c>
      <c r="C1595" s="1" t="s">
        <v>1575</v>
      </c>
      <c r="D1595" s="1" t="str">
        <f>IFERROR(__xludf.DUMMYFUNCTION("CONCATENATE(GOOGLETRANSLATE(C1595, ""en"", ""zh-cn""))"),"棉质墙壁挂毯编织流苏波西米亚植物衣架挂毯挂毯壁挂艺术家居储物装饰")</f>
        <v>棉质墙壁挂毯编织流苏波西米亚植物衣架挂毯挂毯壁挂艺术家居储物装饰</v>
      </c>
      <c r="E1595" s="1" t="str">
        <f>IFERROR(__xludf.DUMMYFUNCTION("CONCATENATE(GOOGLETRANSLATE(C1595, ""en"", ""ko""))"),"목화 벽 태피스 트리 짠 Macrame Boho 식물 옷걸이 홀더 태피스트리 벽 교수형 예술 홈 스토리지 장식")</f>
        <v>목화 벽 태피스 트리 짠 Macrame Boho 식물 옷걸이 홀더 태피스트리 벽 교수형 예술 홈 스토리지 장식</v>
      </c>
      <c r="F1595" s="1" t="str">
        <f>IFERROR(__xludf.DUMMYFUNCTION("CONCATENATE(GOOGLETRANSLATE(C1595, ""en"", ""ja""))"),"綿壁タペストリー織マクラメ自由奔放に生きる植物ハンガーホルダータペストリー壁掛けアート自宅保管装飾")</f>
        <v>綿壁タペストリー織マクラメ自由奔放に生きる植物ハンガーホルダータペストリー壁掛けアート自宅保管装飾</v>
      </c>
    </row>
    <row r="1596" ht="15.75" customHeight="1">
      <c r="A1596" s="1">
        <v>3069.0</v>
      </c>
      <c r="B1596" s="1" t="s">
        <v>381</v>
      </c>
      <c r="C1596" s="1" t="s">
        <v>1576</v>
      </c>
      <c r="D1596" s="1" t="str">
        <f>IFERROR(__xludf.DUMMYFUNCTION("CONCATENATE(GOOGLETRANSLATE(C1596, ""en"", ""zh-cn""))"),"卡通动物形状计时器多功能学习时间管理厨房烹饪倒计时机械定时器提醒")</f>
        <v>卡通动物形状计时器多功能学习时间管理厨房烹饪倒计时机械定时器提醒</v>
      </c>
      <c r="E1596" s="1" t="str">
        <f>IFERROR(__xludf.DUMMYFUNCTION("CONCATENATE(GOOGLETRANSLATE(C1596, ""en"", ""ko""))"),"만화 동물 모양 타이머 다기능 연구 시간 관리 주방 요리 카운트다운 기계 타이머 알림")</f>
        <v>만화 동물 모양 타이머 다기능 연구 시간 관리 주방 요리 카운트다운 기계 타이머 알림</v>
      </c>
      <c r="F1596" s="1" t="str">
        <f>IFERROR(__xludf.DUMMYFUNCTION("CONCATENATE(GOOGLETRANSLATE(C1596, ""en"", ""ja""))"),"漫画の動物の形のタイマー多機能学習時間管理キッチン調理カウントダウン機械式タイマーリマインダー")</f>
        <v>漫画の動物の形のタイマー多機能学習時間管理キッチン調理カウントダウン機械式タイマーリマインダー</v>
      </c>
    </row>
    <row r="1597" ht="15.75" customHeight="1">
      <c r="A1597" s="1">
        <v>3070.0</v>
      </c>
      <c r="B1597" s="1" t="s">
        <v>381</v>
      </c>
      <c r="C1597" s="1" t="s">
        <v>1577</v>
      </c>
      <c r="D1597" s="1" t="str">
        <f>IFERROR(__xludf.DUMMYFUNCTION("CONCATENATE(GOOGLETRANSLATE(C1597, ""en"", ""zh-cn""))"),"3D 金属风旋转器不锈钢旋转金属风铃动物图案立体风铃旋转吊坠家居装饰")</f>
        <v>3D 金属风旋转器不锈钢旋转金属风铃动物图案立体风铃旋转吊坠家居装饰</v>
      </c>
      <c r="E1597" s="1" t="str">
        <f>IFERROR(__xludf.DUMMYFUNCTION("CONCATENATE(GOOGLETRANSLATE(C1597, ""en"", ""ko""))"),"3D 금속 바람 회 전자 스테인레스 스틸 회전 금속 종소리 동물 패턴 홈 장식에 대 한 스테레오 바람 차임 로타리 펜 던 트")</f>
        <v>3D 금속 바람 회 전자 스테인레스 스틸 회전 금속 종소리 동물 패턴 홈 장식에 대 한 스테레오 바람 차임 로타리 펜 던 트</v>
      </c>
      <c r="F1597" s="1" t="str">
        <f>IFERROR(__xludf.DUMMYFUNCTION("CONCATENATE(GOOGLETRANSLATE(C1597, ""en"", ""ja""))"),"3D 金属風スピナーステンレス鋼回転金属チャイム動物柄ステレオ風鈴ロータリーペンダント家の装飾用")</f>
        <v>3D 金属風スピナーステンレス鋼回転金属チャイム動物柄ステレオ風鈴ロータリーペンダント家の装飾用</v>
      </c>
    </row>
    <row r="1598" ht="15.75" customHeight="1">
      <c r="A1598" s="1">
        <v>3071.0</v>
      </c>
      <c r="B1598" s="1" t="s">
        <v>381</v>
      </c>
      <c r="C1598" s="1" t="s">
        <v>1578</v>
      </c>
      <c r="D1598" s="1" t="str">
        <f>IFERROR(__xludf.DUMMYFUNCTION("CONCATENATE(GOOGLETRANSLATE(C1598, ""en"", ""zh-cn""))"),"5/10 件圣诞棉布拼布四分之一束 DIY 缝纫工艺品用于布料制作和修补面具 DIY")</f>
        <v>5/10 件圣诞棉布拼布四分之一束 DIY 缝纫工艺品用于布料制作和修补面具 DIY</v>
      </c>
      <c r="E1598" s="1" t="str">
        <f>IFERROR(__xludf.DUMMYFUNCTION("CONCATENATE(GOOGLETRANSLATE(C1598, ""en"", ""ko""))"),"5/10PCS 크리스마스 코 튼 원단 패치 워크 지방 분기 번들 DIY 바느질 공예 천 만들기 및 수선 마스크 DIY")</f>
        <v>5/10PCS 크리스마스 코 튼 원단 패치 워크 지방 분기 번들 DIY 바느질 공예 천 만들기 및 수선 마스크 DIY</v>
      </c>
      <c r="F1598" s="1" t="str">
        <f>IFERROR(__xludf.DUMMYFUNCTION("CONCATENATE(GOOGLETRANSLATE(C1598, ""en"", ""ja""))"),"5/10 個クリスマス綿生地パッチワークファットクォーターバンドル DIY 縫製工芸品布作成 &amp; マスク DIY の補修")</f>
        <v>5/10 個クリスマス綿生地パッチワークファットクォーターバンドル DIY 縫製工芸品布作成 &amp; マスク DIY の補修</v>
      </c>
    </row>
    <row r="1599" ht="15.75" customHeight="1">
      <c r="A1599" s="1">
        <v>3072.0</v>
      </c>
      <c r="B1599" s="1" t="s">
        <v>381</v>
      </c>
      <c r="C1599" s="1" t="s">
        <v>1579</v>
      </c>
      <c r="D1599" s="1" t="str">
        <f>IFERROR(__xludf.DUMMYFUNCTION("CONCATENATE(GOOGLETRANSLATE(C1599, ""en"", ""zh-cn""))"),"卡通帆布画高清壁挂画儿童房装饰无框卡通动物图片")</f>
        <v>卡通帆布画高清壁挂画儿童房装饰无框卡通动物图片</v>
      </c>
      <c r="E1599" s="1" t="str">
        <f>IFERROR(__xludf.DUMMYFUNCTION("CONCATENATE(GOOGLETRANSLATE(C1599, ""en"", ""ko""))"),"만화 캔버스 회화 HD 벽 교수형 그림 어린이 방 장식 Frameless 만화 동물 사진")</f>
        <v>만화 캔버스 회화 HD 벽 교수형 그림 어린이 방 장식 Frameless 만화 동물 사진</v>
      </c>
      <c r="F1599" s="1" t="str">
        <f>IFERROR(__xludf.DUMMYFUNCTION("CONCATENATE(GOOGLETRANSLATE(C1599, ""en"", ""ja""))"),"漫画のキャンバス絵画 HD 壁掛け画像子供部屋の装飾フレームレス漫画の動物の写真")</f>
        <v>漫画のキャンバス絵画 HD 壁掛け画像子供部屋の装飾フレームレス漫画の動物の写真</v>
      </c>
    </row>
    <row r="1600" ht="15.75" customHeight="1">
      <c r="A1600" s="1">
        <v>3073.0</v>
      </c>
      <c r="B1600" s="1" t="s">
        <v>381</v>
      </c>
      <c r="C1600" s="1" t="s">
        <v>1580</v>
      </c>
      <c r="D1600" s="1" t="str">
        <f>IFERROR(__xludf.DUMMYFUNCTION("CONCATENATE(GOOGLETRANSLATE(C1600, ""en"", ""zh-cn""))"),"Vosniga 2 层厨房储物收纳架香料架香草罐立酱瓶架支架")</f>
        <v>Vosniga 2 层厨房储物收纳架香料架香草罐立酱瓶架支架</v>
      </c>
      <c r="E1600" s="1" t="str">
        <f>IFERROR(__xludf.DUMMYFUNCTION("CONCATENATE(GOOGLETRANSLATE(C1600, ""en"", ""ko""))"),"Vosniga 2 계층 주방 스토리지 주최자 스파이스 랙 허브 항아리 스탠드 소스 병 랙 홀더")</f>
        <v>Vosniga 2 계층 주방 스토리지 주최자 스파이스 랙 허브 항아리 스탠드 소스 병 랙 홀더</v>
      </c>
      <c r="F1600" s="1" t="str">
        <f>IFERROR(__xludf.DUMMYFUNCTION("CONCATENATE(GOOGLETRANSLATE(C1600, ""en"", ""ja""))"),"Vosniga 2 段キッチン収納オーガナイザースパイスラックハーブ瓶スタンドソースボトルラックホルダー")</f>
        <v>Vosniga 2 段キッチン収納オーガナイザースパイスラックハーブ瓶スタンドソースボトルラックホルダー</v>
      </c>
    </row>
    <row r="1601" ht="15.75" customHeight="1">
      <c r="A1601" s="1">
        <v>3074.0</v>
      </c>
      <c r="B1601" s="1" t="s">
        <v>381</v>
      </c>
      <c r="C1601" s="1" t="s">
        <v>1581</v>
      </c>
      <c r="D1601" s="1" t="str">
        <f>IFERROR(__xludf.DUMMYFUNCTION("CONCATENATE(GOOGLETRANSLATE(C1601, ""en"", ""zh-cn""))"),"壁挂式储物架免打孔铁艺客厅厨房漂浮置物架家庭办公室装饰")</f>
        <v>壁挂式储物架免打孔铁艺客厅厨房漂浮置物架家庭办公室装饰</v>
      </c>
      <c r="E1601" s="1" t="str">
        <f>IFERROR(__xludf.DUMMYFUNCTION("CONCATENATE(GOOGLETRANSLATE(C1601, ""en"", ""ko""))"),"벽걸이 형 보관 선반 펀치없는 단철 거실 주방 플로팅 랙 홈 오피스 장식")</f>
        <v>벽걸이 형 보관 선반 펀치없는 단철 거실 주방 플로팅 랙 홈 오피스 장식</v>
      </c>
      <c r="F1601" s="1" t="str">
        <f>IFERROR(__xludf.DUMMYFUNCTION("CONCATENATE(GOOGLETRANSLATE(C1601, ""en"", ""ja""))"),"壁掛け収納棚パンチフリー錬鉄リビングルームキッチンフローティングラックホームオフィス装飾")</f>
        <v>壁掛け収納棚パンチフリー錬鉄リビングルームキッチンフローティングラックホームオフィス装飾</v>
      </c>
    </row>
    <row r="1602" ht="15.75" customHeight="1">
      <c r="A1602" s="1">
        <v>3075.0</v>
      </c>
      <c r="B1602" s="1" t="s">
        <v>381</v>
      </c>
      <c r="C1602" s="1" t="s">
        <v>1582</v>
      </c>
      <c r="D1602" s="1" t="str">
        <f>IFERROR(__xludf.DUMMYFUNCTION("CONCATENATE(GOOGLETRANSLATE(C1602, ""en"", ""zh-cn""))"),"2/3 层微波炉架厨房储物架节省空间橱柜架储物柜")</f>
        <v>2/3 层微波炉架厨房储物架节省空间橱柜架储物柜</v>
      </c>
      <c r="E1602" s="1" t="str">
        <f>IFERROR(__xludf.DUMMYFUNCTION("CONCATENATE(GOOGLETRANSLATE(C1602, ""en"", ""ko""))"),"2/3단 전자레인지 랙 주방 보관 선반 공간 절약형 찬장 랙 보관 캐비닛")</f>
        <v>2/3단 전자레인지 랙 주방 보관 선반 공간 절약형 찬장 랙 보관 캐비닛</v>
      </c>
      <c r="F1602" s="1" t="str">
        <f>IFERROR(__xludf.DUMMYFUNCTION("CONCATENATE(GOOGLETRANSLATE(C1602, ""en"", ""ja""))"),"2/3 段電子レンジラックキッチン収納棚省スペース食器棚ラック収納キャビネット")</f>
        <v>2/3 段電子レンジラックキッチン収納棚省スペース食器棚ラック収納キャビネット</v>
      </c>
    </row>
    <row r="1603" ht="15.75" customHeight="1">
      <c r="A1603" s="1">
        <v>3076.0</v>
      </c>
      <c r="B1603" s="1" t="s">
        <v>381</v>
      </c>
      <c r="C1603" s="1" t="s">
        <v>1583</v>
      </c>
      <c r="D1603" s="1" t="str">
        <f>IFERROR(__xludf.DUMMYFUNCTION("CONCATENATE(GOOGLETRANSLATE(C1603, ""en"", ""zh-cn""))"),"可扩展壁挂架免打孔不锈钢浴室浴巾架节省空间收纳架")</f>
        <v>可扩展壁挂架免打孔不锈钢浴室浴巾架节省空间收纳架</v>
      </c>
      <c r="E1603" s="1" t="str">
        <f>IFERROR(__xludf.DUMMYFUNCTION("CONCATENATE(GOOGLETRANSLATE(C1603, ""en"", ""ko""))"),"확장 가능한 벽 걸이 랙 펀치없는 스테인레스 스틸 욕실 목욕 타월 랙 공간 절약형 보관 선반")</f>
        <v>확장 가능한 벽 걸이 랙 펀치없는 스테인레스 스틸 욕실 목욕 타월 랙 공간 절약형 보관 선반</v>
      </c>
      <c r="F1603" s="1" t="str">
        <f>IFERROR(__xludf.DUMMYFUNCTION("CONCATENATE(GOOGLETRANSLATE(C1603, ""en"", ""ja""))"),"拡張可能な壁掛けラックパンチフリーステンレス鋼のバスルームバスタオルラック省スペース収納棚")</f>
        <v>拡張可能な壁掛けラックパンチフリーステンレス鋼のバスルームバスタオルラック省スペース収納棚</v>
      </c>
    </row>
    <row r="1604" ht="15.75" customHeight="1">
      <c r="A1604" s="1">
        <v>3077.0</v>
      </c>
      <c r="B1604" s="1" t="s">
        <v>381</v>
      </c>
      <c r="C1604" s="1" t="s">
        <v>1584</v>
      </c>
      <c r="D1604" s="1" t="str">
        <f>IFERROR(__xludf.DUMMYFUNCTION("CONCATENATE(GOOGLETRANSLATE(C1604, ""en"", ""zh-cn""))"),"360° 旋转首饰盒 4 层旋转收纳盒收纳盒带盖和镜子首饰盒耳钉首饰收纳盒")</f>
        <v>360° 旋转首饰盒 4 层旋转收纳盒收纳盒带盖和镜子首饰盒耳钉首饰收纳盒</v>
      </c>
      <c r="E1604" s="1" t="str">
        <f>IFERROR(__xludf.DUMMYFUNCTION("CONCATENATE(GOOGLETRANSLATE(C1604, ""en"", ""ko""))"),"360 ° 회전 보석 상자 4 레이어 회전 저장 상자 주최자 커버와 거울 보석 상자 스터드 귀걸이 보석 저장 상자")</f>
        <v>360 ° 회전 보석 상자 4 레이어 회전 저장 상자 주최자 커버와 거울 보석 상자 스터드 귀걸이 보석 저장 상자</v>
      </c>
      <c r="F1604" s="1" t="str">
        <f>IFERROR(__xludf.DUMMYFUNCTION("CONCATENATE(GOOGLETRANSLATE(C1604, ""en"", ""ja""))"),"360°回転ジュエリーボックス 4層回転収納ボックスオーガナイザー カバーとミラー付き ジュエリーボックス スタッドイヤリング ジュエリー収納ボックス")</f>
        <v>360°回転ジュエリーボックス 4層回転収納ボックスオーガナイザー カバーとミラー付き ジュエリーボックス スタッドイヤリング ジュエリー収納ボックス</v>
      </c>
    </row>
    <row r="1605" ht="15.75" customHeight="1">
      <c r="A1605" s="1">
        <v>3078.0</v>
      </c>
      <c r="B1605" s="1" t="s">
        <v>381</v>
      </c>
      <c r="C1605" s="1" t="s">
        <v>1585</v>
      </c>
      <c r="D1605" s="1" t="str">
        <f>IFERROR(__xludf.DUMMYFUNCTION("CONCATENATE(GOOGLETRANSLATE(C1605, ""en"", ""zh-cn""))"),"厨房碗碟架水槽碗碟晾干沥水架餐具杯碗收纳托盘收纳架")</f>
        <v>厨房碗碟架水槽碗碟晾干沥水架餐具杯碗收纳托盘收纳架</v>
      </c>
      <c r="E1605" s="1" t="str">
        <f>IFERROR(__xludf.DUMMYFUNCTION("CONCATENATE(GOOGLETRANSLATE(C1605, ""en"", ""ko""))"),"주방 접시 랙 싱크 접시 건조 배수 선반 식기 컵 그릇 보관 트레이 홀더 주최자")</f>
        <v>주방 접시 랙 싱크 접시 건조 배수 선반 식기 컵 그릇 보관 트레이 홀더 주최자</v>
      </c>
      <c r="F1605" s="1" t="str">
        <f>IFERROR(__xludf.DUMMYFUNCTION("CONCATENATE(GOOGLETRANSLATE(C1605, ""en"", ""ja""))"),"キッチンディッシュラック シンク 食器乾燥 排水棚 食器 カップ ボウル 収納トレイ ホルダー オーガナイザー")</f>
        <v>キッチンディッシュラック シンク 食器乾燥 排水棚 食器 カップ ボウル 収納トレイ ホルダー オーガナイザー</v>
      </c>
    </row>
    <row r="1606" ht="15.75" customHeight="1">
      <c r="A1606" s="1">
        <v>3079.0</v>
      </c>
      <c r="B1606" s="1" t="s">
        <v>381</v>
      </c>
      <c r="C1606" s="1" t="s">
        <v>1586</v>
      </c>
      <c r="D1606" s="1" t="str">
        <f>IFERROR(__xludf.DUMMYFUNCTION("CONCATENATE(GOOGLETRANSLATE(C1606, ""en"", ""zh-cn""))"),"2021 年桌面日历花朵多彩每日日程计划双线圈日历桌面装饰品 18 张")</f>
        <v>2021 年桌面日历花朵多彩每日日程计划双线圈日历桌面装饰品 18 张</v>
      </c>
      <c r="E1606" s="1" t="str">
        <f>IFERROR(__xludf.DUMMYFUNCTION("CONCATENATE(GOOGLETRANSLATE(C1606, ""en"", ""ko""))"),"2021 데스크탑 캘린더 꽃 다채로운 일일 일정 플래너 더블 코일 캘린더 데스크탑 장식 18 시트")</f>
        <v>2021 데스크탑 캘린더 꽃 다채로운 일일 일정 플래너 더블 코일 캘린더 데스크탑 장식 18 시트</v>
      </c>
      <c r="F1606" s="1" t="str">
        <f>IFERROR(__xludf.DUMMYFUNCTION("CONCATENATE(GOOGLETRANSLATE(C1606, ""en"", ""ja""))"),"2021 卓上カレンダーフラワーカラフルデイリースケジュールプランナーダブルコイルカレンダーデスクトップ装飾 18 枚")</f>
        <v>2021 卓上カレンダーフラワーカラフルデイリースケジュールプランナーダブルコイルカレンダーデスクトップ装飾 18 枚</v>
      </c>
    </row>
    <row r="1607" ht="15.75" customHeight="1">
      <c r="A1607" s="1">
        <v>3080.0</v>
      </c>
      <c r="B1607" s="1" t="s">
        <v>381</v>
      </c>
      <c r="C1607" s="1" t="s">
        <v>1587</v>
      </c>
      <c r="D1607" s="1" t="str">
        <f>IFERROR(__xludf.DUMMYFUNCTION("CONCATENATE(GOOGLETRANSLATE(C1607, ""en"", ""zh-cn""))"),"编织壁挂捕梦网星月挂毯手工墙壁艺术装饰装饰品适用于卧室客厅")</f>
        <v>编织壁挂捕梦网星月挂毯手工墙壁艺术装饰装饰品适用于卧室客厅</v>
      </c>
      <c r="E1607" s="1" t="str">
        <f>IFERROR(__xludf.DUMMYFUNCTION("CONCATENATE(GOOGLETRANSLATE(C1607, ""en"", ""ko""))"),"짠 벽 매달려 드림 캐처 스타와 문 태피스트리 수제 벽 예술 장식 장식 침실 거실")</f>
        <v>짠 벽 매달려 드림 캐처 스타와 문 태피스트리 수제 벽 예술 장식 장식 침실 거실</v>
      </c>
      <c r="F1607" s="1" t="str">
        <f>IFERROR(__xludf.DUMMYFUNCTION("CONCATENATE(GOOGLETRANSLATE(C1607, ""en"", ""ja""))"),"織物壁掛けドリームキャッチャー星と月タペストリー手作り壁アート装飾装飾寝室リビングルーム")</f>
        <v>織物壁掛けドリームキャッチャー星と月タペストリー手作り壁アート装飾装飾寝室リビングルーム</v>
      </c>
    </row>
    <row r="1608" ht="15.75" customHeight="1">
      <c r="A1608" s="1">
        <v>3081.0</v>
      </c>
      <c r="B1608" s="1" t="s">
        <v>381</v>
      </c>
      <c r="C1608" s="1" t="s">
        <v>1588</v>
      </c>
      <c r="D1608" s="1" t="str">
        <f>IFERROR(__xludf.DUMMYFUNCTION("CONCATENATE(GOOGLETRANSLATE(C1608, ""en"", ""zh-cn""))"),"A5 2021 年议程计划笔记本 1 月至 12 月英语语言 164 页 PU 皮革软封面学校计划表业务日程日记本")</f>
        <v>A5 2021 年议程计划笔记本 1 月至 12 月英语语言 164 页 PU 皮革软封面学校计划表业务日程日记本</v>
      </c>
      <c r="E1608" s="1" t="str">
        <f>IFERROR(__xludf.DUMMYFUNCTION("CONCATENATE(GOOGLETRANSLATE(C1608, ""en"", ""ko""))"),"A5 Agenda 2021 플래너 노트 Jan-Dec 영어 164 시트 PU 가죽 소프트 커버 학교 플래너 비즈니스 일정 저널")</f>
        <v>A5 Agenda 2021 플래너 노트 Jan-Dec 영어 164 시트 PU 가죽 소프트 커버 학교 플래너 비즈니스 일정 저널</v>
      </c>
      <c r="F1608" s="1" t="str">
        <f>IFERROR(__xludf.DUMMYFUNCTION("CONCATENATE(GOOGLETRANSLATE(C1608, ""en"", ""ja""))"),"A5 アジェンダ 2021 プランナーノートブック 1 月-12 月英語 164 シート PU レザーソフトカバースクールプランナービジネススケジュールジャーナル")</f>
        <v>A5 アジェンダ 2021 プランナーノートブック 1 月-12 月英語 164 シート PU レザーソフトカバースクールプランナービジネススケジュールジャーナル</v>
      </c>
    </row>
    <row r="1609" ht="15.75" customHeight="1">
      <c r="A1609" s="1">
        <v>3082.0</v>
      </c>
      <c r="B1609" s="1" t="s">
        <v>381</v>
      </c>
      <c r="C1609" s="1" t="s">
        <v>1589</v>
      </c>
      <c r="D1609" s="1" t="str">
        <f>IFERROR(__xludf.DUMMYFUNCTION("CONCATENATE(GOOGLETRANSLATE(C1609, ""en"", ""zh-cn""))"),"2021 挂历每周每月计划日程安排器家庭办公室桌面装饰品用于日程记录")</f>
        <v>2021 挂历每周每月计划日程安排器家庭办公室桌面装饰品用于日程记录</v>
      </c>
      <c r="E1609" s="1" t="str">
        <f>IFERROR(__xludf.DUMMYFUNCTION("CONCATENATE(GOOGLETRANSLATE(C1609, ""en"", ""ko""))"),"2021 벽 달력 주간 월간 플래너 일정 주최자 홈 오피스 데스크탑 장식 일정 일일 기록")</f>
        <v>2021 벽 달력 주간 월간 플래너 일정 주최자 홈 오피스 데스크탑 장식 일정 일일 기록</v>
      </c>
      <c r="F1609" s="1" t="str">
        <f>IFERROR(__xludf.DUMMYFUNCTION("CONCATENATE(GOOGLETRANSLATE(C1609, ""en"", ""ja""))"),"2021 壁掛けカレンダー ウィークリー マンスリー プランナー アジェンダ オーガナイザー ホーム オフィス デスクトップ飾り スケジュール 毎日の記録用")</f>
        <v>2021 壁掛けカレンダー ウィークリー マンスリー プランナー アジェンダ オーガナイザー ホーム オフィス デスクトップ飾り スケジュール 毎日の記録用</v>
      </c>
    </row>
    <row r="1610" ht="15.75" customHeight="1">
      <c r="A1610" s="1">
        <v>3083.0</v>
      </c>
      <c r="B1610" s="1" t="s">
        <v>381</v>
      </c>
      <c r="C1610" s="1" t="s">
        <v>1590</v>
      </c>
      <c r="D1610" s="1" t="str">
        <f>IFERROR(__xludf.DUMMYFUNCTION("CONCATENATE(GOOGLETRANSLATE(C1610, ""en"", ""zh-cn""))"),"8 件装 3D 六边形毛毡板自粘墙布告栏留言照片墙背景创意装饰品配件")</f>
        <v>8 件装 3D 六边形毛毡板自粘墙布告栏留言照片墙背景创意装饰品配件</v>
      </c>
      <c r="E1610" s="1" t="str">
        <f>IFERROR(__xludf.DUMMYFUNCTION("CONCATENATE(GOOGLETRANSLATE(C1610, ""en"", ""ko""))"),"8pcs 3D 육각형 펠트 보드 자기 접착 벽 게시판 메시지 사진 벽 배경 크리 에이 티브 장식품 액세서리")</f>
        <v>8pcs 3D 육각형 펠트 보드 자기 접착 벽 게시판 메시지 사진 벽 배경 크리 에이 티브 장식품 액세서리</v>
      </c>
      <c r="F1610" s="1" t="str">
        <f>IFERROR(__xludf.DUMMYFUNCTION("CONCATENATE(GOOGLETRANSLATE(C1610, ""en"", ""ja""))"),"8 個 3D 六角フェルトボード自己粘着壁掲示板メッセージ写真壁の背景クリエイティブ装飾アクセサリー")</f>
        <v>8 個 3D 六角フェルトボード自己粘着壁掲示板メッセージ写真壁の背景クリエイティブ装飾アクセサリー</v>
      </c>
    </row>
    <row r="1611" ht="15.75" customHeight="1">
      <c r="A1611" s="1">
        <v>3084.0</v>
      </c>
      <c r="B1611" s="1" t="s">
        <v>381</v>
      </c>
      <c r="C1611" s="1" t="s">
        <v>1591</v>
      </c>
      <c r="D1611" s="1" t="str">
        <f>IFERROR(__xludf.DUMMYFUNCTION("CONCATENATE(GOOGLETRANSLATE(C1611, ""en"", ""zh-cn""))"),"65/85 厘米碗碟沥水架厨房水槽碗碟干燥架餐具杯碗储物托盘架收纳架")</f>
        <v>65/85 厘米碗碟沥水架厨房水槽碗碟干燥架餐具杯碗储物托盘架收纳架</v>
      </c>
      <c r="E1611" s="1" t="str">
        <f>IFERROR(__xludf.DUMMYFUNCTION("CONCATENATE(GOOGLETRANSLATE(C1611, ""en"", ""ko""))"),"65/85cm 접시 배수 랙 주방 싱크 접시 건조 선반 식기 컵 그릇 보관 트레이 홀더 주최자")</f>
        <v>65/85cm 접시 배수 랙 주방 싱크 접시 건조 선반 식기 컵 그릇 보관 트레이 홀더 주최자</v>
      </c>
      <c r="F1611" s="1" t="str">
        <f>IFERROR(__xludf.DUMMYFUNCTION("CONCATENATE(GOOGLETRANSLATE(C1611, ""en"", ""ja""))"),"65/85 センチメートル食器排水ラックキッチンシンク食器乾燥棚食器カップボウル収納トレイホルダーオーガナイザー")</f>
        <v>65/85 センチメートル食器排水ラックキッチンシンク食器乾燥棚食器カップボウル収納トレイホルダーオーガナイザー</v>
      </c>
    </row>
    <row r="1612" ht="15.75" customHeight="1">
      <c r="A1612" s="1">
        <v>3085.0</v>
      </c>
      <c r="B1612" s="1" t="s">
        <v>381</v>
      </c>
      <c r="C1612" s="1" t="s">
        <v>1592</v>
      </c>
      <c r="D1612" s="1" t="str">
        <f>IFERROR(__xludf.DUMMYFUNCTION("CONCATENATE(GOOGLETRANSLATE(C1612, ""en"", ""zh-cn""))"),"1/2/3 层化妆品收纳盒珠宝架化妆抽屉柜桌面收纳盒")</f>
        <v>1/2/3 层化妆品收纳盒珠宝架化妆抽屉柜桌面收纳盒</v>
      </c>
      <c r="E1612" s="1" t="str">
        <f>IFERROR(__xludf.DUMMYFUNCTION("CONCATENATE(GOOGLETRANSLATE(C1612, ""en"", ""ko""))"),"1/2/3 레이어 화장품 보관 상자 쥬얼리 홀더 메이크업 서랍 케이스 데스크탑 주최자 컨테이너")</f>
        <v>1/2/3 레이어 화장품 보관 상자 쥬얼리 홀더 메이크업 서랍 케이스 데스크탑 주최자 컨테이너</v>
      </c>
      <c r="F1612" s="1" t="str">
        <f>IFERROR(__xludf.DUMMYFUNCTION("CONCATENATE(GOOGLETRANSLATE(C1612, ""en"", ""ja""))"),"1/2/3 層化粧品収納ボックスジュエリーホルダー化粧引き出しケースデスクトップオーガナイザーコンテナ")</f>
        <v>1/2/3 層化粧品収納ボックスジュエリーホルダー化粧引き出しケースデスクトップオーガナイザーコンテナ</v>
      </c>
    </row>
    <row r="1613" ht="15.75" customHeight="1">
      <c r="A1613" s="1">
        <v>3086.0</v>
      </c>
      <c r="B1613" s="1" t="s">
        <v>381</v>
      </c>
      <c r="C1613" s="1" t="s">
        <v>1593</v>
      </c>
      <c r="D1613" s="1" t="str">
        <f>IFERROR(__xludf.DUMMYFUNCTION("CONCATENATE(GOOGLETRANSLATE(C1613, ""en"", ""zh-cn""))"),"双层抽屉纸巾盒免打孔防水浴室收纳收纳盒家用办公桌面用品")</f>
        <v>双层抽屉纸巾盒免打孔防水浴室收纳收纳盒家用办公桌面用品</v>
      </c>
      <c r="E1613" s="1" t="str">
        <f>IFERROR(__xludf.DUMMYFUNCTION("CONCATENATE(GOOGLETRANSLATE(C1613, ""en"", ""ko""))"),"더블 레이어 서랍 티슈 박스 펀칭 및 방수 없음 욕실 보관 주최자 가정용 사무실 데스크탑 용품")</f>
        <v>더블 레이어 서랍 티슈 박스 펀칭 및 방수 없음 욕실 보관 주최자 가정용 사무실 데스크탑 용품</v>
      </c>
      <c r="F1613" s="1" t="str">
        <f>IFERROR(__xludf.DUMMYFUNCTION("CONCATENATE(GOOGLETRANSLATE(C1613, ""en"", ""ja""))"),"二層引き出しティッシュボックスパンチングなし、防水バスルーム収納オーガナイザー家庭用オフィスデスクトップ用品")</f>
        <v>二層引き出しティッシュボックスパンチングなし、防水バスルーム収納オーガナイザー家庭用オフィスデスクトップ用品</v>
      </c>
    </row>
    <row r="1614" ht="15.75" customHeight="1">
      <c r="A1614" s="1">
        <v>3087.0</v>
      </c>
      <c r="B1614" s="1" t="s">
        <v>381</v>
      </c>
      <c r="C1614" s="1" t="s">
        <v>1594</v>
      </c>
      <c r="D1614" s="1" t="str">
        <f>IFERROR(__xludf.DUMMYFUNCTION("CONCATENATE(GOOGLETRANSLATE(C1614, ""en"", ""zh-cn""))"),"儿童木制几何玩具形状颜色认知手眼协调训练早教益智玩具")</f>
        <v>儿童木制几何玩具形状颜色认知手眼协调训练早教益智玩具</v>
      </c>
      <c r="E1614" s="1" t="str">
        <f>IFERROR(__xludf.DUMMYFUNCTION("CONCATENATE(GOOGLETRANSLATE(C1614, ""en"", ""ko""))"),"어린이 나무 기하학 장난감 모양 색상 인식 손 눈 조정 훈련 조기 교육 퍼즐 장난감")</f>
        <v>어린이 나무 기하학 장난감 모양 색상 인식 손 눈 조정 훈련 조기 교육 퍼즐 장난감</v>
      </c>
      <c r="F1614" s="1" t="str">
        <f>IFERROR(__xludf.DUMMYFUNCTION("CONCATENATE(GOOGLETRANSLATE(C1614, ""en"", ""ja""))"),"キッズ木製幾何学おもちゃ形状色認知手と目の調整トレーニング早期教育パズルおもちゃ")</f>
        <v>キッズ木製幾何学おもちゃ形状色認知手と目の調整トレーニング早期教育パズルおもちゃ</v>
      </c>
    </row>
    <row r="1615" ht="15.75" customHeight="1">
      <c r="A1615" s="1">
        <v>3088.0</v>
      </c>
      <c r="B1615" s="1" t="s">
        <v>381</v>
      </c>
      <c r="C1615" s="1" t="s">
        <v>1595</v>
      </c>
      <c r="D1615" s="1" t="str">
        <f>IFERROR(__xludf.DUMMYFUNCTION("CONCATENATE(GOOGLETRANSLATE(C1615, ""en"", ""zh-cn""))"),"几何壁挂茶烛台金属复古墙壁蜡烛壁灯家居墙壁装饰客厅婚礼装饰")</f>
        <v>几何壁挂茶烛台金属复古墙壁蜡烛壁灯家居墙壁装饰客厅婚礼装饰</v>
      </c>
      <c r="E1615" s="1" t="str">
        <f>IFERROR(__xludf.DUMMYFUNCTION("CONCATENATE(GOOGLETRANSLATE(C1615, ""en"", ""ko""))"),"기하학 벽 교수형 Tealight 캔들 홀더 금속 레트로 벽 촛불 Sconce 홈 벽 장식 장식 거실 결혼식")</f>
        <v>기하학 벽 교수형 Tealight 캔들 홀더 금속 레트로 벽 촛불 Sconce 홈 벽 장식 장식 거실 결혼식</v>
      </c>
      <c r="F1615" s="1" t="str">
        <f>IFERROR(__xludf.DUMMYFUNCTION("CONCATENATE(GOOGLETRANSLATE(C1615, ""en"", ""ja""))"),"幾何学的な壁掛けティーライトキャンドルホルダー金属レトロ壁キャンドル燭台家の壁の装飾装飾リビングルームの結婚式")</f>
        <v>幾何学的な壁掛けティーライトキャンドルホルダー金属レトロ壁キャンドル燭台家の壁の装飾装飾リビングルームの結婚式</v>
      </c>
    </row>
    <row r="1616" ht="15.75" customHeight="1">
      <c r="A1616" s="1">
        <v>3089.0</v>
      </c>
      <c r="B1616" s="1" t="s">
        <v>381</v>
      </c>
      <c r="C1616" s="1" t="s">
        <v>1596</v>
      </c>
      <c r="D1616" s="1" t="str">
        <f>IFERROR(__xludf.DUMMYFUNCTION("CONCATENATE(GOOGLETRANSLATE(C1616, ""en"", ""zh-cn""))"),"4 件帆布印刷画墙壁装饰四个季节和树木壁挂装饰艺术图片无框适合家庭办公室")</f>
        <v>4 件帆布印刷画墙壁装饰四个季节和树木壁挂装饰艺术图片无框适合家庭办公室</v>
      </c>
      <c r="E1616" s="1" t="str">
        <f>IFERROR(__xludf.DUMMYFUNCTION("CONCATENATE(GOOGLETRANSLATE(C1616, ""en"", ""ko""))"),"4pcs 캔버스 인쇄 그림 벽 장식 사계절과 나무 벽 매달려 장식 미술 그림 홈 오피스에 대 한 Frameless")</f>
        <v>4pcs 캔버스 인쇄 그림 벽 장식 사계절과 나무 벽 매달려 장식 미술 그림 홈 오피스에 대 한 Frameless</v>
      </c>
      <c r="F1616" s="1" t="str">
        <f>IFERROR(__xludf.DUMMYFUNCTION("CONCATENATE(GOOGLETRANSLATE(C1616, ""en"", ""ja""))"),"4 個キャンバスプリント絵画壁装飾四季と木壁掛け装飾アート写真フレームレスホームオフィス用")</f>
        <v>4 個キャンバスプリント絵画壁装飾四季と木壁掛け装飾アート写真フレームレスホームオフィス用</v>
      </c>
    </row>
    <row r="1617" ht="15.75" customHeight="1">
      <c r="A1617" s="1">
        <v>3090.0</v>
      </c>
      <c r="B1617" s="1" t="s">
        <v>381</v>
      </c>
      <c r="C1617" s="1" t="s">
        <v>1597</v>
      </c>
      <c r="D1617" s="1" t="str">
        <f>IFERROR(__xludf.DUMMYFUNCTION("CONCATENATE(GOOGLETRANSLATE(C1617, ""en"", ""zh-cn""))"),"3D 木制几何积木几何形状拼图儿童大脑发育早教玩具儿童礼品")</f>
        <v>3D 木制几何积木几何形状拼图儿童大脑发育早教玩具儿童礼品</v>
      </c>
      <c r="E1617" s="1" t="str">
        <f>IFERROR(__xludf.DUMMYFUNCTION("CONCATENATE(GOOGLETRANSLATE(C1617, ""en"", ""ko""))"),"3D 나무 기하학적 블록 기하학적 모양 퍼즐 어린이 두뇌 개발 어린이 선물을위한 조기 교육 장난감")</f>
        <v>3D 나무 기하학적 블록 기하학적 모양 퍼즐 어린이 두뇌 개발 어린이 선물을위한 조기 교육 장난감</v>
      </c>
      <c r="F1617" s="1" t="str">
        <f>IFERROR(__xludf.DUMMYFUNCTION("CONCATENATE(GOOGLETRANSLATE(C1617, ""en"", ""ja""))"),"3D 木製幾何学ブロック幾何学的形状パズル子供の脳の発達早期教育玩具子供のギフトのため")</f>
        <v>3D 木製幾何学ブロック幾何学的形状パズル子供の脳の発達早期教育玩具子供のギフトのため</v>
      </c>
    </row>
    <row r="1618" ht="15.75" customHeight="1">
      <c r="A1618" s="1">
        <v>3091.0</v>
      </c>
      <c r="B1618" s="1" t="s">
        <v>381</v>
      </c>
      <c r="C1618" s="1" t="s">
        <v>1598</v>
      </c>
      <c r="D1618" s="1" t="str">
        <f>IFERROR(__xludf.DUMMYFUNCTION("CONCATENATE(GOOGLETRANSLATE(C1618, ""en"", ""zh-cn""))"),"木制几何积木 3D 几何形状益智儿童大脑发育早教玩具儿童礼品")</f>
        <v>木制几何积木 3D 几何形状益智儿童大脑发育早教玩具儿童礼品</v>
      </c>
      <c r="E1618" s="1" t="str">
        <f>IFERROR(__xludf.DUMMYFUNCTION("CONCATENATE(GOOGLETRANSLATE(C1618, ""en"", ""ko""))"),"나무 기하학적 블록 3D 기하학적 모양 퍼즐 어린이 두뇌 개발 어린이 선물을위한 조기 교육 장난감")</f>
        <v>나무 기하학적 블록 3D 기하학적 모양 퍼즐 어린이 두뇌 개발 어린이 선물을위한 조기 교육 장난감</v>
      </c>
      <c r="F1618" s="1" t="str">
        <f>IFERROR(__xludf.DUMMYFUNCTION("CONCATENATE(GOOGLETRANSLATE(C1618, ""en"", ""ja""))"),"木製幾何学ブロック 3D 幾何学的形状パズル子供の脳の発達早期教育玩具子供のギフトのため")</f>
        <v>木製幾何学ブロック 3D 幾何学的形状パズル子供の脳の発達早期教育玩具子供のギフトのため</v>
      </c>
    </row>
    <row r="1619" ht="15.75" customHeight="1">
      <c r="A1619" s="1">
        <v>3092.0</v>
      </c>
      <c r="B1619" s="1" t="s">
        <v>381</v>
      </c>
      <c r="C1619" s="1" t="s">
        <v>1599</v>
      </c>
      <c r="D1619" s="1" t="str">
        <f>IFERROR(__xludf.DUMMYFUNCTION("CONCATENATE(GOOGLETRANSLATE(C1619, ""en"", ""zh-cn""))"),"30*30*3 厘米向日葵墙壁艺术画客厅卧室悬挂帆布图片办公室壁画装饰用品")</f>
        <v>30*30*3 厘米向日葵墙壁艺术画客厅卧室悬挂帆布图片办公室壁画装饰用品</v>
      </c>
      <c r="E1619" s="1" t="str">
        <f>IFERROR(__xludf.DUMMYFUNCTION("CONCATENATE(GOOGLETRANSLATE(C1619, ""en"", ""ko""))"),"30*30*3 cm 해바라기 벽 예술 그림 거실 침실 교수형 캔버스 그림 사무실 벽화 장식 용품")</f>
        <v>30*30*3 cm 해바라기 벽 예술 그림 거실 침실 교수형 캔버스 그림 사무실 벽화 장식 용품</v>
      </c>
      <c r="F1619" s="1" t="str">
        <f>IFERROR(__xludf.DUMMYFUNCTION("CONCATENATE(GOOGLETRANSLATE(C1619, ""en"", ""ja""))"),"30*30*3 センチメートルひまわりの壁アート絵画リビングルームの寝室のキャンバスの写真オフィス壁画装飾用品")</f>
        <v>30*30*3 センチメートルひまわりの壁アート絵画リビングルームの寝室のキャンバスの写真オフィス壁画装飾用品</v>
      </c>
    </row>
    <row r="1620" ht="15.75" customHeight="1">
      <c r="A1620" s="1">
        <v>3093.0</v>
      </c>
      <c r="B1620" s="1" t="s">
        <v>381</v>
      </c>
      <c r="C1620" s="1" t="s">
        <v>1600</v>
      </c>
      <c r="D1620" s="1" t="str">
        <f>IFERROR(__xludf.DUMMYFUNCTION("CONCATENATE(GOOGLETRANSLATE(C1620, ""en"", ""zh-cn""))"),"水晶香炉电镀金属抛光香炉传统家庭办公室桌面装饰摆件")</f>
        <v>水晶香炉电镀金属抛光香炉传统家庭办公室桌面装饰摆件</v>
      </c>
      <c r="E1620" s="1" t="str">
        <f>IFERROR(__xludf.DUMMYFUNCTION("CONCATENATE(GOOGLETRANSLATE(C1620, ""en"", ""ko""))"),"크리스탈 향 버너 도금 금속 연마 향 버너 홈 오피스 데스크탑 장식 장식품에 대한 전통")</f>
        <v>크리스탈 향 버너 도금 금속 연마 향 버너 홈 오피스 데스크탑 장식 장식품에 대한 전통</v>
      </c>
      <c r="F1620" s="1" t="str">
        <f>IFERROR(__xludf.DUMMYFUNCTION("CONCATENATE(GOOGLETRANSLATE(C1620, ""en"", ""ja""))"),"クリスタル香炉メッキ金属研磨香炉伝統的な家庭用オフィスデスクトップ装飾装飾品")</f>
        <v>クリスタル香炉メッキ金属研磨香炉伝統的な家庭用オフィスデスクトップ装飾装飾品</v>
      </c>
    </row>
    <row r="1621" ht="15.75" customHeight="1">
      <c r="A1621" s="1">
        <v>3094.0</v>
      </c>
      <c r="B1621" s="1" t="s">
        <v>381</v>
      </c>
      <c r="C1621" s="1" t="s">
        <v>1601</v>
      </c>
      <c r="D1621" s="1" t="str">
        <f>IFERROR(__xludf.DUMMYFUNCTION("CONCATENATE(GOOGLETRANSLATE(C1621, ""en"", ""zh-cn""))"),"A5日程本商务笔记本2020年手册日程工作日记纸质笔记本")</f>
        <v>A5日程本商务笔记本2020年手册日程工作日记纸质笔记本</v>
      </c>
      <c r="E1621" s="1" t="str">
        <f>IFERROR(__xludf.DUMMYFUNCTION("CONCATENATE(GOOGLETRANSLATE(C1621, ""en"", ""ko""))"),"A5 일정표 비즈니스 노트 2020 수첩 일정 작업 일기 종이 노트")</f>
        <v>A5 일정표 비즈니스 노트 2020 수첩 일정 작업 일기 종이 노트</v>
      </c>
      <c r="F1621" s="1" t="str">
        <f>IFERROR(__xludf.DUMMYFUNCTION("CONCATENATE(GOOGLETRANSLATE(C1621, ""en"", ""ja""))"),"A5 スケジュール帳 ビジネス手帳 2020 ハンドブック スケジュール 仕事日記 紙ノート")</f>
        <v>A5 スケジュール帳 ビジネス手帳 2020 ハンドブック スケジュール 仕事日記 紙ノート</v>
      </c>
    </row>
    <row r="1622" ht="15.75" customHeight="1">
      <c r="A1622" s="1">
        <v>3095.0</v>
      </c>
      <c r="B1622" s="1" t="s">
        <v>381</v>
      </c>
      <c r="C1622" s="1" t="s">
        <v>1602</v>
      </c>
      <c r="D1622" s="1" t="str">
        <f>IFERROR(__xludf.DUMMYFUNCTION("CONCATENATE(GOOGLETRANSLATE(C1622, ""en"", ""zh-cn""))"),"SIMAX3D® 黄色/蓝色/棕色/黑色硅胶保护套，适用于 3D 打印机加热块热端")</f>
        <v>SIMAX3D® 黄色/蓝色/棕色/黑色硅胶保护套，适用于 3D 打印机加热块热端</v>
      </c>
      <c r="E1622" s="1" t="str">
        <f>IFERROR(__xludf.DUMMYFUNCTION("CONCATENATE(GOOGLETRANSLATE(C1622, ""en"", ""ko""))"),"3D 프린터 가열 블록 핫엔드용 SIMAX3D® 노란색/파란색/갈색/검은색 실리콘 보호 케이스")</f>
        <v>3D 프린터 가열 블록 핫엔드용 SIMAX3D® 노란색/파란색/갈색/검은색 실리콘 보호 케이스</v>
      </c>
      <c r="F1622" s="1" t="str">
        <f>IFERROR(__xludf.DUMMYFUNCTION("CONCATENATE(GOOGLETRANSLATE(C1622, ""en"", ""ja""))"),"SIMAX3D® イエロー/ブルー/ブラウン/ブラック 3D プリンター ヒーティング ブロック Hotend 用シリコン保護ケース")</f>
        <v>SIMAX3D® イエロー/ブルー/ブラウン/ブラック 3D プリンター ヒーティング ブロック Hotend 用シリコン保護ケース</v>
      </c>
    </row>
    <row r="1623" ht="15.75" customHeight="1">
      <c r="A1623" s="1">
        <v>3096.0</v>
      </c>
      <c r="B1623" s="1" t="s">
        <v>381</v>
      </c>
      <c r="C1623" s="1" t="s">
        <v>1603</v>
      </c>
      <c r="D1623" s="1" t="str">
        <f>IFERROR(__xludf.DUMMYFUNCTION("CONCATENATE(GOOGLETRANSLATE(C1623, ""en"", ""zh-cn""))"),"36/48/72 孔帆布铅笔袋支架笔化妆刷盒袋口袋铅笔帘")</f>
        <v>36/48/72 孔帆布铅笔袋支架笔化妆刷盒袋口袋铅笔帘</v>
      </c>
      <c r="E1623" s="1" t="str">
        <f>IFERROR(__xludf.DUMMYFUNCTION("CONCATENATE(GOOGLETRANSLATE(C1623, ""en"", ""ko""))"),"36/48/72 구멍 캔버스 연필 가방 홀더 펜 메이크업 브러쉬 케이스 파우치 포켓 연필 커튼")</f>
        <v>36/48/72 구멍 캔버스 연필 가방 홀더 펜 메이크업 브러쉬 케이스 파우치 포켓 연필 커튼</v>
      </c>
      <c r="F1623" s="1" t="str">
        <f>IFERROR(__xludf.DUMMYFUNCTION("CONCATENATE(GOOGLETRANSLATE(C1623, ""en"", ""ja""))"),"36/48/72 穴キャンバス鉛筆バッグホルダーペン化粧ブラシケースポーチポケット鉛筆カーテン")</f>
        <v>36/48/72 穴キャンバス鉛筆バッグホルダーペン化粧ブラシケースポーチポケット鉛筆カーテン</v>
      </c>
    </row>
    <row r="1624" ht="15.75" customHeight="1">
      <c r="A1624" s="1">
        <v>3097.0</v>
      </c>
      <c r="B1624" s="1" t="s">
        <v>381</v>
      </c>
      <c r="C1624" s="1" t="s">
        <v>1604</v>
      </c>
      <c r="D1624" s="1" t="str">
        <f>IFERROR(__xludf.DUMMYFUNCTION("CONCATENATE(GOOGLETRANSLATE(C1624, ""en"", ""zh-cn""))"),"2020年日程本365天每日日程日历记事本工作日志笔记本")</f>
        <v>2020年日程本365天每日日程日历记事本工作日志笔记本</v>
      </c>
      <c r="E1624" s="1" t="str">
        <f>IFERROR(__xludf.DUMMYFUNCTION("CONCATENATE(GOOGLETRANSLATE(C1624, ""en"", ""ko""))"),"2020년 스케줄북 365일 하루 일정 캘린더 메모장 작업일지 노트")</f>
        <v>2020년 스케줄북 365일 하루 일정 캘린더 메모장 작업일지 노트</v>
      </c>
      <c r="F1624" s="1" t="str">
        <f>IFERROR(__xludf.DUMMYFUNCTION("CONCATENATE(GOOGLETRANSLATE(C1624, ""en"", ""ja""))"),"2020 スケジュール帳 365日 デイリースケジュール カレンダー メモ帳 仕事日誌 手帳")</f>
        <v>2020 スケジュール帳 365日 デイリースケジュール カレンダー メモ帳 仕事日誌 手帳</v>
      </c>
    </row>
    <row r="1625" ht="15.75" customHeight="1">
      <c r="A1625" s="1">
        <v>3098.0</v>
      </c>
      <c r="B1625" s="1" t="s">
        <v>381</v>
      </c>
      <c r="C1625" s="1" t="s">
        <v>1605</v>
      </c>
      <c r="D1625" s="1" t="str">
        <f>IFERROR(__xludf.DUMMYFUNCTION("CONCATENATE(GOOGLETRANSLATE(C1625, ""en"", ""zh-cn""))"),"BIGTREETECH® 0.2mm/0.4mm/0.6mm/0.8mm 硬化钢喷嘴，适用于 1.75mm 长丝 J 头热端挤出机 3D 打印机零件")</f>
        <v>BIGTREETECH® 0.2mm/0.4mm/0.6mm/0.8mm 硬化钢喷嘴，适用于 1.75mm 长丝 J 头热端挤出机 3D 打印机零件</v>
      </c>
      <c r="E1625" s="1" t="str">
        <f>IFERROR(__xludf.DUMMYFUNCTION("CONCATENATE(GOOGLETRANSLATE(C1625, ""en"", ""ko""))"),"BIGTREETECH® 1.75mm 필라멘트 J-헤드 핫엔드 압출기 3D 프린터 부품용 0.2mm/0.4mm/0.6mm/0.8mm 경화 강철 노즐")</f>
        <v>BIGTREETECH® 1.75mm 필라멘트 J-헤드 핫엔드 압출기 3D 프린터 부품용 0.2mm/0.4mm/0.6mm/0.8mm 경화 강철 노즐</v>
      </c>
      <c r="F1625" s="1" t="str">
        <f>IFERROR(__xludf.DUMMYFUNCTION("CONCATENATE(GOOGLETRANSLATE(C1625, ""en"", ""ja""))"),"BIGTREETECH® 0.2 ミリメートル/0.4 ミリメートル/0.6 ミリメートル/0.8 ミリメートル硬化鋼ノズル 1.75 ミリメートルフィラメント J ヘッドホットエンド押出機 3D プリンタ部品")</f>
        <v>BIGTREETECH® 0.2 ミリメートル/0.4 ミリメートル/0.6 ミリメートル/0.8 ミリメートル硬化鋼ノズル 1.75 ミリメートルフィラメント J ヘッドホットエンド押出機 3D プリンタ部品</v>
      </c>
    </row>
    <row r="1626" ht="15.75" customHeight="1">
      <c r="A1626" s="1">
        <v>3099.0</v>
      </c>
      <c r="B1626" s="1" t="s">
        <v>381</v>
      </c>
      <c r="C1626" s="1" t="s">
        <v>1606</v>
      </c>
      <c r="D1626" s="1" t="str">
        <f>IFERROR(__xludf.DUMMYFUNCTION("CONCATENATE(GOOGLETRANSLATE(C1626, ""en"", ""zh-cn""))"),"驰为 MiniBook 平板电脑 PD 充电器")</f>
        <v>驰为 MiniBook 平板电脑 PD 充电器</v>
      </c>
      <c r="E1626" s="1" t="str">
        <f>IFERROR(__xludf.DUMMYFUNCTION("CONCATENATE(GOOGLETRANSLATE(C1626, ""en"", ""ko""))"),"CHUWI 미니북 태블릿용 PD 충전기")</f>
        <v>CHUWI 미니북 태블릿용 PD 충전기</v>
      </c>
      <c r="F1626" s="1" t="str">
        <f>IFERROR(__xludf.DUMMYFUNCTION("CONCATENATE(GOOGLETRANSLATE(C1626, ""en"", ""ja""))"),"CHUWI MiniBookタブレット用PD充電器")</f>
        <v>CHUWI MiniBookタブレット用PD充電器</v>
      </c>
    </row>
    <row r="1627" ht="15.75" customHeight="1">
      <c r="A1627" s="1">
        <v>3100.0</v>
      </c>
      <c r="B1627" s="1" t="s">
        <v>381</v>
      </c>
      <c r="C1627" s="1" t="s">
        <v>1607</v>
      </c>
      <c r="D1627" s="1" t="str">
        <f>IFERROR(__xludf.DUMMYFUNCTION("CONCATENATE(GOOGLETRANSLATE(C1627, ""en"", ""zh-cn""))"),"卡通鼠年十二生肖红信封压纹磨砂烫金纸信封压岁钱")</f>
        <v>卡通鼠年十二生肖红信封压纹磨砂烫金纸信封压岁钱</v>
      </c>
      <c r="E1627" s="1" t="str">
        <f>IFERROR(__xludf.DUMMYFUNCTION("CONCATENATE(GOOGLETRANSLATE(C1627, ""en"", ""ko""))"),"만화 마우스 년 조디악 로그인 빨간 봉투 양각 서리로 덥은 청동색 종이 봉투 행운의 돈")</f>
        <v>만화 마우스 년 조디악 로그인 빨간 봉투 양각 서리로 덥은 청동색 종이 봉투 행운의 돈</v>
      </c>
      <c r="F1627" s="1" t="str">
        <f>IFERROR(__xludf.DUMMYFUNCTION("CONCATENATE(GOOGLETRANSLATE(C1627, ""en"", ""ja""))"),"漫画マウス年星座赤い封筒エンボス加工つや消しブロンズ紙封筒ラッキーマネー")</f>
        <v>漫画マウス年星座赤い封筒エンボス加工つや消しブロンズ紙封筒ラッキーマネー</v>
      </c>
    </row>
    <row r="1628" ht="15.75" customHeight="1">
      <c r="A1628" s="1">
        <v>3101.0</v>
      </c>
      <c r="B1628" s="1" t="s">
        <v>381</v>
      </c>
      <c r="C1628" s="1" t="s">
        <v>1608</v>
      </c>
      <c r="D1628" s="1" t="str">
        <f>IFERROR(__xludf.DUMMYFUNCTION("CONCATENATE(GOOGLETRANSLATE(C1628, ""en"", ""zh-cn""))"),"A3/A4/A5 魔法发光 3D 画板荧光显影玩具涂鸦涂鸦画板儿童礼物")</f>
        <v>A3/A4/A5 魔法发光 3D 画板荧光显影玩具涂鸦涂鸦画板儿童礼物</v>
      </c>
      <c r="E1628" s="1" t="str">
        <f>IFERROR(__xludf.DUMMYFUNCTION("CONCATENATE(GOOGLETRANSLATE(C1628, ""en"", ""ko""))"),"A3/A4/A5 매직 빛나는 3D 드로잉 보드 형광 개발 장난감 낙서 낙서 드로잉 보드 어린이 선물")</f>
        <v>A3/A4/A5 매직 빛나는 3D 드로잉 보드 형광 개발 장난감 낙서 낙서 드로잉 보드 어린이 선물</v>
      </c>
      <c r="F1628" s="1" t="str">
        <f>IFERROR(__xludf.DUMMYFUNCTION("CONCATENATE(GOOGLETRANSLATE(C1628, ""en"", ""ja""))"),"A3/A4/A5 マジック発光 3D 描画ボード蛍光開発玩具落書き落書き描画ボードキッズギフト")</f>
        <v>A3/A4/A5 マジック発光 3D 描画ボード蛍光開発玩具落書き落書き描画ボードキッズギフト</v>
      </c>
    </row>
    <row r="1629" ht="15.75" customHeight="1">
      <c r="A1629" s="1">
        <v>3102.0</v>
      </c>
      <c r="B1629" s="1" t="s">
        <v>381</v>
      </c>
      <c r="C1629" s="1" t="s">
        <v>1609</v>
      </c>
      <c r="D1629" s="1" t="str">
        <f>IFERROR(__xludf.DUMMYFUNCTION("CONCATENATE(GOOGLETRANSLATE(C1629, ""en"", ""zh-cn""))"),"创意书签英格兰士兵大脚书签文具卡通学生用品")</f>
        <v>创意书签英格兰士兵大脚书签文具卡通学生用品</v>
      </c>
      <c r="E1629" s="1" t="str">
        <f>IFERROR(__xludf.DUMMYFUNCTION("CONCATENATE(GOOGLETRANSLATE(C1629, ""en"", ""ko""))"),"크리 에이 티브 북마크 영국 군인 빅풋 북마크 편지지 만화 학생 용품")</f>
        <v>크리 에이 티브 북마크 영국 군인 빅풋 북마크 편지지 만화 학생 용품</v>
      </c>
      <c r="F1629" s="1" t="str">
        <f>IFERROR(__xludf.DUMMYFUNCTION("CONCATENATE(GOOGLETRANSLATE(C1629, ""en"", ""ja""))"),"クリエイティブブックマークイングランド兵士ビッグフットブックマーク文房具漫画学生用品")</f>
        <v>クリエイティブブックマークイングランド兵士ビッグフットブックマーク文房具漫画学生用品</v>
      </c>
    </row>
    <row r="1630" ht="15.75" customHeight="1">
      <c r="A1630" s="1">
        <v>3103.0</v>
      </c>
      <c r="B1630" s="1" t="s">
        <v>381</v>
      </c>
      <c r="C1630" s="1" t="s">
        <v>1610</v>
      </c>
      <c r="D1630" s="1" t="str">
        <f>IFERROR(__xludf.DUMMYFUNCTION("CONCATENATE(GOOGLETRANSLATE(C1630, ""en"", ""zh-cn""))"),"减压神器玩具减压陀螺儿童最爱生日礼物节日礼物成人陀螺用品")</f>
        <v>减压神器玩具减压陀螺儿童最爱生日礼物节日礼物成人陀螺用品</v>
      </c>
      <c r="E1630" s="1" t="str">
        <f>IFERROR(__xludf.DUMMYFUNCTION("CONCATENATE(GOOGLETRANSLATE(C1630, ""en"", ""ko""))"),"감압 유물 장난감 스트레스 릴리프 팽이 어린이가 좋아하는 생일 선물 휴일 선물 성인 회전 용품")</f>
        <v>감압 유물 장난감 스트레스 릴리프 팽이 어린이가 좋아하는 생일 선물 휴일 선물 성인 회전 용품</v>
      </c>
      <c r="F1630" s="1" t="str">
        <f>IFERROR(__xludf.DUMMYFUNCTION("CONCATENATE(GOOGLETRANSLATE(C1630, ""en"", ""ja""))"),"減圧アーティファクトおもちゃストレスリリーフこま子供のお気に入りの誕生日プレゼントホリデーギフト大人のこま用品")</f>
        <v>減圧アーティファクトおもちゃストレスリリーフこま子供のお気に入りの誕生日プレゼントホリデーギフト大人のこま用品</v>
      </c>
    </row>
    <row r="1631" ht="15.75" customHeight="1">
      <c r="A1631" s="1">
        <v>3104.0</v>
      </c>
      <c r="B1631" s="1" t="s">
        <v>381</v>
      </c>
      <c r="C1631" s="1" t="s">
        <v>1611</v>
      </c>
      <c r="D1631" s="1" t="str">
        <f>IFERROR(__xludf.DUMMYFUNCTION("CONCATENATE(GOOGLETRANSLATE(C1631, ""en"", ""zh-cn""))"),"3D樱花贺卡DIY手工3D立体激光纸雕贺卡生日礼物告白贺卡")</f>
        <v>3D樱花贺卡DIY手工3D立体激光纸雕贺卡生日礼物告白贺卡</v>
      </c>
      <c r="E1631" s="1" t="str">
        <f>IFERROR(__xludf.DUMMYFUNCTION("CONCATENATE(GOOGLETRANSLATE(C1631, ""en"", ""ko""))"),"3D 벚꽃 인사말 카드 DIY 수제 3D 스테레오 레이저 종이 조각 인사말 카드 생일 선물 고백 인사말 카드")</f>
        <v>3D 벚꽃 인사말 카드 DIY 수제 3D 스테레오 레이저 종이 조각 인사말 카드 생일 선물 고백 인사말 카드</v>
      </c>
      <c r="F1631" s="1" t="str">
        <f>IFERROR(__xludf.DUMMYFUNCTION("CONCATENATE(GOOGLETRANSLATE(C1631, ""en"", ""ja""))"),"3D 桜グリーティングカード DIY 手作り 3D ステレオレーザー紙彫刻グリーティングカード誕生日ギフト告白グリーティングカード")</f>
        <v>3D 桜グリーティングカード DIY 手作り 3D ステレオレーザー紙彫刻グリーティングカード誕生日ギフト告白グリーティングカード</v>
      </c>
    </row>
    <row r="1632" ht="15.75" customHeight="1">
      <c r="A1632" s="1">
        <v>3105.0</v>
      </c>
      <c r="B1632" s="1" t="s">
        <v>381</v>
      </c>
      <c r="C1632" s="1" t="s">
        <v>1612</v>
      </c>
      <c r="D1632" s="1" t="str">
        <f>IFERROR(__xludf.DUMMYFUNCTION("CONCATENATE(GOOGLETRANSLATE(C1632, ""en"", ""zh-cn""))"),"CIDY 1卷 9/12/18/24mm 3D 压花 PVC 标签带兼容 Epson/KingJim 标签盒商务办公打印机耗材")</f>
        <v>CIDY 1卷 9/12/18/24mm 3D 压花 PVC 标签带兼容 Epson/KingJim 标签盒商务办公打印机耗材</v>
      </c>
      <c r="E1632" s="1" t="str">
        <f>IFERROR(__xludf.DUMMYFUNCTION("CONCATENATE(GOOGLETRANSLATE(C1632, ""en"", ""ko""))"),"CIDY 1 롤 9/12/18/24mm 3D 엠보싱 PVC 라벨 테이프 호환 Epson/KingJim 라벨 카세트 비즈니스 사무용 프린터 용품")</f>
        <v>CIDY 1 롤 9/12/18/24mm 3D 엠보싱 PVC 라벨 테이프 호환 Epson/KingJim 라벨 카세트 비즈니스 사무용 프린터 용품</v>
      </c>
      <c r="F1632" s="1" t="str">
        <f>IFERROR(__xludf.DUMMYFUNCTION("CONCATENATE(GOOGLETRANSLATE(C1632, ""en"", ""ja""))"),"CIDY 1 ロール 9/12/18/24 ミリメートル 3D エンボス PVC ラベルテープ互換エプソン/キングジムラベルカセットビジネスオフィスプリンタ用品")</f>
        <v>CIDY 1 ロール 9/12/18/24 ミリメートル 3D エンボス PVC ラベルテープ互換エプソン/キングジムラベルカセットビジネスオフィスプリンタ用品</v>
      </c>
    </row>
    <row r="1633" ht="15.75" customHeight="1">
      <c r="A1633" s="1">
        <v>3106.0</v>
      </c>
      <c r="B1633" s="1" t="s">
        <v>381</v>
      </c>
      <c r="C1633" s="1" t="s">
        <v>1613</v>
      </c>
      <c r="D1633" s="1" t="str">
        <f>IFERROR(__xludf.DUMMYFUNCTION("CONCATENATE(GOOGLETRANSLATE(C1633, ""en"", ""zh-cn""))"),"复古月亮系列木印章 DIY 工艺木制橡胶印章剪贴簿文具剪贴簿标准邮票")</f>
        <v>复古月亮系列木印章 DIY 工艺木制橡胶印章剪贴簿文具剪贴簿标准邮票</v>
      </c>
      <c r="E1633" s="1" t="str">
        <f>IFERROR(__xludf.DUMMYFUNCTION("CONCATENATE(GOOGLETRANSLATE(C1633, ""en"", ""ko""))"),"빈티지 문 시리즈 나무 인감 DIY 공예 Scrapbooking 편지지 Scrapbooking 표준 스탬프에 대 한 나무 고무 스탬프")</f>
        <v>빈티지 문 시리즈 나무 인감 DIY 공예 Scrapbooking 편지지 Scrapbooking 표준 스탬프에 대 한 나무 고무 스탬프</v>
      </c>
      <c r="F1633" s="1" t="str">
        <f>IFERROR(__xludf.DUMMYFUNCTION("CONCATENATE(GOOGLETRANSLATE(C1633, ""en"", ""ja""))"),"ヴィンテージムーンシリーズウッドシール DIY クラフト木製ゴム印スクラップブッキング用文房具スクラップブッキング標準スタンプ")</f>
        <v>ヴィンテージムーンシリーズウッドシール DIY クラフト木製ゴム印スクラップブッキング用文房具スクラップブッキング標準スタンプ</v>
      </c>
    </row>
    <row r="1634" ht="15.75" customHeight="1">
      <c r="A1634" s="1">
        <v>3107.0</v>
      </c>
      <c r="B1634" s="1" t="s">
        <v>381</v>
      </c>
      <c r="C1634" s="1" t="s">
        <v>1614</v>
      </c>
      <c r="D1634" s="1" t="str">
        <f>IFERROR(__xludf.DUMMYFUNCTION("CONCATENATE(GOOGLETRANSLATE(C1634, ""en"", ""zh-cn""))"),"活塞水笔 水性吸墨笔 书法笔 油漆刷 绘画美术用品")</f>
        <v>活塞水笔 水性吸墨笔 书法笔 油漆刷 绘画美术用品</v>
      </c>
      <c r="E1634" s="1" t="str">
        <f>IFERROR(__xludf.DUMMYFUNCTION("CONCATENATE(GOOGLETRANSLATE(C1634, ""en"", ""ko""))"),"피스톤 워터 브러쉬 Funtain Like Water 잉크 흡수 펜 서예 펜 페인트 브러시 드로잉 미술 용품")</f>
        <v>피스톤 워터 브러쉬 Funtain Like Water 잉크 흡수 펜 서예 펜 페인트 브러시 드로잉 미술 용품</v>
      </c>
      <c r="F1634" s="1" t="str">
        <f>IFERROR(__xludf.DUMMYFUNCTION("CONCATENATE(GOOGLETRANSLATE(C1634, ""en"", ""ja""))"),"ピストン水ブラシ Funtain のような水インク吸収ペン書道ペンペイントブラシ描画画材")</f>
        <v>ピストン水ブラシ Funtain のような水インク吸収ペン書道ペンペイントブラシ描画画材</v>
      </c>
    </row>
    <row r="1635" ht="15.75" customHeight="1">
      <c r="A1635" s="1">
        <v>3108.0</v>
      </c>
      <c r="B1635" s="1" t="s">
        <v>381</v>
      </c>
      <c r="C1635" s="1" t="s">
        <v>1615</v>
      </c>
      <c r="D1635" s="1" t="str">
        <f>IFERROR(__xludf.DUMMYFUNCTION("CONCATENATE(GOOGLETRANSLATE(C1635, ""en"", ""zh-cn""))"),"3D DIY 墙贴自粘仿真瓷砖砖防水可拆卸墙贴花家庭办公室客厅卧室墙壁装饰")</f>
        <v>3D DIY 墙贴自粘仿真瓷砖砖防水可拆卸墙贴花家庭办公室客厅卧室墙壁装饰</v>
      </c>
      <c r="E1635" s="1" t="str">
        <f>IFERROR(__xludf.DUMMYFUNCTION("CONCATENATE(GOOGLETRANSLATE(C1635, ""en"", ""ko""))"),"3D DIY 벽 스티커 자기 접착 시뮬레이션 타일 벽돌 방수 이동식 벽 데칼 홈 오피스 거실 침실 벽 장식")</f>
        <v>3D DIY 벽 스티커 자기 접착 시뮬레이션 타일 벽돌 방수 이동식 벽 데칼 홈 오피스 거실 침실 벽 장식</v>
      </c>
      <c r="F1635" s="1" t="str">
        <f>IFERROR(__xludf.DUMMYFUNCTION("CONCATENATE(GOOGLETRANSLATE(C1635, ""en"", ""ja""))"),"3D DIY ウォールステッカー自己粘着シミュレーションタイルレンガ防水リムーバブルウォールステッカーホームオフィスリビングルーム寝室の壁の装飾")</f>
        <v>3D DIY ウォールステッカー自己粘着シミュレーションタイルレンガ防水リムーバブルウォールステッカーホームオフィスリビングルーム寝室の壁の装飾</v>
      </c>
    </row>
    <row r="1636" ht="15.75" customHeight="1">
      <c r="A1636" s="1">
        <v>3109.0</v>
      </c>
      <c r="B1636" s="1" t="s">
        <v>381</v>
      </c>
      <c r="C1636" s="1" t="s">
        <v>1616</v>
      </c>
      <c r="D1636" s="1" t="str">
        <f>IFERROR(__xludf.DUMMYFUNCTION("CONCATENATE(GOOGLETRANSLATE(C1636, ""en"", ""zh-cn""))"),"TWO TREES® 1.2M 美国/欧盟/英国/澳大利亚标准电源线，带 CE 认证电源连接器，适用于所有桌面 3D 打印机")</f>
        <v>TWO TREES® 1.2M 美国/欧盟/英国/澳大利亚标准电源线，带 CE 认证电源连接器，适用于所有桌面 3D 打印机</v>
      </c>
      <c r="E1636" s="1" t="str">
        <f>IFERROR(__xludf.DUMMYFUNCTION("CONCATENATE(GOOGLETRANSLATE(C1636, ""en"", ""ko""))"),"모든 데스크탑 3D 프린터용 CE 인증 전원 공급 장치 커넥터가 있는 TWO TREES® 1.2M US/EU/UK/AU 표준 전원 코드")</f>
        <v>모든 데스크탑 3D 프린터용 CE 인증 전원 공급 장치 커넥터가 있는 TWO TREES® 1.2M US/EU/UK/AU 표준 전원 코드</v>
      </c>
      <c r="F1636" s="1" t="str">
        <f>IFERROR(__xludf.DUMMYFUNCTION("CONCATENATE(GOOGLETRANSLATE(C1636, ""en"", ""ja""))"),"TWO TREES® 1.2M US/EU/UK/AU 標準電源コード、CE 認証電源コネクタ付き、すべてのデスクトップ 3D プリンタ用")</f>
        <v>TWO TREES® 1.2M US/EU/UK/AU 標準電源コード、CE 認証電源コネクタ付き、すべてのデスクトップ 3D プリンタ用</v>
      </c>
    </row>
    <row r="1637" ht="15.75" customHeight="1">
      <c r="A1637" s="1">
        <v>3110.0</v>
      </c>
      <c r="B1637" s="1" t="s">
        <v>381</v>
      </c>
      <c r="C1637" s="1" t="s">
        <v>1617</v>
      </c>
      <c r="D1637" s="1" t="str">
        <f>IFERROR(__xludf.DUMMYFUNCTION("CONCATENATE(GOOGLETRANSLATE(C1637, ""en"", ""zh-cn""))"),"灰色别致的墙壁照片背景壁炉冬季圣诞树蜡烛礼物儿童玩具地板派对照片背景")</f>
        <v>灰色别致的墙壁照片背景壁炉冬季圣诞树蜡烛礼物儿童玩具地板派对照片背景</v>
      </c>
      <c r="E1637" s="1" t="str">
        <f>IFERROR(__xludf.DUMMYFUNCTION("CONCATENATE(GOOGLETRANSLATE(C1637, ""en"", ""ko""))"),"회색 세련된 벽 사진 배경 벽난로 겨울 크리스마스 트리 촛불 선물 아이 장난감 층 파티 사진 배경")</f>
        <v>회색 세련된 벽 사진 배경 벽난로 겨울 크리스마스 트리 촛불 선물 아이 장난감 층 파티 사진 배경</v>
      </c>
      <c r="F1637" s="1" t="str">
        <f>IFERROR(__xludf.DUMMYFUNCTION("CONCATENATE(GOOGLETRANSLATE(C1637, ""en"", ""ja""))"),"グレーシックな壁の写真の背景暖炉冬クリスマスツリーキャンドルギフト子供のおもちゃの床パーティー写真の背景")</f>
        <v>グレーシックな壁の写真の背景暖炉冬クリスマスツリーキャンドルギフト子供のおもちゃの床パーティー写真の背景</v>
      </c>
    </row>
    <row r="1638" ht="15.75" customHeight="1">
      <c r="A1638" s="1">
        <v>3111.0</v>
      </c>
      <c r="B1638" s="1" t="s">
        <v>381</v>
      </c>
      <c r="C1638" s="1" t="s">
        <v>1618</v>
      </c>
      <c r="D1638" s="1" t="str">
        <f>IFERROR(__xludf.DUMMYFUNCTION("CONCATENATE(GOOGLETRANSLATE(C1638, ""en"", ""zh-cn""))"),"2020 年计划笔记本记事本 365 天日记本记事本日记议程行政办公室学校用品文具11")</f>
        <v>2020 年计划笔记本记事本 365 天日记本记事本日记议程行政办公室学校用品文具11</v>
      </c>
      <c r="E1638" s="1" t="str">
        <f>IFERROR(__xludf.DUMMYFUNCTION("CONCATENATE(GOOGLETRANSLATE(C1638, ""en"", ""ko""))"),"2020 년 플래너 노트 메모장 365 일 일기 주최자 저널 의제 임원 사무실 학교 용품 편지지11")</f>
        <v>2020 년 플래너 노트 메모장 365 일 일기 주최자 저널 의제 임원 사무실 학교 용품 편지지11</v>
      </c>
      <c r="F1638" s="1" t="str">
        <f>IFERROR(__xludf.DUMMYFUNCTION("CONCATENATE(GOOGLETRANSLATE(C1638, ""en"", ""ja""))"),"2020 年プランナーノートブックメモ帳 365 日日記オーガナイザージャーナルアジェンダエグゼクティブオフィス学用品文具 11")</f>
        <v>2020 年プランナーノートブックメモ帳 365 日日記オーガナイザージャーナルアジェンダエグゼクティブオフィス学用品文具 11</v>
      </c>
    </row>
    <row r="1639" ht="15.75" customHeight="1">
      <c r="A1639" s="1">
        <v>3112.0</v>
      </c>
      <c r="B1639" s="1" t="s">
        <v>381</v>
      </c>
      <c r="C1639" s="1" t="s">
        <v>1619</v>
      </c>
      <c r="D1639" s="1" t="str">
        <f>IFERROR(__xludf.DUMMYFUNCTION("CONCATENATE(GOOGLETRANSLATE(C1639, ""en"", ""zh-cn""))"),"DIY 墙贴自粘 PVC 防水可拆卸墙贴花家庭办公室客厅卧室墙壁装饰")</f>
        <v>DIY 墙贴自粘 PVC 防水可拆卸墙贴花家庭办公室客厅卧室墙壁装饰</v>
      </c>
      <c r="E1639" s="1" t="str">
        <f>IFERROR(__xludf.DUMMYFUNCTION("CONCATENATE(GOOGLETRANSLATE(C1639, ""en"", ""ko""))"),"DIY 벽 스티커 자기 접착 PVC 방수 이동식 벽 데칼 홈 오피스 거실 침실 벽 장식")</f>
        <v>DIY 벽 스티커 자기 접착 PVC 방수 이동식 벽 데칼 홈 오피스 거실 침실 벽 장식</v>
      </c>
      <c r="F1639" s="1" t="str">
        <f>IFERROR(__xludf.DUMMYFUNCTION("CONCATENATE(GOOGLETRANSLATE(C1639, ""en"", ""ja""))"),"DIY ウォールステッカー自己粘着 PVC 防水取り外し可能な壁用ステッカーホームオフィスリビングルーム寝室の壁の装飾")</f>
        <v>DIY ウォールステッカー自己粘着 PVC 防水取り外し可能な壁用ステッカーホームオフィスリビングルーム寝室の壁の装飾</v>
      </c>
    </row>
    <row r="1640" ht="15.75" customHeight="1">
      <c r="A1640" s="1">
        <v>3113.0</v>
      </c>
      <c r="B1640" s="1" t="s">
        <v>381</v>
      </c>
      <c r="C1640" s="1" t="s">
        <v>1620</v>
      </c>
      <c r="D1640" s="1" t="str">
        <f>IFERROR(__xludf.DUMMYFUNCTION("CONCATENATE(GOOGLETRANSLATE(C1640, ""en"", ""zh-cn""))"),"24 件仿真彩色复古瓷砖贴家居装饰自粘防水 DIY 墙贴地板贴")</f>
        <v>24 件仿真彩色复古瓷砖贴家居装饰自粘防水 DIY 墙贴地板贴</v>
      </c>
      <c r="E1640" s="1" t="str">
        <f>IFERROR(__xludf.DUMMYFUNCTION("CONCATENATE(GOOGLETRANSLATE(C1640, ""en"", ""ko""))"),"24Pcs 시뮬레이션 색상 레트로 타일 스티커 홈 인테리어 자기 접착 방수 DIY 벽 스티커 바닥 스티커")</f>
        <v>24Pcs 시뮬레이션 색상 레트로 타일 스티커 홈 인테리어 자기 접착 방수 DIY 벽 스티커 바닥 스티커</v>
      </c>
      <c r="F1640" s="1" t="str">
        <f>IFERROR(__xludf.DUMMYFUNCTION("CONCATENATE(GOOGLETRANSLATE(C1640, ""en"", ""ja""))"),"24 個シミュレーションカラーレトロタイルステッカー家の装飾自己粘着防水 DIY ウォールステッカー床ステッカー")</f>
        <v>24 個シミュレーションカラーレトロタイルステッカー家の装飾自己粘着防水 DIY ウォールステッカー床ステッカー</v>
      </c>
    </row>
    <row r="1641" ht="15.75" customHeight="1">
      <c r="A1641" s="1">
        <v>3114.0</v>
      </c>
      <c r="B1641" s="1" t="s">
        <v>381</v>
      </c>
      <c r="C1641" s="1" t="s">
        <v>1621</v>
      </c>
      <c r="D1641" s="1" t="str">
        <f>IFERROR(__xludf.DUMMYFUNCTION("CONCATENATE(GOOGLETRANSLATE(C1641, ""en"", ""zh-cn""))"),"厨房储物架水槽架下书架桌面节省空间收纳架")</f>
        <v>厨房储物架水槽架下书架桌面节省空间收纳架</v>
      </c>
      <c r="E1641" s="1" t="str">
        <f>IFERROR(__xludf.DUMMYFUNCTION("CONCATENATE(GOOGLETRANSLATE(C1641, ""en"", ""ko""))"),"싱크대 아래 주방 수납 선반 책 스탠드 데스크탑 공간 절약형 정리 홀더")</f>
        <v>싱크대 아래 주방 수납 선반 책 스탠드 데스크탑 공간 절약형 정리 홀더</v>
      </c>
      <c r="F1641" s="1" t="str">
        <f>IFERROR(__xludf.DUMMYFUNCTION("CONCATENATE(GOOGLETRANSLATE(C1641, ""en"", ""ja""))"),"キッチン収納ラック シンク下棚 本スタンド デスクトップ省スペースオーガナイザーホルダー")</f>
        <v>キッチン収納ラック シンク下棚 本スタンド デスクトップ省スペースオーガナイザーホルダー</v>
      </c>
    </row>
    <row r="1642" ht="15.75" customHeight="1">
      <c r="A1642" s="1">
        <v>3115.0</v>
      </c>
      <c r="B1642" s="1" t="s">
        <v>381</v>
      </c>
      <c r="C1642" s="1" t="s">
        <v>1622</v>
      </c>
      <c r="D1642" s="1" t="str">
        <f>IFERROR(__xludf.DUMMYFUNCTION("CONCATENATE(GOOGLETRANSLATE(C1642, ""en"", ""zh-cn""))"),"Maries C6143 塑料橡胶橡皮擦柔软可撕无废料橡胶专业素描绘图橡皮学校办公用品")</f>
        <v>Maries C6143 塑料橡胶橡皮擦柔软可撕无废料橡胶专业素描绘图橡皮学校办公用品</v>
      </c>
      <c r="E1642" s="1" t="str">
        <f>IFERROR(__xludf.DUMMYFUNCTION("CONCATENATE(GOOGLETRANSLATE(C1642, ""en"", ""ko""))"),"Maries C6143 플라스틱 고무 지우개 부드러운 Tearable 스크랩 없음 고무 전문 스케치 드로잉 지우개 학교 사무용품")</f>
        <v>Maries C6143 플라스틱 고무 지우개 부드러운 Tearable 스크랩 없음 고무 전문 스케치 드로잉 지우개 학교 사무용품</v>
      </c>
      <c r="F1642" s="1" t="str">
        <f>IFERROR(__xludf.DUMMYFUNCTION("CONCATENATE(GOOGLETRANSLATE(C1642, ""en"", ""ja""))"),"マリーズ C6143 プラスチック消しゴムソフト引き裂き可能スクラップなしゴムプロのスケッチ描画消しゴム学校事務用品")</f>
        <v>マリーズ C6143 プラスチック消しゴムソフト引き裂き可能スクラップなしゴムプロのスケッチ描画消しゴム学校事務用品</v>
      </c>
    </row>
    <row r="1643" ht="15.75" customHeight="1">
      <c r="A1643" s="1">
        <v>3116.0</v>
      </c>
      <c r="B1643" s="1" t="s">
        <v>381</v>
      </c>
      <c r="C1643" s="1" t="s">
        <v>1623</v>
      </c>
      <c r="D1643" s="1" t="str">
        <f>IFERROR(__xludf.DUMMYFUNCTION("CONCATENATE(GOOGLETRANSLATE(C1643, ""en"", ""zh-cn""))"),"1 件创意收纳盒 Vanzlife 积木形状塑料节省空间盒叠加桌面方便办公家政桌面收纳盒")</f>
        <v>1 件创意收纳盒 Vanzlife 积木形状塑料节省空间盒叠加桌面方便办公家政桌面收纳盒</v>
      </c>
      <c r="E1643" s="1" t="str">
        <f>IFERROR(__xludf.DUMMYFUNCTION("CONCATENATE(GOOGLETRANSLATE(C1643, ""en"", ""ko""))"),"1pc 크리 에이 티브 스토리지 박스 Vanzlife 빌딩 블록 모양 플라스틱 절약 공간 상자 겹쳐진 데스크탑 핸디 오피스 하우스 데스크탑 주최자 유지")</f>
        <v>1pc 크리 에이 티브 스토리지 박스 Vanzlife 빌딩 블록 모양 플라스틱 절약 공간 상자 겹쳐진 데스크탑 핸디 오피스 하우스 데스크탑 주최자 유지</v>
      </c>
      <c r="F1643" s="1" t="str">
        <f>IFERROR(__xludf.DUMMYFUNCTION("CONCATENATE(GOOGLETRANSLATE(C1643, ""en"", ""ja""))"),"1pc クリエイティブ収納ボックス Vanzlife ビルディングブロック形状プラスチック節約スペースボックス重畳デスクトップハンディオフィスハウスキーピングデスクトップオーガナイザー")</f>
        <v>1pc クリエイティブ収納ボックス Vanzlife ビルディングブロック形状プラスチック節約スペースボックス重畳デスクトップハンディオフィスハウスキーピングデスクトップオーガナイザー</v>
      </c>
    </row>
    <row r="1644" ht="15.75" customHeight="1">
      <c r="A1644" s="1">
        <v>3117.0</v>
      </c>
      <c r="B1644" s="1" t="s">
        <v>381</v>
      </c>
      <c r="C1644" s="1" t="s">
        <v>1624</v>
      </c>
      <c r="D1644" s="1" t="str">
        <f>IFERROR(__xludf.DUMMYFUNCTION("CONCATENATE(GOOGLETRANSLATE(C1644, ""en"", ""zh-cn""))"),"DIY 木制电脑显示器支架电脑支架办公桌收纳架底座带储物收纳抽屉")</f>
        <v>DIY 木制电脑显示器支架电脑支架办公桌收纳架底座带储物收纳抽屉</v>
      </c>
      <c r="E1644" s="1" t="str">
        <f>IFERROR(__xludf.DUMMYFUNCTION("CONCATENATE(GOOGLETRANSLATE(C1644, ""en"", ""ko""))"),"DIY 나무 컴퓨터 모니터 스탠드 홀더 컴퓨터 라이저 데스크 주최자 스토리지 주최자 서랍이있는 스탠드베이스")</f>
        <v>DIY 나무 컴퓨터 모니터 스탠드 홀더 컴퓨터 라이저 데스크 주최자 스토리지 주최자 서랍이있는 스탠드베이스</v>
      </c>
      <c r="F1644" s="1" t="str">
        <f>IFERROR(__xludf.DUMMYFUNCTION("CONCATENATE(GOOGLETRANSLATE(C1644, ""en"", ""ja""))"),"DIY 木製コンピュータモニタースタンドホルダーコンピュータライザーデスクオーガナイザースタンドベース収納オーガナイザー引き出し付き")</f>
        <v>DIY 木製コンピュータモニタースタンドホルダーコンピュータライザーデスクオーガナイザースタンドベース収納オーガナイザー引き出し付き</v>
      </c>
    </row>
    <row r="1645" ht="15.75" customHeight="1">
      <c r="A1645" s="1">
        <v>3118.0</v>
      </c>
      <c r="B1645" s="1" t="s">
        <v>381</v>
      </c>
      <c r="C1645" s="1" t="s">
        <v>1625</v>
      </c>
      <c r="D1645" s="1" t="str">
        <f>IFERROR(__xludf.DUMMYFUNCTION("CONCATENATE(GOOGLETRANSLATE(C1645, ""en"", ""zh-cn""))"),"墙壁支架搁板架复古膜片支撑架书架")</f>
        <v>墙壁支架搁板架复古膜片支撑架书架</v>
      </c>
      <c r="E1645" s="1" t="str">
        <f>IFERROR(__xludf.DUMMYFUNCTION("CONCATENATE(GOOGLETRANSLATE(C1645, ""en"", ""ko""))"),"책장용 벽 브래킷 선반 랙 레트로 다이어프램 지지 브래킷")</f>
        <v>책장용 벽 브래킷 선반 랙 레트로 다이어프램 지지 브래킷</v>
      </c>
      <c r="F1645" s="1" t="str">
        <f>IFERROR(__xludf.DUMMYFUNCTION("CONCATENATE(GOOGLETRANSLATE(C1645, ""en"", ""ja""))"),"壁ブラケット棚ラック本棚用レトロダイヤフラムサポートブラケット")</f>
        <v>壁ブラケット棚ラック本棚用レトロダイヤフラムサポートブラケット</v>
      </c>
    </row>
    <row r="1646" ht="15.75" customHeight="1">
      <c r="A1646" s="1">
        <v>3119.0</v>
      </c>
      <c r="B1646" s="1" t="s">
        <v>381</v>
      </c>
      <c r="C1646" s="1" t="s">
        <v>1626</v>
      </c>
      <c r="D1646" s="1" t="str">
        <f>IFERROR(__xludf.DUMMYFUNCTION("CONCATENATE(GOOGLETRANSLATE(C1646, ""en"", ""zh-cn""))"),"1 件 2021 年英文版台历挂历年度计划表商务办公室学校家居装饰每日计划")</f>
        <v>1 件 2021 年英文版台历挂历年度计划表商务办公室学校家居装饰每日计划</v>
      </c>
      <c r="E1646" s="1" t="str">
        <f>IFERROR(__xludf.DUMMYFUNCTION("CONCATENATE(GOOGLETRANSLATE(C1646, ""en"", ""ko""))"),"1pc 2021 영어 버전 책상 달력 벽 달력 연도 플래너 비즈니스 사무실 학교 홈 장식을위한 일일 계획")</f>
        <v>1pc 2021 영어 버전 책상 달력 벽 달력 연도 플래너 비즈니스 사무실 학교 홈 장식을위한 일일 계획</v>
      </c>
      <c r="F1646" s="1" t="str">
        <f>IFERROR(__xludf.DUMMYFUNCTION("CONCATENATE(GOOGLETRANSLATE(C1646, ""en"", ""ja""))"),"1pc 2021 英語版卓上カレンダー壁掛けカレンダー年プランナー毎日の計画ビジネスオフィス学校家の装飾")</f>
        <v>1pc 2021 英語版卓上カレンダー壁掛けカレンダー年プランナー毎日の計画ビジネスオフィス学校家の装飾</v>
      </c>
    </row>
    <row r="1647" ht="15.75" customHeight="1">
      <c r="A1647" s="1">
        <v>3120.0</v>
      </c>
      <c r="B1647" s="1" t="s">
        <v>381</v>
      </c>
      <c r="C1647" s="1" t="s">
        <v>1627</v>
      </c>
      <c r="D1647" s="1" t="str">
        <f>IFERROR(__xludf.DUMMYFUNCTION("CONCATENATE(GOOGLETRANSLATE(C1647, ""en"", ""zh-cn""))"),"Nyoni N3031 14支/套素描铅笔初学者学生专业全套绘图铅笔学校户外绘画艺术文具")</f>
        <v>Nyoni N3031 14支/套素描铅笔初学者学生专业全套绘图铅笔学校户外绘画艺术文具</v>
      </c>
      <c r="E1647" s="1" t="str">
        <f>IFERROR(__xludf.DUMMYFUNCTION("CONCATENATE(GOOGLETRANSLATE(C1647, ""en"", ""ko""))"),"Nyoni N3031 14 개/대 스케치 연필 초급 학생 전문 풀 세트 드로잉 연필 학교 야외 그림에 대 한 미술 편지지")</f>
        <v>Nyoni N3031 14 개/대 스케치 연필 초급 학생 전문 풀 세트 드로잉 연필 학교 야외 그림에 대 한 미술 편지지</v>
      </c>
      <c r="F1647" s="1" t="str">
        <f>IFERROR(__xludf.DUMMYFUNCTION("CONCATENATE(GOOGLETRANSLATE(C1647, ""en"", ""ja""))"),"Nyoni N3031 14 ピース/セットスケッチ鉛筆初心者学生プロフェッショナルフルセット描画鉛筆アート文具学校屋外絵画")</f>
        <v>Nyoni N3031 14 ピース/セットスケッチ鉛筆初心者学生プロフェッショナルフルセット描画鉛筆アート文具学校屋外絵画</v>
      </c>
    </row>
    <row r="1648" ht="15.75" customHeight="1">
      <c r="A1648" s="1">
        <v>3121.0</v>
      </c>
      <c r="B1648" s="1" t="s">
        <v>381</v>
      </c>
      <c r="C1648" s="1" t="s">
        <v>1628</v>
      </c>
      <c r="D1648" s="1" t="str">
        <f>IFERROR(__xludf.DUMMYFUNCTION("CONCATENATE(GOOGLETRANSLATE(C1648, ""en"", ""zh-cn""))"),"AULA S602 有线游戏耳机低音立体声耳机 RGB 灯光游戏耳机降噪带麦克风适用于台式电脑 PC")</f>
        <v>AULA S602 有线游戏耳机低音立体声耳机 RGB 灯光游戏耳机降噪带麦克风适用于台式电脑 PC</v>
      </c>
      <c r="E1648" s="1" t="str">
        <f>IFERROR(__xludf.DUMMYFUNCTION("CONCATENATE(GOOGLETRANSLATE(C1648, ""en"", ""ko""))"),"AULA S602 유선 게임용 헤드셋 베이스 스테레오 이어폰 RGB 라이트 게임 헤드폰 데스크탑 컴퓨터 PC용 마이크가 있는 소음 차단")</f>
        <v>AULA S602 유선 게임용 헤드셋 베이스 스테레오 이어폰 RGB 라이트 게임 헤드폰 데스크탑 컴퓨터 PC용 마이크가 있는 소음 차단</v>
      </c>
      <c r="F1648" s="1" t="str">
        <f>IFERROR(__xludf.DUMMYFUNCTION("CONCATENATE(GOOGLETRANSLATE(C1648, ""en"", ""ja""))"),"AULA S602 有線ゲーミングヘッドセット低音ステレオイヤホン RGB ライトゲームヘッドフォンノイズキャンセリングマイク付きデスクトップコンピュータ PC")</f>
        <v>AULA S602 有線ゲーミングヘッドセット低音ステレオイヤホン RGB ライトゲームヘッドフォンノイズキャンセリングマイク付きデスクトップコンピュータ PC</v>
      </c>
    </row>
    <row r="1649" ht="15.75" customHeight="1">
      <c r="A1649" s="1">
        <v>3122.0</v>
      </c>
      <c r="B1649" s="1" t="s">
        <v>381</v>
      </c>
      <c r="C1649" s="1" t="s">
        <v>1629</v>
      </c>
      <c r="D1649" s="1" t="str">
        <f>IFERROR(__xludf.DUMMYFUNCTION("CONCATENATE(GOOGLETRANSLATE(C1649, ""en"", ""zh-cn""))"),"Maries C6145 塑料橡胶橡皮擦柔软可撕无废料橡胶专业绘图素描高光橡皮擦")</f>
        <v>Maries C6145 塑料橡胶橡皮擦柔软可撕无废料橡胶专业绘图素描高光橡皮擦</v>
      </c>
      <c r="E1649" s="1" t="str">
        <f>IFERROR(__xludf.DUMMYFUNCTION("CONCATENATE(GOOGLETRANSLATE(C1649, ""en"", ""ko""))"),"Maries C6145 플라스틱 고무 지우개 부드러운 찢김 가능 스크랩 없음 고무 전문 드로잉 스케치 하이라이트 지우개")</f>
        <v>Maries C6145 플라스틱 고무 지우개 부드러운 찢김 가능 스크랩 없음 고무 전문 드로잉 스케치 하이라이트 지우개</v>
      </c>
      <c r="F1649" s="1" t="str">
        <f>IFERROR(__xludf.DUMMYFUNCTION("CONCATENATE(GOOGLETRANSLATE(C1649, ""en"", ""ja""))"),"マリーズ C6145 プラスチックゴム消しゴムソフト引き裂き可能スクラップなしゴムプロの描画スケッチハイライト消しゴム")</f>
        <v>マリーズ C6145 プラスチックゴム消しゴムソフト引き裂き可能スクラップなしゴムプロの描画スケッチハイライト消しゴム</v>
      </c>
    </row>
    <row r="1650" ht="15.75" customHeight="1">
      <c r="A1650" s="1">
        <v>3123.0</v>
      </c>
      <c r="B1650" s="1" t="s">
        <v>381</v>
      </c>
      <c r="C1650" s="1" t="s">
        <v>1630</v>
      </c>
      <c r="D1650" s="1" t="str">
        <f>IFERROR(__xludf.DUMMYFUNCTION("CONCATENATE(GOOGLETRANSLATE(C1650, ""en"", ""zh-cn""))"),"Tenwin MS8305电动橡皮擦省电自动旋转电动橡皮擦素描绘图橡皮文具绘画用品")</f>
        <v>Tenwin MS8305电动橡皮擦省电自动旋转电动橡皮擦素描绘图橡皮文具绘画用品</v>
      </c>
      <c r="E1650" s="1" t="str">
        <f>IFERROR(__xludf.DUMMYFUNCTION("CONCATENATE(GOOGLETRANSLATE(C1650, ""en"", ""ko""))"),"Tenwin MS8305 전기 지우개 절전 자동 회전 전기 지우개 스케치 그리기 지우개 편지지 그림 용품")</f>
        <v>Tenwin MS8305 전기 지우개 절전 자동 회전 전기 지우개 스케치 그리기 지우개 편지지 그림 용품</v>
      </c>
      <c r="F1650" s="1" t="str">
        <f>IFERROR(__xludf.DUMMYFUNCTION("CONCATENATE(GOOGLETRANSLATE(C1650, ""en"", ""ja""))"),"Tenwin MS8305 電動消しゴム省電力自動回転電動消しゴムスケッチ描画消しゴム文具絵画用品")</f>
        <v>Tenwin MS8305 電動消しゴム省電力自動回転電動消しゴムスケッチ描画消しゴム文具絵画用品</v>
      </c>
    </row>
    <row r="1651" ht="15.75" customHeight="1">
      <c r="A1651" s="1">
        <v>3124.0</v>
      </c>
      <c r="B1651" s="1" t="s">
        <v>381</v>
      </c>
      <c r="C1651" s="1" t="s">
        <v>1631</v>
      </c>
      <c r="D1651" s="1" t="str">
        <f>IFERROR(__xludf.DUMMYFUNCTION("CONCATENATE(GOOGLETRANSLATE(C1651, ""en"", ""zh-cn""))"),"1 件装水滴手扭陀螺仪不锈钢喷砂版桌面陀螺陀螺玩具成人抗压力")</f>
        <v>1 件装水滴手扭陀螺仪不锈钢喷砂版桌面陀螺陀螺玩具成人抗压力</v>
      </c>
      <c r="E1651" s="1" t="str">
        <f>IFERROR(__xludf.DUMMYFUNCTION("CONCATENATE(GOOGLETRANSLATE(C1651, ""en"", ""ko""))"),"1pc 워터 드롭 손으로 꼬인 자이로 스테인레스 스틸 샌드 블라스팅 버전 데스크탑 스피너 스피닝 탑 장난감 성인을위한 안티 스트레스")</f>
        <v>1pc 워터 드롭 손으로 꼬인 자이로 스테인레스 스틸 샌드 블라스팅 버전 데스크탑 스피너 스피닝 탑 장난감 성인을위한 안티 스트레스</v>
      </c>
      <c r="F1651" s="1" t="str">
        <f>IFERROR(__xludf.DUMMYFUNCTION("CONCATENATE(GOOGLETRANSLATE(C1651, ""en"", ""ja""))"),"1pc 水滴手ねじりジャイロステンレス鋼サンドブラストバージョンデスクトップスピナーこまおもちゃ抗ストレス大人のための")</f>
        <v>1pc 水滴手ねじりジャイロステンレス鋼サンドブラストバージョンデスクトップスピナーこまおもちゃ抗ストレス大人のための</v>
      </c>
    </row>
    <row r="1652" ht="15.75" customHeight="1">
      <c r="A1652" s="1">
        <v>3125.0</v>
      </c>
      <c r="B1652" s="1" t="s">
        <v>381</v>
      </c>
      <c r="C1652" s="1" t="s">
        <v>1632</v>
      </c>
      <c r="D1652" s="1" t="str">
        <f>IFERROR(__xludf.DUMMYFUNCTION("CONCATENATE(GOOGLETRANSLATE(C1652, ""en"", ""zh-cn""))"),"5 件红色落叶帆布画秋树墙壁装饰印刷艺术图片无框壁挂家庭办公室装饰品")</f>
        <v>5 件红色落叶帆布画秋树墙壁装饰印刷艺术图片无框壁挂家庭办公室装饰品</v>
      </c>
      <c r="E1652" s="1" t="str">
        <f>IFERROR(__xludf.DUMMYFUNCTION("CONCATENATE(GOOGLETRANSLATE(C1652, ""en"", ""ko""))"),"5Pcs 붉은 떨어지는 나뭇잎 캔버스 회화 가을 나무 벽 장식 인쇄 아트 그림 Unframed 벽 매달려 홈 오피스 장식")</f>
        <v>5Pcs 붉은 떨어지는 나뭇잎 캔버스 회화 가을 나무 벽 장식 인쇄 아트 그림 Unframed 벽 매달려 홈 오피스 장식</v>
      </c>
      <c r="F1652" s="1" t="str">
        <f>IFERROR(__xludf.DUMMYFUNCTION("CONCATENATE(GOOGLETRANSLATE(C1652, ""en"", ""ja""))"),"5 個赤い落ち葉キャンバス絵画秋の木壁装飾プリントアート写真非フレーム壁掛けホームオフィス装飾")</f>
        <v>5 個赤い落ち葉キャンバス絵画秋の木壁装飾プリントアート写真非フレーム壁掛けホームオフィス装飾</v>
      </c>
    </row>
    <row r="1653" ht="15.75" customHeight="1">
      <c r="A1653" s="1">
        <v>3126.0</v>
      </c>
      <c r="B1653" s="1" t="s">
        <v>381</v>
      </c>
      <c r="C1653" s="1" t="s">
        <v>1633</v>
      </c>
      <c r="D1653" s="1" t="str">
        <f>IFERROR(__xludf.DUMMYFUNCTION("CONCATENATE(GOOGLETRANSLATE(C1653, ""en"", ""zh-cn""))"),"绿色树枝和蝴蝶图案自粘卧室客厅贴纸墙壁艺术家居装饰")</f>
        <v>绿色树枝和蝴蝶图案自粘卧室客厅贴纸墙壁艺术家居装饰</v>
      </c>
      <c r="E1653" s="1" t="str">
        <f>IFERROR(__xludf.DUMMYFUNCTION("CONCATENATE(GOOGLETRANSLATE(C1653, ""en"", ""ko""))"),"녹색 가지와 나비 패턴 자체 접착 침실 거실 스티커 벽 예술 홈 장식")</f>
        <v>녹색 가지와 나비 패턴 자체 접착 침실 거실 스티커 벽 예술 홈 장식</v>
      </c>
      <c r="F1653" s="1" t="str">
        <f>IFERROR(__xludf.DUMMYFUNCTION("CONCATENATE(GOOGLETRANSLATE(C1653, ""en"", ""ja""))"),"緑の枝と蝶のパターン自己粘着寝室リビングルームステッカー壁アート家の装飾")</f>
        <v>緑の枝と蝶のパターン自己粘着寝室リビングルームステッカー壁アート家の装飾</v>
      </c>
    </row>
    <row r="1654" ht="15.75" customHeight="1">
      <c r="A1654" s="1">
        <v>3127.0</v>
      </c>
      <c r="B1654" s="1" t="s">
        <v>381</v>
      </c>
      <c r="C1654" s="1" t="s">
        <v>1634</v>
      </c>
      <c r="D1654" s="1" t="str">
        <f>IFERROR(__xludf.DUMMYFUNCTION("CONCATENATE(GOOGLETRANSLATE(C1654, ""en"", ""zh-cn""))"),"ZW106创意墙贴折叠版新款手绘蓝色渐变森林植物客厅背景墙装饰")</f>
        <v>ZW106创意墙贴折叠版新款手绘蓝色渐变森林植物客厅背景墙装饰</v>
      </c>
      <c r="E1654" s="1" t="str">
        <f>IFERROR(__xludf.DUMMYFUNCTION("CONCATENATE(GOOGLETRANSLATE(C1654, ""en"", ""ko""))"),"ZW106 크리 에이 티브 벽 스티커 새로운 손으로 그린 ​​블루 그라데이션 숲 식물 거실 배경 벽 장식의 접는 버전")</f>
        <v>ZW106 크리 에이 티브 벽 스티커 새로운 손으로 그린 ​​블루 그라데이션 숲 식물 거실 배경 벽 장식의 접는 버전</v>
      </c>
      <c r="F1654" s="1" t="str">
        <f>IFERROR(__xludf.DUMMYFUNCTION("CONCATENATE(GOOGLETRANSLATE(C1654, ""en"", ""ja""))"),"ZW106 クリエイティブウォールステッカー折りたたみバージョンの新しい手描きブルーグラデーション森林植物リビングルームの背景の壁の装飾")</f>
        <v>ZW106 クリエイティブウォールステッカー折りたたみバージョンの新しい手描きブルーグラデーション森林植物リビングルームの背景の壁の装飾</v>
      </c>
    </row>
    <row r="1655" ht="15.75" customHeight="1">
      <c r="A1655" s="1">
        <v>3128.0</v>
      </c>
      <c r="B1655" s="1" t="s">
        <v>381</v>
      </c>
      <c r="C1655" s="1" t="s">
        <v>1635</v>
      </c>
      <c r="D1655" s="1" t="str">
        <f>IFERROR(__xludf.DUMMYFUNCTION("CONCATENATE(GOOGLETRANSLATE(C1655, ""en"", ""zh-cn""))"),"创意大容量笔袋便携化妆盒防水洗漱包小学生用品文具")</f>
        <v>创意大容量笔袋便携化妆盒防水洗漱包小学生用品文具</v>
      </c>
      <c r="E1655" s="1" t="str">
        <f>IFERROR(__xludf.DUMMYFUNCTION("CONCATENATE(GOOGLETRANSLATE(C1655, ""en"", ""ko""))"),"크리 에이 티브 대용량 연필 케이스 휴대용 화장품 케이스 방수 워시 가방 학교 학생 용품 편지지")</f>
        <v>크리 에이 티브 대용량 연필 케이스 휴대용 화장품 케이스 방수 워시 가방 학교 학생 용품 편지지</v>
      </c>
      <c r="F1655" s="1" t="str">
        <f>IFERROR(__xludf.DUMMYFUNCTION("CONCATENATE(GOOGLETRANSLATE(C1655, ""en"", ""ja""))"),"クリエイティブ大容量鉛筆ケースポータブル化粧品ケース防水ウォッシュバッグ学生用品文具")</f>
        <v>クリエイティブ大容量鉛筆ケースポータブル化粧品ケース防水ウォッシュバッグ学生用品文具</v>
      </c>
    </row>
    <row r="1656" ht="15.75" customHeight="1">
      <c r="A1656" s="1">
        <v>3129.0</v>
      </c>
      <c r="B1656" s="1" t="s">
        <v>381</v>
      </c>
      <c r="C1656" s="1" t="s">
        <v>1636</v>
      </c>
      <c r="D1656" s="1" t="str">
        <f>IFERROR(__xludf.DUMMYFUNCTION("CONCATENATE(GOOGLETRANSLATE(C1656, ""en"", ""zh-cn""))"),"Newmebox卡通创意大容量文具盒机械密码锁笔袋中国风文化文具用品")</f>
        <v>Newmebox卡通创意大容量文具盒机械密码锁笔袋中国风文化文具用品</v>
      </c>
      <c r="E1656" s="1" t="str">
        <f>IFERROR(__xludf.DUMMYFUNCTION("CONCATENATE(GOOGLETRANSLATE(C1656, ""en"", ""ko""))"),"Newmebox 만화 크리 에이 티브 대용량 편지지 상자 기계 조합 잠금 연필 케이스 중국 스타일 문화 편지지 용품")</f>
        <v>Newmebox 만화 크리 에이 티브 대용량 편지지 상자 기계 조합 잠금 연필 케이스 중국 스타일 문화 편지지 용품</v>
      </c>
      <c r="F1656" s="1" t="str">
        <f>IFERROR(__xludf.DUMMYFUNCTION("CONCATENATE(GOOGLETRANSLATE(C1656, ""en"", ""ja""))"),"Newmebox 漫画クリエイティブ大容量文具箱メカニカルコンビネーションロック鉛筆ケース中国風文化文具用品")</f>
        <v>Newmebox 漫画クリエイティブ大容量文具箱メカニカルコンビネーションロック鉛筆ケース中国風文化文具用品</v>
      </c>
    </row>
    <row r="1657" ht="15.75" customHeight="1">
      <c r="A1657" s="1">
        <v>3130.0</v>
      </c>
      <c r="B1657" s="1" t="s">
        <v>381</v>
      </c>
      <c r="C1657" s="1" t="s">
        <v>1637</v>
      </c>
      <c r="D1657" s="1" t="str">
        <f>IFERROR(__xludf.DUMMYFUNCTION("CONCATENATE(GOOGLETRANSLATE(C1657, ""en"", ""zh-cn""))"),"120 件机械键盘开关贴纸薄膜轴垫片贴纸 PORON EVA IXPE 材料轴底垫热插拔")</f>
        <v>120 件机械键盘开关贴纸薄膜轴垫片贴纸 PORON EVA IXPE 材料轴底垫热插拔</v>
      </c>
      <c r="E1657" s="1" t="str">
        <f>IFERROR(__xludf.DUMMYFUNCTION("CONCATENATE(GOOGLETRANSLATE(C1657, ""en"", ""ko""))"),"120Pcs 기계식 키보드 스위치 스티커 필름 샤프트 가스켓 스티커 PORON EVA IXPE 소재 샤프트 언더 패드 핫 플러그")</f>
        <v>120Pcs 기계식 키보드 스위치 스티커 필름 샤프트 가스켓 스티커 PORON EVA IXPE 소재 샤프트 언더 패드 핫 플러그</v>
      </c>
      <c r="F1657" s="1" t="str">
        <f>IFERROR(__xludf.DUMMYFUNCTION("CONCATENATE(GOOGLETRANSLATE(C1657, ""en"", ""ja""))"),"120 個メカニカルキーボードスイッチステッカーフィルムシャフトガスケットステッカーポロン EVA IXPE 素材シャフトアンダーパッドホットプラグ")</f>
        <v>120 個メカニカルキーボードスイッチステッカーフィルムシャフトガスケットステッカーポロン EVA IXPE 素材シャフトアンダーパッドホットプラグ</v>
      </c>
    </row>
    <row r="1658" ht="15.75" customHeight="1">
      <c r="A1658" s="1">
        <v>3131.0</v>
      </c>
      <c r="B1658" s="1" t="s">
        <v>381</v>
      </c>
      <c r="C1658" s="1" t="s">
        <v>1638</v>
      </c>
      <c r="D1658" s="1" t="str">
        <f>IFERROR(__xludf.DUMMYFUNCTION("CONCATENATE(GOOGLETRANSLATE(C1658, ""en"", ""zh-cn""))"),"ORICO 2.5 英寸硬盘盒 SATA 转 USB3.0 外置硬盘盒 5Gbps / 6Gbps Type-C 硬盘盒 带 DIY 贴纸")</f>
        <v>ORICO 2.5 英寸硬盘盒 SATA 转 USB3.0 外置硬盘盒 5Gbps / 6Gbps Type-C 硬盘盒 带 DIY 贴纸</v>
      </c>
      <c r="E1658" s="1" t="str">
        <f>IFERROR(__xludf.DUMMYFUNCTION("CONCATENATE(GOOGLETRANSLATE(C1658, ""en"", ""ko""))"),"ORICO 2.5'' HDD 인클로저 SATA to USB3.0 외장형 하드 드라이브 케이스 5Gbps/6Gbps Type-C HDD 케이스(DIY 스티커 포함)")</f>
        <v>ORICO 2.5'' HDD 인클로저 SATA to USB3.0 외장형 하드 드라이브 케이스 5Gbps/6Gbps Type-C HDD 케이스(DIY 스티커 포함)</v>
      </c>
      <c r="F1658" s="1" t="str">
        <f>IFERROR(__xludf.DUMMYFUNCTION("CONCATENATE(GOOGLETRANSLATE(C1658, ""en"", ""ja""))"),"オリコ 2.5 インチ HDD エンクロージャ SATA から USB3.0 外付けハードドライブケース 5Gbps / 6Gbps Type-C HDD ケース DIY ステッカー付き")</f>
        <v>オリコ 2.5 インチ HDD エンクロージャ SATA から USB3.0 外付けハードドライブケース 5Gbps / 6Gbps Type-C HDD ケース DIY ステッカー付き</v>
      </c>
    </row>
    <row r="1659" ht="15.75" customHeight="1">
      <c r="A1659" s="1">
        <v>3132.0</v>
      </c>
      <c r="B1659" s="1" t="s">
        <v>381</v>
      </c>
      <c r="C1659" s="1" t="s">
        <v>1639</v>
      </c>
      <c r="D1659" s="1" t="str">
        <f>IFERROR(__xludf.DUMMYFUNCTION("CONCATENATE(GOOGLETRANSLATE(C1659, ""en"", ""zh-cn""))"),"UGREEN 磁力充电平板电脑手写笔 适用于 iPad Pro Air Mini 2022 无线蓝牙防手掌误触倾斜笔")</f>
        <v>UGREEN 磁力充电平板电脑手写笔 适用于 iPad Pro Air Mini 2022 无线蓝牙防手掌误触倾斜笔</v>
      </c>
      <c r="E1659" s="1" t="str">
        <f>IFERROR(__xludf.DUMMYFUNCTION("CONCATENATE(GOOGLETRANSLATE(C1659, ""en"", ""ko""))"),"iPad Pro Air Mini 2022 무선 블루투스 팜 거부 틸트 펜용 UGREEN 자기 충전 태블릿 ​​스타일러스 펜")</f>
        <v>iPad Pro Air Mini 2022 무선 블루투스 팜 거부 틸트 펜용 UGREEN 자기 충전 태블릿 ​​스타일러스 펜</v>
      </c>
      <c r="F1659" s="1" t="str">
        <f>IFERROR(__xludf.DUMMYFUNCTION("CONCATENATE(GOOGLETRANSLATE(C1659, ""en"", ""ja""))"),"UGREEN 磁気充電タブレットスタイラスペン iPad Pro Air Mini 2022 ワイヤレス Bluetooth パームリジェクションチルトペン")</f>
        <v>UGREEN 磁気充電タブレットスタイラスペン iPad Pro Air Mini 2022 ワイヤレス Bluetooth パームリジェクションチルトペン</v>
      </c>
    </row>
    <row r="1660" ht="15.75" customHeight="1">
      <c r="A1660" s="1">
        <v>3133.0</v>
      </c>
      <c r="B1660" s="1" t="s">
        <v>381</v>
      </c>
      <c r="C1660" s="1" t="s">
        <v>1640</v>
      </c>
      <c r="D1660" s="1" t="str">
        <f>IFERROR(__xludf.DUMMYFUNCTION("CONCATENATE(GOOGLETRANSLATE(C1660, ""en"", ""zh-cn""))"),"1 件复古蛋糕形状贺卡生日礼物装饰卡 ")</f>
        <v>1 件复古蛋糕形状贺卡生日礼物装饰卡 </v>
      </c>
      <c r="E1660" s="1" t="str">
        <f>IFERROR(__xludf.DUMMYFUNCTION("CONCATENATE(GOOGLETRANSLATE(C1660, ""en"", ""ko""))"),"1Pcs 빈티지 케이크 모양 인사말 카드 생일 선물 장식 카드 ")</f>
        <v>1Pcs 빈티지 케이크 모양 인사말 카드 생일 선물 장식 카드 </v>
      </c>
      <c r="F1660" s="1" t="str">
        <f>IFERROR(__xludf.DUMMYFUNCTION("CONCATENATE(GOOGLETRANSLATE(C1660, ""en"", ""ja""))"),"1 個ヴィンテージケーキ形状グリーティングカード誕生日ギフトデコレーションカード ")</f>
        <v>1 個ヴィンテージケーキ形状グリーティングカード誕生日ギフトデコレーションカード </v>
      </c>
    </row>
    <row r="1661" ht="15.75" customHeight="1">
      <c r="A1661" s="1">
        <v>3134.0</v>
      </c>
      <c r="B1661" s="1" t="s">
        <v>381</v>
      </c>
      <c r="C1661" s="1" t="s">
        <v>1641</v>
      </c>
      <c r="D1661" s="1" t="str">
        <f>IFERROR(__xludf.DUMMYFUNCTION("CONCATENATE(GOOGLETRANSLATE(C1661, ""en"", ""zh-cn""))"),"3 层铁质浴室节省空间储物架毛巾衣服储物架书架收纳架")</f>
        <v>3 层铁质浴室节省空间储物架毛巾衣服储物架书架收纳架</v>
      </c>
      <c r="E1661" s="1" t="str">
        <f>IFERROR(__xludf.DUMMYFUNCTION("CONCATENATE(GOOGLETRANSLATE(C1661, ""en"", ""ko""))"),"3 계층 철 욕실 공간 절약 스토리지 선반 수건 옷 스토리지 랙 책장 주최자")</f>
        <v>3 계층 철 욕실 공간 절약 스토리지 선반 수건 옷 스토리지 랙 책장 주최자</v>
      </c>
      <c r="F1661" s="1" t="str">
        <f>IFERROR(__xludf.DUMMYFUNCTION("CONCATENATE(GOOGLETRANSLATE(C1661, ""en"", ""ja""))"),"3段鉄バスルーム省スペース収納棚タオル衣類収納ラック本棚オーガナイザー")</f>
        <v>3段鉄バスルーム省スペース収納棚タオル衣類収納ラック本棚オーガナイザー</v>
      </c>
    </row>
    <row r="1662" ht="15.75" customHeight="1">
      <c r="A1662" s="1">
        <v>3135.0</v>
      </c>
      <c r="B1662" s="1" t="s">
        <v>381</v>
      </c>
      <c r="C1662" s="1" t="s">
        <v>1642</v>
      </c>
      <c r="D1662" s="1" t="str">
        <f>IFERROR(__xludf.DUMMYFUNCTION("CONCATENATE(GOOGLETRANSLATE(C1662, ""en"", ""zh-cn""))"),"Monde Selection DX001 便携式紫外线消毒灯 可充电家用办公桌紫外线除臭消毒灯")</f>
        <v>Monde Selection DX001 便携式紫外线消毒灯 可充电家用办公桌紫外线除臭消毒灯</v>
      </c>
      <c r="E1662" s="1" t="str">
        <f>IFERROR(__xludf.DUMMYFUNCTION("CONCATENATE(GOOGLETRANSLATE(C1662, ""en"", ""ko""))"),"몽드 셀렉션 DX001 휴대용 UV 소독 램프 충전식 가정용 책상 자외선 탈취 살균 램프")</f>
        <v>몽드 셀렉션 DX001 휴대용 UV 소독 램프 충전식 가정용 책상 자외선 탈취 살균 램프</v>
      </c>
      <c r="F1662" s="1" t="str">
        <f>IFERROR(__xludf.DUMMYFUNCTION("CONCATENATE(GOOGLETRANSLATE(C1662, ""en"", ""ja""))"),"モンドセレクション ポータブル UV 消毒ランプ 充電式家庭用卓上紫外線脱臭殺菌ランプ DX001")</f>
        <v>モンドセレクション ポータブル UV 消毒ランプ 充電式家庭用卓上紫外線脱臭殺菌ランプ DX001</v>
      </c>
    </row>
    <row r="1663" ht="15.75" customHeight="1">
      <c r="A1663" s="1">
        <v>3138.0</v>
      </c>
      <c r="B1663" s="1" t="s">
        <v>381</v>
      </c>
      <c r="C1663" s="1" t="s">
        <v>1643</v>
      </c>
      <c r="D1663" s="1" t="str">
        <f>IFERROR(__xludf.DUMMYFUNCTION("CONCATENATE(GOOGLETRANSLATE(C1663, ""en"", ""zh-cn""))"),"KINGROON DIY手工模型材料迷你电动打磨机模型清洁钻3d打印模型打磨工具")</f>
        <v>KINGROON DIY手工模型材料迷你电动打磨机模型清洁钻3d打印模型打磨工具</v>
      </c>
      <c r="E1663" s="1" t="str">
        <f>IFERROR(__xludf.DUMMYFUNCTION("CONCATENATE(GOOGLETRANSLATE(C1663, ""en"", ""ko""))"),"KINGROON DIY 수제 모델 재료 미니 전기 샌더 모델 청소 드릴 3d 인쇄 모델 샌딩 도구")</f>
        <v>KINGROON DIY 수제 모델 재료 미니 전기 샌더 모델 청소 드릴 3d 인쇄 모델 샌딩 도구</v>
      </c>
      <c r="F1663" s="1" t="str">
        <f>IFERROR(__xludf.DUMMYFUNCTION("CONCATENATE(GOOGLETRANSLATE(C1663, ""en"", ""ja""))"),"KINGROON DIY 手作りモデル素材ミニ電動サンダーモデルクリーニングドリル 3d 印刷モデルサンディングツール")</f>
        <v>KINGROON DIY 手作りモデル素材ミニ電動サンダーモデルクリーニングドリル 3d 印刷モデルサンディングツール</v>
      </c>
    </row>
    <row r="1664" ht="15.75" customHeight="1">
      <c r="A1664" s="1">
        <v>3140.0</v>
      </c>
      <c r="B1664" s="1" t="s">
        <v>381</v>
      </c>
      <c r="C1664" s="1" t="s">
        <v>1644</v>
      </c>
      <c r="D1664" s="1" t="str">
        <f>IFERROR(__xludf.DUMMYFUNCTION("CONCATENATE(GOOGLETRANSLATE(C1664, ""en"", ""zh-cn""))"),"10/30/70 PCS Kailh Box 夏季开关 IP54 防水防尘机械键盘点击感")</f>
        <v>10/30/70 PCS Kailh Box 夏季开关 IP54 防水防尘机械键盘点击感</v>
      </c>
      <c r="E1664" s="1" t="str">
        <f>IFERROR(__xludf.DUMMYFUNCTION("CONCATENATE(GOOGLETRANSLATE(C1664, ""en"", ""ko""))"),"10/30/70 PCS Kailh Box 여름 스위치 IP54 방수 및 방진 기계식 키보드 용 Clicky 느낌")</f>
        <v>10/30/70 PCS Kailh Box 여름 스위치 IP54 방수 및 방진 기계식 키보드 용 Clicky 느낌</v>
      </c>
      <c r="F1664" s="1" t="str">
        <f>IFERROR(__xludf.DUMMYFUNCTION("CONCATENATE(GOOGLETRANSLATE(C1664, ""en"", ""ja""))"),"10/30/70 個 Kailh ボックスサマースイッチ IP54 防水防塵メカニカルキーボード用のクリック感")</f>
        <v>10/30/70 個 Kailh ボックスサマースイッチ IP54 防水防塵メカニカルキーボード用のクリック感</v>
      </c>
    </row>
    <row r="1665" ht="15.75" customHeight="1">
      <c r="A1665" s="1">
        <v>3142.0</v>
      </c>
      <c r="B1665" s="1" t="s">
        <v>381</v>
      </c>
      <c r="C1665" s="1" t="s">
        <v>1645</v>
      </c>
      <c r="D1665" s="1" t="str">
        <f>IFERROR(__xludf.DUMMYFUNCTION("CONCATENATE(GOOGLETRANSLATE(C1665, ""en"", ""zh-cn""))"),"Steam Deck 扩展坞电视底座支架 7 合 1 集线器铝合金支架底座 60Hz HDMI 兼容 USB-C 适用于 Steam Deck 控制台")</f>
        <v>Steam Deck 扩展坞电视底座支架 7 合 1 集线器铝合金支架底座 60Hz HDMI 兼容 USB-C 适用于 Steam Deck 控制台</v>
      </c>
      <c r="E1665" s="1" t="str">
        <f>IFERROR(__xludf.DUMMYFUNCTION("CONCATENATE(GOOGLETRANSLATE(C1665, ""en"", ""ko""))"),"스팀 데크 도킹 스테이션 TV 베이스 스탠드 7 in 1 허브 알루미늄 합금 홀더 도크 60Hz HDMI 호환 USB-C 스팀 데크 콘솔용")</f>
        <v>스팀 데크 도킹 스테이션 TV 베이스 스탠드 7 in 1 허브 알루미늄 합금 홀더 도크 60Hz HDMI 호환 USB-C 스팀 데크 콘솔용</v>
      </c>
      <c r="F1665" s="1" t="str">
        <f>IFERROR(__xludf.DUMMYFUNCTION("CONCATENATE(GOOGLETRANSLATE(C1665, ""en"", ""ja""))"),"Steam デッキドッキングステーション TV ベーススタンド 7 in 1 ハブアルミニウム合金ホルダードック 60Hz HDMI 互換 USB-C Steam デッキコンソール用")</f>
        <v>Steam デッキドッキングステーション TV ベーススタンド 7 in 1 ハブアルミニウム合金ホルダードック 60Hz HDMI 互換 USB-C Steam デッキコンソール用</v>
      </c>
    </row>
    <row r="1666" ht="15.75" customHeight="1">
      <c r="A1666" s="1">
        <v>3143.0</v>
      </c>
      <c r="B1666" s="1" t="s">
        <v>381</v>
      </c>
      <c r="C1666" s="1" t="s">
        <v>1646</v>
      </c>
      <c r="D1666" s="1" t="str">
        <f>IFERROR(__xludf.DUMMYFUNCTION("CONCATENATE(GOOGLETRANSLATE(C1666, ""en"", ""zh-cn""))"),"3D 打印机配件 Ender 3 的 T8 Z 轴螺杆热床耦合器")</f>
        <v>3D 打印机配件 Ender 3 的 T8 Z 轴螺杆热床耦合器</v>
      </c>
      <c r="E1666" s="1" t="str">
        <f>IFERROR(__xludf.DUMMYFUNCTION("CONCATENATE(GOOGLETRANSLATE(C1666, ""en"", ""ko""))"),"3D 프린터 액세서리 Ender 3용 T8 Z축 나사 핫 베드 커플링 커플러")</f>
        <v>3D 프린터 액세서리 Ender 3용 T8 Z축 나사 핫 베드 커플링 커플러</v>
      </c>
      <c r="F1666" s="1" t="str">
        <f>IFERROR(__xludf.DUMMYFUNCTION("CONCATENATE(GOOGLETRANSLATE(C1666, ""en"", ""ja""))"),"3D プリンタアクセサリー T8 Z 軸ネジホットベッドカップリングエンダー 3 用カプラー")</f>
        <v>3D プリンタアクセサリー T8 Z 軸ネジホットベッドカップリングエンダー 3 用カプラー</v>
      </c>
    </row>
    <row r="1667" ht="15.75" customHeight="1">
      <c r="A1667" s="1">
        <v>4708.0</v>
      </c>
      <c r="B1667" s="1" t="s">
        <v>15</v>
      </c>
      <c r="C1667" s="1" t="s">
        <v>1647</v>
      </c>
      <c r="D1667" s="1" t="str">
        <f>IFERROR(__xludf.DUMMYFUNCTION("CONCATENATE(GOOGLETRANSLATE(C1667, ""en"", ""zh-cn""))"),"带盖拼图板，大型倾斜 1500 块拼图桌，ENGRTALENT 35 英寸 x 26 英寸带抽屉便携式拼图桌，带彩色拼图分类托盘、指南、毛毡板和手柄。")</f>
        <v>带盖拼图板，大型倾斜 1500 块拼图桌，ENGRTALENT 35 英寸 x 26 英寸带抽屉便携式拼图桌，带彩色拼图分类托盘、指南、毛毡板和手柄。</v>
      </c>
      <c r="E1667" s="1" t="str">
        <f>IFERROR(__xludf.DUMMYFUNCTION("CONCATENATE(GOOGLETRANSLATE(C1667, ""en"", ""ko""))"),"덮개가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1667" s="1" t="str">
        <f>IFERROR(__xludf.DUMMYFUNCTION("CONCATENATE(GOOGLETRANSLATE(C1667, ""en"", ""ja""))"),"カバー付きパズルボード、大型傾斜1500ピースジグソーパズルテーブル、ENGRTALENT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1668" ht="15.75" customHeight="1">
      <c r="A1668" s="1">
        <v>5373.0</v>
      </c>
      <c r="B1668" s="1" t="s">
        <v>15</v>
      </c>
      <c r="C1668" s="1" t="s">
        <v>1648</v>
      </c>
      <c r="D1668" s="1" t="str">
        <f>IFERROR(__xludf.DUMMYFUNCTION("CONCATENATE(GOOGLETRANSLATE(C1668, ""en"", ""zh-cn""))"),"CuberShop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1668" s="1" t="str">
        <f>IFERROR(__xludf.DUMMYFUNCTION("CONCATENATE(GOOGLETRANSLATE(C1668, ""en"", ""ko""))"),"CuberShop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1668" s="1" t="str">
        <f>IFERROR(__xludf.DUMMYFUNCTION("CONCATENATE(GOOGLETRANSLATE(C1668, ""en"", ""ja""))"),"CuberShop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1669" ht="15.75" customHeight="1">
      <c r="A1669" s="1">
        <v>5450.0</v>
      </c>
      <c r="B1669" s="1" t="s">
        <v>15</v>
      </c>
      <c r="C1669" s="1" t="s">
        <v>1649</v>
      </c>
      <c r="D1669" s="1" t="str">
        <f>IFERROR(__xludf.DUMMYFUNCTION("CONCATENATE(GOOGLETRANSLATE(C1669, ""en"", ""zh-cn""))"),"GAN 机器人，魔方解谜机自动解谜器和解谜器，兼容 GAN 356i2 i3 iplay iCarry Speed Cubes（不含魔方）和最新版本 APP")</f>
        <v>GAN 机器人，魔方解谜机自动解谜器和解谜器，兼容 GAN 356i2 i3 iplay iCarry Speed Cubes（不含魔方）和最新版本 APP</v>
      </c>
      <c r="E1669" s="1" t="str">
        <f>IFERROR(__xludf.DUMMYFUNCTION("CONCATENATE(GOOGLETRANSLATE(C1669, ""en"", ""ko""))"),"GAN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1669" s="1" t="str">
        <f>IFERROR(__xludf.DUMMYFUNCTION("CONCATENATE(GOOGLETRANSLATE(C1669, ""en"", ""ja""))"),"GAN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1670" ht="15.75" customHeight="1">
      <c r="A1670" s="1">
        <v>5458.0</v>
      </c>
      <c r="B1670" s="1" t="s">
        <v>15</v>
      </c>
      <c r="C1670" s="1" t="s">
        <v>1650</v>
      </c>
      <c r="D1670" s="1" t="str">
        <f>IFERROR(__xludf.DUMMYFUNCTION("CONCATENATE(GOOGLETRANSLATE(C1670, ""en"", ""zh-cn""))"),"SHARGEEK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1670" s="1" t="str">
        <f>IFERROR(__xludf.DUMMYFUNCTION("CONCATENATE(GOOGLETRANSLATE(C1670, ""en"", ""ko""))"),"SHARGEEK의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1670" s="1" t="str">
        <f>IFERROR(__xludf.DUMMYFUNCTION("CONCATENATE(GOOGLETRANSLATE(C1670, ""en"", ""ja""))"),"SHARGEEK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1671" ht="15.75" customHeight="1">
      <c r="A1671" s="1">
        <v>5515.0</v>
      </c>
      <c r="B1671" s="1" t="s">
        <v>15</v>
      </c>
      <c r="C1671" s="1" t="s">
        <v>1647</v>
      </c>
      <c r="D1671" s="1" t="str">
        <f>IFERROR(__xludf.DUMMYFUNCTION("CONCATENATE(GOOGLETRANSLATE(C1671, ""en"", ""zh-cn""))"),"带盖拼图板，大型倾斜 1500 块拼图桌，ENGRTALENT 35 英寸 x 26 英寸带抽屉便携式拼图桌，带彩色拼图分类托盘、指南、毛毡板和手柄。")</f>
        <v>带盖拼图板，大型倾斜 1500 块拼图桌，ENGRTALENT 35 英寸 x 26 英寸带抽屉便携式拼图桌，带彩色拼图分类托盘、指南、毛毡板和手柄。</v>
      </c>
      <c r="E1671" s="1" t="str">
        <f>IFERROR(__xludf.DUMMYFUNCTION("CONCATENATE(GOOGLETRANSLATE(C1671, ""en"", ""ko""))"),"덮개가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1671" s="1" t="str">
        <f>IFERROR(__xludf.DUMMYFUNCTION("CONCATENATE(GOOGLETRANSLATE(C1671, ""en"", ""ja""))"),"カバー付きパズルボード、大型傾斜1500ピースジグソーパズルテーブル、ENGRTALENT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1672" ht="15.75" customHeight="1">
      <c r="A1672" s="1">
        <v>5604.0</v>
      </c>
      <c r="B1672" s="1" t="s">
        <v>15</v>
      </c>
      <c r="C1672" s="1" t="s">
        <v>1647</v>
      </c>
      <c r="D1672" s="1" t="str">
        <f>IFERROR(__xludf.DUMMYFUNCTION("CONCATENATE(GOOGLETRANSLATE(C1672, ""en"", ""zh-cn""))"),"带盖拼图板，大型倾斜 1500 块拼图桌，ENGRTALENT 35 英寸 x 26 英寸带抽屉便携式拼图桌，带彩色拼图分类托盘、指南、毛毡板和手柄。")</f>
        <v>带盖拼图板，大型倾斜 1500 块拼图桌，ENGRTALENT 35 英寸 x 26 英寸带抽屉便携式拼图桌，带彩色拼图分类托盘、指南、毛毡板和手柄。</v>
      </c>
      <c r="E1672" s="1" t="str">
        <f>IFERROR(__xludf.DUMMYFUNCTION("CONCATENATE(GOOGLETRANSLATE(C1672, ""en"", ""ko""))"),"덮개가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1672" s="1" t="str">
        <f>IFERROR(__xludf.DUMMYFUNCTION("CONCATENATE(GOOGLETRANSLATE(C1672, ""en"", ""ja""))"),"カバー付きパズルボード、大型傾斜1500ピースジグソーパズルテーブル、ENGRTALENT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1673" ht="15.75" customHeight="1">
      <c r="A1673" s="1">
        <v>6047.0</v>
      </c>
      <c r="B1673" s="1" t="s">
        <v>15</v>
      </c>
      <c r="C1673" s="1" t="s">
        <v>1647</v>
      </c>
      <c r="D1673" s="1" t="str">
        <f>IFERROR(__xludf.DUMMYFUNCTION("CONCATENATE(GOOGLETRANSLATE(C1673, ""en"", ""zh-cn""))"),"带盖拼图板，大型倾斜 1500 块拼图桌，ENGRTALENT 35 英寸 x 26 英寸带抽屉便携式拼图桌，带彩色拼图分类托盘、指南、毛毡板和手柄。")</f>
        <v>带盖拼图板，大型倾斜 1500 块拼图桌，ENGRTALENT 35 英寸 x 26 英寸带抽屉便携式拼图桌，带彩色拼图分类托盘、指南、毛毡板和手柄。</v>
      </c>
      <c r="E1673" s="1" t="str">
        <f>IFERROR(__xludf.DUMMYFUNCTION("CONCATENATE(GOOGLETRANSLATE(C1673, ""en"", ""ko""))"),"덮개가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1673" s="1" t="str">
        <f>IFERROR(__xludf.DUMMYFUNCTION("CONCATENATE(GOOGLETRANSLATE(C1673, ""en"", ""ja""))"),"カバー付きパズルボード、大型傾斜1500ピースジグソーパズルテーブル、ENGRTALENT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1674" ht="15.75" customHeight="1">
      <c r="A1674" s="1">
        <v>6059.0</v>
      </c>
      <c r="B1674" s="1" t="s">
        <v>15</v>
      </c>
      <c r="C1674" s="1" t="s">
        <v>1647</v>
      </c>
      <c r="D1674" s="1" t="str">
        <f>IFERROR(__xludf.DUMMYFUNCTION("CONCATENATE(GOOGLETRANSLATE(C1674, ""en"", ""zh-cn""))"),"带盖拼图板，大型倾斜 1500 块拼图桌，ENGRTALENT 35 英寸 x 26 英寸带抽屉便携式拼图桌，带彩色拼图分类托盘、指南、毛毡板和手柄。")</f>
        <v>带盖拼图板，大型倾斜 1500 块拼图桌，ENGRTALENT 35 英寸 x 26 英寸带抽屉便携式拼图桌，带彩色拼图分类托盘、指南、毛毡板和手柄。</v>
      </c>
      <c r="E1674" s="1" t="str">
        <f>IFERROR(__xludf.DUMMYFUNCTION("CONCATENATE(GOOGLETRANSLATE(C1674, ""en"", ""ko""))"),"덮개가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1674" s="1" t="str">
        <f>IFERROR(__xludf.DUMMYFUNCTION("CONCATENATE(GOOGLETRANSLATE(C1674, ""en"", ""ja""))"),"カバー付きパズルボード、大型傾斜1500ピースジグソーパズルテーブル、ENGRTALENT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1675" ht="15.75" customHeight="1">
      <c r="A1675" s="1">
        <v>6106.0</v>
      </c>
      <c r="B1675" s="1" t="s">
        <v>15</v>
      </c>
      <c r="C1675" s="1" t="s">
        <v>1647</v>
      </c>
      <c r="D1675" s="1" t="str">
        <f>IFERROR(__xludf.DUMMYFUNCTION("CONCATENATE(GOOGLETRANSLATE(C1675, ""en"", ""zh-cn""))"),"带盖拼图板，大型倾斜 1500 块拼图桌，ENGRTALENT 35 英寸 x 26 英寸带抽屉便携式拼图桌，带彩色拼图分类托盘、指南、毛毡板和手柄。")</f>
        <v>带盖拼图板，大型倾斜 1500 块拼图桌，ENGRTALENT 35 英寸 x 26 英寸带抽屉便携式拼图桌，带彩色拼图分类托盘、指南、毛毡板和手柄。</v>
      </c>
      <c r="E1675" s="1" t="str">
        <f>IFERROR(__xludf.DUMMYFUNCTION("CONCATENATE(GOOGLETRANSLATE(C1675, ""en"", ""ko""))"),"덮개가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1675" s="1" t="str">
        <f>IFERROR(__xludf.DUMMYFUNCTION("CONCATENATE(GOOGLETRANSLATE(C1675, ""en"", ""ja""))"),"カバー付きパズルボード、大型傾斜1500ピースジグソーパズルテーブル、ENGRTALENT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1676" ht="15.75" customHeight="1">
      <c r="A1676" s="1">
        <v>6181.0</v>
      </c>
      <c r="B1676" s="1" t="s">
        <v>15</v>
      </c>
      <c r="C1676" s="1" t="s">
        <v>1647</v>
      </c>
      <c r="D1676" s="1" t="str">
        <f>IFERROR(__xludf.DUMMYFUNCTION("CONCATENATE(GOOGLETRANSLATE(C1676, ""en"", ""zh-cn""))"),"带盖拼图板，大型倾斜 1500 块拼图桌，ENGRTALENT 35 英寸 x 26 英寸带抽屉便携式拼图桌，带彩色拼图分类托盘、指南、毛毡板和手柄。")</f>
        <v>带盖拼图板，大型倾斜 1500 块拼图桌，ENGRTALENT 35 英寸 x 26 英寸带抽屉便携式拼图桌，带彩色拼图分类托盘、指南、毛毡板和手柄。</v>
      </c>
      <c r="E1676" s="1" t="str">
        <f>IFERROR(__xludf.DUMMYFUNCTION("CONCATENATE(GOOGLETRANSLATE(C1676, ""en"", ""ko""))"),"덮개가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1676" s="1" t="str">
        <f>IFERROR(__xludf.DUMMYFUNCTION("CONCATENATE(GOOGLETRANSLATE(C1676, ""en"", ""ja""))"),"カバー付きパズルボード、大型傾斜1500ピースジグソーパズルテーブル、ENGRTALENT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1677" ht="15.75" customHeight="1">
      <c r="A1677" s="1">
        <v>6229.0</v>
      </c>
      <c r="B1677" s="1" t="s">
        <v>15</v>
      </c>
      <c r="C1677" s="1" t="s">
        <v>1647</v>
      </c>
      <c r="D1677" s="1" t="str">
        <f>IFERROR(__xludf.DUMMYFUNCTION("CONCATENATE(GOOGLETRANSLATE(C1677, ""en"", ""zh-cn""))"),"带盖拼图板，大型倾斜 1500 块拼图桌，ENGRTALENT 35 英寸 x 26 英寸带抽屉便携式拼图桌，带彩色拼图分类托盘、指南、毛毡板和手柄。")</f>
        <v>带盖拼图板，大型倾斜 1500 块拼图桌，ENGRTALENT 35 英寸 x 26 英寸带抽屉便携式拼图桌，带彩色拼图分类托盘、指南、毛毡板和手柄。</v>
      </c>
      <c r="E1677" s="1" t="str">
        <f>IFERROR(__xludf.DUMMYFUNCTION("CONCATENATE(GOOGLETRANSLATE(C1677, ""en"", ""ko""))"),"덮개가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1677" s="1" t="str">
        <f>IFERROR(__xludf.DUMMYFUNCTION("CONCATENATE(GOOGLETRANSLATE(C1677, ""en"", ""ja""))"),"カバー付きパズルボード、大型傾斜1500ピースジグソーパズルテーブル、ENGRTALENT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1678" ht="15.75" customHeight="1">
      <c r="A1678" s="1">
        <v>6280.0</v>
      </c>
      <c r="B1678" s="1" t="s">
        <v>15</v>
      </c>
      <c r="C1678" s="1" t="s">
        <v>1647</v>
      </c>
      <c r="D1678" s="1" t="str">
        <f>IFERROR(__xludf.DUMMYFUNCTION("CONCATENATE(GOOGLETRANSLATE(C1678, ""en"", ""zh-cn""))"),"带盖拼图板，大型倾斜 1500 块拼图桌，ENGRTALENT 35 英寸 x 26 英寸带抽屉便携式拼图桌，带彩色拼图分类托盘、指南、毛毡板和手柄。")</f>
        <v>带盖拼图板，大型倾斜 1500 块拼图桌，ENGRTALENT 35 英寸 x 26 英寸带抽屉便携式拼图桌，带彩色拼图分类托盘、指南、毛毡板和手柄。</v>
      </c>
      <c r="E1678" s="1" t="str">
        <f>IFERROR(__xludf.DUMMYFUNCTION("CONCATENATE(GOOGLETRANSLATE(C1678, ""en"", ""ko""))"),"덮개가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1678" s="1" t="str">
        <f>IFERROR(__xludf.DUMMYFUNCTION("CONCATENATE(GOOGLETRANSLATE(C1678, ""en"", ""ja""))"),"カバー付きパズルボード、大型傾斜1500ピースジグソーパズルテーブル、ENGRTALENT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1679" ht="15.75" customHeight="1">
      <c r="A1679" s="1">
        <v>6335.0</v>
      </c>
      <c r="B1679" s="1" t="s">
        <v>15</v>
      </c>
      <c r="C1679" s="1" t="s">
        <v>1647</v>
      </c>
      <c r="D1679" s="1" t="str">
        <f>IFERROR(__xludf.DUMMYFUNCTION("CONCATENATE(GOOGLETRANSLATE(C1679, ""en"", ""zh-cn""))"),"带盖拼图板，大型倾斜 1500 块拼图桌，ENGRTALENT 35 英寸 x 26 英寸带抽屉便携式拼图桌，带彩色拼图分类托盘、指南、毛毡板和手柄。")</f>
        <v>带盖拼图板，大型倾斜 1500 块拼图桌，ENGRTALENT 35 英寸 x 26 英寸带抽屉便携式拼图桌，带彩色拼图分类托盘、指南、毛毡板和手柄。</v>
      </c>
      <c r="E1679" s="1" t="str">
        <f>IFERROR(__xludf.DUMMYFUNCTION("CONCATENATE(GOOGLETRANSLATE(C1679, ""en"", ""ko""))"),"덮개가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1679" s="1" t="str">
        <f>IFERROR(__xludf.DUMMYFUNCTION("CONCATENATE(GOOGLETRANSLATE(C1679, ""en"", ""ja""))"),"カバー付きパズルボード、大型傾斜1500ピースジグソーパズルテーブル、ENGRTALENT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1680" ht="15.75" customHeight="1">
      <c r="A1680" s="1">
        <v>3147.0</v>
      </c>
      <c r="B1680" s="1" t="s">
        <v>381</v>
      </c>
      <c r="C1680" s="1" t="s">
        <v>1651</v>
      </c>
      <c r="D1680" s="1" t="str">
        <f>IFERROR(__xludf.DUMMYFUNCTION("CONCATENATE(GOOGLETRANSLATE(C1680, ""en"", ""zh-cn""))"),"办公室七色灯台式负离子空气净化器带蓝牙播放器")</f>
        <v>办公室七色灯台式负离子空气净化器带蓝牙播放器</v>
      </c>
      <c r="E1680" s="1" t="str">
        <f>IFERROR(__xludf.DUMMYFUNCTION("CONCATENATE(GOOGLETRANSLATE(C1680, ""en"", ""ko""))"),"블루투스 플레이어와 사무실 7 컬러 램프 데스크탑 음이온 공기 청정기")</f>
        <v>블루투스 플레이어와 사무실 7 컬러 램프 데스크탑 음이온 공기 청정기</v>
      </c>
      <c r="F1680" s="1" t="str">
        <f>IFERROR(__xludf.DUMMYFUNCTION("CONCATENATE(GOOGLETRANSLATE(C1680, ""en"", ""ja""))"),"Bluetooth プレーヤー付きオフィス 7 色ランプ デスクトップ アニオン空気清浄機")</f>
        <v>Bluetooth プレーヤー付きオフィス 7 色ランプ デスクトップ アニオン空気清浄機</v>
      </c>
    </row>
    <row r="1681" ht="15.75" customHeight="1">
      <c r="A1681" s="1">
        <v>3149.0</v>
      </c>
      <c r="B1681" s="1" t="s">
        <v>381</v>
      </c>
      <c r="C1681" s="1" t="s">
        <v>1652</v>
      </c>
      <c r="D1681" s="1" t="str">
        <f>IFERROR(__xludf.DUMMYFUNCTION("CONCATENATE(GOOGLETRANSLATE(C1681, ""en"", ""zh-cn""))"),"3 层金属铁浴室节省空间储物架毛巾衣服储物架书架收纳架")</f>
        <v>3 层金属铁浴室节省空间储物架毛巾衣服储物架书架收纳架</v>
      </c>
      <c r="E1681" s="1" t="str">
        <f>IFERROR(__xludf.DUMMYFUNCTION("CONCATENATE(GOOGLETRANSLATE(C1681, ""en"", ""ko""))"),"3 계층 금속 철 욕실 공간 절약 스토리지 선반 수건 옷 스토리지 랙 책장 주최자")</f>
        <v>3 계층 금속 철 욕실 공간 절약 스토리지 선반 수건 옷 스토리지 랙 책장 주최자</v>
      </c>
      <c r="F1681" s="1" t="str">
        <f>IFERROR(__xludf.DUMMYFUNCTION("CONCATENATE(GOOGLETRANSLATE(C1681, ""en"", ""ja""))"),"3 層金属鉄バスルーム省スペース収納棚タオル衣類収納ラック本棚オーガナイザー")</f>
        <v>3 層金属鉄バスルーム省スペース収納棚タオル衣類収納ラック本棚オーガナイザー</v>
      </c>
    </row>
    <row r="1682" ht="15.75" customHeight="1">
      <c r="A1682" s="1">
        <v>3155.0</v>
      </c>
      <c r="B1682" s="1" t="s">
        <v>381</v>
      </c>
      <c r="C1682" s="1" t="s">
        <v>1653</v>
      </c>
      <c r="D1682" s="1" t="str">
        <f>IFERROR(__xludf.DUMMYFUNCTION("CONCATENATE(GOOGLETRANSLATE(C1682, ""en"", ""zh-cn""))"),"防尘透明亚克力耳环首饰收纳盒桌面展示架托盘收纳盒")</f>
        <v>防尘透明亚克力耳环首饰收纳盒桌面展示架托盘收纳盒</v>
      </c>
      <c r="E1682" s="1" t="str">
        <f>IFERROR(__xludf.DUMMYFUNCTION("CONCATENATE(GOOGLETRANSLATE(C1682, ""en"", ""ko""))"),"방진 투명 아크릴 귀걸이 쥬얼리 보관함 데스크탑 디스플레이 스탠드 랙 트레이 주최자")</f>
        <v>방진 투명 아크릴 귀걸이 쥬얼리 보관함 데스크탑 디스플레이 스탠드 랙 트레이 주최자</v>
      </c>
      <c r="F1682" s="1" t="str">
        <f>IFERROR(__xludf.DUMMYFUNCTION("CONCATENATE(GOOGLETRANSLATE(C1682, ""en"", ""ja""))"),"防塵透明アクリルイヤリングジュエリー収納ボックスデスクトップディスプレイスタンドラックトレイオーガナイザー")</f>
        <v>防塵透明アクリルイヤリングジュエリー収納ボックスデスクトップディスプレイスタンドラックトレイオーガナイザー</v>
      </c>
    </row>
    <row r="1683" ht="15.75" customHeight="1">
      <c r="A1683" s="1">
        <v>3167.0</v>
      </c>
      <c r="B1683" s="1" t="s">
        <v>381</v>
      </c>
      <c r="C1683" s="1" t="s">
        <v>1654</v>
      </c>
      <c r="D1683" s="1" t="str">
        <f>IFERROR(__xludf.DUMMYFUNCTION("CONCATENATE(GOOGLETRANSLATE(C1683, ""en"", ""zh-cn""))"),"N-ONE NPad Pro 10.4 英寸平板电脑三折保护套皮套 + 钢化玻璃膜屏幕保护膜套装")</f>
        <v>N-ONE NPad Pro 10.4 英寸平板电脑三折保护套皮套 + 钢化玻璃膜屏幕保护膜套装</v>
      </c>
      <c r="E1683" s="1" t="str">
        <f>IFERROR(__xludf.DUMMYFUNCTION("CONCATENATE(GOOGLETRANSLATE(C1683, ""en"", ""ko""))"),"N-ONE NPad Pro 10.4인치 태블릿 삼중 접이식 케이스 커버 홀스터 + 강화 유리 필름 화면 보호기 세트")</f>
        <v>N-ONE NPad Pro 10.4인치 태블릿 삼중 접이식 케이스 커버 홀스터 + 강화 유리 필름 화면 보호기 세트</v>
      </c>
      <c r="F1683" s="1" t="str">
        <f>IFERROR(__xludf.DUMMYFUNCTION("CONCATENATE(GOOGLETRANSLATE(C1683, ""en"", ""ja""))"),"N-ONE NPad Pro 10.4インチ タブレット 三つ折りケース カバー ホルスター + 強化ガラスフィルム スクリーンプロテクター セット")</f>
        <v>N-ONE NPad Pro 10.4インチ タブレット 三つ折りケース カバー ホルスター + 強化ガラスフィルム スクリーンプロテクター セット</v>
      </c>
    </row>
    <row r="1684" ht="15.75" customHeight="1">
      <c r="A1684" s="1">
        <v>3168.0</v>
      </c>
      <c r="B1684" s="1" t="s">
        <v>381</v>
      </c>
      <c r="C1684" s="1" t="s">
        <v>685</v>
      </c>
      <c r="D1684" s="1" t="str">
        <f>IFERROR(__xludf.DUMMYFUNCTION("CONCATENATE(GOOGLETRANSLATE(C1684, ""en"", ""zh-cn""))"),"男式笑脸刺绣按扣毛绒内衬连帽夹克")</f>
        <v>男式笑脸刺绣按扣毛绒内衬连帽夹克</v>
      </c>
      <c r="E1684" s="1" t="str">
        <f>IFERROR(__xludf.DUMMYFUNCTION("CONCATENATE(GOOGLETRANSLATE(C1684, ""en"", ""ko""))"),"남성용 스마일 페이스 자수 스냅 버튼 플러시 라이닝 후드 재킷")</f>
        <v>남성용 스마일 페이스 자수 스냅 버튼 플러시 라이닝 후드 재킷</v>
      </c>
      <c r="F1684" s="1" t="str">
        <f>IFERROR(__xludf.DUMMYFUNCTION("CONCATENATE(GOOGLETRANSLATE(C1684, ""en"", ""ja""))"),"メンズスマイルフェイス刺繍スナップボタンプラッシュ裏地付きフード付きジャケット")</f>
        <v>メンズスマイルフェイス刺繍スナップボタンプラッシュ裏地付きフード付きジャケット</v>
      </c>
    </row>
    <row r="1685" ht="15.75" customHeight="1">
      <c r="A1685" s="1">
        <v>3196.0</v>
      </c>
      <c r="B1685" s="1" t="s">
        <v>15</v>
      </c>
      <c r="C1685" s="1" t="s">
        <v>1655</v>
      </c>
      <c r="D1685" s="1" t="str">
        <f>IFERROR(__xludf.DUMMYFUNCTION("CONCATENATE(GOOGLETRANSLATE(C1685, ""en"", ""zh-cn""))"),"Jura GIGA 10 钻石黑")</f>
        <v>Jura GIGA 10 钻石黑</v>
      </c>
      <c r="E1685" s="1" t="str">
        <f>IFERROR(__xludf.DUMMYFUNCTION("CONCATENATE(GOOGLETRANSLATE(C1685, ""en"", ""ko""))"),"쥐라 GIGA 10 다이아몬드 블랙")</f>
        <v>쥐라 GIGA 10 다이아몬드 블랙</v>
      </c>
      <c r="F1685" s="1" t="str">
        <f>IFERROR(__xludf.DUMMYFUNCTION("CONCATENATE(GOOGLETRANSLATE(C1685, ""en"", ""ja""))"),"ジュラ GIGA 10 ダイヤモンドブラック")</f>
        <v>ジュラ GIGA 10 ダイヤモンドブラック</v>
      </c>
    </row>
    <row r="1686" ht="15.75" customHeight="1">
      <c r="A1686" s="1">
        <v>3206.0</v>
      </c>
      <c r="B1686" s="1" t="s">
        <v>15</v>
      </c>
      <c r="C1686" s="1" t="s">
        <v>1656</v>
      </c>
      <c r="D1686" s="1" t="str">
        <f>IFERROR(__xludf.DUMMYFUNCTION("CONCATENATE(GOOGLETRANSLATE(C1686, ""en"", ""zh-cn""))"),"Jura S8 超级自动触摸屏浓缩咖啡机，带牛奶容器、豆罐、过滤器、除垢剂和浓缩咖啡杯套装（7 件），85 毫升")</f>
        <v>Jura S8 超级自动触摸屏浓缩咖啡机，带牛奶容器、豆罐、过滤器、除垢剂和浓缩咖啡杯套装（7 件），85 毫升</v>
      </c>
      <c r="E1686" s="1" t="str">
        <f>IFERROR(__xludf.DUMMYFUNCTION("CONCATENATE(GOOGLETRANSLATE(C1686, ""en"", ""ko""))"),"Jura S8 초자동 터치스크린 에스프레소 머신(우유 용기, 원두통, 필터, 석회질 제거제 및 에스프레소 컵 번들(7개 품목), 85밀리리터 포함)")</f>
        <v>Jura S8 초자동 터치스크린 에스프레소 머신(우유 용기, 원두통, 필터, 석회질 제거제 및 에스프레소 컵 번들(7개 품목), 85밀리리터 포함)</v>
      </c>
      <c r="F1686" s="1" t="str">
        <f>IFERROR(__xludf.DUMMYFUNCTION("CONCATENATE(GOOGLETRANSLATE(C1686, ""en"", ""ja""))"),"Jura S8 超自動タッチスクリーン エスプレッソ マシン、ミルク コンテナ、豆キャニスター、フィルター、デスケーラー、エスプレッソ カップ バンドル (7 アイテム)、85 ミリリットル付き")</f>
        <v>Jura S8 超自動タッチスクリーン エスプレッソ マシン、ミルク コンテナ、豆キャニスター、フィルター、デスケーラー、エスプレッソ カップ バンドル (7 アイテム)、85 ミリリットル付き</v>
      </c>
    </row>
    <row r="1687" ht="15.75" customHeight="1">
      <c r="A1687" s="1">
        <v>3207.0</v>
      </c>
      <c r="B1687" s="1" t="s">
        <v>15</v>
      </c>
      <c r="C1687" s="1" t="s">
        <v>1657</v>
      </c>
      <c r="D1687" s="1" t="str">
        <f>IFERROR(__xludf.DUMMYFUNCTION("CONCATENATE(GOOGLETRANSLATE(C1687, ""en"", ""zh-cn""))"),"Jura S8 自动咖啡机套装，带智能滤水器、牛奶系统清洁剂和牛奶容器")</f>
        <v>Jura S8 自动咖啡机套装，带智能滤水器、牛奶系统清洁剂和牛奶容器</v>
      </c>
      <c r="E1687" s="1" t="str">
        <f>IFERROR(__xludf.DUMMYFUNCTION("CONCATENATE(GOOGLETRANSLATE(C1687, ""en"", ""ko""))"),"스마트 워터 필터, 우유 시스템 클리너 및 우유 용기가 포함된 Jura S8 자동 커피 머신 세트")</f>
        <v>스마트 워터 필터, 우유 시스템 클리너 및 우유 용기가 포함된 Jura S8 자동 커피 머신 세트</v>
      </c>
      <c r="F1687" s="1" t="str">
        <f>IFERROR(__xludf.DUMMYFUNCTION("CONCATENATE(GOOGLETRANSLATE(C1687, ""en"", ""ja""))"),"Jura S8 自動コーヒーマシンセット、スマートウォーターフィルター、ミルクシステムクリーナー、ミルクコンテナ付き")</f>
        <v>Jura S8 自動コーヒーマシンセット、スマートウォーターフィルター、ミルクシステムクリーナー、ミルクコンテナ付き</v>
      </c>
    </row>
    <row r="1688" ht="15.75" customHeight="1">
      <c r="A1688" s="1">
        <v>3215.0</v>
      </c>
      <c r="B1688" s="1" t="s">
        <v>15</v>
      </c>
      <c r="C1688" s="1" t="s">
        <v>1658</v>
      </c>
      <c r="D1688" s="1" t="str">
        <f>IFERROR(__xludf.DUMMYFUNCTION("CONCATENATE(GOOGLETRANSLATE(C1688, ""en"", ""zh-cn""))"),"ACME FURNITURE Saul 组合沙发带电动躺椅，浓咖啡皮革-Aire")</f>
        <v>ACME FURNITURE Saul 组合沙发带电动躺椅，浓咖啡皮革-Aire</v>
      </c>
      <c r="E1688" s="1" t="str">
        <f>IFERROR(__xludf.DUMMYFUNCTION("CONCATENATE(GOOGLETRANSLATE(C1688, ""en"", ""ko""))"),"ACME FURNITURE 파워 리클라이너를 갖춘 Saul 단면 소파, Espresso Leather-Aire")</f>
        <v>ACME FURNITURE 파워 리클라이너를 갖춘 Saul 단면 소파, Espresso Leather-Aire</v>
      </c>
      <c r="F1688" s="1" t="str">
        <f>IFERROR(__xludf.DUMMYFUNCTION("CONCATENATE(GOOGLETRANSLATE(C1688, ""en"", ""ja""))"),"ACME FURNITURE ソール セクショナルソファ 電動リクライニングチェア付き エスプレッソ レザーエア")</f>
        <v>ACME FURNITURE ソール セクショナルソファ 電動リクライニングチェア付き エスプレッソ レザーエア</v>
      </c>
    </row>
    <row r="1689" ht="15.75" customHeight="1">
      <c r="A1689" s="1">
        <v>3237.0</v>
      </c>
      <c r="B1689" s="1" t="s">
        <v>15</v>
      </c>
      <c r="C1689" s="1" t="s">
        <v>1659</v>
      </c>
      <c r="D1689" s="1" t="str">
        <f>IFERROR(__xludf.DUMMYFUNCTION("CONCATENATE(GOOGLETRANSLATE(C1689, ""en"", ""zh-cn""))"),"ACME Anondale 沙发 - 15030 - 浓缩咖啡色顶级粒面皮革")</f>
        <v>ACME Anondale 沙发 - 15030 - 浓缩咖啡色顶级粒面皮革</v>
      </c>
      <c r="E1689" s="1" t="str">
        <f>IFERROR(__xludf.DUMMYFUNCTION("CONCATENATE(GOOGLETRANSLATE(C1689, ""en"", ""ko""))"),"ACME Anondale 소파 - 15030 - 에스프레소 탑 그레인 가죽 매치")</f>
        <v>ACME Anondale 소파 - 15030 - 에스프레소 탑 그레인 가죽 매치</v>
      </c>
      <c r="F1689" s="1" t="str">
        <f>IFERROR(__xludf.DUMMYFUNCTION("CONCATENATE(GOOGLETRANSLATE(C1689, ""en"", ""ja""))"),"ACME アノンデール ソファ - 15030 - エスプレッソ トップグレイン レザー マッチ")</f>
        <v>ACME アノンデール ソファ - 15030 - エスプレッソ トップグレイン レザー マッチ</v>
      </c>
    </row>
    <row r="1690" ht="15.75" customHeight="1">
      <c r="A1690" s="1">
        <v>3240.0</v>
      </c>
      <c r="B1690" s="1" t="s">
        <v>15</v>
      </c>
      <c r="C1690" s="1" t="s">
        <v>1660</v>
      </c>
      <c r="D1690" s="1" t="str">
        <f>IFERROR(__xludf.DUMMYFUNCTION("CONCATENATE(GOOGLETRANSLATE(C1690, ""en"", ""zh-cn""))"),"Acme Furniture 软体沙发，香槟色")</f>
        <v>Acme Furniture 软体沙发，香槟色</v>
      </c>
      <c r="E1690" s="1" t="str">
        <f>IFERROR(__xludf.DUMMYFUNCTION("CONCATENATE(GOOGLETRANSLATE(C1690, ""en"", ""ko""))"),"Acme 가구 덮개를 씌운 소파, 샴페인")</f>
        <v>Acme 가구 덮개를 씌운 소파, 샴페인</v>
      </c>
      <c r="F1690" s="1" t="str">
        <f>IFERROR(__xludf.DUMMYFUNCTION("CONCATENATE(GOOGLETRANSLATE(C1690, ""en"", ""ja""))"),"Acme Furniture 布張りソファ、シャンパン")</f>
        <v>Acme Furniture 布張りソファ、シャンパン</v>
      </c>
    </row>
    <row r="1691" ht="15.75" customHeight="1">
      <c r="A1691" s="1">
        <v>3242.0</v>
      </c>
      <c r="B1691" s="1" t="s">
        <v>15</v>
      </c>
      <c r="C1691" s="1" t="s">
        <v>1661</v>
      </c>
      <c r="D1691" s="1" t="str">
        <f>IFERROR(__xludf.DUMMYFUNCTION("CONCATENATE(GOOGLETRANSLATE(C1691, ""en"", ""zh-cn""))"),"HONBAY 超大组合沙发，带宽躺椅 双面组合沙发，带脚凳 U 形转角组合沙发，带储物 适合客厅、办公室、宽敞空间，蓝灰色")</f>
        <v>HONBAY 超大组合沙发，带宽躺椅 双面组合沙发，带脚凳 U 形转角组合沙发，带储物 适合客厅、办公室、宽敞空间，蓝灰色</v>
      </c>
      <c r="E1691" s="1" t="str">
        <f>IFERROR(__xludf.DUMMYFUNCTION("CONCATENATE(GOOGLETRANSLATE(C1691, ""en"", ""ko""))"),"넓은 의자가 있는 HONBAY 대형 단면 소파 가역형 단면 모듈형 소파 소파, 오토만 U자형 코너 단면, 거실용 수납 공간, 사무실, 넓은 공간, 청회색")</f>
        <v>넓은 의자가 있는 HONBAY 대형 단면 소파 가역형 단면 모듈형 소파 소파, 오토만 U자형 코너 단면, 거실용 수납 공간, 사무실, 넓은 공간, 청회색</v>
      </c>
      <c r="F1691" s="1" t="str">
        <f>IFERROR(__xludf.DUMMYFUNCTION("CONCATENATE(GOOGLETRANSLATE(C1691, ""en"", ""ja""))"),"HONBAY 特大セクショナルソファ ワイド長椅子付き リバーシブル セクショナルモジュラーソファ カウチ オットマン付き U字型コーナー セクショナル 収納付き リビングルーム、オフィス、広々としたスペース用、ブルーイッシュグレー")</f>
        <v>HONBAY 特大セクショナルソファ ワイド長椅子付き リバーシブル セクショナルモジュラーソファ カウチ オットマン付き U字型コーナー セクショナル 収納付き リビングルーム、オフィス、広々としたスペース用、ブルーイッシュグレー</v>
      </c>
    </row>
    <row r="1692" ht="15.75" customHeight="1">
      <c r="A1692" s="1">
        <v>3251.0</v>
      </c>
      <c r="B1692" s="1" t="s">
        <v>15</v>
      </c>
      <c r="C1692" s="1" t="s">
        <v>1662</v>
      </c>
      <c r="D1692" s="1" t="str">
        <f>IFERROR(__xludf.DUMMYFUNCTION("CONCATENATE(GOOGLETRANSLATE(C1692, ""en"", ""zh-cn""))"),"POLY &amp; BARK 埃塞克斯皮革沙发 – 89 英寸簇绒靠背皮革沙发 – 全粒面皮革沙发，座位表面配有羽毛羽绒顶饰 – 复古纯苯胺意大利皮革 – 干邑棕褐色")</f>
        <v>POLY &amp; BARK 埃塞克斯皮革沙发 – 89 英寸簇绒靠背皮革沙发 – 全粒面皮革沙发，座位表面配有羽毛羽绒顶饰 – 复古纯苯胺意大利皮革 – 干邑棕褐色</v>
      </c>
      <c r="E1692" s="1" t="str">
        <f>IFERROR(__xludf.DUMMYFUNCTION("CONCATENATE(GOOGLETRANSLATE(C1692, ""en"", ""ko""))"),"POLY &amp; BARK Essex 가죽 소파 – 등받이가 장식된 89인치 가죽 소파 - 좌석 표면에 깃털 다운 토퍼가 있는 풀 그레인 가죽 소파 – 빈티지 퓨어 아닐린 이탈리안 가죽 – 코냑 탄")</f>
        <v>POLY &amp; BARK Essex 가죽 소파 – 등받이가 장식된 89인치 가죽 소파 - 좌석 표면에 깃털 다운 토퍼가 있는 풀 그레인 가죽 소파 – 빈티지 퓨어 아닐린 이탈리안 가죽 – 코냑 탄</v>
      </c>
      <c r="F1692" s="1" t="str">
        <f>IFERROR(__xludf.DUMMYFUNCTION("CONCATENATE(GOOGLETRANSLATE(C1692, ""en"", ""ja""))"),"POLY &amp; BARK エセックス レザー カウチ – 房状の背もたれ付き 89 インチ レザー ソファ – 座面にフェザーダウン トッパー付きフルグレイン レザー カウチ – ヴィンテージ ピュアアニリン イタリアン レザー – コニャック タン")</f>
        <v>POLY &amp; BARK エセックス レザー カウチ – 房状の背もたれ付き 89 インチ レザー ソファ – 座面にフェザーダウン トッパー付きフルグレイン レザー カウチ – ヴィンテージ ピュアアニリン イタリアン レザー – コニャック タン</v>
      </c>
    </row>
    <row r="1693" ht="15.75" customHeight="1">
      <c r="A1693" s="1">
        <v>3256.0</v>
      </c>
      <c r="B1693" s="1" t="s">
        <v>15</v>
      </c>
      <c r="C1693" s="1" t="s">
        <v>1663</v>
      </c>
      <c r="D1693" s="1" t="str">
        <f>IFERROR(__xludf.DUMMYFUNCTION("CONCATENATE(GOOGLETRANSLATE(C1693, ""en"", ""zh-cn""))"),"HONBAY 双面组合沙发 沙发带脚凳 U 形组合沙发带储物 客厅超大组合沙发带宽贵妃椅，灰色")</f>
        <v>HONBAY 双面组合沙发 沙发带脚凳 U 形组合沙发带储物 客厅超大组合沙发带宽贵妃椅，灰色</v>
      </c>
      <c r="E1693" s="1" t="str">
        <f>IFERROR(__xludf.DUMMYFUNCTION("CONCATENATE(GOOGLETRANSLATE(C1693, ""en"", ""ko""))"),"HONBAY 가역식 단면 모듈식 소파 소파, 오토만 U자형 단면 슬리퍼 소파, 거실용 넓은 의자가 있는 대형 단면 소파, 회색")</f>
        <v>HONBAY 가역식 단면 모듈식 소파 소파, 오토만 U자형 단면 슬리퍼 소파, 거실용 넓은 의자가 있는 대형 단면 소파, 회색</v>
      </c>
      <c r="F1693" s="1" t="str">
        <f>IFERROR(__xludf.DUMMYFUNCTION("CONCATENATE(GOOGLETRANSLATE(C1693, ""en"", ""ja""))"),"HONBAY リバーシブル セクショナル モジュラー ソファ カウチ オットマン付き U 字型セクショナル スリーパー ソファ 収納付き 特大セクショナル ソファ 幅広の長椅子付き リビングルーム用 グレー")</f>
        <v>HONBAY リバーシブル セクショナル モジュラー ソファ カウチ オットマン付き U 字型セクショナル スリーパー ソファ 収納付き 特大セクショナル ソファ 幅広の長椅子付き リビングルーム用 グレー</v>
      </c>
    </row>
    <row r="1694" ht="15.75" customHeight="1">
      <c r="A1694" s="1">
        <v>3257.0</v>
      </c>
      <c r="B1694" s="1" t="s">
        <v>15</v>
      </c>
      <c r="C1694" s="1" t="s">
        <v>1664</v>
      </c>
      <c r="D1694" s="1" t="str">
        <f>IFERROR(__xludf.DUMMYFUNCTION("CONCATENATE(GOOGLETRANSLATE(C1694, ""en"", ""zh-cn""))"),"Jura E6 自动、价格实惠的浓缩咖啡机，配有可编程咖啡浓度套装，配有智能滤芯、清洁片（6 片）和东海岸混合全豆咖啡 1 磅（4 件）")</f>
        <v>Jura E6 自动、价格实惠的浓缩咖啡机，配有可编程咖啡浓度套装，配有智能滤芯、清洁片（6 片）和东海岸混合全豆咖啡 1 磅（4 件）</v>
      </c>
      <c r="E1694" s="1" t="str">
        <f>IFERROR(__xludf.DUMMYFUNCTION("CONCATENATE(GOOGLETRANSLATE(C1694, ""en"", ""ko""))"),"Jura E6 자동, 스마트 필터 카트리지가 포함된 프로그래밍 가능한 커피 농도 번들, 청소용 정제(6개) 및 이스트 코스트 블렌드 홀빈 커피 1파운드(4개 항목)가 포함된 저렴한 에스프레소 머신")</f>
        <v>Jura E6 자동, 스마트 필터 카트리지가 포함된 프로그래밍 가능한 커피 농도 번들, 청소용 정제(6개) 및 이스트 코스트 블렌드 홀빈 커피 1파운드(4개 항목)가 포함된 저렴한 에스프레소 머신</v>
      </c>
      <c r="F1694" s="1" t="str">
        <f>IFERROR(__xludf.DUMMYFUNCTION("CONCATENATE(GOOGLETRANSLATE(C1694, ""en"", ""ja""))"),"Jura E6 自動、手頃な価格のエスプレッソマシン、プログラム可能なコーヒー強度バンドル、スマートフィルターカートリッジ、クリーニングタブレット (6 カウント)、イーストコーストブレンド全粒コーヒー 1 ポンド (4 アイテム)")</f>
        <v>Jura E6 自動、手頃な価格のエスプレッソマシン、プログラム可能なコーヒー強度バンドル、スマートフィルターカートリッジ、クリーニングタブレット (6 カウント)、イーストコーストブレンド全粒コーヒー 1 ポンド (4 アイテム)</v>
      </c>
    </row>
    <row r="1695" ht="15.75" customHeight="1">
      <c r="A1695" s="1">
        <v>3271.0</v>
      </c>
      <c r="B1695" s="1" t="s">
        <v>15</v>
      </c>
      <c r="C1695" s="1" t="s">
        <v>1665</v>
      </c>
      <c r="D1695" s="1" t="str">
        <f>IFERROR(__xludf.DUMMYFUNCTION("CONCATENATE(GOOGLETRANSLATE(C1695, ""en"", ""zh-cn""))"),"ACME 德累斯顿樱桃橡木餐桌带双底座")</f>
        <v>ACME 德累斯顿樱桃橡木餐桌带双底座</v>
      </c>
      <c r="E1695" s="1" t="str">
        <f>IFERROR(__xludf.DUMMYFUNCTION("CONCATENATE(GOOGLETRANSLATE(C1695, ""en"", ""ko""))"),"더블 받침대가 있는 ACME 드레스덴 체리 오크 식탁")</f>
        <v>더블 받침대가 있는 ACME 드레스덴 체리 오크 식탁</v>
      </c>
      <c r="F1695" s="1" t="str">
        <f>IFERROR(__xludf.DUMMYFUNCTION("CONCATENATE(GOOGLETRANSLATE(C1695, ""en"", ""ja""))"),"ACME ドレスデン チェリーオーク ダイニングテーブル ダブルペデスタル付き")</f>
        <v>ACME ドレスデン チェリーオーク ダイニングテーブル ダブルペデスタル付き</v>
      </c>
    </row>
    <row r="1696" ht="15.75" customHeight="1">
      <c r="A1696" s="1">
        <v>3274.0</v>
      </c>
      <c r="B1696" s="1" t="s">
        <v>15</v>
      </c>
      <c r="C1696" s="1" t="s">
        <v>1666</v>
      </c>
      <c r="D1696" s="1" t="str">
        <f>IFERROR(__xludf.DUMMYFUNCTION("CONCATENATE(GOOGLETRANSLATE(C1696, ""en"", ""zh-cn""))"),"ACME 家具特大床，PU 和复古橡木")</f>
        <v>ACME 家具特大床，PU 和复古橡木</v>
      </c>
      <c r="E1696" s="1" t="str">
        <f>IFERROR(__xludf.DUMMYFUNCTION("CONCATENATE(GOOGLETRANSLATE(C1696, ""en"", ""ko""))"),"ACME 가구 킹 사이즈 침대, PU 및 빈티지 오크")</f>
        <v>ACME 가구 킹 사이즈 침대, PU 및 빈티지 오크</v>
      </c>
      <c r="F1696" s="1" t="str">
        <f>IFERROR(__xludf.DUMMYFUNCTION("CONCATENATE(GOOGLETRANSLATE(C1696, ""en"", ""ja""))"),"ACME Furniture キングベッド、PU、ヴィンテージオーク")</f>
        <v>ACME Furniture キングベッド、PU、ヴィンテージオーク</v>
      </c>
    </row>
    <row r="1697" ht="15.75" customHeight="1">
      <c r="A1697" s="1">
        <v>3278.0</v>
      </c>
      <c r="B1697" s="1" t="s">
        <v>15</v>
      </c>
      <c r="C1697" s="1" t="s">
        <v>1667</v>
      </c>
      <c r="D1697" s="1" t="str">
        <f>IFERROR(__xludf.DUMMYFUNCTION("CONCATENATE(GOOGLETRANSLATE(C1697, ""en"", ""zh-cn""))"),"ACME 德累斯顿餐桌带支架底座 - - Gold Patina &amp; Bone")</f>
        <v>ACME 德累斯顿餐桌带支架底座 - - Gold Patina &amp; Bone</v>
      </c>
      <c r="E1697" s="1" t="str">
        <f>IFERROR(__xludf.DUMMYFUNCTION("CONCATENATE(GOOGLETRANSLATE(C1697, ""en"", ""ko""))"),"ACME 드레스덴 식탁 및 가대 받침대 - - 골드 파티나 &amp; 본")</f>
        <v>ACME 드레스덴 식탁 및 가대 받침대 - - 골드 파티나 &amp; 본</v>
      </c>
      <c r="F1697" s="1" t="str">
        <f>IFERROR(__xludf.DUMMYFUNCTION("CONCATENATE(GOOGLETRANSLATE(C1697, ""en"", ""ja""))"),"ACME ドレスデン ダイニング テーブル トレスル台座付き - - ゴールド パティナ &amp; ボーン")</f>
        <v>ACME ドレスデン ダイニング テーブル トレスル台座付き - - ゴールド パティナ &amp; ボーン</v>
      </c>
    </row>
    <row r="1698" ht="15.75" customHeight="1">
      <c r="A1698" s="1">
        <v>3291.0</v>
      </c>
      <c r="B1698" s="1" t="s">
        <v>15</v>
      </c>
      <c r="C1698" s="1" t="s">
        <v>1668</v>
      </c>
      <c r="D1698" s="1" t="str">
        <f>IFERROR(__xludf.DUMMYFUNCTION("CONCATENATE(GOOGLETRANSLATE(C1698, ""en"", ""zh-cn""))"),"QHITTY 3 件套客厅套装，组合式切斯特菲尔德沙发椅现代软垫皮革双人沙发套装，适合客厅、卧室、办公室")</f>
        <v>QHITTY 3 件套客厅套装，组合式切斯特菲尔德沙发椅现代软垫皮革双人沙发套装，适合客厅、卧室、办公室</v>
      </c>
      <c r="E1698" s="1" t="str">
        <f>IFERROR(__xludf.DUMMYFUNCTION("CONCATENATE(GOOGLETRANSLATE(C1698, ""en"", ""ko""))"),"QHITTY 3피스 거실 세트, 단면 체스터필드 소파 의자 거실, 침실, 사무실을 위한 현대적인 덮개를 씌운 가죽 러브시트 소파 세트")</f>
        <v>QHITTY 3피스 거실 세트, 단면 체스터필드 소파 의자 거실, 침실, 사무실을 위한 현대적인 덮개를 씌운 가죽 러브시트 소파 세트</v>
      </c>
      <c r="F1698" s="1" t="str">
        <f>IFERROR(__xludf.DUMMYFUNCTION("CONCATENATE(GOOGLETRANSLATE(C1698, ""en"", ""ja""))"),"QHITTY 3ピースリビングルームセット、セクショナルチェスターフィールドソファチェア現代的な布張りのレザー二人掛けソファセット、リビングルーム、ベッドルーム、オフィス用")</f>
        <v>QHITTY 3ピースリビングルームセット、セクショナルチェスターフィールドソファチェア現代的な布張りのレザー二人掛けソファセット、リビングルーム、ベッドルーム、オフィス用</v>
      </c>
    </row>
    <row r="1699" ht="15.75" customHeight="1">
      <c r="A1699" s="1">
        <v>3307.0</v>
      </c>
      <c r="B1699" s="1" t="s">
        <v>15</v>
      </c>
      <c r="C1699" s="1" t="s">
        <v>1669</v>
      </c>
      <c r="D1699" s="1" t="str">
        <f>IFERROR(__xludf.DUMMYFUNCTION("CONCATENATE(GOOGLETRANSLATE(C1699, ""en"", ""zh-cn""))"),"HONBAY 双面组合沙发 现代组合组合沙发带贵妃 L 形转角沙发带储物，灰色")</f>
        <v>HONBAY 双面组合沙发 现代组合组合沙发带贵妃 L 形转角沙发带储物，灰色</v>
      </c>
      <c r="E1699" s="1" t="str">
        <f>IFERROR(__xludf.DUMMYFUNCTION("CONCATENATE(GOOGLETRANSLATE(C1699, ""en"", ""ko""))"),"HONBAY 양면 단면 소파 긴 의자가 있는 현대적인 모듈식 단면 소파, 수납 공간이 있는 L자형 코너 소파, 회색")</f>
        <v>HONBAY 양면 단면 소파 긴 의자가 있는 현대적인 모듈식 단면 소파, 수납 공간이 있는 L자형 코너 소파, 회색</v>
      </c>
      <c r="F1699" s="1" t="str">
        <f>IFERROR(__xludf.DUMMYFUNCTION("CONCATENATE(GOOGLETRANSLATE(C1699, ""en"", ""ja""))"),"HONBAY リバーシブルセクショナルソファ モダンモジュラーセクショナルソファ 長椅子付き L字型コーナーソファ 収納付き グレー")</f>
        <v>HONBAY リバーシブルセクショナルソファ モダンモジュラーセクショナルソファ 長椅子付き L字型コーナーソファ 収納付き グレー</v>
      </c>
    </row>
    <row r="1700" ht="15.75" customHeight="1">
      <c r="A1700" s="1">
        <v>3335.0</v>
      </c>
      <c r="B1700" s="1" t="s">
        <v>15</v>
      </c>
      <c r="C1700" s="1" t="s">
        <v>1670</v>
      </c>
      <c r="D1700" s="1" t="str">
        <f>IFERROR(__xludf.DUMMYFUNCTION("CONCATENATE(GOOGLETRANSLATE(C1700, ""en"", ""zh-cn""))"),"Jura-Cappresso 大都会黑色 ENA 4 Full")</f>
        <v>Jura-Cappresso 大都会黑色 ENA 4 Full</v>
      </c>
      <c r="E1700" s="1" t="str">
        <f>IFERROR(__xludf.DUMMYFUNCTION("CONCATENATE(GOOGLETRANSLATE(C1700, ""en"", ""ko""))"),"Jura-Capresso 메트로폴리탄 블랙 ENA 4 Full")</f>
        <v>Jura-Capresso 메트로폴리탄 블랙 ENA 4 Full</v>
      </c>
      <c r="F1700" s="1" t="str">
        <f>IFERROR(__xludf.DUMMYFUNCTION("CONCATENATE(GOOGLETRANSLATE(C1700, ""en"", ""ja""))"),"ジュラ カプリッソ メトロポリタン ブラック ENA 4 フル")</f>
        <v>ジュラ カプリッソ メトロポリタン ブラック ENA 4 フル</v>
      </c>
    </row>
    <row r="1701" ht="15.75" customHeight="1">
      <c r="A1701" s="1">
        <v>3337.0</v>
      </c>
      <c r="B1701" s="1" t="s">
        <v>15</v>
      </c>
      <c r="C1701" s="1" t="s">
        <v>1671</v>
      </c>
      <c r="D1701" s="1" t="str">
        <f>IFERROR(__xludf.DUMMYFUNCTION("CONCATENATE(GOOGLETRANSLATE(C1701, ""en"", ""zh-cn""))"),"kevinplus 90 英寸客厅组合沙发 L 形，现代模块化转角组合沙发 5 座公寓办公室工作室，木腿，米色")</f>
        <v>kevinplus 90 英寸客厅组合沙发 L 形，现代模块化转角组合沙发 5 座公寓办公室工作室，木腿，米色</v>
      </c>
      <c r="E1701" s="1" t="str">
        <f>IFERROR(__xludf.DUMMYFUNCTION("CONCATENATE(GOOGLETRANSLATE(C1701, ""en"", ""ko""))"),"kevinplus 90'' 거실용 단면 소파 소파 L자형, 아파트 사무실 스튜디오용 현대식 모듈식 코너 단면 소파 소파 5인용, 나무 다리, 베이지")</f>
        <v>kevinplus 90'' 거실용 단면 소파 소파 L자형, 아파트 사무실 스튜디오용 현대식 모듈식 코너 단면 소파 소파 5인용, 나무 다리, 베이지</v>
      </c>
      <c r="F1701" s="1" t="str">
        <f>IFERROR(__xludf.DUMMYFUNCTION("CONCATENATE(GOOGLETRANSLATE(C1701, ""en"", ""ja""))"),"kevinplus 90インチ セクショナルソファ カウチ L字型 リビングルーム用 モダン モジュラーコーナー セクショナルソファ カウチ 5席 アパート オフィス スタジオ用 木製脚 ベージュ")</f>
        <v>kevinplus 90インチ セクショナルソファ カウチ L字型 リビングルーム用 モダン モジュラーコーナー セクショナルソファ カウチ 5席 アパート オフィス スタジオ用 木製脚 ベージュ</v>
      </c>
    </row>
    <row r="1702" ht="15.75" customHeight="1">
      <c r="A1702" s="1">
        <v>3341.0</v>
      </c>
      <c r="B1702" s="1" t="s">
        <v>15</v>
      </c>
      <c r="C1702" s="1" t="s">
        <v>1672</v>
      </c>
      <c r="D1702" s="1" t="str">
        <f>IFERROR(__xludf.DUMMYFUNCTION("CONCATENATE(GOOGLETRANSLATE(C1702, ""en"", ""zh-cn""))"),"亚马逊品牌 – Rivet Aiden 中世纪现代天鹅绒双面组合沙发 (86) – 猎人绿")</f>
        <v>亚马逊品牌 – Rivet Aiden 中世纪现代天鹅绒双面组合沙发 (86) – 猎人绿</v>
      </c>
      <c r="E1702" s="1" t="str">
        <f>IFERROR(__xludf.DUMMYFUNCTION("CONCATENATE(GOOGLETRANSLATE(C1702, ""en"", ""ko""))"),"아마존 브랜드 – 리벳 에이든 미드센추리 모던 벨벳 양면 단면 소파(86) - 헌터 그린")</f>
        <v>아마존 브랜드 – 리벳 에이든 미드센추리 모던 벨벳 양면 단면 소파(86) - 헌터 그린</v>
      </c>
      <c r="F1702" s="1" t="str">
        <f>IFERROR(__xludf.DUMMYFUNCTION("CONCATENATE(GOOGLETRANSLATE(C1702, ""en"", ""ja""))"),"Amazon ブランド – Rivet Aiden ミッドセンチュリー モダン ベルベット リバーシブル セクショナル ソファ (86) - ハンター グリーン")</f>
        <v>Amazon ブランド – Rivet Aiden ミッドセンチュリー モダン ベルベット リバーシブル セクショナル ソファ (86) - ハンター グリーン</v>
      </c>
    </row>
    <row r="1703" ht="15.75" customHeight="1">
      <c r="A1703" s="1">
        <v>3343.0</v>
      </c>
      <c r="B1703" s="1" t="s">
        <v>15</v>
      </c>
      <c r="C1703" s="1" t="s">
        <v>1673</v>
      </c>
      <c r="D1703" s="1" t="str">
        <f>IFERROR(__xludf.DUMMYFUNCTION("CONCATENATE(GOOGLETRANSLATE(C1703, ""en"", ""zh-cn""))"),"Christopher Knight Home Saragus 沙发，木炭+深棕色")</f>
        <v>Christopher Knight Home Saragus 沙发，木炭+深棕色</v>
      </c>
      <c r="E1703" s="1" t="str">
        <f>IFERROR(__xludf.DUMMYFUNCTION("CONCATENATE(GOOGLETRANSLATE(C1703, ""en"", ""ko""))"),"크리스토퍼 나이트 홈 사라구스 소파, 차콜 + 다크 브라운")</f>
        <v>크리스토퍼 나이트 홈 사라구스 소파, 차콜 + 다크 브라운</v>
      </c>
      <c r="F1703" s="1" t="str">
        <f>IFERROR(__xludf.DUMMYFUNCTION("CONCATENATE(GOOGLETRANSLATE(C1703, ""en"", ""ja""))"),"Christopher Knight Home Saragus ソファ、チャコール + ダークブラウン")</f>
        <v>Christopher Knight Home Saragus ソファ、チャコール + ダークブラウン</v>
      </c>
    </row>
    <row r="1704" ht="15.75" customHeight="1">
      <c r="A1704" s="1">
        <v>3348.0</v>
      </c>
      <c r="B1704" s="1" t="s">
        <v>15</v>
      </c>
      <c r="C1704" s="1" t="s">
        <v>1674</v>
      </c>
      <c r="D1704" s="1" t="str">
        <f>IFERROR(__xludf.DUMMYFUNCTION("CONCATENATE(GOOGLETRANSLATE(C1704, ""en"", ""zh-cn""))"),"亚马逊品牌 – Rivet Alonzo 现代客厅装饰椅，39W，木质，泡沫，织物，金属，浅灰色")</f>
        <v>亚马逊品牌 – Rivet Alonzo 现代客厅装饰椅，39W，木质，泡沫，织物，金属，浅灰色</v>
      </c>
      <c r="E1704" s="1" t="str">
        <f>IFERROR(__xludf.DUMMYFUNCTION("CONCATENATE(GOOGLETRANSLATE(C1704, ""en"", ""ko""))"),"아마존 브랜드 – 리벳 Alonzo 현대 거실 악센트 의자, 39W, 목재, 폼, 패브릭, 금속, 라이트 그레이")</f>
        <v>아마존 브랜드 – 리벳 Alonzo 현대 거실 악센트 의자, 39W, 목재, 폼, 패브릭, 금속, 라이트 그레이</v>
      </c>
      <c r="F1704" s="1" t="str">
        <f>IFERROR(__xludf.DUMMYFUNCTION("CONCATENATE(GOOGLETRANSLATE(C1704, ""en"", ""ja""))"),"Amazonブランド – リベットアロンゾ コンテンポラリーリビングルームアクセントチェア、39W、木材、フォーム、ファブリック、メタル、ライトグレー")</f>
        <v>Amazonブランド – リベットアロンゾ コンテンポラリーリビングルームアクセントチェア、39W、木材、フォーム、ファブリック、メタル、ライトグレー</v>
      </c>
    </row>
    <row r="1705" ht="15.75" customHeight="1">
      <c r="A1705" s="1">
        <v>3365.0</v>
      </c>
      <c r="B1705" s="1" t="s">
        <v>15</v>
      </c>
      <c r="C1705" s="1" t="s">
        <v>1675</v>
      </c>
      <c r="D1705" s="1" t="str">
        <f>IFERROR(__xludf.DUMMYFUNCTION("CONCATENATE(GOOGLETRANSLATE(C1705, ""en"", ""zh-cn""))"),"Breville RM-BES870XL Barista Express 浓缩咖啡机，15 盎司拉丝不锈钢（翻新）")</f>
        <v>Breville RM-BES870XL Barista Express 浓缩咖啡机，15 盎司拉丝不锈钢（翻新）</v>
      </c>
      <c r="E1705" s="1" t="str">
        <f>IFERROR(__xludf.DUMMYFUNCTION("CONCATENATE(GOOGLETRANSLATE(C1705, ""en"", ""ko""))"),"브레빌 RM-BES870XL 바리스타 익스프레스 에스프레소 머신, 15온스 브러시드 스테인레스 스틸(리뉴얼)")</f>
        <v>브레빌 RM-BES870XL 바리스타 익스프레스 에스프레소 머신, 15온스 브러시드 스테인레스 스틸(리뉴얼)</v>
      </c>
      <c r="F1705" s="1" t="str">
        <f>IFERROR(__xludf.DUMMYFUNCTION("CONCATENATE(GOOGLETRANSLATE(C1705, ""en"", ""ja""))"),"Breville RM-BES870XL バリスタ エクスプレス エスプレッソ マシン、15 オンス ブラッシュステンレススチール (リニューアル)")</f>
        <v>Breville RM-BES870XL バリスタ エクスプレス エスプレッソ マシン、15 オンス ブラッシュステンレススチール (リニューアル)</v>
      </c>
    </row>
    <row r="1706" ht="15.75" customHeight="1">
      <c r="A1706" s="1">
        <v>3382.0</v>
      </c>
      <c r="B1706" s="1" t="s">
        <v>15</v>
      </c>
      <c r="C1706" s="1" t="s">
        <v>1676</v>
      </c>
      <c r="D1706" s="1" t="str">
        <f>IFERROR(__xludf.DUMMYFUNCTION("CONCATENATE(GOOGLETRANSLATE(C1706, ""en"", ""zh-cn""))"),"linor 现代 U 形敞篷沙发，118 英寸组合沙发带簇绒背垫，6 座超大客厅组合沙发带脚垫（亚麻，米色）")</f>
        <v>linor 现代 U 形敞篷沙发，118 英寸组合沙发带簇绒背垫，6 座超大客厅组合沙发带脚垫（亚麻，米色）</v>
      </c>
      <c r="E1706" s="1" t="str">
        <f>IFERROR(__xludf.DUMMYFUNCTION("CONCATENATE(GOOGLETRANSLATE(C1706, ""en"", ""ko""))"),"linor 모던한 U자형 컨버터블 소파 소파, 118'' 등받이 쿠션이 있는 모듈식 단면 소파, 6인용 대형 단면 소파 소파, 거실용 오토만(리넨, 베이지)")</f>
        <v>linor 모던한 U자형 컨버터블 소파 소파, 118'' 등받이 쿠션이 있는 모듈식 단면 소파, 6인용 대형 단면 소파 소파, 거실용 오토만(리넨, 베이지)</v>
      </c>
      <c r="F1706" s="1" t="str">
        <f>IFERROR(__xludf.DUMMYFUNCTION("CONCATENATE(GOOGLETRANSLATE(C1706, ""en"", ""ja""))"),"リノール モダンなU字型コンバーチブルソファカウチ、118インチモジュラーセクショナルソファ、房状背もたれクッション付き、6人掛け特大セクショナルソファカウチ、オットマン付き、リビングルーム用 (リネン、ベージュ)")</f>
        <v>リノール モダンなU字型コンバーチブルソファカウチ、118インチモジュラーセクショナルソファ、房状背もたれクッション付き、6人掛け特大セクショナルソファカウチ、オットマン付き、リビングルーム用 (リネン、ベージュ)</v>
      </c>
    </row>
    <row r="1707" ht="15.75" customHeight="1">
      <c r="A1707" s="1">
        <v>3396.0</v>
      </c>
      <c r="B1707" s="1" t="s">
        <v>15</v>
      </c>
      <c r="C1707" s="1" t="s">
        <v>1677</v>
      </c>
      <c r="D1707" s="1" t="str">
        <f>IFERROR(__xludf.DUMMYFUNCTION("CONCATENATE(GOOGLETRANSLATE(C1707, ""en"", ""zh-cn""))"),"HONBAY 仿皮组合沙发 双面 L 形沙发 4 座沙发 组合沙发 适合小公寓")</f>
        <v>HONBAY 仿皮组合沙发 双面 L 形沙发 4 座沙发 组合沙发 适合小公寓</v>
      </c>
      <c r="E1707" s="1" t="str">
        <f>IFERROR(__xludf.DUMMYFUNCTION("CONCATENATE(GOOGLETRANSLATE(C1707, ""en"", ""ko""))"),"HONBAY 인조 가죽 단면 소파 소파 가역 L 형 소파 소파 4 석 소파 소형 아파트 용 단면 소파")</f>
        <v>HONBAY 인조 가죽 단면 소파 소파 가역 L 형 소파 소파 4 석 소파 소형 아파트 용 단면 소파</v>
      </c>
      <c r="F1707" s="1" t="str">
        <f>IFERROR(__xludf.DUMMYFUNCTION("CONCATENATE(GOOGLETRANSLATE(C1707, ""en"", ""ja""))"),"HONBAY フェイクレザー セクショナルソファ カウチ リバーシブル L 字型カウチソファ 4 人掛けソファ セクショナルソファ 小さなアパート用")</f>
        <v>HONBAY フェイクレザー セクショナルソファ カウチ リバーシブル L 字型カウチソファ 4 人掛けソファ セクショナルソファ 小さなアパート用</v>
      </c>
    </row>
    <row r="1708" ht="15.75" customHeight="1">
      <c r="A1708" s="1">
        <v>3409.0</v>
      </c>
      <c r="B1708" s="1" t="s">
        <v>15</v>
      </c>
      <c r="C1708" s="1" t="s">
        <v>1678</v>
      </c>
      <c r="D1708" s="1" t="str">
        <f>IFERROR(__xludf.DUMMYFUNCTION("CONCATENATE(GOOGLETRANSLATE(C1708, ""en"", ""zh-cn""))"),"Breville Infuser 浓缩咖啡机，61 盎司，拉丝不锈钢，BES840XL")</f>
        <v>Breville Infuser 浓缩咖啡机，61 盎司，拉丝不锈钢，BES840XL</v>
      </c>
      <c r="E1708" s="1" t="str">
        <f>IFERROR(__xludf.DUMMYFUNCTION("CONCATENATE(GOOGLETRANSLATE(C1708, ""en"", ""ko""))"),"브레빌 인퓨저 에스프레소 머신, 61온스, ​​브러시드 스테인레스 스틸, BES840XL")</f>
        <v>브레빌 인퓨저 에스프레소 머신, 61온스, ​​브러시드 스테인레스 스틸, BES840XL</v>
      </c>
      <c r="F1708" s="1" t="str">
        <f>IFERROR(__xludf.DUMMYFUNCTION("CONCATENATE(GOOGLETRANSLATE(C1708, ""en"", ""ja""))"),"Breville インフューザー エスプレッソ マシン、61 オンス、つや消しステンレス鋼、BES840XL")</f>
        <v>Breville インフューザー エスプレッソ マシン、61 オンス、つや消しステンレス鋼、BES840XL</v>
      </c>
    </row>
    <row r="1709" ht="15.75" customHeight="1">
      <c r="A1709" s="1">
        <v>3418.0</v>
      </c>
      <c r="B1709" s="1" t="s">
        <v>15</v>
      </c>
      <c r="C1709" s="1" t="s">
        <v>1679</v>
      </c>
      <c r="D1709" s="1" t="str">
        <f>IFERROR(__xludf.DUMMYFUNCTION("CONCATENATE(GOOGLETRANSLATE(C1709, ""en"", ""zh-cn""))"),"CHITA 中世纪现代沙发，客厅布艺沙发，实木腿，免工具组装，72.8 英寸宽，象牙色")</f>
        <v>CHITA 中世纪现代沙发，客厅布艺沙发，实木腿，免工具组装，72.8 英寸宽，象牙色</v>
      </c>
      <c r="E1709" s="1" t="str">
        <f>IFERROR(__xludf.DUMMYFUNCTION("CONCATENATE(GOOGLETRANSLATE(C1709, ""en"", ""ko""))"),"CHITA 세기 중반 모던 소파, 원목 다리가 있는 거실용 패브릭 소파, 도구 없이 조립 가능, 72.8''W, 아이보리")</f>
        <v>CHITA 세기 중반 모던 소파, 원목 다리가 있는 거실용 패브릭 소파, 도구 없이 조립 가능, 72.8''W, 아이보리</v>
      </c>
      <c r="F1709" s="1" t="str">
        <f>IFERROR(__xludf.DUMMYFUNCTION("CONCATENATE(GOOGLETRANSLATE(C1709, ""en"", ""ja""))"),"CHITA ミッドセンチュリーモダンソファ、リビングルーム用ファブリックソファ、無垢材脚付き、工具不要組み立て、幅72.8インチ、アイボリー")</f>
        <v>CHITA ミッドセンチュリーモダンソファ、リビングルーム用ファブリックソファ、無垢材脚付き、工具不要組み立て、幅72.8インチ、アイボリー</v>
      </c>
    </row>
    <row r="1710" ht="15.75" customHeight="1">
      <c r="A1710" s="1">
        <v>3428.0</v>
      </c>
      <c r="B1710" s="1" t="s">
        <v>15</v>
      </c>
      <c r="C1710" s="1" t="s">
        <v>1680</v>
      </c>
      <c r="D1710" s="1" t="str">
        <f>IFERROR(__xludf.DUMMYFUNCTION("CONCATENATE(GOOGLETRANSLATE(C1710, ""en"", ""zh-cn""))"),"Christopher Knight Home Bridget 三座沙发，传统，现代，米色，深棕色")</f>
        <v>Christopher Knight Home Bridget 三座沙发，传统，现代，米色，深棕色</v>
      </c>
      <c r="E1710" s="1" t="str">
        <f>IFERROR(__xludf.DUMMYFUNCTION("CONCATENATE(GOOGLETRANSLATE(C1710, ""en"", ""ko""))"),"크리스토퍼 나이트 홈 브리짓 3인용 소파, 전통, 모던, 베이지, 다크 브라운")</f>
        <v>크리스토퍼 나이트 홈 브리짓 3인용 소파, 전통, 모던, 베이지, 다크 브라운</v>
      </c>
      <c r="F1710" s="1" t="str">
        <f>IFERROR(__xludf.DUMMYFUNCTION("CONCATENATE(GOOGLETRANSLATE(C1710, ""en"", ""ja""))"),"Christopher Knight Home Bridget 3人掛けソファ、トラディショナル、モダン、ベージュ、ダークブラウン")</f>
        <v>Christopher Knight Home Bridget 3人掛けソファ、トラディショナル、モダン、ベージュ、ダークブラウン</v>
      </c>
    </row>
    <row r="1711" ht="15.75" customHeight="1">
      <c r="A1711" s="1">
        <v>3435.0</v>
      </c>
      <c r="B1711" s="1" t="s">
        <v>15</v>
      </c>
      <c r="C1711" s="1" t="s">
        <v>1681</v>
      </c>
      <c r="D1711" s="1" t="str">
        <f>IFERROR(__xludf.DUMMYFUNCTION("CONCATENATE(GOOGLETRANSLATE(C1711, ""en"", ""zh-cn""))"),"PaPaJet 沙发床 A，2 合 1 沙发床，带储物躺椅 - 客厅拉出沙发床，沙发床，带拉出床灰色")</f>
        <v>PaPaJet 沙发床 A，2 合 1 沙发床，带储物躺椅 - 客厅拉出沙发床，沙发床，带拉出床灰色</v>
      </c>
      <c r="E1711" s="1" t="str">
        <f>IFERROR(__xludf.DUMMYFUNCTION("CONCATENATE(GOOGLETRANSLATE(C1711, ""en"", ""ko""))"),"PaPaJet 슬리퍼 소파 소파 A, 수납형 소파 베드 1개(거실용 긴 의자-풀아웃 소파 베드 포함), 풀아웃 침대가 있는 슬리퍼 소파(그레이)")</f>
        <v>PaPaJet 슬리퍼 소파 소파 A, 수납형 소파 베드 1개(거실용 긴 의자-풀아웃 소파 베드 포함), 풀아웃 침대가 있는 슬리퍼 소파(그레이)</v>
      </c>
      <c r="F1711" s="1" t="str">
        <f>IFERROR(__xludf.DUMMYFUNCTION("CONCATENATE(GOOGLETRANSLATE(C1711, ""en"", ""ja""))"),"PaPaJet スリーパーソファ カウチ A、収納付き 2 in 1 ソファベッド 長椅子引き出し式カウチベッド リビングルーム用、引き出し式ベッド付きスリーパーカウチ グレー")</f>
        <v>PaPaJet スリーパーソファ カウチ A、収納付き 2 in 1 ソファベッド 長椅子引き出し式カウチベッド リビングルーム用、引き出し式ベッド付きスリーパーカウチ グレー</v>
      </c>
    </row>
    <row r="1712" ht="15.75" customHeight="1">
      <c r="A1712" s="1">
        <v>3438.0</v>
      </c>
      <c r="B1712" s="1" t="s">
        <v>15</v>
      </c>
      <c r="C1712" s="1" t="s">
        <v>1682</v>
      </c>
      <c r="D1712" s="1" t="str">
        <f>IFERROR(__xludf.DUMMYFUNCTION("CONCATENATE(GOOGLETRANSLATE(C1712, ""en"", ""zh-cn""))"),"Breville Polyscience HydroPro 真空低温烹调法浸入式循环器，1450 瓦，不锈钢，CSV700PSS1BUC1")</f>
        <v>Breville Polyscience HydroPro 真空低温烹调法浸入式循环器，1450 瓦，不锈钢，CSV700PSS1BUC1</v>
      </c>
      <c r="E1712" s="1" t="str">
        <f>IFERROR(__xludf.DUMMYFUNCTION("CONCATENATE(GOOGLETRANSLATE(C1712, ""en"", ""ko""))"),"브레빌 폴리사이언스 하이드로프로 수비드 침수 순환기, 1450와트, 스테인리스, CSV700PSS1BUC1")</f>
        <v>브레빌 폴리사이언스 하이드로프로 수비드 침수 순환기, 1450와트, 스테인리스, CSV700PSS1BUC1</v>
      </c>
      <c r="F1712" s="1" t="str">
        <f>IFERROR(__xludf.DUMMYFUNCTION("CONCATENATE(GOOGLETRANSLATE(C1712, ""en"", ""ja""))"),"Breville Polyscience HydroPro Sous Vide 浸漬サーキュレーター、1450 ワット、ステンレス、CSV700PSS1BUC1")</f>
        <v>Breville Polyscience HydroPro Sous Vide 浸漬サーキュレーター、1450 ワット、ステンレス、CSV700PSS1BUC1</v>
      </c>
    </row>
    <row r="1713" ht="15.75" customHeight="1">
      <c r="A1713" s="1">
        <v>3441.0</v>
      </c>
      <c r="B1713" s="1" t="s">
        <v>15</v>
      </c>
      <c r="C1713" s="1" t="s">
        <v>1683</v>
      </c>
      <c r="D1713" s="1" t="str">
        <f>IFERROR(__xludf.DUMMYFUNCTION("CONCATENATE(GOOGLETRANSLATE(C1713, ""en"", ""zh-cn""))"),"Breville 商用果汁机 XL Pro，拉丝不锈钢，CJE830BSS1BNA1")</f>
        <v>Breville 商用果汁机 XL Pro，拉丝不锈钢，CJE830BSS1BNA1</v>
      </c>
      <c r="E1713" s="1" t="str">
        <f>IFERROR(__xludf.DUMMYFUNCTION("CONCATENATE(GOOGLETRANSLATE(C1713, ""en"", ""ko""))"),"브레빌 상업용 주스 분수 XL Pro, 브러시드 스테인레스 스틸, CJE830BSS1BNA1")</f>
        <v>브레빌 상업용 주스 분수 XL Pro, 브러시드 스테인레스 스틸, CJE830BSS1BNA1</v>
      </c>
      <c r="F1713" s="1" t="str">
        <f>IFERROR(__xludf.DUMMYFUNCTION("CONCATENATE(GOOGLETRANSLATE(C1713, ""en"", ""ja""))"),"Breville 業務用ジュースファウンテン XL Pro、つや消しステンレススチール、CJE830BSS1BNA1")</f>
        <v>Breville 業務用ジュースファウンテン XL Pro、つや消しステンレススチール、CJE830BSS1BNA1</v>
      </c>
    </row>
    <row r="1714" ht="15.75" customHeight="1">
      <c r="A1714" s="1">
        <v>3464.0</v>
      </c>
      <c r="B1714" s="1" t="s">
        <v>15</v>
      </c>
      <c r="C1714" s="1" t="s">
        <v>1684</v>
      </c>
      <c r="D1714" s="1" t="str">
        <f>IFERROR(__xludf.DUMMYFUNCTION("CONCATENATE(GOOGLETRANSLATE(C1714, ""en"", ""zh-cn""))"),"VINGLI U型组合沙发，114客厅大组合沙发，亚麻组合沙发带双人躺椅，海军蓝")</f>
        <v>VINGLI U型组合沙发，114客厅大组合沙发，亚麻组合沙发带双人躺椅，海军蓝</v>
      </c>
      <c r="E1714" s="1" t="str">
        <f>IFERROR(__xludf.DUMMYFUNCTION("CONCATENATE(GOOGLETRANSLATE(C1714, ""en"", ""ko""))"),"VINGLI U 자형 단면 소파, 거실용 대형 단면 소파 소파 114개, 더블 라운지 의자가 있는 리넨 단면 소파, 네이비 블루")</f>
        <v>VINGLI U 자형 단면 소파, 거실용 대형 단면 소파 소파 114개, 더블 라운지 의자가 있는 리넨 단면 소파, 네이비 블루</v>
      </c>
      <c r="F1714" s="1" t="str">
        <f>IFERROR(__xludf.DUMMYFUNCTION("CONCATENATE(GOOGLETRANSLATE(C1714, ""en"", ""ja""))"),"VINGLI U字型セクショナルソファ、リビングルーム用114大型セクショナルソファカウチ、ダブルラウンジチェア付きリネンセクショナルソファ、ネイビーブルー")</f>
        <v>VINGLI U字型セクショナルソファ、リビングルーム用114大型セクショナルソファカウチ、ダブルラウンジチェア付きリネンセクショナルソファ、ネイビーブルー</v>
      </c>
    </row>
    <row r="1715" ht="15.75" customHeight="1">
      <c r="A1715" s="1">
        <v>3467.0</v>
      </c>
      <c r="B1715" s="1" t="s">
        <v>15</v>
      </c>
      <c r="C1715" s="1" t="s">
        <v>1685</v>
      </c>
      <c r="D1715" s="1" t="str">
        <f>IFERROR(__xludf.DUMMYFUNCTION("CONCATENATE(GOOGLETRANSLATE(C1715, ""en"", ""zh-cn""))"),"Lilola Home 亚麻双面组合沙发带储物躺椅，深灰色")</f>
        <v>Lilola Home 亚麻双面组合沙发带储物躺椅，深灰色</v>
      </c>
      <c r="E1715" s="1" t="str">
        <f>IFERROR(__xludf.DUMMYFUNCTION("CONCATENATE(GOOGLETRANSLATE(C1715, ""en"", ""ko""))"),"Lilola 홈 리넨 양면 슬리퍼 단면 소파(수납 의자 포함), 다크 그레이")</f>
        <v>Lilola 홈 리넨 양면 슬리퍼 단면 소파(수납 의자 포함), 다크 그레이</v>
      </c>
      <c r="F1715" s="1" t="str">
        <f>IFERROR(__xludf.DUMMYFUNCTION("CONCATENATE(GOOGLETRANSLATE(C1715, ""en"", ""ja""))"),"リロラ ホーム リネン リバーシブル スリーパー セクショナル ソファ 収納長椅子付き ダークグレー")</f>
        <v>リロラ ホーム リネン リバーシブル スリーパー セクショナル ソファ 収納長椅子付き ダークグレー</v>
      </c>
    </row>
    <row r="1716" ht="15.75" customHeight="1">
      <c r="A1716" s="1">
        <v>3472.0</v>
      </c>
      <c r="B1716" s="1" t="s">
        <v>15</v>
      </c>
      <c r="C1716" s="1" t="s">
        <v>1686</v>
      </c>
      <c r="D1716" s="1" t="str">
        <f>IFERROR(__xludf.DUMMYFUNCTION("CONCATENATE(GOOGLETRANSLATE(C1716, ""en"", ""zh-cn""))"),"柔和的 HANA 现代亚麻布艺沙发，带扶手口袋，深希瑟灰色")</f>
        <v>柔和的 HANA 现代亚麻布艺沙发，带扶手口袋，深希瑟灰色</v>
      </c>
      <c r="E1716" s="1" t="str">
        <f>IFERROR(__xludf.DUMMYFUNCTION("CONCATENATE(GOOGLETRANSLATE(C1716, ""en"", ""ko""))"),"팔걸이 주머니가 있는 부드러운 HANA 모던한 리넨 패브릭 소파 소파, 다크 헤더 그레이")</f>
        <v>팔걸이 주머니가 있는 부드러운 HANA 모던한 리넨 패브릭 소파 소파, 다크 헤더 그레이</v>
      </c>
      <c r="F1716" s="1" t="str">
        <f>IFERROR(__xludf.DUMMYFUNCTION("CONCATENATE(GOOGLETRANSLATE(C1716, ""en"", ""ja""))"),"まろやかなHANAモダンリネンファブリックソファカウチアームレストポケット付き、ダークヘザーグレー")</f>
        <v>まろやかなHANAモダンリネンファブリックソファカウチアームレストポケット付き、ダークヘザーグレー</v>
      </c>
    </row>
    <row r="1717" ht="15.75" customHeight="1">
      <c r="A1717" s="1">
        <v>3474.0</v>
      </c>
      <c r="B1717" s="1" t="s">
        <v>15</v>
      </c>
      <c r="C1717" s="1" t="s">
        <v>1687</v>
      </c>
      <c r="D1717" s="1" t="str">
        <f>IFERROR(__xludf.DUMMYFUNCTION("CONCATENATE(GOOGLETRANSLATE(C1717, ""en"", ""zh-cn""))"),"DTF L1800 带卷筒送纸器的转印打印机，直接胶片打印预热 A3 DTF 打印机，用于 DIY 打印 T 恤、连帽衫、织物（A3 DTF 打印机 + 烤箱）")</f>
        <v>DTF L1800 带卷筒送纸器的转印打印机，直接胶片打印预热 A3 DTF 打印机，用于 DIY 打印 T 恤、连帽衫、织物（A3 DTF 打印机 + 烤箱）</v>
      </c>
      <c r="E1717" s="1" t="str">
        <f>IFERROR(__xludf.DUMMYFUNCTION("CONCATENATE(GOOGLETRANSLATE(C1717, ""en"", ""ko""))"),"롤 피더가 있는 DTF L1800 전사 프린터, DIY 인쇄 티셔츠, 후드티, 직물(A3 DTF 프린터 + 오븐)용 필름 인쇄 예열 A3 DTF 프린터에 직접 연결")</f>
        <v>롤 피더가 있는 DTF L1800 전사 프린터, DIY 인쇄 티셔츠, 후드티, 직물(A3 DTF 프린터 + 오븐)용 필름 인쇄 예열 A3 DTF 프린터에 직접 연결</v>
      </c>
      <c r="F1717" s="1" t="str">
        <f>IFERROR(__xludf.DUMMYFUNCTION("CONCATENATE(GOOGLETRANSLATE(C1717, ""en"", ""ja""))"),"ロールフィーダー付き DTF L1800 転写プリンター、フィルムに直接プリント予熱 DIY プリント T シャツ、パーカー、生地用 A3 DTF プリンター (A3 DTF プリンター + オーブン)")</f>
        <v>ロールフィーダー付き DTF L1800 転写プリンター、フィルムに直接プリント予熱 DIY プリント T シャツ、パーカー、生地用 A3 DTF プリンター (A3 DTF プリンター + オーブン)</v>
      </c>
    </row>
    <row r="1718" ht="15.75" customHeight="1">
      <c r="A1718" s="1">
        <v>3478.0</v>
      </c>
      <c r="B1718" s="1" t="s">
        <v>15</v>
      </c>
      <c r="C1718" s="1" t="s">
        <v>1688</v>
      </c>
      <c r="D1718" s="1" t="str">
        <f>IFERROR(__xludf.DUMMYFUNCTION("CONCATENATE(GOOGLETRANSLATE(C1718, ""en"", ""zh-cn""))"),"HP MicroServer Gen10 Plus 商用塔式服务器，Intel Xeon E-2224 3.4GHz，32GB RAM，8TB 存储，RAID，Windows Server 2016")</f>
        <v>HP MicroServer Gen10 Plus 商用塔式服务器，Intel Xeon E-2224 3.4GHz，32GB RAM，8TB 存储，RAID，Windows Server 2016</v>
      </c>
      <c r="E1718" s="1" t="str">
        <f>IFERROR(__xludf.DUMMYFUNCTION("CONCATENATE(GOOGLETRANSLATE(C1718, ""en"", ""ko""))"),"비즈니스용 HP MicroServer Gen10 Plus 타워 서버, Intel Xeon E-2224 3.4GHz, 32GB RAM, 8TB 스토리지, RAID, Windows Server 2016")</f>
        <v>비즈니스용 HP MicroServer Gen10 Plus 타워 서버, Intel Xeon E-2224 3.4GHz, 32GB RAM, 8TB 스토리지, RAID, Windows Server 2016</v>
      </c>
      <c r="F1718" s="1" t="str">
        <f>IFERROR(__xludf.DUMMYFUNCTION("CONCATENATE(GOOGLETRANSLATE(C1718, ""en"", ""ja""))"),"ビジネス向け HP MicroServer Gen10 Plus タワー サーバー、Intel Xeon E-2224 3.4GHz、32GB RAM、8TB ストレージ、RAID、Windows Server 2016")</f>
        <v>ビジネス向け HP MicroServer Gen10 Plus タワー サーバー、Intel Xeon E-2224 3.4GHz、32GB RAM、8TB ストレージ、RAID、Windows Server 2016</v>
      </c>
    </row>
    <row r="1719" ht="15.75" customHeight="1">
      <c r="A1719" s="1">
        <v>3493.0</v>
      </c>
      <c r="B1719" s="1" t="s">
        <v>15</v>
      </c>
      <c r="C1719" s="1" t="s">
        <v>1689</v>
      </c>
      <c r="D1719" s="1" t="str">
        <f>IFERROR(__xludf.DUMMYFUNCTION("CONCATENATE(GOOGLETRANSLATE(C1719, ""en"", ""zh-cn""))"),"戴尔 XPS 17 9710，17 英寸 FHD+ 笔记本电脑 - 英特尔酷睿 i7-11800H，16GB DDR4 RAM，1TB SSD，NVIDIA GeForce RTX 3050 4GB GDDR6，Windows 11Home + 1 年高级支持 - 白金银")</f>
        <v>戴尔 XPS 17 9710，17 英寸 FHD+ 笔记本电脑 - 英特尔酷睿 i7-11800H，16GB DDR4 RAM，1TB SSD，NVIDIA GeForce RTX 3050 4GB GDDR6，Windows 11Home + 1 年高级支持 - 白金银</v>
      </c>
      <c r="E1719" s="1" t="str">
        <f>IFERROR(__xludf.DUMMYFUNCTION("CONCATENATE(GOOGLETRANSLATE(C1719, ""en"", ""ko""))"),"Dell XPS 17 9710, 17인치 FHD+ 노트북 - Intel Core i7-11800H, 16GB DDR4 RAM, 1TB SSD, NVIDIA GeForce RTX 3050 4GB GDDR6, Windows 11Home + 1년 프리미엄 지원 - 플래티넘 실버")</f>
        <v>Dell XPS 17 9710, 17인치 FHD+ 노트북 - Intel Core i7-11800H, 16GB DDR4 RAM, 1TB SSD, NVIDIA GeForce RTX 3050 4GB GDDR6, Windows 11Home + 1년 프리미엄 지원 - 플래티넘 실버</v>
      </c>
      <c r="F1719" s="1" t="str">
        <f>IFERROR(__xludf.DUMMYFUNCTION("CONCATENATE(GOOGLETRANSLATE(C1719, ""en"", ""ja""))"),"Dell XPS 17 9710、17 インチ FHD+ ノートパソコン - Intel Core i7-11800H、16GB DDR4 RAM、1TB SSD、NVIDIA GeForce RTX 3050 4GB GDDR6、Windows 11Home + 1 年間プレミアム サポート - プラチナ シルバー")</f>
        <v>Dell XPS 17 9710、17 インチ FHD+ ノートパソコン - Intel Core i7-11800H、16GB DDR4 RAM、1TB SSD、NVIDIA GeForce RTX 3050 4GB GDDR6、Windows 11Home + 1 年間プレミアム サポート - プラチナ シルバー</v>
      </c>
    </row>
    <row r="1720" ht="15.75" customHeight="1">
      <c r="A1720" s="1">
        <v>3508.0</v>
      </c>
      <c r="B1720" s="1" t="s">
        <v>15</v>
      </c>
      <c r="C1720" s="1" t="s">
        <v>1690</v>
      </c>
      <c r="D1720" s="1" t="str">
        <f>IFERROR(__xludf.DUMMYFUNCTION("CONCATENATE(GOOGLETRANSLATE(C1720, ""en"", ""zh-cn""))"),"戴尔 XPS 13 9310 笔记本电脑 - 13.4 英寸 OLED 3.5K (3456x2160) 触摸屏显示屏，英特尔酷睿 i7-1195G7，16GB LPDDR4x RAM，512G SSD，Iris Xe 显卡，1 年高级支持，Windows 11 Home - 白色")</f>
        <v>戴尔 XPS 13 9310 笔记本电脑 - 13.4 英寸 OLED 3.5K (3456x2160) 触摸屏显示屏，英特尔酷睿 i7-1195G7，16GB LPDDR4x RAM，512G SSD，Iris Xe 显卡，1 年高级支持，Windows 11 Home - 白色</v>
      </c>
      <c r="E1720" s="1" t="str">
        <f>IFERROR(__xludf.DUMMYFUNCTION("CONCATENATE(GOOGLETRANSLATE(C1720, ""en"", ""ko""))"),"Dell XPS 13 9310 노트북 - 13.4인치 OLED 3.5K(3456x2160) 터치스크린 디스플레이, Intel Core i7-1195G7, 16GB LPDDR4x RAM, 512G SSD, Iris Xe 그래픽, 1년 프리미엄 지원, Windows 11 Home - 화이트")</f>
        <v>Dell XPS 13 9310 노트북 - 13.4인치 OLED 3.5K(3456x2160) 터치스크린 디스플레이, Intel Core i7-1195G7, 16GB LPDDR4x RAM, 512G SSD, Iris Xe 그래픽, 1년 프리미엄 지원, Windows 11 Home - 화이트</v>
      </c>
      <c r="F1720" s="1" t="str">
        <f>IFERROR(__xludf.DUMMYFUNCTION("CONCATENATE(GOOGLETRANSLATE(C1720, ""en"", ""ja""))"),"Dell XPS 13 9310 ラップトップ - 13.4 インチ OLED 3.5K (3456x2160) タッチスクリーン ディスプレイ、Intel Core i7-1195G7、16GB LPDDR4x RAM、512G SSD、Iris Xe グラフィックス、1 年間のプレミアム サポート、Windows 11 Home - ホワイト")</f>
        <v>Dell XPS 13 9310 ラップトップ - 13.4 インチ OLED 3.5K (3456x2160) タッチスクリーン ディスプレイ、Intel Core i7-1195G7、16GB LPDDR4x RAM、512G SSD、Iris Xe グラフィックス、1 年間のプレミアム サポート、Windows 11 Home - ホワイト</v>
      </c>
    </row>
    <row r="1721" ht="15.75" customHeight="1">
      <c r="A1721" s="1">
        <v>3517.0</v>
      </c>
      <c r="B1721" s="1" t="s">
        <v>15</v>
      </c>
      <c r="C1721" s="1" t="s">
        <v>1691</v>
      </c>
      <c r="D1721" s="1" t="str">
        <f>IFERROR(__xludf.DUMMYFUNCTION("CONCATENATE(GOOGLETRANSLATE(C1721, ""en"", ""zh-cn""))"),"戴尔 XPS 13 9310 触摸屏笔记本电脑 - 13.4 英寸 UHD+ 显示屏，轻薄，英特尔酷睿 i7-1195G7，16GB LPDDR4x RAM，512GB 固态硬盘，英特尔 Iris Xe，Killer Wi-Fi 6 + 服务，Windows 11 Home - 银色")</f>
        <v>戴尔 XPS 13 9310 触摸屏笔记本电脑 - 13.4 英寸 UHD+ 显示屏，轻薄，英特尔酷睿 i7-1195G7，16GB LPDDR4x RAM，512GB 固态硬盘，英特尔 Iris Xe，Killer Wi-Fi 6 + 服务，Windows 11 Home - 银色</v>
      </c>
      <c r="E1721" s="1" t="str">
        <f>IFERROR(__xludf.DUMMYFUNCTION("CONCATENATE(GOOGLETRANSLATE(C1721, ""en"", ""ko""))"),"Dell XPS 13 9310 터치스크린 노트북 - 13.4인치 UHD+ 디스플레이, 얇고 가벼운 Intel Core i7-1195G7, 16GB LPDDR4x RAM, 512GB SSD, Intel Iris Xe, Killer Wi-Fi 6 + 서비스, Windows 11 Home – 실버")</f>
        <v>Dell XPS 13 9310 터치스크린 노트북 - 13.4인치 UHD+ 디스플레이, 얇고 가벼운 Intel Core i7-1195G7, 16GB LPDDR4x RAM, 512GB SSD, Intel Iris Xe, Killer Wi-Fi 6 + 서비스, Windows 11 Home – 실버</v>
      </c>
      <c r="F1721" s="1" t="str">
        <f>IFERROR(__xludf.DUMMYFUNCTION("CONCATENATE(GOOGLETRANSLATE(C1721, ""en"", ""ja""))"),"Dell XPS 13 9310 タッチスクリーン ノートパソコン - 13.4 インチ UHD+ ディスプレイ、薄型軽量、Intel Core i7-1195G7、16GB LPDDR4x RAM、512GB SSD、Intel Iris Xe、Killer Wi-Fi 6 + サービス、Windows 11 Home – シルバー")</f>
        <v>Dell XPS 13 9310 タッチスクリーン ノートパソコン - 13.4 インチ UHD+ ディスプレイ、薄型軽量、Intel Core i7-1195G7、16GB LPDDR4x RAM、512GB SSD、Intel Iris Xe、Killer Wi-Fi 6 + サービス、Windows 11 Home – シルバー</v>
      </c>
    </row>
    <row r="1722" ht="15.75" customHeight="1">
      <c r="A1722" s="1">
        <v>3519.0</v>
      </c>
      <c r="B1722" s="1" t="s">
        <v>15</v>
      </c>
      <c r="C1722" s="1" t="s">
        <v>1692</v>
      </c>
      <c r="D1722" s="1" t="str">
        <f>IFERROR(__xludf.DUMMYFUNCTION("CONCATENATE(GOOGLETRANSLATE(C1722, ""en"", ""zh-cn""))"),"HP Envy 17T 2022 笔记本电脑， i7-1195G7 第 11 代，32GB RAM，1 TB NVMe SSD，17.3 FHD Touch，Thunderbolt 4，Win 11 PRO，WiFi 6，B&amp;O Audio，USB-A，Intel Xe 显卡，银色，64GB Tech Warehouse 闪存驱动器")</f>
        <v>HP Envy 17T 2022 笔记本电脑， i7-1195G7 第 11 代，32GB RAM，1 TB NVMe SSD，17.3 FHD Touch，Thunderbolt 4，Win 11 PRO，WiFi 6，B&amp;O Audio，USB-A，Intel Xe 显卡，银色，64GB Tech Warehouse 闪存驱动器</v>
      </c>
      <c r="E1722" s="1" t="str">
        <f>IFERROR(__xludf.DUMMYFUNCTION("CONCATENATE(GOOGLETRANSLATE(C1722, ""en"", ""ko""))"),"HP Envy 17T 2022 노트북, i7-1195G7 11세대, 32GB RAM, 1TB NVMe SSD, 17.3 FHD 터치, Thunderbolt 4, Win 11 PRO, WiFi 6, B&amp;O 오디오, USB-A, Intel Xe 그래픽, 실버, 64GB Tech Warehouse 플래시 드라이브")</f>
        <v>HP Envy 17T 2022 노트북, i7-1195G7 11세대, 32GB RAM, 1TB NVMe SSD, 17.3 FHD 터치, Thunderbolt 4, Win 11 PRO, WiFi 6, B&amp;O 오디오, USB-A, Intel Xe 그래픽, 실버, 64GB Tech Warehouse 플래시 드라이브</v>
      </c>
      <c r="F1722" s="1" t="str">
        <f>IFERROR(__xludf.DUMMYFUNCTION("CONCATENATE(GOOGLETRANSLATE(C1722, ""en"", ""ja""))"),"HP Envy 17T 2022 ラップトップ、i7-1195G7 第 11 世代、32GB RAM、1 TB NVMe SSD、17.3 FHD Touch、Thunderbolt 4、Win 11 PRO、WiFi 6、B&amp;O オーディオ、USB-A、Intel Xe グラフィックス、シルバー、64GB Tech Warehouse Flashdrive")</f>
        <v>HP Envy 17T 2022 ラップトップ、i7-1195G7 第 11 世代、32GB RAM、1 TB NVMe SSD、17.3 FHD Touch、Thunderbolt 4、Win 11 PRO、WiFi 6、B&amp;O オーディオ、USB-A、Intel Xe グラフィックス、シルバー、64GB Tech Warehouse Flashdrive</v>
      </c>
    </row>
    <row r="1723" ht="15.75" customHeight="1">
      <c r="A1723" s="1">
        <v>3557.0</v>
      </c>
      <c r="B1723" s="1" t="s">
        <v>15</v>
      </c>
      <c r="C1723" s="1" t="s">
        <v>1693</v>
      </c>
      <c r="D1723" s="1" t="str">
        <f>IFERROR(__xludf.DUMMYFUNCTION("CONCATENATE(GOOGLETRANSLATE(C1723, ""en"", ""zh-cn""))"),"Phoenix Contact 2902879 DIN 导轨电源冗余模块 Quint-ORING 24DC/2X40/1X80，输入：24 V DC/2x 40 A，输出：24 V DC/1 x 80 A")</f>
        <v>Phoenix Contact 2902879 DIN 导轨电源冗余模块 Quint-ORING 24DC/2X40/1X80，输入：24 V DC/2x 40 A，输出：24 V DC/1 x 80 A</v>
      </c>
      <c r="E1723" s="1" t="str">
        <f>IFERROR(__xludf.DUMMYFUNCTION("CONCATENATE(GOOGLETRANSLATE(C1723, ""en"", ""ko""))"),"Phoenix Contact 2902879 DIN 레일 전원 공급 장치 이중화 모듈 Quint-ORING 24DC/2X40/1X80, 입력: 24V DC/2x 40A, 출력: 24V DC/1 x 80A")</f>
        <v>Phoenix Contact 2902879 DIN 레일 전원 공급 장치 이중화 모듈 Quint-ORING 24DC/2X40/1X80, 입력: 24V DC/2x 40A, 출력: 24V DC/1 x 80A</v>
      </c>
      <c r="F1723" s="1" t="str">
        <f>IFERROR(__xludf.DUMMYFUNCTION("CONCATENATE(GOOGLETRANSLATE(C1723, ""en"", ""ja""))"),"フエニックスコンタクト 2902879 DIN レール電源冗長モジュール Quint-ORING 24DC/2X40/1X80、入力: 24 V DC/2x 40 A、出力: 24 V DC/1 x 80 A")</f>
        <v>フエニックスコンタクト 2902879 DIN レール電源冗長モジュール Quint-ORING 24DC/2X40/1X80、入力: 24 V DC/2x 40 A、出力: 24 V DC/1 x 80 A</v>
      </c>
    </row>
    <row r="1724" ht="15.75" customHeight="1">
      <c r="A1724" s="1">
        <v>3562.0</v>
      </c>
      <c r="B1724" s="1" t="s">
        <v>15</v>
      </c>
      <c r="C1724" s="1" t="s">
        <v>1694</v>
      </c>
      <c r="D1724" s="1" t="str">
        <f>IFERROR(__xludf.DUMMYFUNCTION("CONCATENATE(GOOGLETRANSLATE(C1724, ""en"", ""zh-cn""))"),"2021 年 Apple 12.9 英寸 iPad Pro（Wi‑Fi + 蜂窝网络，512GB）- 深空灰色（续订）")</f>
        <v>2021 年 Apple 12.9 英寸 iPad Pro（Wi‑Fi + 蜂窝网络，512GB）- 深空灰色（续订）</v>
      </c>
      <c r="E1724" s="1" t="str">
        <f>IFERROR(__xludf.DUMMYFUNCTION("CONCATENATE(GOOGLETRANSLATE(C1724, ""en"", ""ko""))"),"2021 Apple 12.9인치 iPad Pro(Wi-Fi + Cellular, 512GB) - 스페이스 그레이(리뉴얼)")</f>
        <v>2021 Apple 12.9인치 iPad Pro(Wi-Fi + Cellular, 512GB) - 스페이스 그레이(리뉴얼)</v>
      </c>
      <c r="F1724" s="1" t="str">
        <f>IFERROR(__xludf.DUMMYFUNCTION("CONCATENATE(GOOGLETRANSLATE(C1724, ""en"", ""ja""))"),"2021 Apple 12.9 インチ iPad Pro (Wi‑Fi + Cellular、512GB) - スペース グレイ (リニューアル)")</f>
        <v>2021 Apple 12.9 インチ iPad Pro (Wi‑Fi + Cellular、512GB) - スペース グレイ (リニューアル)</v>
      </c>
    </row>
    <row r="1725" ht="15.75" customHeight="1">
      <c r="A1725" s="1">
        <v>3563.0</v>
      </c>
      <c r="B1725" s="1" t="s">
        <v>15</v>
      </c>
      <c r="C1725" s="1" t="s">
        <v>1695</v>
      </c>
      <c r="D1725" s="1" t="str">
        <f>IFERROR(__xludf.DUMMYFUNCTION("CONCATENATE(GOOGLETRANSLATE(C1725, ""en"", ""zh-cn""))"),"戴尔 Inspiron 14 5420 14 英寸学生笔记本电脑 - 2.2K 显示屏，英特尔酷睿 i7-1255U，16GB DDR4 RAM，512GB SSD，NVIDIA GeForce MX570，HDMI，USB-C，蓝牙，Wi-Fi 6，Windows 11 Pro - 银色")</f>
        <v>戴尔 Inspiron 14 5420 14 英寸学生笔记本电脑 - 2.2K 显示屏，英特尔酷睿 i7-1255U，16GB DDR4 RAM，512GB SSD，NVIDIA GeForce MX570，HDMI，USB-C，蓝牙，Wi-Fi 6，Windows 11 Pro - 银色</v>
      </c>
      <c r="E1725" s="1" t="str">
        <f>IFERROR(__xludf.DUMMYFUNCTION("CONCATENATE(GOOGLETRANSLATE(C1725, ""en"", ""ko""))"),"Dell Inspiron 14 5420 14인치 학생용 노트북 - 2.2K 디스플레이, Intel Core i7-1255U, 16GB DDR4 RAM, 512GB SSD, NVIDIA GeForce MX570, HDMI, USB-C, Bluetooth, Wi-Fi 6, Windows 11 Pro - 실버")</f>
        <v>Dell Inspiron 14 5420 14인치 학생용 노트북 - 2.2K 디스플레이, Intel Core i7-1255U, 16GB DDR4 RAM, 512GB SSD, NVIDIA GeForce MX570, HDMI, USB-C, Bluetooth, Wi-Fi 6, Windows 11 Pro - 실버</v>
      </c>
      <c r="F1725" s="1" t="str">
        <f>IFERROR(__xludf.DUMMYFUNCTION("CONCATENATE(GOOGLETRANSLATE(C1725, ""en"", ""ja""))"),"Dell Inspiron 14 5420 14 インチ学生用ラップトップ - 2.2K ディスプレイ、Intel Core i7-1255U、16GB DDR4 RAM、512GB SSD、NVIDIA GeForce MX570、HDMI、USB-C、Bluetooth、Wi-Fi 6、Windows 11 Pro - シルバー")</f>
        <v>Dell Inspiron 14 5420 14 インチ学生用ラップトップ - 2.2K ディスプレイ、Intel Core i7-1255U、16GB DDR4 RAM、512GB SSD、NVIDIA GeForce MX570、HDMI、USB-C、Bluetooth、Wi-Fi 6、Windows 11 Pro - シルバー</v>
      </c>
    </row>
    <row r="1726" ht="15.75" customHeight="1">
      <c r="A1726" s="1">
        <v>3578.0</v>
      </c>
      <c r="B1726" s="1" t="s">
        <v>15</v>
      </c>
      <c r="C1726" s="1" t="s">
        <v>1696</v>
      </c>
      <c r="D1726" s="1" t="str">
        <f>IFERROR(__xludf.DUMMYFUNCTION("CONCATENATE(GOOGLETRANSLATE(C1726, ""en"", ""zh-cn""))"),"Lenovo ThinkPad T14 Gen 2 20W0001NUS 14 笔记本 - 全高清 - 1920 x 1080 - Intel Core i7 第 11 代 i7-1165G7 四核（4 核）2.80 GHz - 16 GB RAM - 512 GB SSD - 黑色")</f>
        <v>Lenovo ThinkPad T14 Gen 2 20W0001NUS 14 笔记本 - 全高清 - 1920 x 1080 - Intel Core i7 第 11 代 i7-1165G7 四核（4 核）2.80 GHz - 16 GB RAM - 512 GB SSD - 黑色</v>
      </c>
      <c r="E1726" s="1" t="str">
        <f>IFERROR(__xludf.DUMMYFUNCTION("CONCATENATE(GOOGLETRANSLATE(C1726, ""en"", ""ko""))"),"Lenovo ThinkPad T14 Gen 2 20W0001NUS 14 노트북 - 풀 HD - 1920 x 1080 - Intel Core i7 11세대 i7-1165G7 쿼드 코어(4 코어) 2.80 GHz - 16 GB RAM - 512 GB SSD - 블랙")</f>
        <v>Lenovo ThinkPad T14 Gen 2 20W0001NUS 14 노트북 - 풀 HD - 1920 x 1080 - Intel Core i7 11세대 i7-1165G7 쿼드 코어(4 코어) 2.80 GHz - 16 GB RAM - 512 GB SSD - 블랙</v>
      </c>
      <c r="F1726" s="1" t="str">
        <f>IFERROR(__xludf.DUMMYFUNCTION("CONCATENATE(GOOGLETRANSLATE(C1726, ""en"", ""ja""))"),"Lenovo ThinkPad T14 Gen 2 20W0001NUS 14 ノートブック - フル HD - 1920 x 1080 - Intel Core i7 第 11 世代 i7-1165G7 クアッドコア (4 コア) 2.80 GHz - 16 GB RAM - 512 GB SSD - ブラック")</f>
        <v>Lenovo ThinkPad T14 Gen 2 20W0001NUS 14 ノートブック - フル HD - 1920 x 1080 - Intel Core i7 第 11 世代 i7-1165G7 クアッドコア (4 コア) 2.80 GHz - 16 GB RAM - 512 GB SSD - ブラック</v>
      </c>
    </row>
    <row r="1727" ht="15.75" customHeight="1">
      <c r="A1727" s="1">
        <v>3580.0</v>
      </c>
      <c r="B1727" s="1" t="s">
        <v>15</v>
      </c>
      <c r="C1727" s="1" t="s">
        <v>1697</v>
      </c>
      <c r="D1727" s="1" t="str">
        <f>IFERROR(__xludf.DUMMYFUNCTION("CONCATENATE(GOOGLETRANSLATE(C1727, ""en"", ""zh-cn""))"),"联想 ThinkPad T14 Gen 2 14 FHD（英特尔 4 核 i5-1135G7，16GB RAM，512GB SSD，UHD 显卡）IPS 商务笔记本电脑，背光，指纹识别，2 x Thunderbolt 4，网络摄像头，3 年保修，Windows 11 Pro")</f>
        <v>联想 ThinkPad T14 Gen 2 14 FHD（英特尔 4 核 i5-1135G7，16GB RAM，512GB SSD，UHD 显卡）IPS 商务笔记本电脑，背光，指纹识别，2 x Thunderbolt 4，网络摄像头，3 年保修，Windows 11 Pro</v>
      </c>
      <c r="E1727" s="1" t="str">
        <f>IFERROR(__xludf.DUMMYFUNCTION("CONCATENATE(GOOGLETRANSLATE(C1727, ""en"", ""ko""))"),"Lenovo ThinkPad T14 Gen 2 14 FHD(Intel 4코어 i5-1135G7, 16GB RAM, 512GB SSD, UHD 그래픽) IPS 비즈니스 노트북, 백라이트, 지문 인식, Thunderbolt 4 2개, 웹캠, 3년 보증, Windows 11 Pro")</f>
        <v>Lenovo ThinkPad T14 Gen 2 14 FHD(Intel 4코어 i5-1135G7, 16GB RAM, 512GB SSD, UHD 그래픽) IPS 비즈니스 노트북, 백라이트, 지문 인식, Thunderbolt 4 2개, 웹캠, 3년 보증, Windows 11 Pro</v>
      </c>
      <c r="F1727" s="1" t="str">
        <f>IFERROR(__xludf.DUMMYFUNCTION("CONCATENATE(GOOGLETRANSLATE(C1727, ""en"", ""ja""))"),"Lenovo ThinkPad T14 Gen 2 14 FHD (Intel 4-Core i5-1135G7、16GB RAM、512GB SSD、UHD グラフィックス) IPS ビジネスノートパソコン、バックライト付き、指紋認証、2 x Thunderbolt 4、Web カメラ、3 年保証、Windows 11 Pro")</f>
        <v>Lenovo ThinkPad T14 Gen 2 14 FHD (Intel 4-Core i5-1135G7、16GB RAM、512GB SSD、UHD グラフィックス) IPS ビジネスノートパソコン、バックライト付き、指紋認証、2 x Thunderbolt 4、Web カメラ、3 年保証、Windows 11 Pro</v>
      </c>
    </row>
    <row r="1728" ht="15.75" customHeight="1">
      <c r="A1728" s="1">
        <v>3585.0</v>
      </c>
      <c r="B1728" s="1" t="s">
        <v>15</v>
      </c>
      <c r="C1728" s="1" t="s">
        <v>1698</v>
      </c>
      <c r="D1728" s="1" t="str">
        <f>IFERROR(__xludf.DUMMYFUNCTION("CONCATENATE(GOOGLETRANSLATE(C1728, ""en"", ""zh-cn""))"),"宏碁 Aspire 5 15.6 FHD 笔记本电脑，英特尔酷睿 i7-1165G7 处理器，32GB RAM，1TB PCIe SSD + 1TB HDD，网络摄像头，背光键盘，指纹识别器，Wi-Fi 6，Windows 11 Home，黑色")</f>
        <v>宏碁 Aspire 5 15.6 FHD 笔记本电脑，英特尔酷睿 i7-1165G7 处理器，32GB RAM，1TB PCIe SSD + 1TB HDD，网络摄像头，背光键盘，指纹识别器，Wi-Fi 6，Windows 11 Home，黑色</v>
      </c>
      <c r="E1728" s="1" t="str">
        <f>IFERROR(__xludf.DUMMYFUNCTION("CONCATENATE(GOOGLETRANSLATE(C1728, ""en"", ""ko""))"),"Acer Aspire 5 15.6 FHD 노트북 노트북, Intel Core i7-1165G7 프로세서, 32GB RAM, 1TB PCIe SSD + 1TB HDD, 웹캠, 백라이트 키보드, 지문 판독기, Wi-Fi 6, Windows 11 Home, 블랙")</f>
        <v>Acer Aspire 5 15.6 FHD 노트북 노트북, Intel Core i7-1165G7 프로세서, 32GB RAM, 1TB PCIe SSD + 1TB HDD, 웹캠, 백라이트 키보드, 지문 판독기, Wi-Fi 6, Windows 11 Home, 블랙</v>
      </c>
      <c r="F1728" s="1" t="str">
        <f>IFERROR(__xludf.DUMMYFUNCTION("CONCATENATE(GOOGLETRANSLATE(C1728, ""en"", ""ja""))"),"Acer Aspire 5 15.6 FHD ノートブック ラップトップ、Intel Core i7-1165G7 プロセッサー、32GB RAM、1TB PCIe SSD + 1TB HDD、ウェブカメラ、バックライト付きキーボード、指紋リーダー、Wi-Fi 6、Windows 11 Home、ブラック")</f>
        <v>Acer Aspire 5 15.6 FHD ノートブック ラップトップ、Intel Core i7-1165G7 プロセッサー、32GB RAM、1TB PCIe SSD + 1TB HDD、ウェブカメラ、バックライト付きキーボード、指紋リーダー、Wi-Fi 6、Windows 11 Home、ブラック</v>
      </c>
    </row>
    <row r="1729" ht="15.75" customHeight="1">
      <c r="A1729" s="1">
        <v>3588.0</v>
      </c>
      <c r="B1729" s="1" t="s">
        <v>15</v>
      </c>
      <c r="C1729" s="1" t="s">
        <v>1699</v>
      </c>
      <c r="D1729" s="1" t="str">
        <f>IFERROR(__xludf.DUMMYFUNCTION("CONCATENATE(GOOGLETRANSLATE(C1729, ""en"", ""zh-cn""))"),"Ergotron StyleView 坐站式垂直升降病人室适用于 24 LCD 显示屏/键盘/鼠标/条形码扫描仪 - 白色")</f>
        <v>Ergotron StyleView 坐站式垂直升降病人室适用于 24 LCD 显示屏/键盘/鼠标/条形码扫描仪 - 白色</v>
      </c>
      <c r="E1729" s="1" t="str">
        <f>IFERROR(__xludf.DUMMYFUNCTION("CONCATENATE(GOOGLETRANSLATE(C1729, ""en"", ""ko""))"),"Ergotron StyleView 24개 LCD 디스플레이/키보드/마우스/바코드 스캐너용 수직 리프트 환자실 - 흰색")</f>
        <v>Ergotron StyleView 24개 LCD 디스플레이/키보드/마우스/바코드 스캐너용 수직 리프트 환자실 - 흰색</v>
      </c>
      <c r="F1729" s="1" t="str">
        <f>IFERROR(__xludf.DUMMYFUNCTION("CONCATENATE(GOOGLETRANSLATE(C1729, ""en"", ""ja""))"),"Ergotron StyleView シットスタンド垂直リフト病室 24 LCD ディスプレイ/キーボード/マウス/バーコード スキャナー用 - ホワイト")</f>
        <v>Ergotron StyleView シットスタンド垂直リフト病室 24 LCD ディスプレイ/キーボード/マウス/バーコード スキャナー用 - ホワイト</v>
      </c>
    </row>
    <row r="1730" ht="15.75" customHeight="1">
      <c r="A1730" s="1">
        <v>3590.0</v>
      </c>
      <c r="B1730" s="1" t="s">
        <v>15</v>
      </c>
      <c r="C1730" s="1" t="s">
        <v>1700</v>
      </c>
      <c r="D1730" s="1" t="str">
        <f>IFERROR(__xludf.DUMMYFUNCTION("CONCATENATE(GOOGLETRANSLATE(C1730, ""en"", ""zh-cn""))"),"锐龙 5 5600G PC - 强大的 RGB 定制游戏台式机！")</f>
        <v>锐龙 5 5600G PC - 强大的 RGB 定制游戏台式机！</v>
      </c>
      <c r="E1730" s="1" t="str">
        <f>IFERROR(__xludf.DUMMYFUNCTION("CONCATENATE(GOOGLETRANSLATE(C1730, ""en"", ""ko""))"),"RYZEN 5 5600G PC - RGB를 갖춘 강력한 맞춤형 게이밍 데스크탑!")</f>
        <v>RYZEN 5 5600G PC - RGB를 갖춘 강력한 맞춤형 게이밍 데스크탑!</v>
      </c>
      <c r="F1730" s="1" t="str">
        <f>IFERROR(__xludf.DUMMYFUNCTION("CONCATENATE(GOOGLETRANSLATE(C1730, ""en"", ""ja""))"),"RYZEN 5 5600G PC - RGB を備えた強力なカスタマイズされたゲーミング デスクトップ!")</f>
        <v>RYZEN 5 5600G PC - RGB を備えた強力なカスタマイズされたゲーミング デスクトップ!</v>
      </c>
    </row>
    <row r="1731" ht="15.75" customHeight="1">
      <c r="A1731" s="1">
        <v>3615.0</v>
      </c>
      <c r="B1731" s="1" t="s">
        <v>15</v>
      </c>
      <c r="C1731" s="1" t="s">
        <v>1701</v>
      </c>
      <c r="D1731" s="1" t="str">
        <f>IFERROR(__xludf.DUMMYFUNCTION("CONCATENATE(GOOGLETRANSLATE(C1731, ""en"", ""zh-cn""))"),"联想 IdeaPad 5 15.6 笔记本电脑 AMD Ryzen 7-5700U 16GB RAM 512GB SSD 石墨灰 - AMD Ryzen 7 5700U 八核 - Windows 11 操作系统 - 集成 AMD Radeon 显卡 - LED 背光技术 - 最高")</f>
        <v>联想 IdeaPad 5 15.6 笔记本电脑 AMD Ryzen 7-5700U 16GB RAM 512GB SSD 石墨灰 - AMD Ryzen 7 5700U 八核 - Windows 11 操作系统 - 集成 AMD Radeon 显卡 - LED 背光技术 - 最高</v>
      </c>
      <c r="E1731" s="1" t="str">
        <f>IFERROR(__xludf.DUMMYFUNCTION("CONCATENATE(GOOGLETRANSLATE(C1731, ""en"", ""ko""))"),"Lenovo IdeaPad 5 15.6 노트북 AMD Ryzen 7-5700U 16GB RAM 512GB SSD 그래파이트 그레이 - AMD Ryzen 7 5700U 옥타 코어 - Windows 11 OS - 통합 AMD Radeon 그래픽 - LED 백라이트 기술 - 최대")</f>
        <v>Lenovo IdeaPad 5 15.6 노트북 AMD Ryzen 7-5700U 16GB RAM 512GB SSD 그래파이트 그레이 - AMD Ryzen 7 5700U 옥타 코어 - Windows 11 OS - 통합 AMD Radeon 그래픽 - LED 백라이트 기술 - 최대</v>
      </c>
      <c r="F1731" s="1" t="str">
        <f>IFERROR(__xludf.DUMMYFUNCTION("CONCATENATE(GOOGLETRANSLATE(C1731, ""en"", ""ja""))"),"Lenovo IdeaPad 5 15.6 ラップトップ AMD Ryzen 7-5700U 16GB RAM 512GB SSD グラファイト グレー - AMD Ryzen 7 5700U オクタコア - Windows 11 OS - 統合 AMD Radeon グラフィックス - LED バックライト テクノロジー - 最大")</f>
        <v>Lenovo IdeaPad 5 15.6 ラップトップ AMD Ryzen 7-5700U 16GB RAM 512GB SSD グラファイト グレー - AMD Ryzen 7 5700U オクタコア - Windows 11 OS - 統合 AMD Radeon グラフィックス - LED バックライト テクノロジー - 最大</v>
      </c>
    </row>
    <row r="1732" ht="15.75" customHeight="1">
      <c r="A1732" s="1">
        <v>3623.0</v>
      </c>
      <c r="B1732" s="1" t="s">
        <v>15</v>
      </c>
      <c r="C1732" s="1" t="s">
        <v>1702</v>
      </c>
      <c r="D1732" s="1" t="str">
        <f>IFERROR(__xludf.DUMMYFUNCTION("CONCATENATE(GOOGLETRANSLATE(C1732, ""en"", ""zh-cn""))"),"戴尔 Inspiron 15 3520 笔记本电脑 - 15.6 英寸 FHD (1920x1080) 120Hz 显示屏，Core i5-1235U 处理器，16GB DDR4 RAM，512GB SSD，WiFi 6，Iris Xe 显卡，Win 11 Home - 碳黑")</f>
        <v>戴尔 Inspiron 15 3520 笔记本电脑 - 15.6 英寸 FHD (1920x1080) 120Hz 显示屏，Core i5-1235U 处理器，16GB DDR4 RAM，512GB SSD，WiFi 6，Iris Xe 显卡，Win 11 Home - 碳黑</v>
      </c>
      <c r="E1732" s="1" t="str">
        <f>IFERROR(__xludf.DUMMYFUNCTION("CONCATENATE(GOOGLETRANSLATE(C1732, ""en"", ""ko""))"),"Dell Inspiron 15 3520 노트북 - 15.6인치 FHD(1920x1080) 120Hz 디스플레이, Core i5-1235U 프로세서, 16GB DDR4 RAM, 512GB SSD, WiFi 6, Iris Xe 그래픽, Win 11 Home - 카본 블랙")</f>
        <v>Dell Inspiron 15 3520 노트북 - 15.6인치 FHD(1920x1080) 120Hz 디스플레이, Core i5-1235U 프로세서, 16GB DDR4 RAM, 512GB SSD, WiFi 6, Iris Xe 그래픽, Win 11 Home - 카본 블랙</v>
      </c>
      <c r="F1732" s="1" t="str">
        <f>IFERROR(__xludf.DUMMYFUNCTION("CONCATENATE(GOOGLETRANSLATE(C1732, ""en"", ""ja""))"),"Dell Inspiron 15 3520 ラップトップ - 15.6 インチ FHD (1920x1080) 120Hz ディスプレイ、Core i5-1235U プロセッサー、16GB DDR4 RAM、512GB SSD、WiFi 6、Iris Xe グラフィックス、Win 11 Home - カーボン ブラック")</f>
        <v>Dell Inspiron 15 3520 ラップトップ - 15.6 インチ FHD (1920x1080) 120Hz ディスプレイ、Core i5-1235U プロセッサー、16GB DDR4 RAM、512GB SSD、WiFi 6、Iris Xe グラフィックス、Win 11 Home - カーボン ブラック</v>
      </c>
    </row>
    <row r="1733" ht="15.75" customHeight="1">
      <c r="A1733" s="1">
        <v>3627.0</v>
      </c>
      <c r="B1733" s="1" t="s">
        <v>15</v>
      </c>
      <c r="C1733" s="1" t="s">
        <v>1703</v>
      </c>
      <c r="D1733" s="1" t="str">
        <f>IFERROR(__xludf.DUMMYFUNCTION("CONCATENATE(GOOGLETRANSLATE(C1733, ""en"", ""zh-cn""))"),"宏碁 Nitro 5 AN515-57-79TD 游戏笔记本电脑 |英特尔酷睿i7-11800H | NVIDIA GeForce RTX 3050 Ti 笔记本电脑 GPU | 15.6 FHD 144Hz IPS 显示屏 | 8GB DDR4 | 512GB NVMe 固态硬盘 |杀手 Wi-Fi 6 |背光键盘")</f>
        <v>宏碁 Nitro 5 AN515-57-79TD 游戏笔记本电脑 |英特尔酷睿i7-11800H | NVIDIA GeForce RTX 3050 Ti 笔记本电脑 GPU | 15.6 FHD 144Hz IPS 显示屏 | 8GB DDR4 | 512GB NVMe 固态硬盘 |杀手 Wi-Fi 6 |背光键盘</v>
      </c>
      <c r="E1733" s="1" t="str">
        <f>IFERROR(__xludf.DUMMYFUNCTION("CONCATENATE(GOOGLETRANSLATE(C1733, ""en"", ""ko""))"),"Acer Nitro 5 AN515-57-79TD 게이밍 노트북 | 인텔 코어 i7-11800H | NVIDIA GeForce RTX 3050 Ti 노트북 GPU | 15.6 FHD 144Hz IPS 디스플레이 | 8GB DDR4 | 512GB NVMe SSD | 킬러 Wi-Fi 6 | 백라이트 키보드")</f>
        <v>Acer Nitro 5 AN515-57-79TD 게이밍 노트북 | 인텔 코어 i7-11800H | NVIDIA GeForce RTX 3050 Ti 노트북 GPU | 15.6 FHD 144Hz IPS 디스플레이 | 8GB DDR4 | 512GB NVMe SSD | 킬러 Wi-Fi 6 | 백라이트 키보드</v>
      </c>
      <c r="F1733" s="1" t="str">
        <f>IFERROR(__xludf.DUMMYFUNCTION("CONCATENATE(GOOGLETRANSLATE(C1733, ""en"", ""ja""))"),"Acer Nitro 5 AN515-57-79TD ゲーミング ノートパソコン |インテル Core i7-11800H | NVIDIA GeForce RTX 3050 Ti ラップトップ GPU | 15.6 FHD 144Hz IPS ディスプレイ | 8GB DDR4 | 512GB NVMe SSD |キラー Wi-Fi 6 |バックライト付きキーボード")</f>
        <v>Acer Nitro 5 AN515-57-79TD ゲーミング ノートパソコン |インテル Core i7-11800H | NVIDIA GeForce RTX 3050 Ti ラップトップ GPU | 15.6 FHD 144Hz IPS ディスプレイ | 8GB DDR4 | 512GB NVMe SSD |キラー Wi-Fi 6 |バックライト付きキーボード</v>
      </c>
    </row>
    <row r="1734" ht="15.75" customHeight="1">
      <c r="A1734" s="1">
        <v>3628.0</v>
      </c>
      <c r="B1734" s="1" t="s">
        <v>15</v>
      </c>
      <c r="C1734" s="1" t="s">
        <v>1704</v>
      </c>
      <c r="D1734" s="1" t="str">
        <f>IFERROR(__xludf.DUMMYFUNCTION("CONCATENATE(GOOGLETRANSLATE(C1734, ""en"", ""zh-cn""))"),"2021 Apple 11 英寸 iPad Pro（Wi‑Fi，128GB）- 银色（续订）")</f>
        <v>2021 Apple 11 英寸 iPad Pro（Wi‑Fi，128GB）- 银色（续订）</v>
      </c>
      <c r="E1734" s="1" t="str">
        <f>IFERROR(__xludf.DUMMYFUNCTION("CONCATENATE(GOOGLETRANSLATE(C1734, ""en"", ""ko""))"),"2021 Apple 11인치 iPad Pro(Wi-Fi, 128GB) - 실버(리뉴얼)")</f>
        <v>2021 Apple 11인치 iPad Pro(Wi-Fi, 128GB) - 실버(리뉴얼)</v>
      </c>
      <c r="F1734" s="1" t="str">
        <f>IFERROR(__xludf.DUMMYFUNCTION("CONCATENATE(GOOGLETRANSLATE(C1734, ""en"", ""ja""))"),"2021 Apple 11 インチ iPad Pro (Wi‑Fi、128GB) - シルバー (新品)")</f>
        <v>2021 Apple 11 インチ iPad Pro (Wi‑Fi、128GB) - シルバー (新品)</v>
      </c>
    </row>
    <row r="1735" ht="15.75" customHeight="1">
      <c r="A1735" s="1">
        <v>3629.0</v>
      </c>
      <c r="B1735" s="1" t="s">
        <v>15</v>
      </c>
      <c r="C1735" s="1" t="s">
        <v>1705</v>
      </c>
      <c r="D1735" s="1" t="str">
        <f>IFERROR(__xludf.DUMMYFUNCTION("CONCATENATE(GOOGLETRANSLATE(C1735, ""en"", ""zh-cn""))"),"联想 Legion 5 15.6，Ryzen 5 5600H，GeForce RTX 3050 Ti，8GB RAM，512GB SSD，幻影蓝，Windows 11 Home，82JW00Q7US")</f>
        <v>联想 Legion 5 15.6，Ryzen 5 5600H，GeForce RTX 3050 Ti，8GB RAM，512GB SSD，幻影蓝，Windows 11 Home，82JW00Q7US</v>
      </c>
      <c r="E1735" s="1" t="str">
        <f>IFERROR(__xludf.DUMMYFUNCTION("CONCATENATE(GOOGLETRANSLATE(C1735, ""en"", ""ko""))"),"Lenovo Legion 5 15.6, Ryzen 5 5600H, GeForce RTX 3050 Ti, 8GB RAM, 512GB SSD, 팬텀 블루, Windows 11 Home, 82JW00Q7US")</f>
        <v>Lenovo Legion 5 15.6, Ryzen 5 5600H, GeForce RTX 3050 Ti, 8GB RAM, 512GB SSD, 팬텀 블루, Windows 11 Home, 82JW00Q7US</v>
      </c>
      <c r="F1735" s="1" t="str">
        <f>IFERROR(__xludf.DUMMYFUNCTION("CONCATENATE(GOOGLETRANSLATE(C1735, ""en"", ""ja""))"),"Lenovo Legion 5 15.6、Ryzen 5 5600H、GeForce RTX 3050 Ti、8GB RAM、512GB SSD、ファントム ブルー、Windows 11 Home、82JW00Q7US")</f>
        <v>Lenovo Legion 5 15.6、Ryzen 5 5600H、GeForce RTX 3050 Ti、8GB RAM、512GB SSD、ファントム ブルー、Windows 11 Home、82JW00Q7US</v>
      </c>
    </row>
    <row r="1736" ht="15.75" customHeight="1">
      <c r="A1736" s="1">
        <v>3637.0</v>
      </c>
      <c r="B1736" s="1" t="s">
        <v>15</v>
      </c>
      <c r="C1736" s="1" t="s">
        <v>1706</v>
      </c>
      <c r="D1736" s="1" t="str">
        <f>IFERROR(__xludf.DUMMYFUNCTION("CONCATENATE(GOOGLETRANSLATE(C1736, ""en"", ""zh-cn""))"),"TPO RV 橡胶屋顶套件 45 百万 | 9'6 宽 x 10'-40' 长房车（露营车）屋顶维修（40 英尺）")</f>
        <v>TPO RV 橡胶屋顶套件 45 百万 | 9'6 宽 x 10'-40' 长房车（露营车）屋顶维修（40 英尺）</v>
      </c>
      <c r="E1736" s="1" t="str">
        <f>IFERROR(__xludf.DUMMYFUNCTION("CONCATENATE(GOOGLETRANSLATE(C1736, ""en"", ""ko""))"),"TPO RV 고무 지붕 키트 45mil | 폭 9'6 x 길이 10'-40' RV(캠퍼) 지붕 수리(40피트)")</f>
        <v>TPO RV 고무 지붕 키트 45mil | 폭 9'6 x 길이 10'-40' RV(캠퍼) 지붕 수리(40피트)</v>
      </c>
      <c r="F1736" s="1" t="str">
        <f>IFERROR(__xludf.DUMMYFUNCTION("CONCATENATE(GOOGLETRANSLATE(C1736, ""en"", ""ja""))"),"TPO RV ラバー ルーフ キット 45 mil |幅9'6 x 長さ10'-40' RV (キャンピングカー) 屋根修理 (40 フィート)")</f>
        <v>TPO RV ラバー ルーフ キット 45 mil |幅9'6 x 長さ10'-40' RV (キャンピングカー) 屋根修理 (40 フィート)</v>
      </c>
    </row>
    <row r="1737" ht="15.75" customHeight="1">
      <c r="A1737" s="1">
        <v>3642.0</v>
      </c>
      <c r="B1737" s="1" t="s">
        <v>15</v>
      </c>
      <c r="C1737" s="1" t="s">
        <v>1707</v>
      </c>
      <c r="D1737" s="1" t="str">
        <f>IFERROR(__xludf.DUMMYFUNCTION("CONCATENATE(GOOGLETRANSLATE(C1737, ""en"", ""zh-cn""))"),"2021 最新戴尔 Inspiron 灵越 15 3000 商务笔记本电脑，15.6 全高清触摸屏，英特尔酷睿 i5-1035G1，16GB DDR4 RAM，1TBGB PCIE SSD，在线会议就绪，网络摄像头，Wi-Fi，HDMI，Windows 10 Pro，黑色")</f>
        <v>2021 最新戴尔 Inspiron 灵越 15 3000 商务笔记本电脑，15.6 全高清触摸屏，英特尔酷睿 i5-1035G1，16GB DDR4 RAM，1TBGB PCIE SSD，在线会议就绪，网络摄像头，Wi-Fi，HDMI，Windows 10 Pro，黑色</v>
      </c>
      <c r="E1737" s="1" t="str">
        <f>IFERROR(__xludf.DUMMYFUNCTION("CONCATENATE(GOOGLETRANSLATE(C1737, ""en"", ""ko""))"),"2021 최신 Dell Inspiron 15 3000 비즈니스 노트북, 15.6 풀 HD 터치스크린, Intel Core i5-1035G1, 16GB DDR4 RAM, 1TBGB PCIE SSD, 온라인 회의 지원, 웹캠, Wi-Fi, HDMI, Windows 10 Pro, 블랙")</f>
        <v>2021 최신 Dell Inspiron 15 3000 비즈니스 노트북, 15.6 풀 HD 터치스크린, Intel Core i5-1035G1, 16GB DDR4 RAM, 1TBGB PCIE SSD, 온라인 회의 지원, 웹캠, Wi-Fi, HDMI, Windows 10 Pro, 블랙</v>
      </c>
      <c r="F1737" s="1" t="str">
        <f>IFERROR(__xludf.DUMMYFUNCTION("CONCATENATE(GOOGLETRANSLATE(C1737, ""en"", ""ja""))"),"2021 最新 Dell Inspiron 15 3000 ビジネス ノートパソコン、15.6 フル HD タッチスクリーン、Intel Core i5-1035G1、16GB DDR4 RAM、1TBGB PCIE SSD、オンライン ミーティング対応、ウェブカメラ、Wi-Fi、HDMI、Windows 10 Pro、ブラック")</f>
        <v>2021 最新 Dell Inspiron 15 3000 ビジネス ノートパソコン、15.6 フル HD タッチスクリーン、Intel Core i5-1035G1、16GB DDR4 RAM、1TBGB PCIE SSD、オンライン ミーティング対応、ウェブカメラ、Wi-Fi、HDMI、Windows 10 Pro、ブラック</v>
      </c>
    </row>
    <row r="1738" ht="15.75" customHeight="1">
      <c r="A1738" s="1">
        <v>3649.0</v>
      </c>
      <c r="B1738" s="1" t="s">
        <v>15</v>
      </c>
      <c r="C1738" s="1" t="s">
        <v>1708</v>
      </c>
      <c r="D1738" s="1" t="str">
        <f>IFERROR(__xludf.DUMMYFUNCTION("CONCATENATE(GOOGLETRANSLATE(C1738, ""en"", ""zh-cn""))"),"Apple iPad Pro（128GB，Wi-Fi，深空灰）12.9 英寸平板电脑（续订）")</f>
        <v>Apple iPad Pro（128GB，Wi-Fi，深空灰）12.9 英寸平板电脑（续订）</v>
      </c>
      <c r="E1738" s="1" t="str">
        <f>IFERROR(__xludf.DUMMYFUNCTION("CONCATENATE(GOOGLETRANSLATE(C1738, ""en"", ""ko""))"),"애플 아이패드 프로(128GB, Wi-Fi, 스페이스 그레이) 12.9인치 태블릿(리뉴얼)")</f>
        <v>애플 아이패드 프로(128GB, Wi-Fi, 스페이스 그레이) 12.9인치 태블릿(리뉴얼)</v>
      </c>
      <c r="F1738" s="1" t="str">
        <f>IFERROR(__xludf.DUMMYFUNCTION("CONCATENATE(GOOGLETRANSLATE(C1738, ""en"", ""ja""))"),"Apple iPad Pro (128GB、Wi-Fi、スペースグレイ) 12.9インチタブレット (リニューアル版)")</f>
        <v>Apple iPad Pro (128GB、Wi-Fi、スペースグレイ) 12.9インチタブレット (リニューアル版)</v>
      </c>
    </row>
    <row r="1739" ht="15.75" customHeight="1">
      <c r="A1739" s="1">
        <v>3660.0</v>
      </c>
      <c r="B1739" s="1" t="s">
        <v>15</v>
      </c>
      <c r="C1739" s="1" t="s">
        <v>1709</v>
      </c>
      <c r="D1739" s="1" t="str">
        <f>IFERROR(__xludf.DUMMYFUNCTION("CONCATENATE(GOOGLETRANSLATE(C1739, ""en"", ""zh-cn""))"),"带 SmartConnect 的 APC 1000VA 智能 UPS 和 UPS 1500VA 正弦波 UPS 电池备份， BR1500MS2 备份电池电源， AVR， 10 个插座， (2) USB 充电端口")</f>
        <v>带 SmartConnect 的 APC 1000VA 智能 UPS 和 UPS 1500VA 正弦波 UPS 电池备份， BR1500MS2 备份电池电源， AVR， 10 个插座， (2) USB 充电端口</v>
      </c>
      <c r="E1739" s="1" t="str">
        <f>IFERROR(__xludf.DUMMYFUNCTION("CONCATENATE(GOOGLETRANSLATE(C1739, ""en"", ""ko""))"),"SmartConnect 및 UPS를 갖춘 APC 1000VA 스마트 UPS 1500VA 사인파 UPS 배터리 백업, BR1500MS2 백업 배터리 전원 공급 장치, AVR, 콘센트 10개, USB 충전기 포트 2개")</f>
        <v>SmartConnect 및 UPS를 갖춘 APC 1000VA 스마트 UPS 1500VA 사인파 UPS 배터리 백업, BR1500MS2 백업 배터리 전원 공급 장치, AVR, 콘센트 10개, USB 충전기 포트 2개</v>
      </c>
      <c r="F1739" s="1" t="str">
        <f>IFERROR(__xludf.DUMMYFUNCTION("CONCATENATE(GOOGLETRANSLATE(C1739, ""en"", ""ja""))"),"APC 1000VA スマート UPS、SmartConnect および UPS 1500VA 正弦波 UPS バッテリ バックアップ、BR1500MS2 バックアップ バッテリ電源、AVR、10 個のコンセント、(2) USB 充電器ポート")</f>
        <v>APC 1000VA スマート UPS、SmartConnect および UPS 1500VA 正弦波 UPS バッテリ バックアップ、BR1500MS2 バックアップ バッテリ電源、AVR、10 個のコンセント、(2) USB 充電器ポート</v>
      </c>
    </row>
    <row r="1740" ht="15.75" customHeight="1">
      <c r="A1740" s="1">
        <v>3664.0</v>
      </c>
      <c r="B1740" s="1" t="s">
        <v>15</v>
      </c>
      <c r="C1740" s="1" t="s">
        <v>1710</v>
      </c>
      <c r="D1740" s="1" t="str">
        <f>IFERROR(__xludf.DUMMYFUNCTION("CONCATENATE(GOOGLETRANSLATE(C1740, ""en"", ""zh-cn""))"),"联想 15 触摸屏商务笔记本电脑，15.6 全高清触摸屏，英特尔四核 i5-1135G7，8GB RAM，512GB SSD，背光键盘，WiFi 6，Windows 11，YSC 配件，深渊蓝")</f>
        <v>联想 15 触摸屏商务笔记本电脑，15.6 全高清触摸屏，英特尔四核 i5-1135G7，8GB RAM，512GB SSD，背光键盘，WiFi 6，Windows 11，YSC 配件，深渊蓝</v>
      </c>
      <c r="E1740" s="1" t="str">
        <f>IFERROR(__xludf.DUMMYFUNCTION("CONCATENATE(GOOGLETRANSLATE(C1740, ""en"", ""ko""))"),"Lenovo 15 터치스크린 비즈니스 노트북, 15.6 풀 HD 터치스크린, Intel 쿼드 코어 i5-1135G7, 8GB RAM, 512GB SSD, 백라이트 키보드, WiFi 6, Windows 11, YSC 액세서리, Abyss Blue")</f>
        <v>Lenovo 15 터치스크린 비즈니스 노트북, 15.6 풀 HD 터치스크린, Intel 쿼드 코어 i5-1135G7, 8GB RAM, 512GB SSD, 백라이트 키보드, WiFi 6, Windows 11, YSC 액세서리, Abyss Blue</v>
      </c>
      <c r="F1740" s="1" t="str">
        <f>IFERROR(__xludf.DUMMYFUNCTION("CONCATENATE(GOOGLETRANSLATE(C1740, ""en"", ""ja""))"),"Lenovo 15 タッチスクリーン ビジネス ラップトップ、15.6 フル HD タッチ スクリーン、Intel クアッドコア i5-1135G7、8GB RAM、512GB SSD、バックライト付きキーボード、WiFi 6、Windows 11、YSC アクセサリ、アビス ブルー")</f>
        <v>Lenovo 15 タッチスクリーン ビジネス ラップトップ、15.6 フル HD タッチ スクリーン、Intel クアッドコア i5-1135G7、8GB RAM、512GB SSD、バックライト付きキーボード、WiFi 6、Windows 11、YSC アクセサリ、アビス ブルー</v>
      </c>
    </row>
    <row r="1741" ht="15.75" customHeight="1">
      <c r="A1741" s="1">
        <v>3697.0</v>
      </c>
      <c r="B1741" s="1" t="s">
        <v>15</v>
      </c>
      <c r="C1741" s="1" t="s">
        <v>1711</v>
      </c>
      <c r="D1741" s="1" t="str">
        <f>IFERROR(__xludf.DUMMYFUNCTION("CONCATENATE(GOOGLETRANSLATE(C1741, ""en"", ""zh-cn""))"),"HP 17.3 英寸笔记本电脑，第 11 代英特尔酷睿 i5-1135G7，英特尔 Iris Xe 显卡，8 GB RAM，512 GB SSD，Windows 11 Home（17.3-cn0026nr，自然银）")</f>
        <v>HP 17.3 英寸笔记本电脑，第 11 代英特尔酷睿 i5-1135G7，英特尔 Iris Xe 显卡，8 GB RAM，512 GB SSD，Windows 11 Home（17.3-cn0026nr，自然银）</v>
      </c>
      <c r="E1741" s="1" t="str">
        <f>IFERROR(__xludf.DUMMYFUNCTION("CONCATENATE(GOOGLETRANSLATE(C1741, ""en"", ""ko""))"),"HP 17.3인치 노트북, 11세대 Intel Core i5-1135G7, Intel Iris Xe 그래픽, 8GB RAM, 512GB SSD, Windows 11 Home(17.3-cn0026nr, 천연 실버)")</f>
        <v>HP 17.3인치 노트북, 11세대 Intel Core i5-1135G7, Intel Iris Xe 그래픽, 8GB RAM, 512GB SSD, Windows 11 Home(17.3-cn0026nr, 천연 실버)</v>
      </c>
      <c r="F1741" s="1" t="str">
        <f>IFERROR(__xludf.DUMMYFUNCTION("CONCATENATE(GOOGLETRANSLATE(C1741, ""en"", ""ja""))"),"HP 17.3 インチ ラップトップ、第 11 世代インテル Core i5-1135G7、インテル Iris Xe グラフィックス、8 GB RAM、512 GB SSD、Windows 11 Home (17.3-cn0026nr、ナチュラルシルバー)")</f>
        <v>HP 17.3 インチ ラップトップ、第 11 世代インテル Core i5-1135G7、インテル Iris Xe グラフィックス、8 GB RAM、512 GB SSD、Windows 11 Home (17.3-cn0026nr、ナチュラルシルバー)</v>
      </c>
    </row>
    <row r="1742" ht="15.75" customHeight="1">
      <c r="A1742" s="1">
        <v>3702.0</v>
      </c>
      <c r="B1742" s="1" t="s">
        <v>15</v>
      </c>
      <c r="C1742" s="1" t="s">
        <v>1712</v>
      </c>
      <c r="D1742" s="1" t="str">
        <f>IFERROR(__xludf.DUMMYFUNCTION("CONCATENATE(GOOGLETRANSLATE(C1742, ""en"", ""zh-cn""))"),"戴尔 Inspiron 灵越 3000 商用笔记本电脑，15.6 高清显示屏，英特尔奔腾银牌 N5030 处理器，Windows 11 Pro，16GB 内存，1TB 硬盘，HDMI，网络摄像头，WiFi，蓝牙，SD 卡插槽，碳黑，B")</f>
        <v>戴尔 Inspiron 灵越 3000 商用笔记本电脑，15.6 高清显示屏，英特尔奔腾银牌 N5030 处理器，Windows 11 Pro，16GB 内存，1TB 硬盘，HDMI，网络摄像头，WiFi，蓝牙，SD 卡插槽，碳黑，B</v>
      </c>
      <c r="E1742" s="1" t="str">
        <f>IFERROR(__xludf.DUMMYFUNCTION("CONCATENATE(GOOGLETRANSLATE(C1742, ""en"", ""ko""))"),"Dell Inspiron 3000 비즈니스 노트북, 15.6 HD 디스플레이, Intel Pentium Silver N5030 프로세서, Windows 11 Pro, 16GB RAM, 1TB HDD, HDMI, 웹캠, WiFi, Bluetooth, SD 카드 슬롯, 카본 블랙, B")</f>
        <v>Dell Inspiron 3000 비즈니스 노트북, 15.6 HD 디스플레이, Intel Pentium Silver N5030 프로세서, Windows 11 Pro, 16GB RAM, 1TB HDD, HDMI, 웹캠, WiFi, Bluetooth, SD 카드 슬롯, 카본 블랙, B</v>
      </c>
      <c r="F1742" s="1" t="str">
        <f>IFERROR(__xludf.DUMMYFUNCTION("CONCATENATE(GOOGLETRANSLATE(C1742, ""en"", ""ja""))"),"Dell Inspiron 3000 ビジネス ノートパソコン、15.6 HD ディスプレイ、Intel Pentium Silver N5030 プロセッサー、Windows 11 Pro、16GB RAM、1TB HDD、HDMI、ウェブカメラ、WiFi、Bluetooth、SD カード スロット、カーボン ブラック、B")</f>
        <v>Dell Inspiron 3000 ビジネス ノートパソコン、15.6 HD ディスプレイ、Intel Pentium Silver N5030 プロセッサー、Windows 11 Pro、16GB RAM、1TB HDD、HDMI、ウェブカメラ、WiFi、Bluetooth、SD カード スロット、カーボン ブラック、B</v>
      </c>
    </row>
    <row r="1743" ht="15.75" customHeight="1">
      <c r="A1743" s="1">
        <v>3718.0</v>
      </c>
      <c r="B1743" s="1" t="s">
        <v>15</v>
      </c>
      <c r="C1743" s="1" t="s">
        <v>1713</v>
      </c>
      <c r="D1743" s="1" t="str">
        <f>IFERROR(__xludf.DUMMYFUNCTION("CONCATENATE(GOOGLETRANSLATE(C1743, ""en"", ""zh-cn""))"),"Cyber​​Power PR1500LCD智能应用正弦波UPS系统，1500VA/1500W，8个插座，AVR，迷你塔式")</f>
        <v>Cyber​​Power PR1500LCD智能应用正弦波UPS系统，1500VA/1500W，8个插座，AVR，迷你塔式</v>
      </c>
      <c r="E1743" s="1" t="str">
        <f>IFERROR(__xludf.DUMMYFUNCTION("CONCATENATE(GOOGLETRANSLATE(C1743, ""en"", ""ko""))"),"CyberPower PR1500LCD 스마트 앱 사인파 UPS 시스템, 1500VA/1500W, 콘센트 8개, AVR, 미니 타워")</f>
        <v>CyberPower PR1500LCD 스마트 앱 사인파 UPS 시스템, 1500VA/1500W, 콘센트 8개, AVR, 미니 타워</v>
      </c>
      <c r="F1743" s="1" t="str">
        <f>IFERROR(__xludf.DUMMYFUNCTION("CONCATENATE(GOOGLETRANSLATE(C1743, ""en"", ""ja""))"),"Cyber​​Power PR1500LCD スマート アプリ サイン波 UPS システム、1500VA/1500W、8 コンセント、AVR、ミニタワー")</f>
        <v>Cyber​​Power PR1500LCD スマート アプリ サイン波 UPS システム、1500VA/1500W、8 コンセント、AVR、ミニタワー</v>
      </c>
    </row>
    <row r="1744" ht="15.75" customHeight="1">
      <c r="A1744" s="1">
        <v>3727.0</v>
      </c>
      <c r="B1744" s="1" t="s">
        <v>15</v>
      </c>
      <c r="C1744" s="1" t="s">
        <v>1714</v>
      </c>
      <c r="D1744" s="1" t="str">
        <f>IFERROR(__xludf.DUMMYFUNCTION("CONCATENATE(GOOGLETRANSLATE(C1744, ""en"", ""zh-cn""))"),"混凝土地基裂缝修复套件 - 超低粘度聚氨酯 - FLEXKIT-1150-60")</f>
        <v>混凝土地基裂缝修复套件 - 超低粘度聚氨酯 - FLEXKIT-1150-60</v>
      </c>
      <c r="E1744" s="1" t="str">
        <f>IFERROR(__xludf.DUMMYFUNCTION("CONCATENATE(GOOGLETRANSLATE(C1744, ""en"", ""ko""))"),"콘크리트 기초 균열 수리 키트 - 초저점도 폴리우레탄 - FLEXKIT-1150-60")</f>
        <v>콘크리트 기초 균열 수리 키트 - 초저점도 폴리우레탄 - FLEXKIT-1150-60</v>
      </c>
      <c r="F1744" s="1" t="str">
        <f>IFERROR(__xludf.DUMMYFUNCTION("CONCATENATE(GOOGLETRANSLATE(C1744, ""en"", ""ja""))"),"コンクリート基礎ひび割れ補修キット - 超低粘度ポリウレタン - FLEXKIT-1150-60")</f>
        <v>コンクリート基礎ひび割れ補修キット - 超低粘度ポリウレタン - FLEXKIT-1150-60</v>
      </c>
    </row>
    <row r="1745" ht="15.75" customHeight="1">
      <c r="A1745" s="1">
        <v>3733.0</v>
      </c>
      <c r="B1745" s="1" t="s">
        <v>15</v>
      </c>
      <c r="C1745" s="1" t="s">
        <v>1715</v>
      </c>
      <c r="D1745" s="1" t="str">
        <f>IFERROR(__xludf.DUMMYFUNCTION("CONCATENATE(GOOGLETRANSLATE(C1745, ""en"", ""zh-cn""))"),"戴尔 UltraSharp U2723QE 27 4K 超高清 WLED 液晶显示器 - 16:9 - 黑色，银色")</f>
        <v>戴尔 UltraSharp U2723QE 27 4K 超高清 WLED 液晶显示器 - 16:9 - 黑色，银色</v>
      </c>
      <c r="E1745" s="1" t="str">
        <f>IFERROR(__xludf.DUMMYFUNCTION("CONCATENATE(GOOGLETRANSLATE(C1745, ""en"", ""ko""))"),"Dell UltraSharp U2723QE 27 4K UHD WLED LCD 모니터 - 16:9 - 블랙, 실버")</f>
        <v>Dell UltraSharp U2723QE 27 4K UHD WLED LCD 모니터 - 16:9 - 블랙, 실버</v>
      </c>
      <c r="F1745" s="1" t="str">
        <f>IFERROR(__xludf.DUMMYFUNCTION("CONCATENATE(GOOGLETRANSLATE(C1745, ""en"", ""ja""))"),"Dell UltraSharp U2723QE 27 4K UHD WLED LCD モニター - 16:9 - ブラック、シルバー")</f>
        <v>Dell UltraSharp U2723QE 27 4K UHD WLED LCD モニター - 16:9 - ブラック、シルバー</v>
      </c>
    </row>
    <row r="1746" ht="15.75" customHeight="1">
      <c r="A1746" s="1">
        <v>3741.0</v>
      </c>
      <c r="B1746" s="1" t="s">
        <v>15</v>
      </c>
      <c r="C1746" s="1" t="s">
        <v>1716</v>
      </c>
      <c r="D1746" s="1" t="str">
        <f>IFERROR(__xludf.DUMMYFUNCTION("CONCATENATE(GOOGLETRANSLATE(C1746, ""en"", ""zh-cn""))"),"AGOTENI 大型厨房厨柜，储物柜，带 3 个金属门，3 个抽屉和微波炉架，用于厨房开放式储物，质朴棕色（59 宽 x 15.7 深 x 68.5 高）")</f>
        <v>AGOTENI 大型厨房厨柜，储物柜，带 3 个金属门，3 个抽屉和微波炉架，用于厨房开放式储物，质朴棕色（59 宽 x 15.7 深 x 68.5 高）</v>
      </c>
      <c r="E1746" s="1" t="str">
        <f>IFERROR(__xludf.DUMMYFUNCTION("CONCATENATE(GOOGLETRANSLATE(C1746, ""en"", ""ko""))"),"AGOTENI 대형 주방 허치 캐비닛, 3개의 금속 도어가 있는 보관 찬장 식료품 저장실, 3개의 서랍 및 전자레인지 선반, 주방 개방형 보관용, 러스틱 브라운(59 W x 15.7 D x 68.5 H)")</f>
        <v>AGOTENI 대형 주방 허치 캐비닛, 3개의 금속 도어가 있는 보관 찬장 식료품 저장실, 3개의 서랍 및 전자레인지 선반, 주방 개방형 보관용, 러스틱 브라운(59 W x 15.7 D x 68.5 H)</v>
      </c>
      <c r="F1746" s="1" t="str">
        <f>IFERROR(__xludf.DUMMYFUNCTION("CONCATENATE(GOOGLETRANSLATE(C1746, ""en"", ""ja""))"),"AGOTENI 大型キッチンハッチキャビネット、収納食器棚パントリー、金属製ドア3つ、引き出し3つ、電子レンジ棚付き、キッチンオープンストレージ用、素朴なブラウン (幅59 x 奥行き15.7 x 高さ68.5)")</f>
        <v>AGOTENI 大型キッチンハッチキャビネット、収納食器棚パントリー、金属製ドア3つ、引き出し3つ、電子レンジ棚付き、キッチンオープンストレージ用、素朴なブラウン (幅59 x 奥行き15.7 x 高さ68.5)</v>
      </c>
    </row>
    <row r="1747" ht="15.75" customHeight="1">
      <c r="A1747" s="1">
        <v>3743.0</v>
      </c>
      <c r="B1747" s="1" t="s">
        <v>15</v>
      </c>
      <c r="C1747" s="1" t="s">
        <v>1717</v>
      </c>
      <c r="D1747" s="1" t="str">
        <f>IFERROR(__xludf.DUMMYFUNCTION("CONCATENATE(GOOGLETRANSLATE(C1747, ""en"", ""zh-cn""))"),"Apple 2022 iPad Air（10.9 英寸，Wi-Fi，64GB）- 蓝色（第 5 代）")</f>
        <v>Apple 2022 iPad Air（10.9 英寸，Wi-Fi，64GB）- 蓝色（第 5 代）</v>
      </c>
      <c r="E1747" s="1" t="str">
        <f>IFERROR(__xludf.DUMMYFUNCTION("CONCATENATE(GOOGLETRANSLATE(C1747, ""en"", ""ko""))"),"애플 2022 아이패드 에어(10.9인치, Wi-Fi, 64GB) - 블루(5세대)")</f>
        <v>애플 2022 아이패드 에어(10.9인치, Wi-Fi, 64GB) - 블루(5세대)</v>
      </c>
      <c r="F1747" s="1" t="str">
        <f>IFERROR(__xludf.DUMMYFUNCTION("CONCATENATE(GOOGLETRANSLATE(C1747, ""en"", ""ja""))"),"Apple 2022 iPad Air (10.9 インチ、Wi-Fi、64GB) - ブルー (第 5 世代)")</f>
        <v>Apple 2022 iPad Air (10.9 インチ、Wi-Fi、64GB) - ブルー (第 5 世代)</v>
      </c>
    </row>
    <row r="1748" ht="15.75" customHeight="1">
      <c r="A1748" s="1">
        <v>3745.0</v>
      </c>
      <c r="B1748" s="1" t="s">
        <v>15</v>
      </c>
      <c r="C1748" s="1" t="s">
        <v>1718</v>
      </c>
      <c r="D1748" s="1" t="str">
        <f>IFERROR(__xludf.DUMMYFUNCTION("CONCATENATE(GOOGLETRANSLATE(C1748, ""en"", ""zh-cn""))"),"ICY DOCK 12 x M.2 SATA SSD 移动机​​架外壳，适用于 5.25 托架（2 x OCuLink）| ToughArmor MB872MP-B")</f>
        <v>ICY DOCK 12 x M.2 SATA SSD 移动机​​架外壳，适用于 5.25 托架（2 x OCuLink）| ToughArmor MB872MP-B</v>
      </c>
      <c r="E1748" s="1" t="str">
        <f>IFERROR(__xludf.DUMMYFUNCTION("CONCATENATE(GOOGLETRANSLATE(C1748, ""en"", ""ko""))"),"5.25베이용 ICY DOCK 12 x M.2 SATA SSD 모바일 랙 인클로저(2 x OCuLink) | 터프아머 MB872MP-B")</f>
        <v>5.25베이용 ICY DOCK 12 x M.2 SATA SSD 모바일 랙 인클로저(2 x OCuLink) | 터프아머 MB872MP-B</v>
      </c>
      <c r="F1748" s="1" t="str">
        <f>IFERROR(__xludf.DUMMYFUNCTION("CONCATENATE(GOOGLETRANSLATE(C1748, ""en"", ""ja""))"),"ICY DOCK 12 x M.2 SATA SSD モバイル ラック エンクロージャ、5.25 ベイ用 (2 x OCuLink) |タフアーマー MB872MP-B")</f>
        <v>ICY DOCK 12 x M.2 SATA SSD モバイル ラック エンクロージャ、5.25 ベイ用 (2 x OCuLink) |タフアーマー MB872MP-B</v>
      </c>
    </row>
    <row r="1749" ht="15.75" customHeight="1">
      <c r="A1749" s="1">
        <v>3755.0</v>
      </c>
      <c r="B1749" s="1" t="s">
        <v>15</v>
      </c>
      <c r="C1749" s="1" t="s">
        <v>1719</v>
      </c>
      <c r="D1749" s="1" t="str">
        <f>IFERROR(__xludf.DUMMYFUNCTION("CONCATENATE(GOOGLETRANSLATE(C1749, ""en"", ""zh-cn""))"),"戴尔 2022 最新 Inspiron 灵越 15 3511 笔记本电脑，15.6 FHD 触摸屏，英特尔酷睿 i5-1035G1，16GB RAM，512GB PCIe NVMe M.2 SSD，SD 读卡器，网络摄像头，HDMI，WiFi，Windows 11 Home，黑色")</f>
        <v>戴尔 2022 最新 Inspiron 灵越 15 3511 笔记本电脑，15.6 FHD 触摸屏，英特尔酷睿 i5-1035G1，16GB RAM，512GB PCIe NVMe M.2 SSD，SD 读卡器，网络摄像头，HDMI，WiFi，Windows 11 Home，黑色</v>
      </c>
      <c r="E1749" s="1" t="str">
        <f>IFERROR(__xludf.DUMMYFUNCTION("CONCATENATE(GOOGLETRANSLATE(C1749, ""en"", ""ko""))"),"Dell 2022 최신 Inspiron 15 3511 노트북, 15.6 FHD 터치스크린, Intel Core i5-1035G1, 16GB RAM, 512GB PCIe NVMe M.2 SSD, SD 카드 리더기, 웹캠, HDMI, WiFi, Windows 11 Home, 블랙")</f>
        <v>Dell 2022 최신 Inspiron 15 3511 노트북, 15.6 FHD 터치스크린, Intel Core i5-1035G1, 16GB RAM, 512GB PCIe NVMe M.2 SSD, SD 카드 리더기, 웹캠, HDMI, WiFi, Windows 11 Home, 블랙</v>
      </c>
      <c r="F1749" s="1" t="str">
        <f>IFERROR(__xludf.DUMMYFUNCTION("CONCATENATE(GOOGLETRANSLATE(C1749, ""en"", ""ja""))"),"Dell 2022 最新 Inspiron 15 3511 ラップトップ、15.6 FHD タッチスクリーン、Intel Core i5-1035G1、16GB RAM、512GB PCIe NVMe M.2 SSD、SD カード リーダー、ウェブカメラ、HDMI、WiFi、Windows 11 Home、ブラック")</f>
        <v>Dell 2022 最新 Inspiron 15 3511 ラップトップ、15.6 FHD タッチスクリーン、Intel Core i5-1035G1、16GB RAM、512GB PCIe NVMe M.2 SSD、SD カード リーダー、ウェブカメラ、HDMI、WiFi、Windows 11 Home、ブラック</v>
      </c>
    </row>
    <row r="1750" ht="15.75" customHeight="1">
      <c r="A1750" s="1">
        <v>3778.0</v>
      </c>
      <c r="B1750" s="1" t="s">
        <v>15</v>
      </c>
      <c r="C1750" s="1" t="s">
        <v>1720</v>
      </c>
      <c r="D1750" s="1" t="str">
        <f>IFERROR(__xludf.DUMMYFUNCTION("CONCATENATE(GOOGLETRANSLATE(C1750, ""en"", ""zh-cn""))"),"ScanSnap iX1600 无线或 USB 高速云文档、照片和收据扫描仪，带大触摸屏和自动文档进纸器，适用于 Mac 或 PC，黑色")</f>
        <v>ScanSnap iX1600 无线或 USB 高速云文档、照片和收据扫描仪，带大触摸屏和自动文档进纸器，适用于 Mac 或 PC，黑色</v>
      </c>
      <c r="E1750" s="1" t="str">
        <f>IFERROR(__xludf.DUMMYFUNCTION("CONCATENATE(GOOGLETRANSLATE(C1750, ""en"", ""ko""))"),"ScanSnap iX1600 무선 또는 USB 고속 클라우드 지원 문서, Mac 또는 PC용 대형 터치스크린 및 자동 문서 공급 장치를 갖춘 사진 및 영수증 스캐너, 블랙")</f>
        <v>ScanSnap iX1600 무선 또는 USB 고속 클라우드 지원 문서, Mac 또는 PC용 대형 터치스크린 및 자동 문서 공급 장치를 갖춘 사진 및 영수증 스캐너, 블랙</v>
      </c>
      <c r="F1750" s="1" t="str">
        <f>IFERROR(__xludf.DUMMYFUNCTION("CONCATENATE(GOOGLETRANSLATE(C1750, ""en"", ""ja""))"),"ScanSnap iX1600 ワイヤレスまたは USB 高速クラウド対応ドキュメント、写真およびレシート スキャナー、大型タッチスクリーンおよび自動ドキュメント フィーダー付き (Mac または PC 用)、ブラック")</f>
        <v>ScanSnap iX1600 ワイヤレスまたは USB 高速クラウド対応ドキュメント、写真およびレシート スキャナー、大型タッチスクリーンおよび自動ドキュメント フィーダー付き (Mac または PC 用)、ブラック</v>
      </c>
    </row>
    <row r="1751" ht="15.75" customHeight="1">
      <c r="A1751" s="1">
        <v>3779.0</v>
      </c>
      <c r="B1751" s="1" t="s">
        <v>15</v>
      </c>
      <c r="C1751" s="1" t="s">
        <v>1721</v>
      </c>
      <c r="D1751" s="1" t="str">
        <f>IFERROR(__xludf.DUMMYFUNCTION("CONCATENATE(GOOGLETRANSLATE(C1751, ""en"", ""zh-cn""))"),"索尼 128GB UHS-II Tough G 系列 SD 卡套装（2 件装），带铝制 Type-C SD 读卡器，兼容高达 512GB 容量的卡和坚固的内存存储盒（4 件）")</f>
        <v>索尼 128GB UHS-II Tough G 系列 SD 卡套装（2 件装），带铝制 Type-C SD 读卡器，兼容高达 512GB 容量的卡和坚固的内存存储盒（4 件）</v>
      </c>
      <c r="E1751" s="1" t="str">
        <f>IFERROR(__xludf.DUMMYFUNCTION("CONCATENATE(GOOGLETRANSLATE(C1751, ""en"", ""ko""))"),"최대 512GB 용량 카드 및 견고한 메모리 보관 케이스와 호환되는 알루미늄 Type-C SD 카드 리더가 포함된 Sony 128GB UHS-II Tough G 시리즈 SD 카드 번들(2팩)(4개 항목)")</f>
        <v>최대 512GB 용량 카드 및 견고한 메모리 보관 케이스와 호환되는 알루미늄 Type-C SD 카드 리더가 포함된 Sony 128GB UHS-II Tough G 시리즈 SD 카드 번들(2팩)(4개 항목)</v>
      </c>
      <c r="F1751" s="1" t="str">
        <f>IFERROR(__xludf.DUMMYFUNCTION("CONCATENATE(GOOGLETRANSLATE(C1751, ""en"", ""ja""))"),"Sony 128GB UHS-II タフ G シリーズ SD カード バンドル (2 パック) アルミニウム Type-C SD カード リーダー付き、最大 512GB 容量のカードと互換性のある頑丈なメモリ ストレージ ケース (4 アイテム)")</f>
        <v>Sony 128GB UHS-II タフ G シリーズ SD カード バンドル (2 パック) アルミニウム Type-C SD カード リーダー付き、最大 512GB 容量のカードと互換性のある頑丈なメモリ ストレージ ケース (4 アイテム)</v>
      </c>
    </row>
    <row r="1752" ht="15.75" customHeight="1">
      <c r="A1752" s="1">
        <v>3796.0</v>
      </c>
      <c r="B1752" s="1" t="s">
        <v>15</v>
      </c>
      <c r="C1752" s="1" t="s">
        <v>1722</v>
      </c>
      <c r="D1752" s="1" t="str">
        <f>IFERROR(__xludf.DUMMYFUNCTION("CONCATENATE(GOOGLETRANSLATE(C1752, ""en"", ""zh-cn""))"),"HP 15 笔记本电脑， 15.6 高清屏幕， Intel Core i3-1115G4， 12GB DDR4 RAM， 256GB PCIe SSD， 网络摄像头， HDMI， SD 读卡器， Wi-Fi， Windows 11 Home， 自然银")</f>
        <v>HP 15 笔记本电脑， 15.6 高清屏幕， Intel Core i3-1115G4， 12GB DDR4 RAM， 256GB PCIe SSD， 网络摄像头， HDMI， SD 读卡器， Wi-Fi， Windows 11 Home， 自然银</v>
      </c>
      <c r="E1752" s="1" t="str">
        <f>IFERROR(__xludf.DUMMYFUNCTION("CONCATENATE(GOOGLETRANSLATE(C1752, ""en"", ""ko""))"),"HP 15 노트북, 15.6 HD 화면, Intel Core i3-1115G4, 12GB DDR4 RAM, 256GB PCIe SSD, 웹캠, HDMI, SD 카드 리더기, Wi-Fi, Windows 11 Home, 천연 실버")</f>
        <v>HP 15 노트북, 15.6 HD 화면, Intel Core i3-1115G4, 12GB DDR4 RAM, 256GB PCIe SSD, 웹캠, HDMI, SD 카드 리더기, Wi-Fi, Windows 11 Home, 천연 실버</v>
      </c>
      <c r="F1752" s="1" t="str">
        <f>IFERROR(__xludf.DUMMYFUNCTION("CONCATENATE(GOOGLETRANSLATE(C1752, ""en"", ""ja""))"),"HP 15 ノートブック、15.6 HD スクリーン、Intel Core i3-1115G4、12GB DDR4 RAM、256GB PCIe SSD、ウェブカメラ、HDMI、SD カード リーダー、Wi-Fi、Windows 11 Home、ナチュラル シルバー")</f>
        <v>HP 15 ノートブック、15.6 HD スクリーン、Intel Core i3-1115G4、12GB DDR4 RAM、256GB PCIe SSD、ウェブカメラ、HDMI、SD カード リーダー、Wi-Fi、Windows 11 Home、ナチュラル シルバー</v>
      </c>
    </row>
    <row r="1753" ht="15.75" customHeight="1">
      <c r="A1753" s="1">
        <v>3799.0</v>
      </c>
      <c r="B1753" s="1" t="s">
        <v>15</v>
      </c>
      <c r="C1753" s="1" t="s">
        <v>1723</v>
      </c>
      <c r="D1753" s="1" t="str">
        <f>IFERROR(__xludf.DUMMYFUNCTION("CONCATENATE(GOOGLETRANSLATE(C1753, ""en"", ""zh-cn""))"),"Apple 10.5 英寸 iPad Pro 256GB，Wi-Fi，深空灰色 MPDY2LL/A（续订）")</f>
        <v>Apple 10.5 英寸 iPad Pro 256GB，Wi-Fi，深空灰色 MPDY2LL/A（续订）</v>
      </c>
      <c r="E1753" s="1" t="str">
        <f>IFERROR(__xludf.DUMMYFUNCTION("CONCATENATE(GOOGLETRANSLATE(C1753, ""en"", ""ko""))"),"애플 10.5인치 아이패드 프로 256GB, Wi-Fi, 스페이스 그레이 MPDY2LL/A(리뉴얼)")</f>
        <v>애플 10.5인치 아이패드 프로 256GB, Wi-Fi, 스페이스 그레이 MPDY2LL/A(리뉴얼)</v>
      </c>
      <c r="F1753" s="1" t="str">
        <f>IFERROR(__xludf.DUMMYFUNCTION("CONCATENATE(GOOGLETRANSLATE(C1753, ""en"", ""ja""))"),"Apple 10.5インチ iPad Pro 256GB、Wi-Fi、スペースグレイ MPDY2LL/A (新品)")</f>
        <v>Apple 10.5インチ iPad Pro 256GB、Wi-Fi、スペースグレイ MPDY2LL/A (新品)</v>
      </c>
    </row>
    <row r="1754" ht="15.75" customHeight="1">
      <c r="A1754" s="1">
        <v>3800.0</v>
      </c>
      <c r="B1754" s="1" t="s">
        <v>15</v>
      </c>
      <c r="C1754" s="1" t="s">
        <v>1724</v>
      </c>
      <c r="D1754" s="1" t="str">
        <f>IFERROR(__xludf.DUMMYFUNCTION("CONCATENATE(GOOGLETRANSLATE(C1754, ""en"", ""zh-cn""))"),"戴尔 Latitude 5590 商务笔记本电脑 | 15.6英寸高清屏|英特尔四核第八代 i7-8650U | 16GB DDR4 内存 | 512GB 固态硬盘 | Windows 10 专业版（更新）")</f>
        <v>戴尔 Latitude 5590 商务笔记本电脑 | 15.6英寸高清屏|英特尔四核第八代 i7-8650U | 16GB DDR4 内存 | 512GB 固态硬盘 | Windows 10 专业版（更新）</v>
      </c>
      <c r="E1754" s="1" t="str">
        <f>IFERROR(__xludf.DUMMYFUNCTION("CONCATENATE(GOOGLETRANSLATE(C1754, ""en"", ""ko""))"),"Dell Latitude 5590 비즈니스 노트북 | 15.6인치 HD 화면 | 인텔 쿼드 코어 8세대 i7-8650U | 16GB DDR4 RAM | 512GB SSD | Windows 10 Professional(갱신)")</f>
        <v>Dell Latitude 5590 비즈니스 노트북 | 15.6인치 HD 화면 | 인텔 쿼드 코어 8세대 i7-8650U | 16GB DDR4 RAM | 512GB SSD | Windows 10 Professional(갱신)</v>
      </c>
      <c r="F1754" s="1" t="str">
        <f>IFERROR(__xludf.DUMMYFUNCTION("CONCATENATE(GOOGLETRANSLATE(C1754, ""en"", ""ja""))"),"Dell Latitude 5590 ビジネス ノートパソコン | 15.6 インチ HD スクリーン |インテル クアッドコア第 8 世代 i7-8650U | 16GB DDR4 RAM | 512GB SSD | Windows 10 Professional (リニューアル)")</f>
        <v>Dell Latitude 5590 ビジネス ノートパソコン | 15.6 インチ HD スクリーン |インテル クアッドコア第 8 世代 i7-8650U | 16GB DDR4 RAM | 512GB SSD | Windows 10 Professional (リニューアル)</v>
      </c>
    </row>
    <row r="1755" ht="15.75" customHeight="1">
      <c r="A1755" s="1">
        <v>3894.0</v>
      </c>
      <c r="B1755" s="1" t="s">
        <v>15</v>
      </c>
      <c r="C1755" s="1" t="s">
        <v>1725</v>
      </c>
      <c r="D1755" s="1" t="str">
        <f>IFERROR(__xludf.DUMMYFUNCTION("CONCATENATE(GOOGLETRANSLATE(C1755, ""en"", ""zh-cn""))"),"Apple iPhone 14 Plus，128GB，蓝色 - 无锁版（续订）")</f>
        <v>Apple iPhone 14 Plus，128GB，蓝色 - 无锁版（续订）</v>
      </c>
      <c r="E1755" s="1" t="str">
        <f>IFERROR(__xludf.DUMMYFUNCTION("CONCATENATE(GOOGLETRANSLATE(C1755, ""en"", ""ko""))"),"Apple iPhone 14 Plus, 128GB, 블루 - 공기계 (리뉴얼)")</f>
        <v>Apple iPhone 14 Plus, 128GB, 블루 - 공기계 (리뉴얼)</v>
      </c>
      <c r="F1755" s="1" t="str">
        <f>IFERROR(__xludf.DUMMYFUNCTION("CONCATENATE(GOOGLETRANSLATE(C1755, ""en"", ""ja""))"),"Apple iPhone 14 Plus、128GB、ブルー - ロック解除済み (更新済み)")</f>
        <v>Apple iPhone 14 Plus、128GB、ブルー - ロック解除済み (更新済み)</v>
      </c>
    </row>
    <row r="1756" ht="15.75" customHeight="1">
      <c r="A1756" s="1">
        <v>3898.0</v>
      </c>
      <c r="B1756" s="1" t="s">
        <v>15</v>
      </c>
      <c r="C1756" s="1" t="s">
        <v>1726</v>
      </c>
      <c r="D1756" s="1" t="str">
        <f>IFERROR(__xludf.DUMMYFUNCTION("CONCATENATE(GOOGLETRANSLATE(C1756, ""en"", ""zh-cn""))"),"Apple iPhone 12 Pro Max，128GB，太平洋蓝 - 已解锁（续订高级版）")</f>
        <v>Apple iPhone 12 Pro Max，128GB，太平洋蓝 - 已解锁（续订高级版）</v>
      </c>
      <c r="E1756" s="1" t="str">
        <f>IFERROR(__xludf.DUMMYFUNCTION("CONCATENATE(GOOGLETRANSLATE(C1756, ""en"", ""ko""))"),"Apple iPhone 12 Pro Max, 128GB, 퍼시픽 블루 - 공기계(리뉴얼 프리미엄)")</f>
        <v>Apple iPhone 12 Pro Max, 128GB, 퍼시픽 블루 - 공기계(리뉴얼 프리미엄)</v>
      </c>
      <c r="F1756" s="1" t="str">
        <f>IFERROR(__xludf.DUMMYFUNCTION("CONCATENATE(GOOGLETRANSLATE(C1756, ""en"", ""ja""))"),"Apple iPhone 12 Pro Max、128GB、パシフィックブルー - ロック解除済み (リニューアルプレミアム)")</f>
        <v>Apple iPhone 12 Pro Max、128GB、パシフィックブルー - ロック解除済み (リニューアルプレミアム)</v>
      </c>
    </row>
    <row r="1757" ht="15.75" customHeight="1">
      <c r="A1757" s="1">
        <v>3913.0</v>
      </c>
      <c r="B1757" s="1" t="s">
        <v>15</v>
      </c>
      <c r="C1757" s="1" t="s">
        <v>1727</v>
      </c>
      <c r="D1757" s="1" t="str">
        <f>IFERROR(__xludf.DUMMYFUNCTION("CONCATENATE(GOOGLETRANSLATE(C1757, ""en"", ""zh-cn""))"),"Google Pixel 6a - 5G Android 手机 - 解锁智能手机，配备 12 兆像素摄像头和 24 小时电池 - Sage")</f>
        <v>Google Pixel 6a - 5G Android 手机 - 解锁智能手机，配备 12 兆像素摄像头和 24 小时电池 - Sage</v>
      </c>
      <c r="E1757" s="1" t="str">
        <f>IFERROR(__xludf.DUMMYFUNCTION("CONCATENATE(GOOGLETRANSLATE(C1757, ""en"", ""ko""))"),"Google Pixel 6a - 5G Android 휴대폰 - 1200만 화소 카메라와 24시간 배터리를 갖춘 언락 스마트폰 - Sage")</f>
        <v>Google Pixel 6a - 5G Android 휴대폰 - 1200만 화소 카메라와 24시간 배터리를 갖춘 언락 스마트폰 - Sage</v>
      </c>
      <c r="F1757" s="1" t="str">
        <f>IFERROR(__xludf.DUMMYFUNCTION("CONCATENATE(GOOGLETRANSLATE(C1757, ""en"", ""ja""))"),"Google Pixel 6a - 5G Android Phone - 12 メガピクセルのカメラと 24 時間持続するバッテリーを備えたロック解除済みスマートフォン - Sage")</f>
        <v>Google Pixel 6a - 5G Android Phone - 12 メガピクセルのカメラと 24 時間持続するバッテリーを備えたロック解除済みスマートフォン - Sage</v>
      </c>
    </row>
    <row r="1758" ht="15.75" customHeight="1">
      <c r="A1758" s="1">
        <v>3915.0</v>
      </c>
      <c r="B1758" s="1" t="s">
        <v>15</v>
      </c>
      <c r="C1758" s="1" t="s">
        <v>1728</v>
      </c>
      <c r="D1758" s="1" t="str">
        <f>IFERROR(__xludf.DUMMYFUNCTION("CONCATENATE(GOOGLETRANSLATE(C1758, ""en"", ""zh-cn""))"),"Apple iPhone 12 Mini 5G，美国版，128GB，蓝色 - 无锁版（续订）")</f>
        <v>Apple iPhone 12 Mini 5G，美国版，128GB，蓝色 - 无锁版（续订）</v>
      </c>
      <c r="E1758" s="1" t="str">
        <f>IFERROR(__xludf.DUMMYFUNCTION("CONCATENATE(GOOGLETRANSLATE(C1758, ""en"", ""ko""))"),"Apple iPhone 12 Mini 5G, 미국 버전, 128GB, 블루 - 공기계(리뉴얼)")</f>
        <v>Apple iPhone 12 Mini 5G, 미국 버전, 128GB, 블루 - 공기계(리뉴얼)</v>
      </c>
      <c r="F1758" s="1" t="str">
        <f>IFERROR(__xludf.DUMMYFUNCTION("CONCATENATE(GOOGLETRANSLATE(C1758, ""en"", ""ja""))"),"Apple iPhone 12 Mini 5G、US バージョン、128GB、ブルー - ロック解除済み (リニューアル)")</f>
        <v>Apple iPhone 12 Mini 5G、US バージョン、128GB、ブルー - ロック解除済み (リニューアル)</v>
      </c>
    </row>
    <row r="1759" ht="15.75" customHeight="1">
      <c r="A1759" s="1">
        <v>3924.0</v>
      </c>
      <c r="B1759" s="1" t="s">
        <v>15</v>
      </c>
      <c r="C1759" s="1" t="s">
        <v>1729</v>
      </c>
      <c r="D1759" s="1" t="str">
        <f>IFERROR(__xludf.DUMMYFUNCTION("CONCATENATE(GOOGLETRANSLATE(C1759, ""en"", ""zh-cn""))"),"三星 Galaxy Note 20 5G N981U 128GB AT&amp;T 无锁神秘青铜色（续订）")</f>
        <v>三星 Galaxy Note 20 5G N981U 128GB AT&amp;T 无锁神秘青铜色（续订）</v>
      </c>
      <c r="E1759" s="1" t="str">
        <f>IFERROR(__xludf.DUMMYFUNCTION("CONCATENATE(GOOGLETRANSLATE(C1759, ""en"", ""ko""))"),"삼성 갤럭시 노트 20 5G N981U 128GB AT&amp;T 공기계 미스틱 브론즈(리뉴얼)")</f>
        <v>삼성 갤럭시 노트 20 5G N981U 128GB AT&amp;T 공기계 미스틱 브론즈(리뉴얼)</v>
      </c>
      <c r="F1759" s="1" t="str">
        <f>IFERROR(__xludf.DUMMYFUNCTION("CONCATENATE(GOOGLETRANSLATE(C1759, ""en"", ""ja""))"),"Samsung Galaxy Note 20 5G N981U 128GB AT&amp;T ロック解除済みミスティック ブロンズ (更新済み)")</f>
        <v>Samsung Galaxy Note 20 5G N981U 128GB AT&amp;T ロック解除済みミスティック ブロンズ (更新済み)</v>
      </c>
    </row>
    <row r="1760" ht="15.75" customHeight="1">
      <c r="A1760" s="1">
        <v>3937.0</v>
      </c>
      <c r="B1760" s="1" t="s">
        <v>15</v>
      </c>
      <c r="C1760" s="1" t="s">
        <v>1730</v>
      </c>
      <c r="D1760" s="1" t="str">
        <f>IFERROR(__xludf.DUMMYFUNCTION("CONCATENATE(GOOGLETRANSLATE(C1760, ""en"", ""zh-cn""))"),"三星 Galaxy S20 FE 5G，128GB，Cloud Mint - 单 SIM 卡 - 已解锁（续订）")</f>
        <v>三星 Galaxy S20 FE 5G，128GB，Cloud Mint - 单 SIM 卡 - 已解锁（续订）</v>
      </c>
      <c r="E1760" s="1" t="str">
        <f>IFERROR(__xludf.DUMMYFUNCTION("CONCATENATE(GOOGLETRANSLATE(C1760, ""en"", ""ko""))"),"삼성 갤럭시 S20 FE 5G, 128GB, 클라우드 민트 - 단일 SIM - 공기계(갱신)")</f>
        <v>삼성 갤럭시 S20 FE 5G, 128GB, 클라우드 민트 - 단일 SIM - 공기계(갱신)</v>
      </c>
      <c r="F1760" s="1" t="str">
        <f>IFERROR(__xludf.DUMMYFUNCTION("CONCATENATE(GOOGLETRANSLATE(C1760, ""en"", ""ja""))"),"Samsung Galaxy S20 FE 5G、128GB、クラウドミント - シングル SIM - ロック解除済み (更新済み)")</f>
        <v>Samsung Galaxy S20 FE 5G、128GB、クラウドミント - シングル SIM - ロック解除済み (更新済み)</v>
      </c>
    </row>
    <row r="1761" ht="15.75" customHeight="1">
      <c r="A1761" s="1">
        <v>3950.0</v>
      </c>
      <c r="B1761" s="1" t="s">
        <v>15</v>
      </c>
      <c r="C1761" s="1" t="s">
        <v>1731</v>
      </c>
      <c r="D1761" s="1" t="str">
        <f>IFERROR(__xludf.DUMMYFUNCTION("CONCATENATE(GOOGLETRANSLATE(C1761, ""en"", ""zh-cn""))"),"欧米茄超霸月球表计时钢质男士手表 310.30.42.50.01.002")</f>
        <v>欧米茄超霸月球表计时钢质男士手表 310.30.42.50.01.002</v>
      </c>
      <c r="E1761" s="1" t="str">
        <f>IFERROR(__xludf.DUMMYFUNCTION("CONCATENATE(GOOGLETRANSLATE(C1761, ""en"", ""ko""))"),"오메가 스피드마스터 문워치 크로노그래프 스틸 남성용 시계 310.30.42.50.01.002")</f>
        <v>오메가 스피드마스터 문워치 크로노그래프 스틸 남성용 시계 310.30.42.50.01.002</v>
      </c>
      <c r="F1761" s="1" t="str">
        <f>IFERROR(__xludf.DUMMYFUNCTION("CONCATENATE(GOOGLETRANSLATE(C1761, ""en"", ""ja""))"),"オメガ スピードマスター ムーンウォッチ クロノグラフ スチール メンズ時計 310.30.42.50.01.002")</f>
        <v>オメガ スピードマスター ムーンウォッチ クロノグラフ スチール メンズ時計 310.30.42.50.01.002</v>
      </c>
    </row>
    <row r="1762" ht="15.75" customHeight="1">
      <c r="A1762" s="1">
        <v>3952.0</v>
      </c>
      <c r="B1762" s="1" t="s">
        <v>15</v>
      </c>
      <c r="C1762" s="1" t="s">
        <v>1732</v>
      </c>
      <c r="D1762" s="1" t="str">
        <f>IFERROR(__xludf.DUMMYFUNCTION("CONCATENATE(GOOGLETRANSLATE(C1762, ""en"", ""zh-cn""))"),"欧米茄超霸 Mark II 自动计时男士手表 327.10.43.50.01.001")</f>
        <v>欧米茄超霸 Mark II 自动计时男士手表 327.10.43.50.01.001</v>
      </c>
      <c r="E1762" s="1" t="str">
        <f>IFERROR(__xludf.DUMMYFUNCTION("CONCATENATE(GOOGLETRANSLATE(C1762, ""en"", ""ko""))"),"오메가 스피드마스터 Mark II 오토매틱 크로노그래프 남성용 시계 327.10.43.50.01.001")</f>
        <v>오메가 스피드마스터 Mark II 오토매틱 크로노그래프 남성용 시계 327.10.43.50.01.001</v>
      </c>
      <c r="F1762" s="1" t="str">
        <f>IFERROR(__xludf.DUMMYFUNCTION("CONCATENATE(GOOGLETRANSLATE(C1762, ""en"", ""ja""))"),"オメガ スピードマスター マーク II 自動巻き クロノグラフ メンズ時計 327.10.43.50.01.001")</f>
        <v>オメガ スピードマスター マーク II 自動巻き クロノグラフ メンズ時計 327.10.43.50.01.001</v>
      </c>
    </row>
    <row r="1763" ht="15.75" customHeight="1">
      <c r="A1763" s="1">
        <v>3954.0</v>
      </c>
      <c r="B1763" s="1" t="s">
        <v>15</v>
      </c>
      <c r="C1763" s="1" t="s">
        <v>1733</v>
      </c>
      <c r="D1763" s="1" t="str">
        <f>IFERROR(__xludf.DUMMYFUNCTION("CONCATENATE(GOOGLETRANSLATE(C1763, ""en"", ""zh-cn""))"),"欧米茄超霸计时码表手动上链黑色表盘男士手表 310.30.42.50.01.001")</f>
        <v>欧米茄超霸计时码表手动上链黑色表盘男士手表 310.30.42.50.01.001</v>
      </c>
      <c r="E1763" s="1" t="str">
        <f>IFERROR(__xludf.DUMMYFUNCTION("CONCATENATE(GOOGLETRANSLATE(C1763, ""en"", ""ko""))"),"오메가 스피드마스터 크로노그래프 핸드와인드 블랙 다이얼 남성용 시계 310.30.42.50.01.001")</f>
        <v>오메가 스피드마스터 크로노그래프 핸드와인드 블랙 다이얼 남성용 시계 310.30.42.50.01.001</v>
      </c>
      <c r="F1763" s="1" t="str">
        <f>IFERROR(__xludf.DUMMYFUNCTION("CONCATENATE(GOOGLETRANSLATE(C1763, ""en"", ""ja""))"),"オメガ スピードマスター クロノグラフ 手巻き ブラック文字盤 メンズ時計 310.30.42.50.01.001")</f>
        <v>オメガ スピードマスター クロノグラフ 手巻き ブラック文字盤 メンズ時計 310.30.42.50.01.001</v>
      </c>
    </row>
    <row r="1764" ht="15.75" customHeight="1">
      <c r="A1764" s="1">
        <v>3957.0</v>
      </c>
      <c r="B1764" s="1" t="s">
        <v>15</v>
      </c>
      <c r="C1764" s="1" t="s">
        <v>1734</v>
      </c>
      <c r="D1764" s="1" t="str">
        <f>IFERROR(__xludf.DUMMYFUNCTION("CONCATENATE(GOOGLETRANSLATE(C1764, ""en"", ""zh-cn""))"),"欧米茄超霸阔箭男士腕表 321.10.42.50.01.001")</f>
        <v>欧米茄超霸阔箭男士腕表 321.10.42.50.01.001</v>
      </c>
      <c r="E1764" s="1" t="str">
        <f>IFERROR(__xludf.DUMMYFUNCTION("CONCATENATE(GOOGLETRANSLATE(C1764, ""en"", ""ko""))"),"오메가 스피드마스터 브로드 애로우 남성용 시계 321.10.42.50.01.001")</f>
        <v>오메가 스피드마스터 브로드 애로우 남성용 시계 321.10.42.50.01.001</v>
      </c>
      <c r="F1764" s="1" t="str">
        <f>IFERROR(__xludf.DUMMYFUNCTION("CONCATENATE(GOOGLETRANSLATE(C1764, ""en"", ""ja""))"),"オメガ スピードマスター ブロード アロー メンズ腕時計 321.10.42.50.01.001")</f>
        <v>オメガ スピードマスター ブロード アロー メンズ腕時計 321.10.42.50.01.001</v>
      </c>
    </row>
    <row r="1765" ht="15.75" customHeight="1">
      <c r="A1765" s="1">
        <v>3958.0</v>
      </c>
      <c r="B1765" s="1" t="s">
        <v>15</v>
      </c>
      <c r="C1765" s="1" t="s">
        <v>1735</v>
      </c>
      <c r="D1765" s="1" t="str">
        <f>IFERROR(__xludf.DUMMYFUNCTION("CONCATENATE(GOOGLETRANSLATE(C1765, ""en"", ""zh-cn""))"),"欧米茄超霸月球表同轴计时码表")</f>
        <v>欧米茄超霸月球表同轴计时码表</v>
      </c>
      <c r="E1765" s="1" t="str">
        <f>IFERROR(__xludf.DUMMYFUNCTION("CONCATENATE(GOOGLETRANSLATE(C1765, ""en"", ""ko""))"),"오메가 스피드마스터 문워치 코-액시얼 크로노그래프")</f>
        <v>오메가 스피드마스터 문워치 코-액시얼 크로노그래프</v>
      </c>
      <c r="F1765" s="1" t="str">
        <f>IFERROR(__xludf.DUMMYFUNCTION("CONCATENATE(GOOGLETRANSLATE(C1765, ""en"", ""ja""))"),"オメガ スピードマスター ムーンウォッチ コーアクシャル クロノグラフ")</f>
        <v>オメガ スピードマスター ムーンウォッチ コーアクシャル クロノグラフ</v>
      </c>
    </row>
    <row r="1766" ht="15.75" customHeight="1">
      <c r="A1766" s="1">
        <v>3961.0</v>
      </c>
      <c r="B1766" s="1" t="s">
        <v>15</v>
      </c>
      <c r="C1766" s="1" t="s">
        <v>1736</v>
      </c>
      <c r="D1766" s="1" t="str">
        <f>IFERROR(__xludf.DUMMYFUNCTION("CONCATENATE(GOOGLETRANSLATE(C1766, ""en"", ""zh-cn""))"),"欧米茄男士 326.30.40.50.11.001 Speed Master 赛车模拟显示瑞士自动银色手表")</f>
        <v>欧米茄男士 326.30.40.50.11.001 Speed Master 赛车模拟显示瑞士自动银色手表</v>
      </c>
      <c r="E1766" s="1" t="str">
        <f>IFERROR(__xludf.DUMMYFUNCTION("CONCATENATE(GOOGLETRANSLATE(C1766, ""en"", ""ko""))"),"오메가 남성용 326.30.40.50.11.001 스피드 마스터 레이싱 아날로그 디스플레이 스위스 오토매틱 실버 시계")</f>
        <v>오메가 남성용 326.30.40.50.11.001 스피드 마스터 레이싱 아날로그 디스플레이 스위스 오토매틱 실버 시계</v>
      </c>
      <c r="F1766" s="1" t="str">
        <f>IFERROR(__xludf.DUMMYFUNCTION("CONCATENATE(GOOGLETRANSLATE(C1766, ""en"", ""ja""))"),"オメガ メンズ 326.30.40.50.11.001 スピード マスター レーシング アナログ表示 スイス製自動巻き シルバー ウォッチ")</f>
        <v>オメガ メンズ 326.30.40.50.11.001 スピード マスター レーシング アナログ表示 スイス製自動巻き シルバー ウォッチ</v>
      </c>
    </row>
    <row r="1767" ht="15.75" customHeight="1">
      <c r="A1767" s="1">
        <v>3963.0</v>
      </c>
      <c r="B1767" s="1" t="s">
        <v>15</v>
      </c>
      <c r="C1767" s="1" t="s">
        <v>1737</v>
      </c>
      <c r="D1767" s="1" t="str">
        <f>IFERROR(__xludf.DUMMYFUNCTION("CONCATENATE(GOOGLETRANSLATE(C1767, ""en"", ""zh-cn""))"),"欧米茄超霸赛车灰色表盘黑色橡胶男式手表 32632405006001")</f>
        <v>欧米茄超霸赛车灰色表盘黑色橡胶男式手表 32632405006001</v>
      </c>
      <c r="E1767" s="1" t="str">
        <f>IFERROR(__xludf.DUMMYFUNCTION("CONCATENATE(GOOGLETRANSLATE(C1767, ""en"", ""ko""))"),"오메가 스피드마스터 레이싱 그레이 다이얼 블랙 러버 남성용 시계 32632405006001")</f>
        <v>오메가 스피드마스터 레이싱 그레이 다이얼 블랙 러버 남성용 시계 32632405006001</v>
      </c>
      <c r="F1767" s="1" t="str">
        <f>IFERROR(__xludf.DUMMYFUNCTION("CONCATENATE(GOOGLETRANSLATE(C1767, ""en"", ""ja""))"),"オメガ スピードマスター レーシング グレー ダイヤル ブラック ラバー メンズ腕時計 32632405006001")</f>
        <v>オメガ スピードマスター レーシング グレー ダイヤル ブラック ラバー メンズ腕時計 32632405006001</v>
      </c>
    </row>
    <row r="1768" ht="15.75" customHeight="1">
      <c r="A1768" s="1">
        <v>3971.0</v>
      </c>
      <c r="B1768" s="1" t="s">
        <v>15</v>
      </c>
      <c r="C1768" s="1" t="s">
        <v>1738</v>
      </c>
      <c r="D1768" s="1" t="str">
        <f>IFERROR(__xludf.DUMMYFUNCTION("CONCATENATE(GOOGLETRANSLATE(C1768, ""en"", ""zh-cn""))"),"欧米茄超霸赛车 326.30.40.50.02.001")</f>
        <v>欧米茄超霸赛车 326.30.40.50.02.001</v>
      </c>
      <c r="E1768" s="1" t="str">
        <f>IFERROR(__xludf.DUMMYFUNCTION("CONCATENATE(GOOGLETRANSLATE(C1768, ""en"", ""ko""))"),"오메가 스피드마스터 레이싱 326.30.40.50.02.001")</f>
        <v>오메가 스피드마스터 레이싱 326.30.40.50.02.001</v>
      </c>
      <c r="F1768" s="1" t="str">
        <f>IFERROR(__xludf.DUMMYFUNCTION("CONCATENATE(GOOGLETRANSLATE(C1768, ""en"", ""ja""))"),"オメガ スピードマスター レーシング 326.30.40.50.02.001")</f>
        <v>オメガ スピードマスター レーシング 326.30.40.50.02.001</v>
      </c>
    </row>
    <row r="1769" ht="15.75" customHeight="1">
      <c r="A1769" s="1">
        <v>3989.0</v>
      </c>
      <c r="B1769" s="1" t="s">
        <v>15</v>
      </c>
      <c r="C1769" s="1" t="s">
        <v>1739</v>
      </c>
      <c r="D1769" s="1" t="str">
        <f>IFERROR(__xludf.DUMMYFUNCTION("CONCATENATE(GOOGLETRANSLATE(C1769, ""en"", ""zh-cn""))"),"汉密尔顿美国经典 Intra-Matic 机械计时 H 手表 40 毫米表壳，白色表盘，黑色皮表带（型号：H38429710）")</f>
        <v>汉密尔顿美国经典 Intra-Matic 机械计时 H 手表 40 毫米表壳，白色表盘，黑色皮表带（型号：H38429710）</v>
      </c>
      <c r="E1769" s="1" t="str">
        <f>IFERROR(__xludf.DUMMYFUNCTION("CONCATENATE(GOOGLETRANSLATE(C1769, ""en"", ""ko""))"),"해밀턴 아메리칸 클래식 Intra-Matic 기계식 크로노그래프 H 시계 40mm 케이스, 화이트 다이얼, 블랙 가죽 스트랩 (모델: H38429710)")</f>
        <v>해밀턴 아메리칸 클래식 Intra-Matic 기계식 크로노그래프 H 시계 40mm 케이스, 화이트 다이얼, 블랙 가죽 스트랩 (모델: H38429710)</v>
      </c>
      <c r="F1769" s="1" t="str">
        <f>IFERROR(__xludf.DUMMYFUNCTION("CONCATENATE(GOOGLETRANSLATE(C1769, ""en"", ""ja""))"),"ハミルトン アメリカン クラシック イントラマティック メカニカル クロノグラフ H ウォッチ 40mm ケース、ホワイト ダイヤル、ブラック レザー ストラップ (モデル: H38429710)")</f>
        <v>ハミルトン アメリカン クラシック イントラマティック メカニカル クロノグラフ H ウォッチ 40mm ケース、ホワイト ダイヤル、ブラック レザー ストラップ (モデル: H38429710)</v>
      </c>
    </row>
    <row r="1770" ht="15.75" customHeight="1">
      <c r="A1770" s="1">
        <v>3991.0</v>
      </c>
      <c r="B1770" s="1" t="s">
        <v>15</v>
      </c>
      <c r="C1770" s="1" t="s">
        <v>1740</v>
      </c>
      <c r="D1770" s="1" t="str">
        <f>IFERROR(__xludf.DUMMYFUNCTION("CONCATENATE(GOOGLETRANSLATE(C1770, ""en"", ""zh-cn""))"),"Casio GMW-B5000TCC-1JR [G-Shock GMW-B5000 Series Special Model] 手表 日本进口 Jan 2023 型号 黑色/白色")</f>
        <v>Casio GMW-B5000TCC-1JR [G-Shock GMW-B5000 Series Special Model] 手表 日本进口 Jan 2023 型号 黑色/白色</v>
      </c>
      <c r="E1770" s="1" t="str">
        <f>IFERROR(__xludf.DUMMYFUNCTION("CONCATENATE(GOOGLETRANSLATE(C1770, ""en"", ""ko""))"),"카시오 GMW-B5000TCC-1JR [G-Shock GMW-B5000 Series Special Model] 시계 일본 수입 2023년 1월 모델 블랙/화이트")</f>
        <v>카시오 GMW-B5000TCC-1JR [G-Shock GMW-B5000 Series Special Model] 시계 일본 수입 2023년 1월 모델 블랙/화이트</v>
      </c>
      <c r="F1770" s="1" t="str">
        <f>IFERROR(__xludf.DUMMYFUNCTION("CONCATENATE(GOOGLETRANSLATE(C1770, ""en"", ""ja""))"),"カシオ GMW-B5000TCC-1JR [G-Shock GMW-B5000シリーズ スペシャルモデル] 腕時計 日本輸入 2023年1月モデル ブラック/ホワイト")</f>
        <v>カシオ GMW-B5000TCC-1JR [G-Shock GMW-B5000シリーズ スペシャルモデル] 腕時計 日本輸入 2023年1月モデル ブラック/ホワイト</v>
      </c>
    </row>
    <row r="1771" ht="15.75" customHeight="1">
      <c r="A1771" s="1">
        <v>3997.0</v>
      </c>
      <c r="B1771" s="1" t="s">
        <v>15</v>
      </c>
      <c r="C1771" s="1" t="s">
        <v>1741</v>
      </c>
      <c r="D1771" s="1" t="str">
        <f>IFERROR(__xludf.DUMMYFUNCTION("CONCATENATE(GOOGLETRANSLATE(C1771, ""en"", ""zh-cn""))"),"精工 Prospex PADI 重新诠释 1965 潜水员 200m 特别版蓝宝石运动蓝色渐变波浪表盘手表 SPB071J1")</f>
        <v>精工 Prospex PADI 重新诠释 1965 潜水员 200m 特别版蓝宝石运动蓝色渐变波浪表盘手表 SPB071J1</v>
      </c>
      <c r="E1771" s="1" t="str">
        <f>IFERROR(__xludf.DUMMYFUNCTION("CONCATENATE(GOOGLETRANSLATE(C1771, ""en"", ""ko""))"),"세이코 프로스펙스 PADI 재해석 1965 다이버 200m 스페셜 에디션 사파이어 스포츠 블루 그라데이션 웨이브 다이얼 시계 SPB071J1")</f>
        <v>세이코 프로스펙스 PADI 재해석 1965 다이버 200m 스페셜 에디션 사파이어 스포츠 블루 그라데이션 웨이브 다이얼 시계 SPB071J1</v>
      </c>
      <c r="F1771" s="1" t="str">
        <f>IFERROR(__xludf.DUMMYFUNCTION("CONCATENATE(GOOGLETRANSLATE(C1771, ""en"", ""ja""))"),"セイコー プロスペックス PADI 再解釈 1965 ダイバーズ 200m スペシャルエディション サファイア スポーツ ブルー グラデーション ウェーブ ダイヤル ウォッチ SPB071J1")</f>
        <v>セイコー プロスペックス PADI 再解釈 1965 ダイバーズ 200m スペシャルエディション サファイア スポーツ ブルー グラデーション ウェーブ ダイヤル ウォッチ SPB071J1</v>
      </c>
    </row>
    <row r="1772" ht="15.75" customHeight="1">
      <c r="A1772" s="1">
        <v>4002.0</v>
      </c>
      <c r="B1772" s="1" t="s">
        <v>15</v>
      </c>
      <c r="C1772" s="1" t="s">
        <v>1742</v>
      </c>
      <c r="D1772" s="1" t="str">
        <f>IFERROR(__xludf.DUMMYFUNCTION("CONCATENATE(GOOGLETRANSLATE(C1772, ""en"", ""zh-cn""))"),"Luminox 自动运动计时器 XS.0924 男士手表 42 毫米 - 银色/蓝色 200m 防水蓝宝石玻璃军用运动手表")</f>
        <v>Luminox 自动运动计时器 XS.0924 男士手表 42 毫米 - 银色/蓝色 200m 防水蓝宝石玻璃军用运动手表</v>
      </c>
      <c r="E1772" s="1" t="str">
        <f>IFERROR(__xludf.DUMMYFUNCTION("CONCATENATE(GOOGLETRANSLATE(C1772, ""en"", ""ko""))"),"Luminox Auotmatic 스포츠 타이머 XS.0924 남성용 시계 42mm - 실버/블루 200m 방수 사파이어 글라스 밀리터리 스포츠 시계")</f>
        <v>Luminox Auotmatic 스포츠 타이머 XS.0924 남성용 시계 42mm - 실버/블루 200m 방수 사파이어 글라스 밀리터리 스포츠 시계</v>
      </c>
      <c r="F1772" s="1" t="str">
        <f>IFERROR(__xludf.DUMMYFUNCTION("CONCATENATE(GOOGLETRANSLATE(C1772, ""en"", ""ja""))"),"ルミノックス オートマティック スポーツ タイマー XS.0924 メンズ ウォッチ 42mm - シルバー/ブルー 200m 防水サファイアガラスのミリタリー スポーツウォッチ")</f>
        <v>ルミノックス オートマティック スポーツ タイマー XS.0924 メンズ ウォッチ 42mm - シルバー/ブルー 200m 防水サファイアガラスのミリタリー スポーツウォッチ</v>
      </c>
    </row>
    <row r="1773" ht="15.75" customHeight="1">
      <c r="A1773" s="1">
        <v>4006.0</v>
      </c>
      <c r="B1773" s="1" t="s">
        <v>15</v>
      </c>
      <c r="C1773" s="1" t="s">
        <v>1743</v>
      </c>
      <c r="D1773" s="1" t="str">
        <f>IFERROR(__xludf.DUMMYFUNCTION("CONCATENATE(GOOGLETRANSLATE(C1773, ""en"", ""zh-cn""))"),"Movado 男士 Bold Verso 白色陶瓷表壳和链式手链，白色（型号：3600900）")</f>
        <v>Movado 男士 Bold Verso 白色陶瓷表壳和链式手链，白色（型号：3600900）</v>
      </c>
      <c r="E1773" s="1" t="str">
        <f>IFERROR(__xludf.DUMMYFUNCTION("CONCATENATE(GOOGLETRANSLATE(C1773, ""en"", ""ko""))"),"Movado 남성용 볼드 베르소 화이트 세라믹 케이스 및 링크 팔찌, 화이트(모델: 3600900)")</f>
        <v>Movado 남성용 볼드 베르소 화이트 세라믹 케이스 및 링크 팔찌, 화이트(모델: 3600900)</v>
      </c>
      <c r="F1773" s="1" t="str">
        <f>IFERROR(__xludf.DUMMYFUNCTION("CONCATENATE(GOOGLETRANSLATE(C1773, ""en"", ""ja""))"),"Movado メンズ ボールド バーソ ホワイト セラミック ケースとリンク ブレスレット、ホワイト (モデル: 3600900)")</f>
        <v>Movado メンズ ボールド バーソ ホワイト セラミック ケースとリンク ブレスレット、ホワイト (モデル: 3600900)</v>
      </c>
    </row>
    <row r="1774" ht="15.75" customHeight="1">
      <c r="A1774" s="1">
        <v>4013.0</v>
      </c>
      <c r="B1774" s="1" t="s">
        <v>15</v>
      </c>
      <c r="C1774" s="1" t="s">
        <v>1744</v>
      </c>
      <c r="D1774" s="1" t="str">
        <f>IFERROR(__xludf.DUMMYFUNCTION("CONCATENATE(GOOGLETRANSLATE(C1774, ""en"", ""zh-cn""))"),"卡其色 Field Murph 汽车")</f>
        <v>卡其色 Field Murph 汽车</v>
      </c>
      <c r="E1774" s="1" t="str">
        <f>IFERROR(__xludf.DUMMYFUNCTION("CONCATENATE(GOOGLETRANSLATE(C1774, ""en"", ""ko""))"),"카키 필드 머프 오토")</f>
        <v>카키 필드 머프 오토</v>
      </c>
      <c r="F1774" s="1" t="str">
        <f>IFERROR(__xludf.DUMMYFUNCTION("CONCATENATE(GOOGLETRANSLATE(C1774, ""en"", ""ja""))"),"カーキ フィールド マーフ オート")</f>
        <v>カーキ フィールド マーフ オート</v>
      </c>
    </row>
    <row r="1775" ht="15.75" customHeight="1">
      <c r="A1775" s="1">
        <v>4014.0</v>
      </c>
      <c r="B1775" s="1" t="s">
        <v>15</v>
      </c>
      <c r="C1775" s="1" t="s">
        <v>1745</v>
      </c>
      <c r="D1775" s="1" t="str">
        <f>IFERROR(__xludf.DUMMYFUNCTION("CONCATENATE(GOOGLETRANSLATE(C1775, ""en"", ""zh-cn""))"),"汉密尔顿百老汇自动机芯灰色表盘男士手表 H43515735")</f>
        <v>汉密尔顿百老汇自动机芯灰色表盘男士手表 H43515735</v>
      </c>
      <c r="E1775" s="1" t="str">
        <f>IFERROR(__xludf.DUMMYFUNCTION("CONCATENATE(GOOGLETRANSLATE(C1775, ""en"", ""ko""))"),"해밀턴 브로드웨이 오토매틱 무브먼트 그레이 다이얼 남성용 시계 H43515735")</f>
        <v>해밀턴 브로드웨이 오토매틱 무브먼트 그레이 다이얼 남성용 시계 H43515735</v>
      </c>
      <c r="F1775" s="1" t="str">
        <f>IFERROR(__xludf.DUMMYFUNCTION("CONCATENATE(GOOGLETRANSLATE(C1775, ""en"", ""ja""))"),"ハミルトン ブロードウェイ 自動巻きムーブメント グレーダイヤル メンズ腕時計 H43515735")</f>
        <v>ハミルトン ブロードウェイ 自動巻きムーブメント グレーダイヤル メンズ腕時計 H43515735</v>
      </c>
    </row>
    <row r="1776" ht="15.75" customHeight="1">
      <c r="A1776" s="1">
        <v>4051.0</v>
      </c>
      <c r="B1776" s="1" t="s">
        <v>15</v>
      </c>
      <c r="C1776" s="1" t="s">
        <v>1746</v>
      </c>
      <c r="D1776" s="1" t="str">
        <f>IFERROR(__xludf.DUMMYFUNCTION("CONCATENATE(GOOGLETRANSLATE(C1776, ""en"", ""zh-cn""))"),"Luminox Bear Grylls Survival XB.3762 男士手表 45 毫米 - 飞行员手表 银色/黑色 日期功能 第二时区 200m 防水蓝宝石玻璃")</f>
        <v>Luminox Bear Grylls Survival XB.3762 男士手表 45 毫米 - 飞行员手表 银色/黑色 日期功能 第二时区 200m 防水蓝宝石玻璃</v>
      </c>
      <c r="E1776" s="1" t="str">
        <f>IFERROR(__xludf.DUMMYFUNCTION("CONCATENATE(GOOGLETRANSLATE(C1776, ""en"", ""ko""))"),"Luminox Bear Grylls Survival XB.3762 남성용 시계 45mm - 실버/블랙 날짜 기능 세컨드 타임존 200m 방수 사파이어 글래스 파일럿 시계")</f>
        <v>Luminox Bear Grylls Survival XB.3762 남성용 시계 45mm - 실버/블랙 날짜 기능 세컨드 타임존 200m 방수 사파이어 글래스 파일럿 시계</v>
      </c>
      <c r="F1776" s="1" t="str">
        <f>IFERROR(__xludf.DUMMYFUNCTION("CONCATENATE(GOOGLETRANSLATE(C1776, ""en"", ""ja""))"),"ルミノックス ベア グリルス サバイバル XB.3762 メンズ ウォッチ 45mm - パイロット ウォッチ シルバー/ブラック 日付機能 セカンド タイム ゾーン 200m 防水 サファイア ガラス")</f>
        <v>ルミノックス ベア グリルス サバイバル XB.3762 メンズ ウォッチ 45mm - パイロット ウォッチ シルバー/ブラック 日付機能 セカンド タイム ゾーン 200m 防水 サファイア ガラス</v>
      </c>
    </row>
    <row r="1777" ht="15.75" customHeight="1">
      <c r="A1777" s="1">
        <v>4055.0</v>
      </c>
      <c r="B1777" s="1" t="s">
        <v>15</v>
      </c>
      <c r="C1777" s="1" t="s">
        <v>1747</v>
      </c>
      <c r="D1777" s="1" t="str">
        <f>IFERROR(__xludf.DUMMYFUNCTION("CONCATENATE(GOOGLETRANSLATE(C1777, ""en"", ""zh-cn""))"),"TSAR BOMBA 男士自动手表 Tonneau 豪华镂空男士手表 50M 防水模拟 Wrok 男士手表独特酷银色方形大脸腕表硅胶表带")</f>
        <v>TSAR BOMBA 男士自动手表 Tonneau 豪华镂空男士手表 50M 防水模拟 Wrok 男士手表独特酷银色方形大脸腕表硅胶表带</v>
      </c>
      <c r="E1777" s="1" t="str">
        <f>IFERROR(__xludf.DUMMYFUNCTION("CONCATENATE(GOOGLETRANSLATE(C1777, ""en"", ""ko""))"),"TSAR BOMBA 남성용 자동 시계 Tonneau 남성용 럭셔리 스켈레톤 시계 50M 방수 아날로그 Wrok 남성용 시계 독특한 쿨 실버 스퀘어 빅 페이스 손목 시계 실리콘 스트랩")</f>
        <v>TSAR BOMBA 남성용 자동 시계 Tonneau 남성용 럭셔리 스켈레톤 시계 50M 방수 아날로그 Wrok 남성용 시계 독특한 쿨 실버 스퀘어 빅 페이스 손목 시계 실리콘 스트랩</v>
      </c>
      <c r="F1777" s="1" t="str">
        <f>IFERROR(__xludf.DUMMYFUNCTION("CONCATENATE(GOOGLETRANSLATE(C1777, ""en"", ""ja""))"),"TSAR BOMBA メンズ自動巻き腕時計 トノー 高級スケルトン腕時計 男性用 50M 防水 アナログ Wrok メンズ腕時計 ユニークなクールシルバー スクエア ビッグフェイス腕時計 シリコーンストラップ")</f>
        <v>TSAR BOMBA メンズ自動巻き腕時計 トノー 高級スケルトン腕時計 男性用 50M 防水 アナログ Wrok メンズ腕時計 ユニークなクールシルバー スクエア ビッグフェイス腕時計 シリコーンストラップ</v>
      </c>
    </row>
    <row r="1778" ht="15.75" customHeight="1">
      <c r="A1778" s="1">
        <v>4057.0</v>
      </c>
      <c r="B1778" s="1" t="s">
        <v>15</v>
      </c>
      <c r="C1778" s="1" t="s">
        <v>1748</v>
      </c>
      <c r="D1778" s="1" t="str">
        <f>IFERROR(__xludf.DUMMYFUNCTION("CONCATENATE(GOOGLETRANSLATE(C1778, ""en"", ""zh-cn""))"),"Luminox 健身手表 XS.3615")</f>
        <v>Luminox 健身手表 XS.3615</v>
      </c>
      <c r="E1778" s="1" t="str">
        <f>IFERROR(__xludf.DUMMYFUNCTION("CONCATENATE(GOOGLETRANSLATE(C1778, ""en"", ""ko""))"),"루미녹스 피트니스 시계 XS.3615")</f>
        <v>루미녹스 피트니스 시계 XS.3615</v>
      </c>
      <c r="F1778" s="1" t="str">
        <f>IFERROR(__xludf.DUMMYFUNCTION("CONCATENATE(GOOGLETRANSLATE(C1778, ""en"", ""ja""))"),"ルミノックス フィットネスウォッチ XS.3615")</f>
        <v>ルミノックス フィットネスウォッチ XS.3615</v>
      </c>
    </row>
    <row r="1779" ht="15.75" customHeight="1">
      <c r="A1779" s="1">
        <v>4065.0</v>
      </c>
      <c r="B1779" s="1" t="s">
        <v>15</v>
      </c>
      <c r="C1779" s="1" t="s">
        <v>1749</v>
      </c>
      <c r="D1779" s="1" t="str">
        <f>IFERROR(__xludf.DUMMYFUNCTION("CONCATENATE(GOOGLETRANSLATE(C1779, ""en"", ""zh-cn""))"),"汉密尔顿男士 H70455733 卡其色野战手表")</f>
        <v>汉密尔顿男士 H70455733 卡其色野战手表</v>
      </c>
      <c r="E1779" s="1" t="str">
        <f>IFERROR(__xludf.DUMMYFUNCTION("CONCATENATE(GOOGLETRANSLATE(C1779, ""en"", ""ko""))"),"해밀턴 남성용 H70455733 카키 필드 시계")</f>
        <v>해밀턴 남성용 H70455733 카키 필드 시계</v>
      </c>
      <c r="F1779" s="1" t="str">
        <f>IFERROR(__xludf.DUMMYFUNCTION("CONCATENATE(GOOGLETRANSLATE(C1779, ""en"", ""ja""))"),"ハミルトン メンズ H70455733 カーキ フィールド ウォッチ")</f>
        <v>ハミルトン メンズ H70455733 カーキ フィールド ウォッチ</v>
      </c>
    </row>
    <row r="1780" ht="15.75" customHeight="1">
      <c r="A1780" s="1">
        <v>4068.0</v>
      </c>
      <c r="B1780" s="1" t="s">
        <v>15</v>
      </c>
      <c r="C1780" s="1" t="s">
        <v>1750</v>
      </c>
      <c r="D1780" s="1" t="str">
        <f>IFERROR(__xludf.DUMMYFUNCTION("CONCATENATE(GOOGLETRANSLATE(C1780, ""en"", ""zh-cn""))"),"Luminox Pacific 潜水员不锈钢 44 毫米男士手表")</f>
        <v>Luminox Pacific 潜水员不锈钢 44 毫米男士手表</v>
      </c>
      <c r="E1780" s="1" t="str">
        <f>IFERROR(__xludf.DUMMYFUNCTION("CONCATENATE(GOOGLETRANSLATE(C1780, ""en"", ""ko""))"),"루미녹스 퍼시픽 다이버 스테인리스 스틸 44mm 남성용 시계")</f>
        <v>루미녹스 퍼시픽 다이버 스테인리스 스틸 44mm 남성용 시계</v>
      </c>
      <c r="F1780" s="1" t="str">
        <f>IFERROR(__xludf.DUMMYFUNCTION("CONCATENATE(GOOGLETRANSLATE(C1780, ""en"", ""ja""))"),"ルミノックス パシフィック ダイバー ステンレススチール 44mm メンズ腕時計")</f>
        <v>ルミノックス パシフィック ダイバー ステンレススチール 44mm メンズ腕時計</v>
      </c>
    </row>
    <row r="1781" ht="15.75" customHeight="1">
      <c r="A1781" s="1">
        <v>4081.0</v>
      </c>
      <c r="B1781" s="1" t="s">
        <v>15</v>
      </c>
      <c r="C1781" s="1" t="s">
        <v>1751</v>
      </c>
      <c r="D1781" s="1" t="str">
        <f>IFERROR(__xludf.DUMMYFUNCTION("CONCATENATE(GOOGLETRANSLATE(C1781, ""en"", ""zh-cn""))"),"TAKA Jewellery Cresta 18K 钻石戒指（18K 白金）")</f>
        <v>TAKA Jewellery Cresta 18K 钻石戒指（18K 白金）</v>
      </c>
      <c r="E1781" s="1" t="str">
        <f>IFERROR(__xludf.DUMMYFUNCTION("CONCATENATE(GOOGLETRANSLATE(C1781, ""en"", ""ko""))"),"TAKA 주얼리 크레스타 18K 다이아몬드 반지 (18K 화이트 골드)")</f>
        <v>TAKA 주얼리 크레스타 18K 다이아몬드 반지 (18K 화이트 골드)</v>
      </c>
      <c r="F1781" s="1" t="str">
        <f>IFERROR(__xludf.DUMMYFUNCTION("CONCATENATE(GOOGLETRANSLATE(C1781, ""en"", ""ja""))"),"TAKA Jewellery Cresta 18Kダイヤモンドリング(18Kホワイトゴールド)")</f>
        <v>TAKA Jewellery Cresta 18Kダイヤモンドリング(18Kホワイトゴールド)</v>
      </c>
    </row>
    <row r="1782" ht="15.75" customHeight="1">
      <c r="A1782" s="1">
        <v>4090.0</v>
      </c>
      <c r="B1782" s="1" t="s">
        <v>15</v>
      </c>
      <c r="C1782" s="1" t="s">
        <v>1752</v>
      </c>
      <c r="D1782" s="1" t="str">
        <f>IFERROR(__xludf.DUMMYFUNCTION("CONCATENATE(GOOGLETRANSLATE(C1782, ""en"", ""zh-cn""))"),"三星 Galaxy Watch 5 Pro 45 毫米蓝牙智能手表，带身体、健康、健身和睡眠追踪器，改进的电池，蓝宝石水晶玻璃，GPS 路线跟踪，钛金属框架，美国版，黑色")</f>
        <v>三星 Galaxy Watch 5 Pro 45 毫米蓝牙智能手表，带身体、健康、健身和睡眠追踪器，改进的电池，蓝宝石水晶玻璃，GPS 路线跟踪，钛金属框架，美国版，黑色</v>
      </c>
      <c r="E1782" s="1" t="str">
        <f>IFERROR(__xludf.DUMMYFUNCTION("CONCATENATE(GOOGLETRANSLATE(C1782, ""en"", ""ko""))"),"SAMSUNG Galaxy Watch 5 Pro 45mm 블루투스 스마트워치 신체, 건강, 피트니스 및 수면 추적기 포함, 향상된 배터리, 사파이어 크리스탈 유리, GPS 경로 추적, 티타늄 프레임, 미국 버전, 블랙")</f>
        <v>SAMSUNG Galaxy Watch 5 Pro 45mm 블루투스 스마트워치 신체, 건강, 피트니스 및 수면 추적기 포함, 향상된 배터리, 사파이어 크리스탈 유리, GPS 경로 추적, 티타늄 프레임, 미국 버전, 블랙</v>
      </c>
      <c r="F1782" s="1" t="str">
        <f>IFERROR(__xludf.DUMMYFUNCTION("CONCATENATE(GOOGLETRANSLATE(C1782, ""en"", ""ja""))"),"SAMSUNG Galaxy Watch 5 Pro 45mm Bluetooth スマートウォッチ、ボディ、健康、フィットネス、睡眠トラッカー、改良されたバッテリー、サファイアクリスタルガラス、GPS ルート追跡、チタンフレーム、米国バージョン、ブラック")</f>
        <v>SAMSUNG Galaxy Watch 5 Pro 45mm Bluetooth スマートウォッチ、ボディ、健康、フィットネス、睡眠トラッカー、改良されたバッテリー、サファイアクリスタルガラス、GPS ルート追跡、チタンフレーム、米国バージョン、ブラック</v>
      </c>
    </row>
    <row r="1783" ht="15.75" customHeight="1">
      <c r="A1783" s="1">
        <v>4092.0</v>
      </c>
      <c r="B1783" s="1" t="s">
        <v>15</v>
      </c>
      <c r="C1783" s="1" t="s">
        <v>1753</v>
      </c>
      <c r="D1783" s="1" t="str">
        <f>IFERROR(__xludf.DUMMYFUNCTION("CONCATENATE(GOOGLETRANSLATE(C1783, ""en"", ""zh-cn""))"),"SEIKO PROSPEX STBQ005 潜水员水肺太阳能男士手表")</f>
        <v>SEIKO PROSPEX STBQ005 潜水员水肺太阳能男士手表</v>
      </c>
      <c r="E1783" s="1" t="str">
        <f>IFERROR(__xludf.DUMMYFUNCTION("CONCATENATE(GOOGLETRANSLATE(C1783, ""en"", ""ko""))"),"SEIKO PROSPEX STBQ005 다이버 스쿠버 솔라 남성용 시계")</f>
        <v>SEIKO PROSPEX STBQ005 다이버 스쿠버 솔라 남성용 시계</v>
      </c>
      <c r="F1783" s="1" t="str">
        <f>IFERROR(__xludf.DUMMYFUNCTION("CONCATENATE(GOOGLETRANSLATE(C1783, ""en"", ""ja""))"),"[セイコー プロスペックス] 腕時計 ダイバースキューバ ソーラー STBQ005 メンズ")</f>
        <v>[セイコー プロスペックス] 腕時計 ダイバースキューバ ソーラー STBQ005 メンズ</v>
      </c>
    </row>
    <row r="1784" ht="15.75" customHeight="1">
      <c r="A1784" s="1">
        <v>4101.0</v>
      </c>
      <c r="B1784" s="1" t="s">
        <v>15</v>
      </c>
      <c r="C1784" s="1" t="s">
        <v>1754</v>
      </c>
      <c r="D1784" s="1" t="str">
        <f>IFERROR(__xludf.DUMMYFUNCTION("CONCATENATE(GOOGLETRANSLATE(C1784, ""en"", ""zh-cn""))"),"施华洛世奇 Millenia 水晶首饰耳环和项链系列，透明水晶，铑色调饰面")</f>
        <v>施华洛世奇 Millenia 水晶首饰耳环和项链系列，透明水晶，铑色调饰面</v>
      </c>
      <c r="E1784" s="1" t="str">
        <f>IFERROR(__xludf.DUMMYFUNCTION("CONCATENATE(GOOGLETRANSLATE(C1784, ""en"", ""ko""))"),"SWAROVSKI 밀레니아 크리스탈 주얼리 귀걸이 및 목걸이 컬렉션, 클리어 크리스털, 로듐 톤 마감")</f>
        <v>SWAROVSKI 밀레니아 크리스탈 주얼리 귀걸이 및 목걸이 컬렉션, 클리어 크리스털, 로듐 톤 마감</v>
      </c>
      <c r="F1784" s="1" t="str">
        <f>IFERROR(__xludf.DUMMYFUNCTION("CONCATENATE(GOOGLETRANSLATE(C1784, ""en"", ""ja""))"),"スワロフスキー ミレニア クリスタル ジュエリー イヤリングとネックレス コレクション、クリア クリスタル、ロジウムトーン仕上げ")</f>
        <v>スワロフスキー ミレニア クリスタル ジュエリー イヤリングとネックレス コレクション、クリア クリスタル、ロジウムトーン仕上げ</v>
      </c>
    </row>
    <row r="1785" ht="15.75" customHeight="1">
      <c r="A1785" s="1">
        <v>4126.0</v>
      </c>
      <c r="B1785" s="1" t="s">
        <v>15</v>
      </c>
      <c r="C1785" s="1" t="s">
        <v>1755</v>
      </c>
      <c r="D1785" s="1" t="str">
        <f>IFERROR(__xludf.DUMMYFUNCTION("CONCATENATE(GOOGLETRANSLATE(C1785, ""en"", ""zh-cn""))"),"Luminox Navy Seal XS.3503.F 男士手表 45 毫米 - 军用潜水手表黑色/蓝色日期功能 200m 防水")</f>
        <v>Luminox Navy Seal XS.3503.F 男士手表 45 毫米 - 军用潜水手表黑色/蓝色日期功能 200m 防水</v>
      </c>
      <c r="E1785" s="1" t="str">
        <f>IFERROR(__xludf.DUMMYFUNCTION("CONCATENATE(GOOGLETRANSLATE(C1785, ""en"", ""ko""))"),"Luminox Navy Seal XS.3503.F 남성용 시계 45mm - 블랙/블루 날짜 기능 200m 방수 군용 다이브 시계")</f>
        <v>Luminox Navy Seal XS.3503.F 남성용 시계 45mm - 블랙/블루 날짜 기능 200m 방수 군용 다이브 시계</v>
      </c>
      <c r="F1785" s="1" t="str">
        <f>IFERROR(__xludf.DUMMYFUNCTION("CONCATENATE(GOOGLETRANSLATE(C1785, ""en"", ""ja""))"),"ルミノックス ネイビー シール XS.3503.F メンズ ウォッチ 45mm - ミリタリー ダイブウォッチ ブラック/ブルー 日付機能 200m 防水")</f>
        <v>ルミノックス ネイビー シール XS.3503.F メンズ ウォッチ 45mm - ミリタリー ダイブウォッチ ブラック/ブルー 日付機能 200m 防水</v>
      </c>
    </row>
    <row r="1786" ht="15.75" customHeight="1">
      <c r="A1786" s="1">
        <v>4128.0</v>
      </c>
      <c r="B1786" s="1" t="s">
        <v>15</v>
      </c>
      <c r="C1786" s="1" t="s">
        <v>1756</v>
      </c>
      <c r="D1786" s="1" t="str">
        <f>IFERROR(__xludf.DUMMYFUNCTION("CONCATENATE(GOOGLETRANSLATE(C1786, ""en"", ""zh-cn""))"),"SEIKO SRPH75 Prospex 男士手表银色 42.4 毫米不锈钢")</f>
        <v>SEIKO SRPH75 Prospex 男士手表银色 42.4 毫米不锈钢</v>
      </c>
      <c r="E1786" s="1" t="str">
        <f>IFERROR(__xludf.DUMMYFUNCTION("CONCATENATE(GOOGLETRANSLATE(C1786, ""en"", ""ko""))"),"SEIKO SRPH75 Prospex 남성용 시계 실버톤 42.4mm 스테인리스 스틸")</f>
        <v>SEIKO SRPH75 Prospex 남성용 시계 실버톤 42.4mm 스테인리스 스틸</v>
      </c>
      <c r="F1786" s="1" t="str">
        <f>IFERROR(__xludf.DUMMYFUNCTION("CONCATENATE(GOOGLETRANSLATE(C1786, ""en"", ""ja""))"),"セイコー SRPH75 プロスペックス メンズ 腕時計 シルバートーン 42.4mm ステンレススチール")</f>
        <v>セイコー SRPH75 プロスペックス メンズ 腕時計 シルバートーン 42.4mm ステンレススチール</v>
      </c>
    </row>
    <row r="1787" ht="15.75" customHeight="1">
      <c r="A1787" s="1">
        <v>4139.0</v>
      </c>
      <c r="B1787" s="1" t="s">
        <v>15</v>
      </c>
      <c r="C1787" s="1" t="s">
        <v>1757</v>
      </c>
      <c r="D1787" s="1" t="str">
        <f>IFERROR(__xludf.DUMMYFUNCTION("CONCATENATE(GOOGLETRANSLATE(C1787, ""en"", ""zh-cn""))"),"Luminox 男士腕表 Scott Cassell 深潜版 45 毫米黑色表壳蓝色表盘 (XS.1553)：300 M 防水 + 蓝宝石水晶 + 潜水表圈")</f>
        <v>Luminox 男士腕表 Scott Cassell 深潜版 45 毫米黑色表壳蓝色表盘 (XS.1553)：300 M 防水 + 蓝宝石水晶 + 潜水表圈</v>
      </c>
      <c r="E1787" s="1" t="str">
        <f>IFERROR(__xludf.DUMMYFUNCTION("CONCATENATE(GOOGLETRANSLATE(C1787, ""en"", ""ko""))"),"Luminox 남성용 손목 시계 Scott Cassell Deep Dive Edition 45mm 블랙 케이스 블루 다이얼(XS.1553): 300M 방수 + 크리스탈 사파이어 + 다이버 베젤")</f>
        <v>Luminox 남성용 손목 시계 Scott Cassell Deep Dive Edition 45mm 블랙 케이스 블루 다이얼(XS.1553): 300M 방수 + 크리스탈 사파이어 + 다이버 베젤</v>
      </c>
      <c r="F1787" s="1" t="str">
        <f>IFERROR(__xludf.DUMMYFUNCTION("CONCATENATE(GOOGLETRANSLATE(C1787, ""en"", ""ja""))"),"ルミノックス メンズ 腕時計 スコット カッセル ディープ ダイブ エディション 45mm ブラック ケース ブルー ダイヤル (XS.1553): 300 M 防水 + クリスタル サファイア + ダイバーズ ベゼル")</f>
        <v>ルミノックス メンズ 腕時計 スコット カッセル ディープ ダイブ エディション 45mm ブラック ケース ブルー ダイヤル (XS.1553): 300 M 防水 + クリスタル サファイア + ダイバーズ ベゼル</v>
      </c>
    </row>
    <row r="1788" ht="15.75" customHeight="1">
      <c r="A1788" s="1">
        <v>4150.0</v>
      </c>
      <c r="B1788" s="1" t="s">
        <v>15</v>
      </c>
      <c r="C1788" s="1" t="s">
        <v>1758</v>
      </c>
      <c r="D1788" s="1" t="str">
        <f>IFERROR(__xludf.DUMMYFUNCTION("CONCATENATE(GOOGLETRANSLATE(C1788, ""en"", ""zh-cn""))"),"Luminox G 海鲈男式手表 44 毫米 - 军用手表日期功能 100m 防水")</f>
        <v>Luminox G 海鲈男式手表 44 毫米 - 军用手表日期功能 100m 防水</v>
      </c>
      <c r="E1788" s="1" t="str">
        <f>IFERROR(__xludf.DUMMYFUNCTION("CONCATENATE(GOOGLETRANSLATE(C1788, ""en"", ""ko""))"),"Luminox G Sea Bass 남성용 시계 44mm - 군용 시계 날짜 기능 100m 방수")</f>
        <v>Luminox G Sea Bass 남성용 시계 44mm - 군용 시계 날짜 기능 100m 방수</v>
      </c>
      <c r="F1788" s="1" t="str">
        <f>IFERROR(__xludf.DUMMYFUNCTION("CONCATENATE(GOOGLETRANSLATE(C1788, ""en"", ""ja""))"),"ルミノックス G シーバス メンズ ウォッチ 44 mm - ミリタリー ウォッチ 日付機能 100 メートル防水")</f>
        <v>ルミノックス G シーバス メンズ ウォッチ 44 mm - ミリタリー ウォッチ 日付機能 100 メートル防水</v>
      </c>
    </row>
    <row r="1789" ht="15.75" customHeight="1">
      <c r="A1789" s="1">
        <v>4153.0</v>
      </c>
      <c r="B1789" s="1" t="s">
        <v>15</v>
      </c>
      <c r="C1789" s="1" t="s">
        <v>1759</v>
      </c>
      <c r="D1789" s="1" t="str">
        <f>IFERROR(__xludf.DUMMYFUNCTION("CONCATENATE(GOOGLETRANSLATE(C1789, ""en"", ""zh-cn""))"),"SEIKO SRPG18 Prospex 男士手表棕色 42.4 毫米不锈钢")</f>
        <v>SEIKO SRPG18 Prospex 男士手表棕色 42.4 毫米不锈钢</v>
      </c>
      <c r="E1789" s="1" t="str">
        <f>IFERROR(__xludf.DUMMYFUNCTION("CONCATENATE(GOOGLETRANSLATE(C1789, ""en"", ""ko""))"),"SEIKO SRPG18 Prospex 남성용 시계 브라운 42.4mm 스테인리스 스틸")</f>
        <v>SEIKO SRPG18 Prospex 남성용 시계 브라운 42.4mm 스테인리스 스틸</v>
      </c>
      <c r="F1789" s="1" t="str">
        <f>IFERROR(__xludf.DUMMYFUNCTION("CONCATENATE(GOOGLETRANSLATE(C1789, ""en"", ""ja""))"),"セイコー SRPG18 プロスペックス メンズ 腕時計 ブラウン 42.4mm ステンレススチール")</f>
        <v>セイコー SRPG18 プロスペックス メンズ 腕時計 ブラウン 42.4mm ステンレススチール</v>
      </c>
    </row>
    <row r="1790" ht="15.75" customHeight="1">
      <c r="A1790" s="1">
        <v>4160.0</v>
      </c>
      <c r="B1790" s="1" t="s">
        <v>15</v>
      </c>
      <c r="C1790" s="1" t="s">
        <v>1760</v>
      </c>
      <c r="D1790" s="1" t="str">
        <f>IFERROR(__xludf.DUMMYFUNCTION("CONCATENATE(GOOGLETRANSLATE(C1790, ""en"", ""zh-cn""))"),"施华洛世奇网球豪华珠宝系列，铑金和玫瑰金色调饰面，透明水晶")</f>
        <v>施华洛世奇网球豪华珠宝系列，铑金和玫瑰金色调饰面，透明水晶</v>
      </c>
      <c r="E1790" s="1" t="str">
        <f>IFERROR(__xludf.DUMMYFUNCTION("CONCATENATE(GOOGLETRANSLATE(C1790, ""en"", ""ko""))"),"스와로브스키 테니스 디럭스 주얼리 컬렉션, 로듐 &amp; 로즈 골드 톤 마감, 클리어 크리스털")</f>
        <v>스와로브스키 테니스 디럭스 주얼리 컬렉션, 로듐 &amp; 로즈 골드 톤 마감, 클리어 크리스털</v>
      </c>
      <c r="F1790" s="1" t="str">
        <f>IFERROR(__xludf.DUMMYFUNCTION("CONCATENATE(GOOGLETRANSLATE(C1790, ""en"", ""ja""))"),"スワロフスキー テニス デラックス ジュエリー コレクション、ロジウム &amp; ローズゴールドトーン仕上げ、クリアクリスタル")</f>
        <v>スワロフスキー テニス デラックス ジュエリー コレクション、ロジウム &amp; ローズゴールドトーン仕上げ、クリアクリスタル</v>
      </c>
    </row>
    <row r="1791" ht="15.75" customHeight="1">
      <c r="A1791" s="1">
        <v>4185.0</v>
      </c>
      <c r="B1791" s="1" t="s">
        <v>15</v>
      </c>
      <c r="C1791" s="1" t="s">
        <v>1761</v>
      </c>
      <c r="D1791" s="1" t="str">
        <f>IFERROR(__xludf.DUMMYFUNCTION("CONCATENATE(GOOGLETRANSLATE(C1791, ""en"", ""zh-cn""))"),"HUGO #LEAP 男士多功能不锈钢链环休闲手表，颜色：黑色（型号：1530175）")</f>
        <v>HUGO #LEAP 男士多功能不锈钢链环休闲手表，颜色：黑色（型号：1530175）</v>
      </c>
      <c r="E1791" s="1" t="str">
        <f>IFERROR(__xludf.DUMMYFUNCTION("CONCATENATE(GOOGLETRANSLATE(C1791, ""en"", ""ko""))"),"HUGO #LEAP 남성용 다기능 스테인리스 스틸 및 링크 팔찌 캐주얼 시계, 색상: 블랙(모델: 1530175)")</f>
        <v>HUGO #LEAP 남성용 다기능 스테인리스 스틸 및 링크 팔찌 캐주얼 시계, 색상: 블랙(모델: 1530175)</v>
      </c>
      <c r="F1791" s="1" t="str">
        <f>IFERROR(__xludf.DUMMYFUNCTION("CONCATENATE(GOOGLETRANSLATE(C1791, ""en"", ""ja""))"),"HUGO #LEAP メンズ多機能ステンレススチールとリンクブレスレットカジュアルウォッチ、カラー: ブラック (モデル: 1530175)")</f>
        <v>HUGO #LEAP メンズ多機能ステンレススチールとリンクブレスレットカジュアルウォッチ、カラー: ブラック (モデル: 1530175)</v>
      </c>
    </row>
    <row r="1792" ht="15.75" customHeight="1">
      <c r="A1792" s="1">
        <v>4188.0</v>
      </c>
      <c r="B1792" s="1" t="s">
        <v>15</v>
      </c>
      <c r="C1792" s="1" t="s">
        <v>1762</v>
      </c>
      <c r="D1792" s="1" t="str">
        <f>IFERROR(__xludf.DUMMYFUNCTION("CONCATENATE(GOOGLETRANSLATE(C1792, ""en"", ""zh-cn""))"),"BOSS 男士石英手表带不锈钢表带，银色，黑色，22")</f>
        <v>BOSS 男士石英手表带不锈钢表带，银色，黑色，22</v>
      </c>
      <c r="E1792" s="1" t="str">
        <f>IFERROR(__xludf.DUMMYFUNCTION("CONCATENATE(GOOGLETRANSLATE(C1792, ""en"", ""ko""))"),"BOSS 남성용 쿼츠 시계, 스테인리스 스틸 스트랩, 실버, 블랙, 22")</f>
        <v>BOSS 남성용 쿼츠 시계, 스테인리스 스틸 스트랩, 실버, 블랙, 22</v>
      </c>
      <c r="F1792" s="1" t="str">
        <f>IFERROR(__xludf.DUMMYFUNCTION("CONCATENATE(GOOGLETRANSLATE(C1792, ""en"", ""ja""))"),"BOSS メンズ クォーツ時計 ステンレススチールストラップ付き、シルバー、ブラック、22")</f>
        <v>BOSS メンズ クォーツ時計 ステンレススチールストラップ付き、シルバー、ブラック、22</v>
      </c>
    </row>
    <row r="1793" ht="15.75" customHeight="1">
      <c r="A1793" s="1">
        <v>4199.0</v>
      </c>
      <c r="B1793" s="1" t="s">
        <v>15</v>
      </c>
      <c r="C1793" s="1" t="s">
        <v>1763</v>
      </c>
      <c r="D1793" s="1" t="str">
        <f>IFERROR(__xludf.DUMMYFUNCTION("CONCATENATE(GOOGLETRANSLATE(C1793, ""en"", ""zh-cn""))"),"三星 Galaxy Watch 5 40 毫米蓝牙智能手表带身体，健康、健身和睡眠追踪器，改进的电池，蓝宝石水晶玻璃，增强型 GPS 跟踪，美国版，灰色")</f>
        <v>三星 Galaxy Watch 5 40 毫米蓝牙智能手表带身体，健康、健身和睡眠追踪器，改进的电池，蓝宝石水晶玻璃，增强型 GPS 跟踪，美国版，灰色</v>
      </c>
      <c r="E1793" s="1" t="str">
        <f>IFERROR(__xludf.DUMMYFUNCTION("CONCATENATE(GOOGLETRANSLATE(C1793, ""en"", ""ko""))"),"SAMSUNG Galaxy Watch 5 40mm Bluetooth 스마트워치 신체, 건강, 피트니스 및 수면 추적기 포함, 향상된 배터리, 사파이어 크리스탈 유리, 향상된 GPS 추적, 미국 버전, 회색")</f>
        <v>SAMSUNG Galaxy Watch 5 40mm Bluetooth 스마트워치 신체, 건강, 피트니스 및 수면 추적기 포함, 향상된 배터리, 사파이어 크리스탈 유리, 향상된 GPS 추적, 미국 버전, 회색</v>
      </c>
      <c r="F1793" s="1" t="str">
        <f>IFERROR(__xludf.DUMMYFUNCTION("CONCATENATE(GOOGLETRANSLATE(C1793, ""en"", ""ja""))"),"SAMSUNG Galaxy Watch 5 40mm Bluetooth スマートウォッチ、ボディ、健康、フィットネス、睡眠トラッカー、改良されたバッテリー、サファイアクリスタルガラス、強化された GPS 追跡、米国バージョン、グレー")</f>
        <v>SAMSUNG Galaxy Watch 5 40mm Bluetooth スマートウォッチ、ボディ、健康、フィットネス、睡眠トラッカー、改良されたバッテリー、サファイアクリスタルガラス、強化された GPS 追跡、米国バージョン、グレー</v>
      </c>
    </row>
    <row r="1794" ht="15.75" customHeight="1">
      <c r="A1794" s="1">
        <v>4205.0</v>
      </c>
      <c r="B1794" s="1" t="s">
        <v>15</v>
      </c>
      <c r="C1794" s="1" t="s">
        <v>1764</v>
      </c>
      <c r="D1794" s="1" t="str">
        <f>IFERROR(__xludf.DUMMYFUNCTION("CONCATENATE(GOOGLETRANSLATE(C1794, ""en"", ""zh-cn""))"),"Casio G-SHOCK 大尺寸系列 GD-X6900FB-7JF 男士 [日本进口]")</f>
        <v>Casio G-SHOCK 大尺寸系列 GD-X6900FB-7JF 男士 [日本进口]</v>
      </c>
      <c r="E1794" s="1" t="str">
        <f>IFERROR(__xludf.DUMMYFUNCTION("CONCATENATE(GOOGLETRANSLATE(C1794, ""en"", ""ko""))"),"카시오 G-SHOCK 빅 사이즈 시리즈 GD-X6900FB-7JF 남성 [일본 수입]")</f>
        <v>카시오 G-SHOCK 빅 사이즈 시리즈 GD-X6900FB-7JF 남성 [일본 수입]</v>
      </c>
      <c r="F1794" s="1" t="str">
        <f>IFERROR(__xludf.DUMMYFUNCTION("CONCATENATE(GOOGLETRANSLATE(C1794, ""en"", ""ja""))"),"カシオ G-SHOCK ビッグサイズシリーズ GD-X6900FB-7JF メンズ [日本輸入]")</f>
        <v>カシオ G-SHOCK ビッグサイズシリーズ GD-X6900FB-7JF メンズ [日本輸入]</v>
      </c>
    </row>
    <row r="1795" ht="15.75" customHeight="1">
      <c r="A1795" s="1">
        <v>4215.0</v>
      </c>
      <c r="B1795" s="1" t="s">
        <v>15</v>
      </c>
      <c r="C1795" s="1" t="s">
        <v>1765</v>
      </c>
      <c r="D1795" s="1" t="str">
        <f>IFERROR(__xludf.DUMMYFUNCTION("CONCATENATE(GOOGLETRANSLATE(C1795, ""en"", ""zh-cn""))"),"SEIKO SRPE75 5 运动男士手表银色 42.5 毫米不锈钢")</f>
        <v>SEIKO SRPE75 5 运动男士手表银色 42.5 毫米不锈钢</v>
      </c>
      <c r="E1795" s="1" t="str">
        <f>IFERROR(__xludf.DUMMYFUNCTION("CONCATENATE(GOOGLETRANSLATE(C1795, ""en"", ""ko""))"),"SEIKO SRPE75 5 스포츠 남성용 시계 실버톤 42.5mm 스테인리스 스틸")</f>
        <v>SEIKO SRPE75 5 스포츠 남성용 시계 실버톤 42.5mm 스테인리스 스틸</v>
      </c>
      <c r="F1795" s="1" t="str">
        <f>IFERROR(__xludf.DUMMYFUNCTION("CONCATENATE(GOOGLETRANSLATE(C1795, ""en"", ""ja""))"),"セイコー SRPE75 5 スポーツ メンズ ウォッチ シルバートーン 42.5mm ステンレススチール")</f>
        <v>セイコー SRPE75 5 スポーツ メンズ ウォッチ シルバートーン 42.5mm ステンレススチール</v>
      </c>
    </row>
    <row r="1796" ht="15.75" customHeight="1">
      <c r="A1796" s="1">
        <v>4217.0</v>
      </c>
      <c r="B1796" s="1" t="s">
        <v>15</v>
      </c>
      <c r="C1796" s="1" t="s">
        <v>1766</v>
      </c>
      <c r="D1796" s="1" t="str">
        <f>IFERROR(__xludf.DUMMYFUNCTION("CONCATENATE(GOOGLETRANSLATE(C1796, ""en"", ""zh-cn""))"),"TSAR BOMBA 混合自动 GMT 男士手表 200M 防水日本自充电机芯日期储能 - 结合自动和石英技术的最佳功能")</f>
        <v>TSAR BOMBA 混合自动 GMT 男士手表 200M 防水日本自充电机芯日期储能 - 结合自动和石英技术的最佳功能</v>
      </c>
      <c r="E1796" s="1" t="str">
        <f>IFERROR(__xludf.DUMMYFUNCTION("CONCATENATE(GOOGLETRANSLATE(C1796, ""en"", ""ko""))"),"TSAR BOMBA 하이브리드 자동 GMT 남성용 시계 200M 방수 일본 자체 충전 무브먼트 날짜 에너지 저장 - 자동 및 석영 기술의 최고의 기능 결합")</f>
        <v>TSAR BOMBA 하이브리드 자동 GMT 남성용 시계 200M 방수 일본 자체 충전 무브먼트 날짜 에너지 저장 - 자동 및 석영 기술의 최고의 기능 결합</v>
      </c>
      <c r="F1796" s="1" t="str">
        <f>IFERROR(__xludf.DUMMYFUNCTION("CONCATENATE(GOOGLETRANSLATE(C1796, ""en"", ""ja""))"),"TSAR BOMBA ハイブリッド自動 GMT メンズ腕時計 200 メートル防水日本製自己充電ムーブメント日付エネルギー貯蔵 - 自動巻きとクォーツ技術の最高の機能を組み合わせた")</f>
        <v>TSAR BOMBA ハイブリッド自動 GMT メンズ腕時計 200 メートル防水日本製自己充電ムーブメント日付エネルギー貯蔵 - 自動巻きとクォーツ技術の最高の機能を組み合わせた</v>
      </c>
    </row>
    <row r="1797" ht="15.75" customHeight="1">
      <c r="A1797" s="1">
        <v>4220.0</v>
      </c>
      <c r="B1797" s="1" t="s">
        <v>15</v>
      </c>
      <c r="C1797" s="1" t="s">
        <v>1767</v>
      </c>
      <c r="D1797" s="1" t="str">
        <f>IFERROR(__xludf.DUMMYFUNCTION("CONCATENATE(GOOGLETRANSLATE(C1797, ""en"", ""zh-cn""))"),"Luminox Land Black OPS Carbon 8800 男士灰面手表 A.8802")</f>
        <v>Luminox Land Black OPS Carbon 8800 男士灰面手表 A.8802</v>
      </c>
      <c r="E1797" s="1" t="str">
        <f>IFERROR(__xludf.DUMMYFUNCTION("CONCATENATE(GOOGLETRANSLATE(C1797, ""en"", ""ko""))"),"루미녹스 랜드 블랙 OPS Carbon 8800 남성용 그레이 페이스 시계 A.8802")</f>
        <v>루미녹스 랜드 블랙 OPS Carbon 8800 남성용 그레이 페이스 시계 A.8802</v>
      </c>
      <c r="F1797" s="1" t="str">
        <f>IFERROR(__xludf.DUMMYFUNCTION("CONCATENATE(GOOGLETRANSLATE(C1797, ""en"", ""ja""))"),"ルミノックス ランド ブラック OPS カーボン 8800 メンズ グレーフェイス ウォッチ A.8802")</f>
        <v>ルミノックス ランド ブラック OPS カーボン 8800 メンズ グレーフェイス ウォッチ A.8802</v>
      </c>
    </row>
    <row r="1798" ht="15.75" customHeight="1">
      <c r="A1798" s="1">
        <v>4224.0</v>
      </c>
      <c r="B1798" s="1" t="s">
        <v>15</v>
      </c>
      <c r="C1798" s="1" t="s">
        <v>1768</v>
      </c>
      <c r="D1798" s="1" t="str">
        <f>IFERROR(__xludf.DUMMYFUNCTION("CONCATENATE(GOOGLETRANSLATE(C1798, ""en"", ""zh-cn""))"),"Timex 男士探险潮汐温度指南针 45 毫米 TW2V22300VQ 石英手表")</f>
        <v>Timex 男士探险潮汐温度指南针 45 毫米 TW2V22300VQ 石英手表</v>
      </c>
      <c r="E1798" s="1" t="str">
        <f>IFERROR(__xludf.DUMMYFUNCTION("CONCATENATE(GOOGLETRANSLATE(C1798, ""en"", ""ko""))"),"타이멕스 남성용 원정 조수-온도-나침반 45mm TW2V22300VQ 쿼츠 시계")</f>
        <v>타이멕스 남성용 원정 조수-온도-나침반 45mm TW2V22300VQ 쿼츠 시계</v>
      </c>
      <c r="F1798" s="1" t="str">
        <f>IFERROR(__xludf.DUMMYFUNCTION("CONCATENATE(GOOGLETRANSLATE(C1798, ""en"", ""ja""))"),"タイメックス メンズ エクスペディション潮温コンパス 45mm TW2V22300VQ クォーツ時計")</f>
        <v>タイメックス メンズ エクスペディション潮温コンパス 45mm TW2V22300VQ クォーツ時計</v>
      </c>
    </row>
    <row r="1799" ht="15.75" customHeight="1">
      <c r="A1799" s="1">
        <v>4244.0</v>
      </c>
      <c r="B1799" s="1" t="s">
        <v>15</v>
      </c>
      <c r="C1799" s="1" t="s">
        <v>1769</v>
      </c>
      <c r="D1799" s="1" t="str">
        <f>IFERROR(__xludf.DUMMYFUNCTION("CONCATENATE(GOOGLETRANSLATE(C1799, ""en"", ""zh-cn""))"),"Timex Navi XL 41 毫米自动腕表 红棕色")</f>
        <v>Timex Navi XL 41 毫米自动腕表 红棕色</v>
      </c>
      <c r="E1799" s="1" t="str">
        <f>IFERROR(__xludf.DUMMYFUNCTION("CONCATENATE(GOOGLETRANSLATE(C1799, ""en"", ""ko""))"),"타이멕스 나비 XL 41mm 오토매틱 레드 브라운")</f>
        <v>타이멕스 나비 XL 41mm 오토매틱 레드 브라운</v>
      </c>
      <c r="F1799" s="1" t="str">
        <f>IFERROR(__xludf.DUMMYFUNCTION("CONCATENATE(GOOGLETRANSLATE(C1799, ""en"", ""ja""))"),"タイメックス ナビ XL 41mm 自動巻き レッドブラウン")</f>
        <v>タイメックス ナビ XL 41mm 自動巻き レッドブラウン</v>
      </c>
    </row>
    <row r="1800" ht="15.75" customHeight="1">
      <c r="A1800" s="1">
        <v>4253.0</v>
      </c>
      <c r="B1800" s="1" t="s">
        <v>15</v>
      </c>
      <c r="C1800" s="1" t="s">
        <v>1770</v>
      </c>
      <c r="D1800" s="1" t="str">
        <f>IFERROR(__xludf.DUMMYFUNCTION("CONCATENATE(GOOGLETRANSLATE(C1800, ""en"", ""zh-cn""))"),"施华洛世奇朗讯水晶戒指珠宝系列，铑色调饰面，粉色水晶")</f>
        <v>施华洛世奇朗讯水晶戒指珠宝系列，铑色调饰面，粉色水晶</v>
      </c>
      <c r="E1800" s="1" t="str">
        <f>IFERROR(__xludf.DUMMYFUNCTION("CONCATENATE(GOOGLETRANSLATE(C1800, ""en"", ""ko""))"),"SWAROVSKI 루센트 크리스탈 링 주얼리 컬렉션, 로듐 톤 마감, 핑크 크리스탈")</f>
        <v>SWAROVSKI 루센트 크리스탈 링 주얼리 컬렉션, 로듐 톤 마감, 핑크 크리스탈</v>
      </c>
      <c r="F1800" s="1" t="str">
        <f>IFERROR(__xludf.DUMMYFUNCTION("CONCATENATE(GOOGLETRANSLATE(C1800, ""en"", ""ja""))"),"スワロフスキー ルーセント クリスタル リング ジュエリー コレクション、ロジウムトーン仕上げ、ピンク クリスタル")</f>
        <v>スワロフスキー ルーセント クリスタル リング ジュエリー コレクション、ロジウムトーン仕上げ、ピンク クリスタル</v>
      </c>
    </row>
    <row r="1801" ht="15.75" customHeight="1">
      <c r="A1801" s="1">
        <v>4254.0</v>
      </c>
      <c r="B1801" s="1" t="s">
        <v>15</v>
      </c>
      <c r="C1801" s="1" t="s">
        <v>1771</v>
      </c>
      <c r="D1801" s="1" t="str">
        <f>IFERROR(__xludf.DUMMYFUNCTION("CONCATENATE(GOOGLETRANSLATE(C1801, ""en"", ""zh-cn""))"),"施华洛世奇 Orbita 戒指，八角形切割彩色水晶，金色饰面")</f>
        <v>施华洛世奇 Orbita 戒指，八角形切割彩色水晶，金色饰面</v>
      </c>
      <c r="E1801" s="1" t="str">
        <f>IFERROR(__xludf.DUMMYFUNCTION("CONCATENATE(GOOGLETRANSLATE(C1801, ""en"", ""ko""))"),"SWAROVSKI Orbita 링, 옥타곤 컷 멀티컬러 크리스탈, 골드 톤 마감")</f>
        <v>SWAROVSKI Orbita 링, 옥타곤 컷 멀티컬러 크리스탈, 골드 톤 마감</v>
      </c>
      <c r="F1801" s="1" t="str">
        <f>IFERROR(__xludf.DUMMYFUNCTION("CONCATENATE(GOOGLETRANSLATE(C1801, ""en"", ""ja""))"),"スワロフスキー オービタ リング、八角形カットのマルチカラー クリスタル、ゴールドトーン仕上げ")</f>
        <v>スワロフスキー オービタ リング、八角形カットのマルチカラー クリスタル、ゴールドトーン仕上げ</v>
      </c>
    </row>
    <row r="1802" ht="15.75" customHeight="1">
      <c r="A1802" s="1">
        <v>4256.0</v>
      </c>
      <c r="B1802" s="1" t="s">
        <v>15</v>
      </c>
      <c r="C1802" s="1" t="s">
        <v>1772</v>
      </c>
      <c r="D1802" s="1" t="str">
        <f>IFERROR(__xludf.DUMMYFUNCTION("CONCATENATE(GOOGLETRANSLATE(C1802, ""en"", ""zh-cn""))"),"Swarovski Dulcis 鸡尾酒戒指珠宝系列，粉色水晶")</f>
        <v>Swarovski Dulcis 鸡尾酒戒指珠宝系列，粉色水晶</v>
      </c>
      <c r="E1802" s="1" t="str">
        <f>IFERROR(__xludf.DUMMYFUNCTION("CONCATENATE(GOOGLETRANSLATE(C1802, ""en"", ""ko""))"),"Swarovski Dulcis 칵테일 링 주얼리 컬렉션, 핑크 크리스털")</f>
        <v>Swarovski Dulcis 칵테일 링 주얼리 컬렉션, 핑크 크리스털</v>
      </c>
      <c r="F1802" s="1" t="str">
        <f>IFERROR(__xludf.DUMMYFUNCTION("CONCATENATE(GOOGLETRANSLATE(C1802, ""en"", ""ja""))"),"スワロフスキー ダルシス カクテル リング ジュエリー コレクション、ピンク クリスタル")</f>
        <v>スワロフスキー ダルシス カクテル リング ジュエリー コレクション、ピンク クリスタル</v>
      </c>
    </row>
    <row r="1803" ht="15.75" customHeight="1">
      <c r="A1803" s="1">
        <v>4257.0</v>
      </c>
      <c r="B1803" s="1" t="s">
        <v>15</v>
      </c>
      <c r="C1803" s="1" t="s">
        <v>1773</v>
      </c>
      <c r="D1803" s="1" t="str">
        <f>IFERROR(__xludf.DUMMYFUNCTION("CONCATENATE(GOOGLETRANSLATE(C1803, ""en"", ""zh-cn""))"),"施华洛世奇水晶玫瑰花束")</f>
        <v>施华洛世奇水晶玫瑰花束</v>
      </c>
      <c r="E1803" s="1" t="str">
        <f>IFERROR(__xludf.DUMMYFUNCTION("CONCATENATE(GOOGLETRANSLATE(C1803, ""en"", ""ko""))"),"SWAROVSKI 크리스탈 로즈 부케")</f>
        <v>SWAROVSKI 크리스탈 로즈 부케</v>
      </c>
      <c r="F1803" s="1" t="str">
        <f>IFERROR(__xludf.DUMMYFUNCTION("CONCATENATE(GOOGLETRANSLATE(C1803, ""en"", ""ja""))"),"スワロフスキー クリスタル ローズ ブーケ")</f>
        <v>スワロフスキー クリスタル ローズ ブーケ</v>
      </c>
    </row>
    <row r="1804" ht="15.75" customHeight="1">
      <c r="A1804" s="1">
        <v>4274.0</v>
      </c>
      <c r="B1804" s="1" t="s">
        <v>15</v>
      </c>
      <c r="C1804" s="1" t="s">
        <v>1774</v>
      </c>
      <c r="D1804" s="1" t="str">
        <f>IFERROR(__xludf.DUMMYFUNCTION("CONCATENATE(GOOGLETRANSLATE(C1804, ""en"", ""zh-cn""))"),"施华洛世奇星球大战 - 死星饰品透明均码")</f>
        <v>施华洛世奇星球大战 - 死星饰品透明均码</v>
      </c>
      <c r="E1804" s="1" t="str">
        <f>IFERROR(__xludf.DUMMYFUNCTION("CONCATENATE(GOOGLETRANSLATE(C1804, ""en"", ""ko""))"),"SWAROVSKI 스타워즈 - 데스 스타 장식 클리어 원 사이즈")</f>
        <v>SWAROVSKI 스타워즈 - 데스 스타 장식 클리어 원 사이즈</v>
      </c>
      <c r="F1804" s="1" t="str">
        <f>IFERROR(__xludf.DUMMYFUNCTION("CONCATENATE(GOOGLETRANSLATE(C1804, ""en"", ""ja""))"),"スワロフスキー スター・ウォーズ - デス・スター オーナメント クリア フリーサイズ")</f>
        <v>スワロフスキー スター・ウォーズ - デス・スター オーナメント クリア フリーサイズ</v>
      </c>
    </row>
    <row r="1805" ht="15.75" customHeight="1">
      <c r="A1805" s="1">
        <v>4276.0</v>
      </c>
      <c r="B1805" s="1" t="s">
        <v>15</v>
      </c>
      <c r="C1805" s="1" t="s">
        <v>1775</v>
      </c>
      <c r="D1805" s="1" t="str">
        <f>IFERROR(__xludf.DUMMYFUNCTION("CONCATENATE(GOOGLETRANSLATE(C1805, ""en"", ""zh-cn""))"),"施华洛世奇 Matrix 鸡尾酒戒指，混合切割，心形，白色，镀铑饰面")</f>
        <v>施华洛世奇 Matrix 鸡尾酒戒指，混合切割，心形，白色，镀铑饰面</v>
      </c>
      <c r="E1805" s="1" t="str">
        <f>IFERROR(__xludf.DUMMYFUNCTION("CONCATENATE(GOOGLETRANSLATE(C1805, ""en"", ""ko""))"),"SWAROVSKI 매트릭스 칵테일 링, 믹스 컷, 하트, 화이트, 로듐 마감")</f>
        <v>SWAROVSKI 매트릭스 칵테일 링, 믹스 컷, 하트, 화이트, 로듐 마감</v>
      </c>
      <c r="F1805" s="1" t="str">
        <f>IFERROR(__xludf.DUMMYFUNCTION("CONCATENATE(GOOGLETRANSLATE(C1805, ""en"", ""ja""))"),"スワロフスキー マトリックス カクテル リング、ミックスカット、ハート、ホワイト、ロジウム仕上げ")</f>
        <v>スワロフスキー マトリックス カクテル リング、ミックスカット、ハート、ホワイト、ロジウム仕上げ</v>
      </c>
    </row>
    <row r="1806" ht="15.75" customHeight="1">
      <c r="A1806" s="1">
        <v>4281.0</v>
      </c>
      <c r="B1806" s="1" t="s">
        <v>15</v>
      </c>
      <c r="C1806" s="1" t="s">
        <v>1776</v>
      </c>
      <c r="D1806" s="1" t="str">
        <f>IFERROR(__xludf.DUMMYFUNCTION("CONCATENATE(GOOGLETRANSLATE(C1806, ""en"", ""zh-cn""))"),"帕加尼设计手表男士 GMT 自动上链机械模拟蓝宝石运动防水夜光腕表")</f>
        <v>帕加尼设计手表男士 GMT 自动上链机械模拟蓝宝石运动防水夜光腕表</v>
      </c>
      <c r="E1806" s="1" t="str">
        <f>IFERROR(__xludf.DUMMYFUNCTION("CONCATENATE(GOOGLETRANSLATE(C1806, ""en"", ""ko""))"),"파가니 디자인 시계 남성 GMT 자동 자동식 기계식 아날로그 사파이어 스포츠 방수 축광 손목 시계")</f>
        <v>파가니 디자인 시계 남성 GMT 자동 자동식 기계식 아날로그 사파이어 스포츠 방수 축광 손목 시계</v>
      </c>
      <c r="F1806" s="1" t="str">
        <f>IFERROR(__xludf.DUMMYFUNCTION("CONCATENATE(GOOGLETRANSLATE(C1806, ""en"", ""ja""))"),"パガーニ デザイン腕時計メンズ GMT 自動自動巻き機械式アナログ サファイア スポーツ防水夜光腕時計")</f>
        <v>パガーニ デザイン腕時計メンズ GMT 自動自動巻き機械式アナログ サファイア スポーツ防水夜光腕時計</v>
      </c>
    </row>
    <row r="1807" ht="15.75" customHeight="1">
      <c r="A1807" s="1">
        <v>4285.0</v>
      </c>
      <c r="B1807" s="1" t="s">
        <v>15</v>
      </c>
      <c r="C1807" s="1" t="s">
        <v>1777</v>
      </c>
      <c r="D1807" s="1" t="str">
        <f>IFERROR(__xludf.DUMMYFUNCTION("CONCATENATE(GOOGLETRANSLATE(C1807, ""en"", ""zh-cn""))"),"OLEVS 自动手表（无需电池）男士腕表自动上链机械手表时尚经典陀飞轮镂空手表黑蓝绿面，可调节手链（礼品工具）")</f>
        <v>OLEVS 自动手表（无需电池）男士腕表自动上链机械手表时尚经典陀飞轮镂空手表黑蓝绿面，可调节手链（礼品工具）</v>
      </c>
      <c r="E1807" s="1" t="str">
        <f>IFERROR(__xludf.DUMMYFUNCTION("CONCATENATE(GOOGLETRANSLATE(C1807, ""en"", ""ko""))"),"OLEVS 자동 시계(배터리 불필요) 남성용 손목 시계 자동식 기계식 시계 패션 클래식 뚜르비옹 스켈레톤 시계 블랙 블루 그린 페이스, 조절 가능한 팔찌(선물 도구)")</f>
        <v>OLEVS 자동 시계(배터리 불필요) 남성용 손목 시계 자동식 기계식 시계 패션 클래식 뚜르비옹 스켈레톤 시계 블랙 블루 그린 페이스, 조절 가능한 팔찌(선물 도구)</v>
      </c>
      <c r="F1807" s="1" t="str">
        <f>IFERROR(__xludf.DUMMYFUNCTION("CONCATENATE(GOOGLETRANSLATE(C1807, ""en"", ""ja""))"),"OLEVS 自動巻き時計 (電池不要) メンズ腕時計 自動巻き機械式時計 ファッション クラシック トゥールビヨン スケルトン ウォッチ ブラック ブルー グリーン フェイス、調節可能なブレスレット (ギフトツール)")</f>
        <v>OLEVS 自動巻き時計 (電池不要) メンズ腕時計 自動巻き機械式時計 ファッション クラシック トゥールビヨン スケルトン ウォッチ ブラック ブルー グリーン フェイス、調節可能なブレスレット (ギフトツール)</v>
      </c>
    </row>
    <row r="1808" ht="15.75" customHeight="1">
      <c r="A1808" s="1">
        <v>4288.0</v>
      </c>
      <c r="B1808" s="1" t="s">
        <v>15</v>
      </c>
      <c r="C1808" s="1" t="s">
        <v>1778</v>
      </c>
      <c r="D1808" s="1" t="str">
        <f>IFERROR(__xludf.DUMMYFUNCTION("CONCATENATE(GOOGLETRANSLATE(C1808, ""en"", ""zh-cn""))"),"Kendra Scott Elisa 18K 金纯银吊坠项链，高级女士珠宝")</f>
        <v>Kendra Scott Elisa 18K 金纯银吊坠项链，高级女士珠宝</v>
      </c>
      <c r="E1808" s="1" t="str">
        <f>IFERROR(__xludf.DUMMYFUNCTION("CONCATENATE(GOOGLETRANSLATE(C1808, ""en"", ""ko""))"),"18K 골드 버메일 소재의 켄드라 스콧 엘리사 펜던트 목걸이, 여성용 고급 주얼리")</f>
        <v>18K 골드 버메일 소재의 켄드라 스콧 엘리사 펜던트 목걸이, 여성용 고급 주얼리</v>
      </c>
      <c r="F1808" s="1" t="str">
        <f>IFERROR(__xludf.DUMMYFUNCTION("CONCATENATE(GOOGLETRANSLATE(C1808, ""en"", ""ja""))"),"Kendra Scott エリサ ペンダント ネックレス 18K ゴールド ヴェルメイユ、女性用ファインジュエリー")</f>
        <v>Kendra Scott エリサ ペンダント ネックレス 18K ゴールド ヴェルメイユ、女性用ファインジュエリー</v>
      </c>
    </row>
    <row r="1809" ht="15.75" customHeight="1">
      <c r="A1809" s="1">
        <v>4289.0</v>
      </c>
      <c r="B1809" s="1" t="s">
        <v>15</v>
      </c>
      <c r="C1809" s="1" t="s">
        <v>1779</v>
      </c>
      <c r="D1809" s="1" t="str">
        <f>IFERROR(__xludf.DUMMYFUNCTION("CONCATENATE(GOOGLETRANSLATE(C1809, ""en"", ""zh-cn""))"),"施华洛世奇永生花吊坠项链")</f>
        <v>施华洛世奇永生花吊坠项链</v>
      </c>
      <c r="E1809" s="1" t="str">
        <f>IFERROR(__xludf.DUMMYFUNCTION("CONCATENATE(GOOGLETRANSLATE(C1809, ""en"", ""ko""))"),"SWAROVSKI 영원한 꽃 펜던트 목걸이")</f>
        <v>SWAROVSKI 영원한 꽃 펜던트 목걸이</v>
      </c>
      <c r="F1809" s="1" t="str">
        <f>IFERROR(__xludf.DUMMYFUNCTION("CONCATENATE(GOOGLETRANSLATE(C1809, ""en"", ""ja""))"),"スワロフスキー エターナル フラワー ペンダント ネックレス")</f>
        <v>スワロフスキー エターナル フラワー ペンダント ネックレス</v>
      </c>
    </row>
    <row r="1810" ht="15.75" customHeight="1">
      <c r="A1810" s="1">
        <v>4290.0</v>
      </c>
      <c r="B1810" s="1" t="s">
        <v>15</v>
      </c>
      <c r="C1810" s="1" t="s">
        <v>1780</v>
      </c>
      <c r="D1810" s="1" t="str">
        <f>IFERROR(__xludf.DUMMYFUNCTION("CONCATENATE(GOOGLETRANSLATE(C1810, ""en"", ""zh-cn""))"),"施华洛世奇欢乐饰品圣诞老人驯鹿雕像，五彩施华洛世奇水晶，施华洛世奇欢乐饰品系列的一部分")</f>
        <v>施华洛世奇欢乐饰品圣诞老人驯鹿雕像，五彩施华洛世奇水晶，施华洛世奇欢乐饰品系列的一部分</v>
      </c>
      <c r="E1810" s="1" t="str">
        <f>IFERROR(__xludf.DUMMYFUNCTION("CONCATENATE(GOOGLETRANSLATE(C1810, ""en"", ""ko""))"),"스와로브스키 조이풀 장식품 산타의 순록 조각상, 다양한 색상의 스와로브스키 크리스털, 스와로브스키 조이풀 장식품 컬렉션의 일부")</f>
        <v>스와로브스키 조이풀 장식품 산타의 순록 조각상, 다양한 색상의 스와로브스키 크리스털, 스와로브스키 조이풀 장식품 컬렉션의 일부</v>
      </c>
      <c r="F1810" s="1" t="str">
        <f>IFERROR(__xludf.DUMMYFUNCTION("CONCATENATE(GOOGLETRANSLATE(C1810, ""en"", ""ja""))"),"スワロフスキー ジョイフル オーナメント サンタのトナカイの置物、マルチカラーのスワロフスキー クリスタル、スワロフスキー ジョイフル オーナメント コレクションの一部")</f>
        <v>スワロフスキー ジョイフル オーナメント サンタのトナカイの置物、マルチカラーのスワロフスキー クリスタル、スワロフスキー ジョイフル オーナメント コレクションの一部</v>
      </c>
    </row>
    <row r="1811" ht="15.75" customHeight="1">
      <c r="A1811" s="1">
        <v>4293.0</v>
      </c>
      <c r="B1811" s="1" t="s">
        <v>15</v>
      </c>
      <c r="C1811" s="1" t="s">
        <v>1781</v>
      </c>
      <c r="D1811" s="1" t="str">
        <f>IFERROR(__xludf.DUMMYFUNCTION("CONCATENATE(GOOGLETRANSLATE(C1811, ""en"", ""zh-cn""))"),"施华洛世奇 Curiosa 水晶鸡尾酒戒指系列，粉色水晶")</f>
        <v>施华洛世奇 Curiosa 水晶鸡尾酒戒指系列，粉色水晶</v>
      </c>
      <c r="E1811" s="1" t="str">
        <f>IFERROR(__xludf.DUMMYFUNCTION("CONCATENATE(GOOGLETRANSLATE(C1811, ""en"", ""ko""))"),"SWAROVSKI Curiosa 크리스탈 칵테일 링 컬렉션, 핑크 크리스탈")</f>
        <v>SWAROVSKI Curiosa 크리스탈 칵테일 링 컬렉션, 핑크 크리스탈</v>
      </c>
      <c r="F1811" s="1" t="str">
        <f>IFERROR(__xludf.DUMMYFUNCTION("CONCATENATE(GOOGLETRANSLATE(C1811, ""en"", ""ja""))"),"スワロフスキー キュリオサ クリスタル カクテル リング コレクション、ピンク クリスタル")</f>
        <v>スワロフスキー キュリオサ クリスタル カクテル リング コレクション、ピンク クリスタル</v>
      </c>
    </row>
    <row r="1812" ht="15.75" customHeight="1">
      <c r="A1812" s="1">
        <v>4298.0</v>
      </c>
      <c r="B1812" s="1" t="s">
        <v>15</v>
      </c>
      <c r="C1812" s="1" t="s">
        <v>1782</v>
      </c>
      <c r="D1812" s="1" t="str">
        <f>IFERROR(__xludf.DUMMYFUNCTION("CONCATENATE(GOOGLETRANSLATE(C1812, ""en"", ""zh-cn""))"),"施华洛世奇 Constella 水晶珠宝系列，玫瑰金色调")</f>
        <v>施华洛世奇 Constella 水晶珠宝系列，玫瑰金色调</v>
      </c>
      <c r="E1812" s="1" t="str">
        <f>IFERROR(__xludf.DUMMYFUNCTION("CONCATENATE(GOOGLETRANSLATE(C1812, ""en"", ""ko""))"),"SWAROVSKI Constella 크리스탈 주얼리 컬렉션, 로즈 골드 톤 마감")</f>
        <v>SWAROVSKI Constella 크리스탈 주얼리 컬렉션, 로즈 골드 톤 마감</v>
      </c>
      <c r="F1812" s="1" t="str">
        <f>IFERROR(__xludf.DUMMYFUNCTION("CONCATENATE(GOOGLETRANSLATE(C1812, ""en"", ""ja""))"),"スワロフスキー コンステラ クリスタル ジュエリー コレクション、ローズゴールドトーン仕上げ")</f>
        <v>スワロフスキー コンステラ クリスタル ジュエリー コレクション、ローズゴールドトーン仕上げ</v>
      </c>
    </row>
    <row r="1813" ht="15.75" customHeight="1">
      <c r="A1813" s="1">
        <v>4302.0</v>
      </c>
      <c r="B1813" s="1" t="s">
        <v>15</v>
      </c>
      <c r="C1813" s="1" t="s">
        <v>1783</v>
      </c>
      <c r="D1813" s="1" t="str">
        <f>IFERROR(__xludf.DUMMYFUNCTION("CONCATENATE(GOOGLETRANSLATE(C1813, ""en"", ""zh-cn""))"),"RollsTimi Pagani Design 2022 男士手表男士蓝宝石自动手表男士 NH35 100M 配件防水手链商务机械手表…")</f>
        <v>RollsTimi Pagani Design 2022 男士手表男士蓝宝石自动手表男士 NH35 100M 配件防水手链商务机械手表…</v>
      </c>
      <c r="E1813" s="1" t="str">
        <f>IFERROR(__xludf.DUMMYFUNCTION("CONCATENATE(GOOGLETRANSLATE(C1813, ""en"", ""ko""))"),"RollsTimi Pagani 디자인 2022 남성용 시계 남성용 사파이어 자동 시계 남성용 NH35 100M 액세서리 방수 팔찌 비즈니스 기계식 시계…")</f>
        <v>RollsTimi Pagani 디자인 2022 남성용 시계 남성용 사파이어 자동 시계 남성용 NH35 100M 액세서리 방수 팔찌 비즈니스 기계식 시계…</v>
      </c>
      <c r="F1813" s="1" t="str">
        <f>IFERROR(__xludf.DUMMYFUNCTION("CONCATENATE(GOOGLETRANSLATE(C1813, ""en"", ""ja""))"),"RollsTimi Pagani Design 2022 メンズ腕時計 メンズ サファイア 自動巻き時計 メンズ NH35 100M アクセサリー 防水ブレスレット ビジネス 機械式時計…")</f>
        <v>RollsTimi Pagani Design 2022 メンズ腕時計 メンズ サファイア 自動巻き時計 メンズ NH35 100M アクセサリー 防水ブレスレット ビジネス 機械式時計…</v>
      </c>
    </row>
    <row r="1814" ht="15.75" customHeight="1">
      <c r="A1814" s="1">
        <v>4303.0</v>
      </c>
      <c r="B1814" s="1" t="s">
        <v>15</v>
      </c>
      <c r="C1814" s="1" t="s">
        <v>1784</v>
      </c>
      <c r="D1814" s="1" t="str">
        <f>IFERROR(__xludf.DUMMYFUNCTION("CONCATENATE(GOOGLETRANSLATE(C1814, ""en"", ""zh-cn""))"),"Smith &amp; Wesson 男士指挥官手表，Tritium H3，20ATM，战术坚固军用手表，钛金属表壳，表圈和表带，43 毫米，不锈钢表带")</f>
        <v>Smith &amp; Wesson 男士指挥官手表，Tritium H3，20ATM，战术坚固军用手表，钛金属表壳，表圈和表带，43 毫米，不锈钢表带</v>
      </c>
      <c r="E1814" s="1" t="str">
        <f>IFERROR(__xludf.DUMMYFUNCTION("CONCATENATE(GOOGLETRANSLATE(C1814, ""en"", ""ko""))"),"스미스 앤 웨슨 남성용 커맨더 시계, 삼중수소 H3, 20ATM, 전술 터프 밀리터리 시계, 티타늄 케이스, 베젤 및 스트랩, 43mm, 스테인레스 스틸 스트랩")</f>
        <v>스미스 앤 웨슨 남성용 커맨더 시계, 삼중수소 H3, 20ATM, 전술 터프 밀리터리 시계, 티타늄 케이스, 베젤 및 스트랩, 43mm, 스테인레스 스틸 스트랩</v>
      </c>
      <c r="F1814" s="1" t="str">
        <f>IFERROR(__xludf.DUMMYFUNCTION("CONCATENATE(GOOGLETRANSLATE(C1814, ""en"", ""ja""))"),"Smith &amp; Wesson メンズ コマンダー ウォッチ、トリチウム H3、20ATM、タクティカル タフ ミリタリー ウォッチ、チタン ケース、ベゼルとストラップ、43 mm、ステンレス スチール ストラップ")</f>
        <v>Smith &amp; Wesson メンズ コマンダー ウォッチ、トリチウム H3、20ATM、タクティカル タフ ミリタリー ウォッチ、チタン ケース、ベゼルとストラップ、43 mm、ステンレス スチール ストラップ</v>
      </c>
    </row>
    <row r="1815" ht="15.75" customHeight="1">
      <c r="A1815" s="1">
        <v>4314.0</v>
      </c>
      <c r="B1815" s="1" t="s">
        <v>15</v>
      </c>
      <c r="C1815" s="1" t="s">
        <v>1785</v>
      </c>
      <c r="D1815" s="1" t="str">
        <f>IFERROR(__xludf.DUMMYFUNCTION("CONCATENATE(GOOGLETRANSLATE(C1815, ""en"", ""zh-cn""))"),"施华洛世奇可爱手链珠宝系列，透明水晶")</f>
        <v>施华洛世奇可爱手链珠宝系列，透明水晶</v>
      </c>
      <c r="E1815" s="1" t="str">
        <f>IFERROR(__xludf.DUMMYFUNCTION("CONCATENATE(GOOGLETRANSLATE(C1815, ""en"", ""ko""))"),"스와로브스키 러블리 팔찌 주얼리 컬렉션, 클리어 크리스털")</f>
        <v>스와로브스키 러블리 팔찌 주얼리 컬렉션, 클리어 크리스털</v>
      </c>
      <c r="F1815" s="1" t="str">
        <f>IFERROR(__xludf.DUMMYFUNCTION("CONCATENATE(GOOGLETRANSLATE(C1815, ""en"", ""ja""))"),"スワロフスキー ラブリー ブレスレット ジュエリー コレクション、クリア クリスタル")</f>
        <v>スワロフスキー ラブリー ブレスレット ジュエリー コレクション、クリア クリスタル</v>
      </c>
    </row>
    <row r="1816" ht="15.75" customHeight="1">
      <c r="A1816" s="1">
        <v>4318.0</v>
      </c>
      <c r="B1816" s="1" t="s">
        <v>15</v>
      </c>
      <c r="C1816" s="1" t="s">
        <v>1786</v>
      </c>
      <c r="D1816" s="1" t="str">
        <f>IFERROR(__xludf.DUMMYFUNCTION("CONCATENATE(GOOGLETRANSLATE(C1816, ""en"", ""zh-cn""))"),"Swarovski Attract 戒指珠宝系列，2 件套戒指套装，镀铑饰面，透明水晶")</f>
        <v>Swarovski Attract 戒指珠宝系列，2 件套戒指套装，镀铑饰面，透明水晶</v>
      </c>
      <c r="E1816" s="1" t="str">
        <f>IFERROR(__xludf.DUMMYFUNCTION("CONCATENATE(GOOGLETRANSLATE(C1816, ""en"", ""ko""))"),"스와로브스키 어트랙트 링 주얼리 컬렉션, 2피스 링 세트, 로듐 마감, 클리어 크리스털")</f>
        <v>스와로브스키 어트랙트 링 주얼리 컬렉션, 2피스 링 세트, 로듐 마감, 클리어 크리스털</v>
      </c>
      <c r="F1816" s="1" t="str">
        <f>IFERROR(__xludf.DUMMYFUNCTION("CONCATENATE(GOOGLETRANSLATE(C1816, ""en"", ""ja""))"),"スワロフスキー アトラクト リング ジュエリー コレクション、2 ピース リング セット、ロジウム仕上げ、クリア クリスタル")</f>
        <v>スワロフスキー アトラクト リング ジュエリー コレクション、2 ピース リング セット、ロジウム仕上げ、クリア クリスタル</v>
      </c>
    </row>
    <row r="1817" ht="15.75" customHeight="1">
      <c r="A1817" s="1">
        <v>4323.0</v>
      </c>
      <c r="B1817" s="1" t="s">
        <v>15</v>
      </c>
      <c r="C1817" s="1" t="s">
        <v>1787</v>
      </c>
      <c r="D1817" s="1" t="str">
        <f>IFERROR(__xludf.DUMMYFUNCTION("CONCATENATE(GOOGLETRANSLATE(C1817, ""en"", ""zh-cn""))"),"施华洛世奇 Constella 水晶戒指珠宝系列，2 件套，透明水晶")</f>
        <v>施华洛世奇 Constella 水晶戒指珠宝系列，2 件套，透明水晶</v>
      </c>
      <c r="E1817" s="1" t="str">
        <f>IFERROR(__xludf.DUMMYFUNCTION("CONCATENATE(GOOGLETRANSLATE(C1817, ""en"", ""ko""))"),"Swarovski Constella 크리스탈 링 주얼리 컬렉션, 2피스 세트, 클리어 크리스털")</f>
        <v>Swarovski Constella 크리스탈 링 주얼리 컬렉션, 2피스 세트, 클리어 크리스털</v>
      </c>
      <c r="F1817" s="1" t="str">
        <f>IFERROR(__xludf.DUMMYFUNCTION("CONCATENATE(GOOGLETRANSLATE(C1817, ""en"", ""ja""))"),"スワロフスキー コンステラ クリスタル リング ジュエリー コレクション、2 個セット、クリア クリスタル")</f>
        <v>スワロフスキー コンステラ クリスタル リング ジュエリー コレクション、2 個セット、クリア クリスタル</v>
      </c>
    </row>
    <row r="1818" ht="15.75" customHeight="1">
      <c r="A1818" s="1">
        <v>4333.0</v>
      </c>
      <c r="B1818" s="1" t="s">
        <v>15</v>
      </c>
      <c r="C1818" s="1" t="s">
        <v>1788</v>
      </c>
      <c r="D1818" s="1" t="str">
        <f>IFERROR(__xludf.DUMMYFUNCTION("CONCATENATE(GOOGLETRANSLATE(C1818, ""en"", ""zh-cn""))"),"施华洛世奇 Aila Day Double Tour Berry 不锈钢腕表")</f>
        <v>施华洛世奇 Aila Day Double Tour Berry 不锈钢腕表</v>
      </c>
      <c r="E1818" s="1" t="str">
        <f>IFERROR(__xludf.DUMMYFUNCTION("CONCATENATE(GOOGLETRANSLATE(C1818, ""en"", ""ko""))"),"스와로브스키 Aila Day 더블 투어 베리 스테인리스 스틸 시계")</f>
        <v>스와로브스키 Aila Day 더블 투어 베리 스테인리스 스틸 시계</v>
      </c>
      <c r="F1818" s="1" t="str">
        <f>IFERROR(__xludf.DUMMYFUNCTION("CONCATENATE(GOOGLETRANSLATE(C1818, ""en"", ""ja""))"),"スワロフスキー アイラ デイ ダブル ツアー ベリー ステンレススチール ウォッチ")</f>
        <v>スワロフスキー アイラ デイ ダブル ツアー ベリー ステンレススチール ウォッチ</v>
      </c>
    </row>
    <row r="1819" ht="15.75" customHeight="1">
      <c r="A1819" s="1">
        <v>4335.0</v>
      </c>
      <c r="B1819" s="1" t="s">
        <v>15</v>
      </c>
      <c r="C1819" s="1" t="s">
        <v>1789</v>
      </c>
      <c r="D1819" s="1" t="str">
        <f>IFERROR(__xludf.DUMMYFUNCTION("CONCATENATE(GOOGLETRANSLATE(C1819, ""en"", ""zh-cn""))"),"施华洛世奇 Ortyx 三角形切割水晶手链和耳环珠宝系列")</f>
        <v>施华洛世奇 Ortyx 三角形切割水晶手链和耳环珠宝系列</v>
      </c>
      <c r="E1819" s="1" t="str">
        <f>IFERROR(__xludf.DUMMYFUNCTION("CONCATENATE(GOOGLETRANSLATE(C1819, ""en"", ""ko""))"),"Swarovski Ortyx 트라이앵글 컷 크리스탈 팔찌 및 귀걸이 주얼리 컬렉션")</f>
        <v>Swarovski Ortyx 트라이앵글 컷 크리스탈 팔찌 및 귀걸이 주얼리 컬렉션</v>
      </c>
      <c r="F1819" s="1" t="str">
        <f>IFERROR(__xludf.DUMMYFUNCTION("CONCATENATE(GOOGLETRANSLATE(C1819, ""en"", ""ja""))"),"スワロフスキー Ortyx トライアングル カット クリスタル ブレスレットとイヤリング ジュエリー コレクション")</f>
        <v>スワロフスキー Ortyx トライアングル カット クリスタル ブレスレットとイヤリング ジュエリー コレクション</v>
      </c>
    </row>
    <row r="1820" ht="15.75" customHeight="1">
      <c r="A1820" s="1">
        <v>4343.0</v>
      </c>
      <c r="B1820" s="1" t="s">
        <v>15</v>
      </c>
      <c r="C1820" s="1" t="s">
        <v>1790</v>
      </c>
      <c r="D1820" s="1" t="str">
        <f>IFERROR(__xludf.DUMMYFUNCTION("CONCATENATE(GOOGLETRANSLATE(C1820, ""en"", ""zh-cn""))"),"TAKA 珠宝 999 足金吊坠贝壳")</f>
        <v>TAKA 珠宝 999 足金吊坠贝壳</v>
      </c>
      <c r="E1820" s="1" t="str">
        <f>IFERROR(__xludf.DUMMYFUNCTION("CONCATENATE(GOOGLETRANSLATE(C1820, ""en"", ""ko""))"),"TAKA 주얼리 999 순금 펜던트 쉘")</f>
        <v>TAKA 주얼리 999 순금 펜던트 쉘</v>
      </c>
      <c r="F1820" s="1" t="str">
        <f>IFERROR(__xludf.DUMMYFUNCTION("CONCATENATE(GOOGLETRANSLATE(C1820, ""en"", ""ja""))"),"TAKA Jewelry 999 純金 ペンダント シェル")</f>
        <v>TAKA Jewelry 999 純金 ペンダント シェル</v>
      </c>
    </row>
    <row r="1821" ht="15.75" customHeight="1">
      <c r="A1821" s="1">
        <v>4361.0</v>
      </c>
      <c r="B1821" s="1" t="s">
        <v>15</v>
      </c>
      <c r="C1821" s="1" t="s">
        <v>1791</v>
      </c>
      <c r="D1821" s="1" t="str">
        <f>IFERROR(__xludf.DUMMYFUNCTION("CONCATENATE(GOOGLETRANSLATE(C1821, ""en"", ""zh-cn""))"),"Belffin 敞篷组合沙发布艺沙发带躺椅双面转角沙发家具 L 形 4 座沙发蓝灰色")</f>
        <v>Belffin 敞篷组合沙发布艺沙发带躺椅双面转角沙发家具 L 形 4 座沙发蓝灰色</v>
      </c>
      <c r="E1821" s="1" t="str">
        <f>IFERROR(__xludf.DUMMYFUNCTION("CONCATENATE(GOOGLETRANSLATE(C1821, ""en"", ""ko""))"),"Belffin 컨버터블 단면 소파 패브릭 소파(의자 포함) 가역 코너 소파 가구 L자형 4인용 소파 청회색")</f>
        <v>Belffin 컨버터블 단면 소파 패브릭 소파(의자 포함) 가역 코너 소파 가구 L자형 4인용 소파 청회색</v>
      </c>
      <c r="F1821" s="1" t="str">
        <f>IFERROR(__xludf.DUMMYFUNCTION("CONCATENATE(GOOGLETRANSLATE(C1821, ""en"", ""ja""))"),"Belffin コンバーチブルセクショナルソファ ファブリックソファ 長椅子付き リバーシブルコーナーソファ家具 L字型 4人掛けソファ ブルーイッシュグレー")</f>
        <v>Belffin コンバーチブルセクショナルソファ ファブリックソファ 長椅子付き リバーシブルコーナーソファ家具 L字型 4人掛けソファ ブルーイッシュグレー</v>
      </c>
    </row>
    <row r="1822" ht="15.75" customHeight="1">
      <c r="A1822" s="1">
        <v>4362.0</v>
      </c>
      <c r="B1822" s="1" t="s">
        <v>15</v>
      </c>
      <c r="C1822" s="1" t="s">
        <v>1676</v>
      </c>
      <c r="D1822" s="1" t="str">
        <f>IFERROR(__xludf.DUMMYFUNCTION("CONCATENATE(GOOGLETRANSLATE(C1822, ""en"", ""zh-cn""))"),"linor 现代 U 形敞篷沙发，118 英寸组合沙发带簇绒背垫，6 座超大客厅组合沙发带脚垫（亚麻，米色）")</f>
        <v>linor 现代 U 形敞篷沙发，118 英寸组合沙发带簇绒背垫，6 座超大客厅组合沙发带脚垫（亚麻，米色）</v>
      </c>
      <c r="E1822" s="1" t="str">
        <f>IFERROR(__xludf.DUMMYFUNCTION("CONCATENATE(GOOGLETRANSLATE(C1822, ""en"", ""ko""))"),"linor 모던한 U자형 컨버터블 소파 소파, 118'' 등받이 쿠션이 있는 모듈식 단면 소파, 6인용 대형 단면 소파 소파, 거실용 오토만(리넨, 베이지)")</f>
        <v>linor 모던한 U자형 컨버터블 소파 소파, 118'' 등받이 쿠션이 있는 모듈식 단면 소파, 6인용 대형 단면 소파 소파, 거실용 오토만(리넨, 베이지)</v>
      </c>
      <c r="F1822" s="1" t="str">
        <f>IFERROR(__xludf.DUMMYFUNCTION("CONCATENATE(GOOGLETRANSLATE(C1822, ""en"", ""ja""))"),"リノール モダンなU字型コンバーチブルソファカウチ、118インチモジュラーセクショナルソファ、房状背もたれクッション付き、6人掛け特大セクショナルソファカウチ、オットマン付き、リビングルーム用 (リネン、ベージュ)")</f>
        <v>リノール モダンなU字型コンバーチブルソファカウチ、118インチモジュラーセクショナルソファ、房状背もたれクッション付き、6人掛け特大セクショナルソファカウチ、オットマン付き、リビングルーム用 (リネン、ベージュ)</v>
      </c>
    </row>
    <row r="1823" ht="15.75" customHeight="1">
      <c r="A1823" s="1">
        <v>4373.0</v>
      </c>
      <c r="B1823" s="1" t="s">
        <v>15</v>
      </c>
      <c r="C1823" s="1" t="s">
        <v>1792</v>
      </c>
      <c r="D1823" s="1" t="str">
        <f>IFERROR(__xludf.DUMMYFUNCTION("CONCATENATE(GOOGLETRANSLATE(C1823, ""en"", ""zh-cn""))"),"Dolonm 现代沙发沙发带金属腿软垫簇绒 3 座沙发带 2 个枕头装饰家具适用于客厅、卧室、办公室，80 英寸宽（绿色泰迪熊）")</f>
        <v>Dolonm 现代沙发沙发带金属腿软垫簇绒 3 座沙发带 2 个枕头装饰家具适用于客厅、卧室、办公室，80 英寸宽（绿色泰迪熊）</v>
      </c>
      <c r="E1823" s="1" t="str">
        <f>IFERROR(__xludf.DUMMYFUNCTION("CONCATENATE(GOOGLETRANSLATE(C1823, ""en"", ""ko""))"),"Dolonm 금속 다리가 있는 모던한 소파 소파 덮개를 씌운 3인용 소파, 베개 2개 포함 거실, 침실, 사무실, 80인치 너비(녹색-테디) 장식 가구")</f>
        <v>Dolonm 금속 다리가 있는 모던한 소파 소파 덮개를 씌운 3인용 소파, 베개 2개 포함 거실, 침실, 사무실, 80인치 너비(녹색-테디) 장식 가구</v>
      </c>
      <c r="F1823" s="1" t="str">
        <f>IFERROR(__xludf.DUMMYFUNCTION("CONCATENATE(GOOGLETRANSLATE(C1823, ""en"", ""ja""))"),"Dolonm モダン ソファ カウチ 金属脚付き 布張り 房状 3人掛け カウチ 枕2個付き 装飾家具 リビングルーム、寝室、オフィス用 幅80インチ (グリーンテディ)")</f>
        <v>Dolonm モダン ソファ カウチ 金属脚付き 布張り 房状 3人掛け カウチ 枕2個付き 装飾家具 リビングルーム、寝室、オフィス用 幅80インチ (グリーンテディ)</v>
      </c>
    </row>
    <row r="1824" ht="15.75" customHeight="1">
      <c r="A1824" s="1">
        <v>4380.0</v>
      </c>
      <c r="B1824" s="1" t="s">
        <v>15</v>
      </c>
      <c r="C1824" s="1" t="s">
        <v>1793</v>
      </c>
      <c r="D1824" s="1" t="str">
        <f>IFERROR(__xludf.DUMMYFUNCTION("CONCATENATE(GOOGLETRANSLATE(C1824, ""en"", ""zh-cn""))"),"HONBAY 双面组合沙发沙发现代软垫 L 形沙发带杯架和储物柜，左侧或右侧客厅办公室贵妃组合沙发，灰色")</f>
        <v>HONBAY 双面组合沙发沙发现代软垫 L 形沙发带杯架和储物柜，左侧或右侧客厅办公室贵妃组合沙发，灰色</v>
      </c>
      <c r="E1824" s="1" t="str">
        <f>IFERROR(__xludf.DUMMYFUNCTION("CONCATENATE(GOOGLETRANSLATE(C1824, ""en"", ""ko""))"),"HONBAY 양면 단면 소파 소파 컵 홀더 및 보관 콘솔이 있는 현대적인 덮개를 씌운 L자형 소파, 거실 사무실용 왼쪽 또는 오른쪽 긴 의자 단면 소파, 회색")</f>
        <v>HONBAY 양면 단면 소파 소파 컵 홀더 및 보관 콘솔이 있는 현대적인 덮개를 씌운 L자형 소파, 거실 사무실용 왼쪽 또는 오른쪽 긴 의자 단면 소파, 회색</v>
      </c>
      <c r="F1824" s="1" t="str">
        <f>IFERROR(__xludf.DUMMYFUNCTION("CONCATENATE(GOOGLETRANSLATE(C1824, ""en"", ""ja""))"),"HONBAY リバーシブル セクショナルソファ カウチ モダンな布張り L 字型ソファ カップホルダー &amp; 収納コンソール付き 左側または右側の長椅子 セクショナルソファ リビングルーム オフィス用 グレー")</f>
        <v>HONBAY リバーシブル セクショナルソファ カウチ モダンな布張り L 字型ソファ カップホルダー &amp; 収納コンソール付き 左側または右側の長椅子 セクショナルソファ リビングルーム オフィス用 グレー</v>
      </c>
    </row>
    <row r="1825" ht="15.75" customHeight="1">
      <c r="A1825" s="1">
        <v>4381.0</v>
      </c>
      <c r="B1825" s="1" t="s">
        <v>15</v>
      </c>
      <c r="C1825" s="1" t="s">
        <v>1794</v>
      </c>
      <c r="D1825" s="1" t="str">
        <f>IFERROR(__xludf.DUMMYFUNCTION("CONCATENATE(GOOGLETRANSLATE(C1825, ""en"", ""zh-cn""))"),"HONBAY 敞篷组合沙发，带奥斯曼现代 L 形组合沙发，仿皮沙发，带双面躺椅，黑色")</f>
        <v>HONBAY 敞篷组合沙发，带奥斯曼现代 L 形组合沙发，仿皮沙发，带双面躺椅，黑色</v>
      </c>
      <c r="E1825" s="1" t="str">
        <f>IFERROR(__xludf.DUMMYFUNCTION("CONCATENATE(GOOGLETRANSLATE(C1825, ""en"", ""ko""))"),"HONBAY 컨버터블 단면 소파, 오스만 모던 L 모양 단면 소파 인조 가죽 소파, 양면 의자, 블랙")</f>
        <v>HONBAY 컨버터블 단면 소파, 오스만 모던 L 모양 단면 소파 인조 가죽 소파, 양면 의자, 블랙</v>
      </c>
      <c r="F1825" s="1" t="str">
        <f>IFERROR(__xludf.DUMMYFUNCTION("CONCATENATE(GOOGLETRANSLATE(C1825, ""en"", ""ja""))"),"HONBAY コンバーチブル セクショナル ソファ オットマン付き モダン L 字型 セクショナル カウチ フェイクレザー カウチ リバーシブル 長椅子付き ブラック")</f>
        <v>HONBAY コンバーチブル セクショナル ソファ オットマン付き モダン L 字型 セクショナル カウチ フェイクレザー カウチ リバーシブル 長椅子付き ブラック</v>
      </c>
    </row>
    <row r="1826" ht="15.75" customHeight="1">
      <c r="A1826" s="1">
        <v>4384.0</v>
      </c>
      <c r="B1826" s="1" t="s">
        <v>15</v>
      </c>
      <c r="C1826" s="1" t="s">
        <v>1795</v>
      </c>
      <c r="D1826" s="1" t="str">
        <f>IFERROR(__xludf.DUMMYFUNCTION("CONCATENATE(GOOGLETRANSLATE(C1826, ""en"", ""zh-cn""))"),"Edenbrook Archer 软垫沙发 – 客厅沙发 - 木炭软垫沙发 - 客厅家具 - 小沙发 - 三个座位 - 直臂现代沙发")</f>
        <v>Edenbrook Archer 软垫沙发 – 客厅沙发 - 木炭软垫沙发 - 客厅家具 - 小沙发 - 三个座位 - 直臂现代沙发</v>
      </c>
      <c r="E1826" s="1" t="str">
        <f>IFERROR(__xludf.DUMMYFUNCTION("CONCATENATE(GOOGLETRANSLATE(C1826, ""en"", ""ko""))"),"Edenbrook Archer 덮개를 씌운 소파 – 거실용 소파 - 차콜 덮개를 씌운 소파 - 거실 가구 - 작은 소파 - 3인용 - 스트레이트 암 모던 소파")</f>
        <v>Edenbrook Archer 덮개를 씌운 소파 – 거실용 소파 - 차콜 덮개를 씌운 소파 - 거실 가구 - 작은 소파 - 3인용 - 스트레이트 암 모던 소파</v>
      </c>
      <c r="F1826" s="1" t="str">
        <f>IFERROR(__xludf.DUMMYFUNCTION("CONCATENATE(GOOGLETRANSLATE(C1826, ""en"", ""ja""))"),"エデンブルック アーチャー 布張りカウチ – リビングルーム用カウチ – チャコール布張りカウチ – リビングルーム用家具 – 小さなカウチ – 3人掛け – ストレートアームモダンカウチ")</f>
        <v>エデンブルック アーチャー 布張りカウチ – リビングルーム用カウチ – チャコール布張りカウチ – リビングルーム用家具 – 小さなカウチ – 3人掛け – ストレートアームモダンカウチ</v>
      </c>
    </row>
    <row r="1827" ht="15.75" customHeight="1">
      <c r="A1827" s="1">
        <v>4400.0</v>
      </c>
      <c r="B1827" s="1" t="s">
        <v>15</v>
      </c>
      <c r="C1827" s="1" t="s">
        <v>1796</v>
      </c>
      <c r="D1827" s="1" t="str">
        <f>IFERROR(__xludf.DUMMYFUNCTION("CONCATENATE(GOOGLETRANSLATE(C1827, ""en"", ""zh-cn""))"),"SILKIR 3 人沙发 客厅沙发 |适合：公寓/工作室/办公室和小空间 |天鹅绒面料|快速轻松组装现代当代中世纪，水绿松石色")</f>
        <v>SILKIR 3 人沙发 客厅沙发 |适合：公寓/工作室/办公室和小空间 |天鹅绒面料|快速轻松组装现代当代中世纪，水绿松石色</v>
      </c>
      <c r="E1827" s="1" t="str">
        <f>IFERROR(__xludf.DUMMYFUNCTION("CONCATENATE(GOOGLETRANSLATE(C1827, ""en"", ""ko""))"),"거실용 SILKIR 3인용 소파 소파 | 완벽한 용도: 아파트/스튜디오/사무실 및 소규모 공간 | 벨벳 원단 | 빠르고 쉬운 조립 현대 현대 중반, 청록색")</f>
        <v>거실용 SILKIR 3인용 소파 소파 | 완벽한 용도: 아파트/스튜디오/사무실 및 소규모 공간 | 벨벳 원단 | 빠르고 쉬운 조립 현대 현대 중반, 청록색</v>
      </c>
      <c r="F1827" s="1" t="str">
        <f>IFERROR(__xludf.DUMMYFUNCTION("CONCATENATE(GOOGLETRANSLATE(C1827, ""en"", ""ja""))"),"SILKIR 3人掛けソファ リビングルーム用 |最適な用途: アパート/スタジオ/オフィスおよび狭いスペース |ベルベット生地 |早くて簡単な組み立てモダンコンテンポラリーミッドセンチュリー、アクアターコイズ")</f>
        <v>SILKIR 3人掛けソファ リビングルーム用 |最適な用途: アパート/スタジオ/オフィスおよび狭いスペース |ベルベット生地 |早くて簡単な組み立てモダンコンテンポラリーミッドセンチュリー、アクアターコイズ</v>
      </c>
    </row>
    <row r="1828" ht="15.75" customHeight="1">
      <c r="A1828" s="1">
        <v>4405.0</v>
      </c>
      <c r="B1828" s="1" t="s">
        <v>15</v>
      </c>
      <c r="C1828" s="1" t="s">
        <v>1681</v>
      </c>
      <c r="D1828" s="1" t="str">
        <f>IFERROR(__xludf.DUMMYFUNCTION("CONCATENATE(GOOGLETRANSLATE(C1828, ""en"", ""zh-cn""))"),"PaPaJet 沙发床 A，2 合 1 沙发床，带储物躺椅 - 客厅拉出沙发床，沙发床，带拉出床灰色")</f>
        <v>PaPaJet 沙发床 A，2 合 1 沙发床，带储物躺椅 - 客厅拉出沙发床，沙发床，带拉出床灰色</v>
      </c>
      <c r="E1828" s="1" t="str">
        <f>IFERROR(__xludf.DUMMYFUNCTION("CONCATENATE(GOOGLETRANSLATE(C1828, ""en"", ""ko""))"),"PaPaJet 슬리퍼 소파 소파 A, 수납형 소파 베드 1개(거실용 긴 의자-풀아웃 소파 베드 포함), 풀아웃 침대가 있는 슬리퍼 소파(그레이)")</f>
        <v>PaPaJet 슬리퍼 소파 소파 A, 수납형 소파 베드 1개(거실용 긴 의자-풀아웃 소파 베드 포함), 풀아웃 침대가 있는 슬리퍼 소파(그레이)</v>
      </c>
      <c r="F1828" s="1" t="str">
        <f>IFERROR(__xludf.DUMMYFUNCTION("CONCATENATE(GOOGLETRANSLATE(C1828, ""en"", ""ja""))"),"PaPaJet スリーパーソファ カウチ A、収納付き 2 in 1 ソファベッド 長椅子引き出し式カウチベッド リビングルーム用、引き出し式ベッド付きスリーパーカウチ グレー")</f>
        <v>PaPaJet スリーパーソファ カウチ A、収納付き 2 in 1 ソファベッド 長椅子引き出し式カウチベッド リビングルーム用、引き出し式ベッド付きスリーパーカウチ グレー</v>
      </c>
    </row>
    <row r="1829" ht="15.75" customHeight="1">
      <c r="A1829" s="1">
        <v>4408.0</v>
      </c>
      <c r="B1829" s="1" t="s">
        <v>15</v>
      </c>
      <c r="C1829" s="1" t="s">
        <v>1797</v>
      </c>
      <c r="D1829" s="1" t="str">
        <f>IFERROR(__xludf.DUMMYFUNCTION("CONCATENATE(GOOGLETRANSLATE(C1829, ""en"", ""zh-cn""))"),"NOSGA 大沙发，现代 3 座沙发家具，三座沙发经典簇绒切斯特菲尔德长沙发客厅簇绒靠背")</f>
        <v>NOSGA 大沙发，现代 3 座沙发家具，三座沙发经典簇绒切斯特菲尔德长沙发客厅簇绒靠背</v>
      </c>
      <c r="E1829" s="1" t="str">
        <f>IFERROR(__xludf.DUMMYFUNCTION("CONCATENATE(GOOGLETRANSLATE(C1829, ""en"", ""ko""))"),"NOSGA 대형 소파, 모던한 3인용 소파 가구, 3인용 소파 클래식 터프티드 체스터필드 긴 의자 소파, 거실용 뒤로 터프트 처리됨")</f>
        <v>NOSGA 대형 소파, 모던한 3인용 소파 가구, 3인용 소파 클래식 터프티드 체스터필드 긴 의자 소파, 거실용 뒤로 터프트 처리됨</v>
      </c>
      <c r="F1829" s="1" t="str">
        <f>IFERROR(__xludf.DUMMYFUNCTION("CONCATENATE(GOOGLETRANSLATE(C1829, ""en"", ""ja""))"),"NOSGA 大型ソファ、モダンな 3 人掛けソファ家具、3 人掛けソファ クラシック タフト チェスターフィールド 長椅子 ソファ タフト バック リビングルーム用")</f>
        <v>NOSGA 大型ソファ、モダンな 3 人掛けソファ家具、3 人掛けソファ クラシック タフト チェスターフィールド 長椅子 ソファ タフト バック リビングルーム用</v>
      </c>
    </row>
    <row r="1830" ht="15.75" customHeight="1">
      <c r="A1830" s="1">
        <v>4416.0</v>
      </c>
      <c r="B1830" s="1" t="s">
        <v>15</v>
      </c>
      <c r="C1830" s="1" t="s">
        <v>1798</v>
      </c>
      <c r="D1830" s="1" t="str">
        <f>IFERROR(__xludf.DUMMYFUNCTION("CONCATENATE(GOOGLETRANSLATE(C1830, ""en"", ""zh-cn""))"),"Devion Furniture 现代双面组合卧铺组合沙发，带储物躺椅，深灰色面料")</f>
        <v>Devion Furniture 现代双面组合卧铺组合沙发，带储物躺椅，深灰色面料</v>
      </c>
      <c r="E1830" s="1" t="str">
        <f>IFERROR(__xludf.DUMMYFUNCTION("CONCATENATE(GOOGLETRANSLATE(C1830, ""en"", ""ko""))"),"Devion Furniture 다크 그레이 패브릭 소재의 수납용 의자가 있는 현대식 양면 슬리퍼 단면 소파")</f>
        <v>Devion Furniture 다크 그레이 패브릭 소재의 수납용 의자가 있는 현대식 양면 슬리퍼 단면 소파</v>
      </c>
      <c r="F1830" s="1" t="str">
        <f>IFERROR(__xludf.DUMMYFUNCTION("CONCATENATE(GOOGLETRANSLATE(C1830, ""en"", ""ja""))"),"Devion Furniture コンテンポラリー リバーシブル セクショナル スリーパー セクショナル ソファ 収納長椅子付き ダークグレー ファブリック")</f>
        <v>Devion Furniture コンテンポラリー リバーシブル セクショナル スリーパー セクショナル ソファ 収納長椅子付き ダークグレー ファブリック</v>
      </c>
    </row>
    <row r="1831" ht="15.75" customHeight="1">
      <c r="A1831" s="1">
        <v>4424.0</v>
      </c>
      <c r="B1831" s="1" t="s">
        <v>15</v>
      </c>
      <c r="C1831" s="1" t="s">
        <v>1799</v>
      </c>
      <c r="D1831" s="1" t="str">
        <f>IFERROR(__xludf.DUMMYFUNCTION("CONCATENATE(GOOGLETRANSLATE(C1831, ""en"", ""zh-cn""))"),"Lilola Home Lucca 浅灰色亚麻双面沙发组合沙发带储物躺椅")</f>
        <v>Lilola Home Lucca 浅灰色亚麻双面沙发组合沙发带储物躺椅</v>
      </c>
      <c r="E1831" s="1" t="str">
        <f>IFERROR(__xludf.DUMMYFUNCTION("CONCATENATE(GOOGLETRANSLATE(C1831, ""en"", ""ko""))"),"Lilola 홈 루카 라이트 그레이 리넨 양면 슬리퍼 단면 소파(수납용 의자 포함)")</f>
        <v>Lilola 홈 루카 라이트 그레이 리넨 양면 슬리퍼 단면 소파(수납용 의자 포함)</v>
      </c>
      <c r="F1831" s="1" t="str">
        <f>IFERROR(__xludf.DUMMYFUNCTION("CONCATENATE(GOOGLETRANSLATE(C1831, ""en"", ""ja""))"),"リロラ ホーム ルッカ ライトグレー リネン リバーシブル スリーパー セクショナル ソファ 収納長椅子付き")</f>
        <v>リロラ ホーム ルッカ ライトグレー リネン リバーシブル スリーパー セクショナル ソファ 収納長椅子付き</v>
      </c>
    </row>
    <row r="1832" ht="15.75" customHeight="1">
      <c r="A1832" s="1">
        <v>4432.0</v>
      </c>
      <c r="B1832" s="1" t="s">
        <v>15</v>
      </c>
      <c r="C1832" s="1" t="s">
        <v>1800</v>
      </c>
      <c r="D1832" s="1" t="str">
        <f>IFERROR(__xludf.DUMMYFUNCTION("CONCATENATE(GOOGLETRANSLATE(C1832, ""en"", ""zh-cn""))"),"Acme Vendome 沙发，带 3 个樱桃色 PU 枕头")</f>
        <v>Acme Vendome 沙发，带 3 个樱桃色 PU 枕头</v>
      </c>
      <c r="E1832" s="1" t="str">
        <f>IFERROR(__xludf.DUMMYFUNCTION("CONCATENATE(GOOGLETRANSLATE(C1832, ""en"", ""ko""))"),"체리 PU 소재의 베개 3개를 갖춘 Acme Vendome 소파")</f>
        <v>체리 PU 소재의 베개 3개를 갖춘 Acme Vendome 소파</v>
      </c>
      <c r="F1832" s="1" t="str">
        <f>IFERROR(__xludf.DUMMYFUNCTION("CONCATENATE(GOOGLETRANSLATE(C1832, ""en"", ""ja""))"),"Acme Vendome ソファ 枕 3 個付き チェリー PU")</f>
        <v>Acme Vendome ソファ 枕 3 個付き チェリー PU</v>
      </c>
    </row>
    <row r="1833" ht="15.75" customHeight="1">
      <c r="A1833" s="1">
        <v>4447.0</v>
      </c>
      <c r="B1833" s="1" t="s">
        <v>15</v>
      </c>
      <c r="C1833" s="1" t="s">
        <v>1801</v>
      </c>
      <c r="D1833" s="1" t="str">
        <f>IFERROR(__xludf.DUMMYFUNCTION("CONCATENATE(GOOGLETRANSLATE(C1833, ""en"", ""zh-cn""))"),"鱼雷巴")</f>
        <v>鱼雷巴</v>
      </c>
      <c r="E1833" s="1" t="str">
        <f>IFERROR(__xludf.DUMMYFUNCTION("CONCATENATE(GOOGLETRANSLATE(C1833, ""en"", ""ko""))"),"어뢰 바")</f>
        <v>어뢰 바</v>
      </c>
      <c r="F1833" s="1" t="str">
        <f>IFERROR(__xludf.DUMMYFUNCTION("CONCATENATE(GOOGLETRANSLATE(C1833, ""en"", ""ja""))"),"魚雷バ")</f>
        <v>魚雷バ</v>
      </c>
    </row>
    <row r="1834" ht="15.75" customHeight="1">
      <c r="A1834" s="1">
        <v>4449.0</v>
      </c>
      <c r="B1834" s="1" t="s">
        <v>15</v>
      </c>
      <c r="C1834" s="1" t="s">
        <v>1802</v>
      </c>
      <c r="D1834" s="1" t="str">
        <f>IFERROR(__xludf.DUMMYFUNCTION("CONCATENATE(GOOGLETRANSLATE(C1834, ""en"", ""zh-cn""))"),"Sublimage 精华再生面膜 50g/1.7oz")</f>
        <v>Sublimage 精华再生面膜 50g/1.7oz</v>
      </c>
      <c r="E1834" s="1" t="str">
        <f>IFERROR(__xludf.DUMMYFUNCTION("CONCATENATE(GOOGLETRANSLATE(C1834, ""en"", ""ko""))"),"수블리마지 에센셜 리제너레이팅 마스크 50g/1.7oz")</f>
        <v>수블리마지 에센셜 리제너레이팅 마스크 50g/1.7oz</v>
      </c>
      <c r="F1834" s="1" t="str">
        <f>IFERROR(__xludf.DUMMYFUNCTION("CONCATENATE(GOOGLETRANSLATE(C1834, ""en"", ""ja""))"),"サブリマージュ エッセンシャル リジェネレーティング マスク 50g/1.7oz")</f>
        <v>サブリマージュ エッセンシャル リジェネレーティング マスク 50g/1.7oz</v>
      </c>
    </row>
    <row r="1835" ht="15.75" customHeight="1">
      <c r="A1835" s="1">
        <v>4460.0</v>
      </c>
      <c r="B1835" s="1" t="s">
        <v>15</v>
      </c>
      <c r="C1835" s="1" t="s">
        <v>1803</v>
      </c>
      <c r="D1835" s="1" t="str">
        <f>IFERROR(__xludf.DUMMYFUNCTION("CONCATENATE(GOOGLETRANSLATE(C1835, ""en"", ""zh-cn""))"),"CHANEL - Le Lift Crème de Nuit 50 克")</f>
        <v>CHANEL - Le Lift Crème de Nuit 50 克</v>
      </c>
      <c r="E1835" s="1" t="str">
        <f>IFERROR(__xludf.DUMMYFUNCTION("CONCATENATE(GOOGLETRANSLATE(C1835, ""en"", ""ko""))"),"샤넬 - 르 리프트 크렘 드 뉘 50gr")</f>
        <v>샤넬 - 르 리프트 크렘 드 뉘 50gr</v>
      </c>
      <c r="F1835" s="1" t="str">
        <f>IFERROR(__xludf.DUMMYFUNCTION("CONCATENATE(GOOGLETRANSLATE(C1835, ""en"", ""ja""))"),"シャネル - ル リフト クレーム ドゥ ニュイ 50 gr")</f>
        <v>シャネル - ル リフト クレーム ドゥ ニュイ 50 gr</v>
      </c>
    </row>
    <row r="1836" ht="15.75" customHeight="1">
      <c r="A1836" s="1">
        <v>4468.0</v>
      </c>
      <c r="B1836" s="1" t="s">
        <v>15</v>
      </c>
      <c r="C1836" s="1" t="s">
        <v>1804</v>
      </c>
      <c r="D1836" s="1" t="str">
        <f>IFERROR(__xludf.DUMMYFUNCTION("CONCATENATE(GOOGLETRANSLATE(C1836, ""en"", ""zh-cn""))"),"Chanel Sublimage Le Teint 终极光彩粉底霜 - # 40 米色女士粉底 1 盎司")</f>
        <v>Chanel Sublimage Le Teint 终极光彩粉底霜 - # 40 米色女士粉底 1 盎司</v>
      </c>
      <c r="E1836" s="1" t="str">
        <f>IFERROR(__xludf.DUMMYFUNCTION("CONCATENATE(GOOGLETRANSLATE(C1836, ""en"", ""ko""))"),"샤넬 수블리마지 르 떼 얼티밋 래디언스-제너레이팅 크림 파운데이션 - # 40 베이지 여성 파운데이션 1온스")</f>
        <v>샤넬 수블리마지 르 떼 얼티밋 래디언스-제너레이팅 크림 파운데이션 - # 40 베이지 여성 파운데이션 1온스</v>
      </c>
      <c r="F1836" s="1" t="str">
        <f>IFERROR(__xludf.DUMMYFUNCTION("CONCATENATE(GOOGLETRANSLATE(C1836, ""en"", ""ja""))"),"シャネル サブリマージュ ル タン アルティメット ラディアンス ジェネレイティング クリーム ファンデーション - # 40 ベージュ ウィメンズ ファンデーション 1 オンス")</f>
        <v>シャネル サブリマージュ ル タン アルティメット ラディアンス ジェネレイティング クリーム ファンデーション - # 40 ベージュ ウィメンズ ファンデーション 1 オンス</v>
      </c>
    </row>
    <row r="1837" ht="15.75" customHeight="1">
      <c r="A1837" s="1">
        <v>4473.0</v>
      </c>
      <c r="B1837" s="1" t="s">
        <v>15</v>
      </c>
      <c r="C1837" s="1" t="s">
        <v>1805</v>
      </c>
      <c r="D1837" s="1" t="str">
        <f>IFERROR(__xludf.DUMMYFUNCTION("CONCATENATE(GOOGLETRANSLATE(C1837, ""en"", ""zh-cn""))"),"sisley paris Hydra Global Serum 抗衰老补水增强剂，男女皆宜，透明，1 液量盎司")</f>
        <v>sisley paris Hydra Global Serum 抗衰老补水增强剂，男女皆宜，透明，1 液量盎司</v>
      </c>
      <c r="E1837" s="1" t="str">
        <f>IFERROR(__xludf.DUMMYFUNCTION("CONCATENATE(GOOGLETRANSLATE(C1837, ""en"", ""ko""))"),"시슬리 파리 하이드라 글로벌 세럼 안티 에이징 하이드레이션 부스터 유니섹스 세럼, 클리어, 1 Fl Oz")</f>
        <v>시슬리 파리 하이드라 글로벌 세럼 안티 에이징 하이드레이션 부스터 유니섹스 세럼, 클리어, 1 Fl Oz</v>
      </c>
      <c r="F1837" s="1" t="str">
        <f>IFERROR(__xludf.DUMMYFUNCTION("CONCATENATE(GOOGLETRANSLATE(C1837, ""en"", ""ja""))"),"sisley paris ハイドラ グローバル セラム アンチエイジング ハイドレーション ブースター ユニセックス セラム用、クリア、1 液量オンス")</f>
        <v>sisley paris ハイドラ グローバル セラム アンチエイジング ハイドレーション ブースター ユニセックス セラム用、クリア、1 液量オンス</v>
      </c>
    </row>
    <row r="1838" ht="15.75" customHeight="1">
      <c r="A1838" s="1">
        <v>4484.0</v>
      </c>
      <c r="B1838" s="1" t="s">
        <v>15</v>
      </c>
      <c r="C1838" s="1" t="s">
        <v>1806</v>
      </c>
      <c r="D1838" s="1" t="str">
        <f>IFERROR(__xludf.DUMMYFUNCTION("CONCATENATE(GOOGLETRANSLATE(C1838, ""en"", ""zh-cn""))"),"Sisley 男女通用成人黑玫瑰 FLUIDO CONTORNO DE OJOS 14ML， 无， Estándar")</f>
        <v>Sisley 男女通用成人黑玫瑰 FLUIDO CONTORNO DE OJOS 14ML， 无， Estándar</v>
      </c>
      <c r="E1838" s="1" t="str">
        <f>IFERROR(__xludf.DUMMYFUNCTION("CONCATENATE(GOOGLETRANSLATE(C1838, ""en"", ""ko""))"),"시슬리 남녀공용 성인 블랙 로즈 FLUIDO CONTORNO DE OJOS 14ML, None, Estándar")</f>
        <v>시슬리 남녀공용 성인 블랙 로즈 FLUIDO CONTORNO DE OJOS 14ML, None, Estándar</v>
      </c>
      <c r="F1838" s="1" t="str">
        <f>IFERROR(__xludf.DUMMYFUNCTION("CONCATENATE(GOOGLETRANSLATE(C1838, ""en"", ""ja""))"),"シスレー ユニセックス 大人 ブラック ローズ フルイド コントルノ デ オホス 14ML、なし、エスタンダル")</f>
        <v>シスレー ユニセックス 大人 ブラック ローズ フルイド コントルノ デ オホス 14ML、なし、エスタンダル</v>
      </c>
    </row>
    <row r="1839" ht="15.75" customHeight="1">
      <c r="A1839" s="1">
        <v>4488.0</v>
      </c>
      <c r="B1839" s="1" t="s">
        <v>15</v>
      </c>
      <c r="C1839" s="1" t="s">
        <v>1807</v>
      </c>
      <c r="D1839" s="1" t="str">
        <f>IFERROR(__xludf.DUMMYFUNCTION("CONCATENATE(GOOGLETRANSLATE(C1839, ""en"", ""zh-cn""))"),"Sisley 植物花卉爽肤乳液，不含酒精，8.4 盎司盒装")</f>
        <v>Sisley 植物花卉爽肤乳液，不含酒精，8.4 盎司盒装</v>
      </c>
      <c r="E1839" s="1" t="str">
        <f>IFERROR(__xludf.DUMMYFUNCTION("CONCATENATE(GOOGLETRANSLATE(C1839, ""en"", ""ko""))"),"시슬리 보태니컬 플로럴 토닝 로션 무알코올, 8.4온스 박스")</f>
        <v>시슬리 보태니컬 플로럴 토닝 로션 무알코올, 8.4온스 박스</v>
      </c>
      <c r="F1839" s="1" t="str">
        <f>IFERROR(__xludf.DUMMYFUNCTION("CONCATENATE(GOOGLETRANSLATE(C1839, ""en"", ""ja""))"),"シスレー ボタニカル フローラル トーニング ローション アルコールフリー、8.4 オンス ボックス")</f>
        <v>シスレー ボタニカル フローラル トーニング ローション アルコールフリー、8.4 オンス ボックス</v>
      </c>
    </row>
    <row r="1840" ht="15.75" customHeight="1">
      <c r="A1840" s="1">
        <v>4507.0</v>
      </c>
      <c r="B1840" s="1" t="s">
        <v>15</v>
      </c>
      <c r="C1840" s="1" t="s">
        <v>1808</v>
      </c>
      <c r="D1840" s="1" t="str">
        <f>IFERROR(__xludf.DUMMYFUNCTION("CONCATENATE(GOOGLETRANSLATE(C1840, ""en"", ""zh-cn""))"),"7色LED面部嫩肤仪，LED面膜，LED面部皮肤灯")</f>
        <v>7色LED面部嫩肤仪，LED面膜，LED面部皮肤灯</v>
      </c>
      <c r="E1840" s="1" t="str">
        <f>IFERROR(__xludf.DUMMYFUNCTION("CONCATENATE(GOOGLETRANSLATE(C1840, ""en"", ""ko""))"),"7 색깔 LED 얼굴 피부 회춘 장비, LED 가면, LED 얼굴 피부 빛")</f>
        <v>7 색깔 LED 얼굴 피부 회춘 장비, LED 가면, LED 얼굴 피부 빛</v>
      </c>
      <c r="F1840" s="1" t="str">
        <f>IFERROR(__xludf.DUMMYFUNCTION("CONCATENATE(GOOGLETRANSLATE(C1840, ""en"", ""ja""))"),"7色LEDフェイシャルスキン若返り装置、LEDフェイスマスク、LEDフェイススキンライト")</f>
        <v>7色LEDフェイシャルスキン若返り装置、LEDフェイスマスク、LEDフェイススキンライト</v>
      </c>
    </row>
    <row r="1841" ht="15.75" customHeight="1">
      <c r="A1841" s="1">
        <v>4515.0</v>
      </c>
      <c r="B1841" s="1" t="s">
        <v>15</v>
      </c>
      <c r="C1841" s="1" t="s">
        <v>1809</v>
      </c>
      <c r="D1841" s="1" t="str">
        <f>IFERROR(__xludf.DUMMYFUNCTION("CONCATENATE(GOOGLETRANSLATE(C1841, ""en"", ""zh-cn""))"),"Colorescience 全眼三合一抗衰老再生疗法，针对皱纹和黑眼圈")</f>
        <v>Colorescience 全眼三合一抗衰老再生疗法，针对皱纹和黑眼圈</v>
      </c>
      <c r="E1841" s="1" t="str">
        <f>IFERROR(__xludf.DUMMYFUNCTION("CONCATENATE(GOOGLETRANSLATE(C1841, ""en"", ""ko""))"),"컬러사이언스 토탈 아이 3-in-1 주름 &amp; 다크서클을 위한 안티에이징 리뉴얼 테라피")</f>
        <v>컬러사이언스 토탈 아이 3-in-1 주름 &amp; 다크서클을 위한 안티에이징 리뉴얼 테라피</v>
      </c>
      <c r="F1841" s="1" t="str">
        <f>IFERROR(__xludf.DUMMYFUNCTION("CONCATENATE(GOOGLETRANSLATE(C1841, ""en"", ""ja""))"),"Colorescience Total Eye 3-in-1 シワとクマのためのアンチエイジング再生療法")</f>
        <v>Colorescience Total Eye 3-in-1 シワとクマのためのアンチエイジング再生療法</v>
      </c>
    </row>
    <row r="1842" ht="15.75" customHeight="1">
      <c r="A1842" s="1">
        <v>4520.0</v>
      </c>
      <c r="B1842" s="1" t="s">
        <v>15</v>
      </c>
      <c r="C1842" s="1" t="s">
        <v>1810</v>
      </c>
      <c r="D1842" s="1" t="str">
        <f>IFERROR(__xludf.DUMMYFUNCTION("CONCATENATE(GOOGLETRANSLATE(C1842, ""en"", ""zh-cn""))"),"sisley paris 亮采泡沫霜 男女通用霜 4.2 盎司 76594")</f>
        <v>sisley paris 亮采泡沫霜 男女通用霜 4.2 盎司 76594</v>
      </c>
      <c r="E1842" s="1" t="str">
        <f>IFERROR(__xludf.DUMMYFUNCTION("CONCATENATE(GOOGLETRANSLATE(C1842, ""en"", ""ko""))"),"시슬리 파리 래디언스 포밍 크림 유니섹스 크림 4.2온스 76594")</f>
        <v>시슬리 파리 래디언스 포밍 크림 유니섹스 크림 4.2온스 76594</v>
      </c>
      <c r="F1842" s="1" t="str">
        <f>IFERROR(__xludf.DUMMYFUNCTION("CONCATENATE(GOOGLETRANSLATE(C1842, ""en"", ""ja""))"),"シスレー パリ ラディアンス フォーミング クリーム ユニセックス クリーム 4.2オンス 76594")</f>
        <v>シスレー パリ ラディアンス フォーミング クリーム ユニセックス クリーム 4.2オンス 76594</v>
      </c>
    </row>
    <row r="1843" ht="15.75" customHeight="1">
      <c r="A1843" s="1">
        <v>4521.0</v>
      </c>
      <c r="B1843" s="1" t="s">
        <v>15</v>
      </c>
      <c r="C1843" s="1" t="s">
        <v>1811</v>
      </c>
      <c r="D1843" s="1" t="str">
        <f>IFERROR(__xludf.DUMMYFUNCTION("CONCATENATE(GOOGLETRANSLATE(C1843, ""en"", ""zh-cn""))"),"希思黎 (Sisley) 女士淡香水。淡香精喷雾 1 盎司")</f>
        <v>希思黎 (Sisley) 女士淡香水。淡香精喷雾 1 盎司</v>
      </c>
      <c r="E1843" s="1" t="str">
        <f>IFERROR(__xludf.DUMMYFUNCTION("CONCATENATE(GOOGLETRANSLATE(C1843, ""en"", ""ko""))"),"오 뒤 수아 바이 시슬리 여성용. 오 드 퍼퓸 스프레이 1온스")</f>
        <v>오 뒤 수아 바이 시슬리 여성용. 오 드 퍼퓸 스프레이 1온스</v>
      </c>
      <c r="F1843" s="1" t="str">
        <f>IFERROR(__xludf.DUMMYFUNCTION("CONCATENATE(GOOGLETRANSLATE(C1843, ""en"", ""ja""))"),"シスレーの女性向けオー デュ ソワール。オードパルファムスプレー 1オンス")</f>
        <v>シスレーの女性向けオー デュ ソワール。オードパルファムスプレー 1オンス</v>
      </c>
    </row>
    <row r="1844" ht="15.75" customHeight="1">
      <c r="A1844" s="1">
        <v>4530.0</v>
      </c>
      <c r="B1844" s="1" t="s">
        <v>15</v>
      </c>
      <c r="C1844" s="1" t="s">
        <v>1812</v>
      </c>
      <c r="D1844" s="1" t="str">
        <f>IFERROR(__xludf.DUMMYFUNCTION("CONCATENATE(GOOGLETRANSLATE(C1844, ""en"", ""zh-cn""))"),"sisley paris 热带树脂温和洁面凝胶，4 盎司")</f>
        <v>sisley paris 热带树脂温和洁面凝胶，4 盎司</v>
      </c>
      <c r="E1844" s="1" t="str">
        <f>IFERROR(__xludf.DUMMYFUNCTION("CONCATENATE(GOOGLETRANSLATE(C1844, ""en"", ""ko""))"),"시슬리 파리 젠틀 클렌징 젤 위드 트로피칼 레진, 4온스")</f>
        <v>시슬리 파리 젠틀 클렌징 젤 위드 트로피칼 레진, 4온스</v>
      </c>
      <c r="F1844" s="1" t="str">
        <f>IFERROR(__xludf.DUMMYFUNCTION("CONCATENATE(GOOGLETRANSLATE(C1844, ""en"", ""ja""))"),"sisley paris トロピカルレジン配合のジェントル クレンジング ジェル、4オンス")</f>
        <v>sisley paris トロピカルレジン配合のジェントル クレンジング ジェル、4オンス</v>
      </c>
    </row>
    <row r="1845" ht="15.75" customHeight="1">
      <c r="A1845" s="1">
        <v>4538.0</v>
      </c>
      <c r="B1845" s="1" t="s">
        <v>15</v>
      </c>
      <c r="C1845" s="1" t="s">
        <v>1813</v>
      </c>
      <c r="D1845" s="1" t="str">
        <f>IFERROR(__xludf.DUMMYFUNCTION("CONCATENATE(GOOGLETRANSLATE(C1845, ""en"", ""zh-cn""))"),"PlayShifu 互动恐龙玩具 - Orboot Dinos (Globe + App) 50 种恐龙， 500 多个事实 | 5-7 岁儿童益智恐龙玩具 | 4 5 6 7 8 岁生日礼物（适用于平板电脑/手机）")</f>
        <v>PlayShifu 互动恐龙玩具 - Orboot Dinos (Globe + App) 50 种恐龙， 500 多个事实 | 5-7 岁儿童益智恐龙玩具 | 4 5 6 7 8 岁生日礼物（适用于平板电脑/手机）</v>
      </c>
      <c r="E1845" s="1" t="str">
        <f>IFERROR(__xludf.DUMMYFUNCTION("CONCATENATE(GOOGLETRANSLATE(C1845, ""en"", ""ko""))"),"PlayShifu 대화형 공룡 장난감 - Orboot Dinos(글로브 + 앱) 50마리의 공룡, 500개 이상의 사실 | 5~7세 어린이를 위한 교육용 공룡 장난감 | 4 5 6 7 8세 생일 선물(탭/모바일에서 작동)")</f>
        <v>PlayShifu 대화형 공룡 장난감 - Orboot Dinos(글로브 + 앱) 50마리의 공룡, 500개 이상의 사실 | 5~7세 어린이를 위한 교육용 공룡 장난감 | 4 5 6 7 8세 생일 선물(탭/모바일에서 작동)</v>
      </c>
      <c r="F1845" s="1" t="str">
        <f>IFERROR(__xludf.DUMMYFUNCTION("CONCATENATE(GOOGLETRANSLATE(C1845, ""en"", ""ja""))"),"PlayShifu インタラクティブ恐竜おもちゃ - Orboot Dinos (グローブ + アプリ) 50 匹の恐竜、500 以上の事実 |子供向け教育用恐竜おもちゃ 5-7 | 4 5 6 7 8 歳の誕生日プレゼント (タブ/モバイルで動作します)")</f>
        <v>PlayShifu インタラクティブ恐竜おもちゃ - Orboot Dinos (グローブ + アプリ) 50 匹の恐竜、500 以上の事実 |子供向け教育用恐竜おもちゃ 5-7 | 4 5 6 7 8 歳の誕生日プレゼント (タブ/モバイルで動作します)</v>
      </c>
    </row>
    <row r="1846" ht="15.75" customHeight="1">
      <c r="A1846" s="1">
        <v>4558.0</v>
      </c>
      <c r="B1846" s="1" t="s">
        <v>15</v>
      </c>
      <c r="C1846" s="1" t="s">
        <v>1814</v>
      </c>
      <c r="D1846" s="1" t="str">
        <f>IFERROR(__xludf.DUMMYFUNCTION("CONCATENATE(GOOGLETRANSLATE(C1846, ""en"", ""zh-cn""))"),"IMAGE Skincare，VITAL C 保湿酶面膜，含维生素 C 和透明质酸的亮白面膜，2 盎司")</f>
        <v>IMAGE Skincare，VITAL C 保湿酶面膜，含维生素 C 和透明质酸的亮白面膜，2 盎司</v>
      </c>
      <c r="E1846" s="1" t="str">
        <f>IFERROR(__xludf.DUMMYFUNCTION("CONCATENATE(GOOGLETRANSLATE(C1846, ""en"", ""ko""))"),"IMAGE 스킨케어, VITAL C 하이드레이팅 엔자임 마스크, 비타민 C와 히알루론산이 함유된 브라이트닝 페이셜 마스크, 2온스")</f>
        <v>IMAGE 스킨케어, VITAL C 하이드레이팅 엔자임 마스크, 비타민 C와 히알루론산이 함유된 브라이트닝 페이셜 마스크, 2온스</v>
      </c>
      <c r="F1846" s="1" t="str">
        <f>IFERROR(__xludf.DUMMYFUNCTION("CONCATENATE(GOOGLETRANSLATE(C1846, ""en"", ""ja""))"),"IMAGE スキンケア、バイタル C ハイドレーティング エンザイム マスク、ビタミン C とヒアルロン酸を配合したブライトニング フェイシャル マスク、2 オンス")</f>
        <v>IMAGE スキンケア、バイタル C ハイドレーティング エンザイム マスク、ビタミン C とヒアルロン酸を配合したブライトニング フェイシャル マスク、2 オンス</v>
      </c>
    </row>
    <row r="1847" ht="15.75" customHeight="1">
      <c r="A1847" s="1">
        <v>4565.0</v>
      </c>
      <c r="B1847" s="1" t="s">
        <v>15</v>
      </c>
      <c r="C1847" s="1" t="s">
        <v>1815</v>
      </c>
      <c r="D1847" s="1" t="str">
        <f>IFERROR(__xludf.DUMMYFUNCTION("CONCATENATE(GOOGLETRANSLATE(C1847, ""en"", ""zh-cn""))"),"阿龙灯 LED 落地灯，可调光 LED 阅读落地灯，可调节 3000K-6500K 颜色和 5 种亮度级别带可调节鹅颈的立灯，适用于客厅、卧室、办公室的落地灯")</f>
        <v>阿龙灯 LED 落地灯，可调光 LED 阅读落地灯，可调节 3000K-6500K 颜色和 5 种亮度级别带可调节鹅颈的立灯，适用于客厅、卧室、办公室的落地灯</v>
      </c>
      <c r="E1847" s="1" t="str">
        <f>IFERROR(__xludf.DUMMYFUNCTION("CONCATENATE(GOOGLETRANSLATE(C1847, ""en"", ""ko""))"),"ALongDeng LED 플로어 램프, 독서용 디밍이 가능한 LED 플로어 램프, 조정 가능한 3000K-6500K 색상 및 5가지 밝기 레벨 조절 가능한 구즈넥이 있는 스탠딩 램프, 거실용 플로어 램프, 침실, 사무실")</f>
        <v>ALongDeng LED 플로어 램프, 독서용 디밍이 가능한 LED 플로어 램프, 조정 가능한 3000K-6500K 색상 및 5가지 밝기 레벨 조절 가능한 구즈넥이 있는 스탠딩 램프, 거실용 플로어 램프, 침실, 사무실</v>
      </c>
      <c r="F1847" s="1" t="str">
        <f>IFERROR(__xludf.DUMMYFUNCTION("CONCATENATE(GOOGLETRANSLATE(C1847, ""en"", ""ja""))"),"ALongDeng LED フロアランプ、読書用調光可能な LED フロアランプ、調整可能な 3000K-6500K 色 &amp; 5 つの明るさレベル調整可能なグースネック付きスタンドランプ、リビングルーム、寝室、オフィス用のフロアランプ")</f>
        <v>ALongDeng LED フロアランプ、読書用調光可能な LED フロアランプ、調整可能な 3000K-6500K 色 &amp; 5 つの明るさレベル調整可能なグースネック付きスタンドランプ、リビングルーム、寝室、オフィス用のフロアランプ</v>
      </c>
    </row>
    <row r="1848" ht="15.75" customHeight="1">
      <c r="A1848" s="1">
        <v>4566.0</v>
      </c>
      <c r="B1848" s="1" t="s">
        <v>15</v>
      </c>
      <c r="C1848" s="1" t="s">
        <v>1816</v>
      </c>
      <c r="D1848" s="1" t="str">
        <f>IFERROR(__xludf.DUMMYFUNCTION("CONCATENATE(GOOGLETRANSLATE(C1848, ""en"", ""zh-cn""))"),"AO3 女士美容面部精华液 - 面部保湿精华液 - 抗衰老 Omega 3 护肤精华液 - 针对黑斑、皱纹和干性皮肤的植物护肤精华液")</f>
        <v>AO3 女士美容面部精华液 - 面部保湿精华液 - 抗衰老 Omega 3 护肤精华液 - 针对黑斑、皱纹和干性皮肤的植物护肤精华液</v>
      </c>
      <c r="E1848" s="1" t="str">
        <f>IFERROR(__xludf.DUMMYFUNCTION("CONCATENATE(GOOGLETRANSLATE(C1848, ""en"", ""ko""))"),"AO3 여성용 뷰티 페이스 세럼 - 페이스용 하이드레이팅 세럼 - 스킨 케어용 안티 에이징 오메가 3 페이셜 세럼 - 잡티, 주름, 건성 피부를 위한 식물성 스킨 케어 세럼")</f>
        <v>AO3 여성용 뷰티 페이스 세럼 - 페이스용 하이드레이팅 세럼 - 스킨 케어용 안티 에이징 오메가 3 페이셜 세럼 - 잡티, 주름, 건성 피부를 위한 식물성 스킨 케어 세럼</v>
      </c>
      <c r="F1848" s="1" t="str">
        <f>IFERROR(__xludf.DUMMYFUNCTION("CONCATENATE(GOOGLETRANSLATE(C1848, ""en"", ""ja""))"),"女性用AO3ビューティーフェイスセラム - 顔用保湿セラム - スキンケア用アンチエイジングオメガ3フェイシャルセラム - シミ、シワ、乾燥肌用の植物ベースのスキンケアセラム")</f>
        <v>女性用AO3ビューティーフェイスセラム - 顔用保湿セラム - スキンケア用アンチエイジングオメガ3フェイシャルセラム - シミ、シワ、乾燥肌用の植物ベースのスキンケアセラム</v>
      </c>
    </row>
    <row r="1849" ht="15.75" customHeight="1">
      <c r="A1849" s="1">
        <v>4643.0</v>
      </c>
      <c r="B1849" s="1" t="s">
        <v>15</v>
      </c>
      <c r="C1849" s="1" t="s">
        <v>1817</v>
      </c>
      <c r="D1849" s="1" t="str">
        <f>IFERROR(__xludf.DUMMYFUNCTION("CONCATENATE(GOOGLETRANSLATE(C1849, ""en"", ""zh-cn""))"),"Schwinn Fitness室内骑行健身车系列")</f>
        <v>Schwinn Fitness室内骑行健身车系列</v>
      </c>
      <c r="E1849" s="1" t="str">
        <f>IFERROR(__xludf.DUMMYFUNCTION("CONCATENATE(GOOGLETRANSLATE(C1849, ""en"", ""ko""))"),"Schwinn Fitness 실내 사이클링 운동 자전거 시리즈")</f>
        <v>Schwinn Fitness 실내 사이클링 운동 자전거 시리즈</v>
      </c>
      <c r="F1849" s="1" t="str">
        <f>IFERROR(__xludf.DUMMYFUNCTION("CONCATENATE(GOOGLETRANSLATE(C1849, ""en"", ""ja""))"),"Schwinn Fitness インドアサイクリングエアロバイクシリーズ")</f>
        <v>Schwinn Fitness インドアサイクリングエアロバイクシリーズ</v>
      </c>
    </row>
    <row r="1850" ht="15.75" customHeight="1">
      <c r="A1850" s="1">
        <v>4656.0</v>
      </c>
      <c r="B1850" s="1" t="s">
        <v>15</v>
      </c>
      <c r="C1850" s="1" t="s">
        <v>1818</v>
      </c>
      <c r="D1850" s="1" t="str">
        <f>IFERROR(__xludf.DUMMYFUNCTION("CONCATENATE(GOOGLETRANSLATE(C1850, ""en"", ""zh-cn""))"),"Alexia D371-E063 冥想座椅（布料，沙色）")</f>
        <v>Alexia D371-E063 冥想座椅（布料，沙色）</v>
      </c>
      <c r="E1850" s="1" t="str">
        <f>IFERROR(__xludf.DUMMYFUNCTION("CONCATENATE(GOOGLETRANSLATE(C1850, ""en"", ""ko""))"),"알렉시아 D371-E063 명상의자 (천, 모래)")</f>
        <v>알렉시아 D371-E063 명상의자 (천, 모래)</v>
      </c>
      <c r="F1850" s="1" t="str">
        <f>IFERROR(__xludf.DUMMYFUNCTION("CONCATENATE(GOOGLETRANSLATE(C1850, ""en"", ""ja""))"),"Alexia D371-E063 瞑想シート (ファブリック、サンド)")</f>
        <v>Alexia D371-E063 瞑想シート (ファブリック、サンド)</v>
      </c>
    </row>
    <row r="1851" ht="15.75" customHeight="1">
      <c r="A1851" s="1">
        <v>4658.0</v>
      </c>
      <c r="B1851" s="1" t="s">
        <v>15</v>
      </c>
      <c r="C1851" s="1" t="s">
        <v>1819</v>
      </c>
      <c r="D1851" s="1" t="str">
        <f>IFERROR(__xludf.DUMMYFUNCTION("CONCATENATE(GOOGLETRANSLATE(C1851, ""en"", ""zh-cn""))"),"罗林斯|专业人士首选棒球手套 |多种风格")</f>
        <v>罗林斯|专业人士首选棒球手套 |多种风格</v>
      </c>
      <c r="E1851" s="1" t="str">
        <f>IFERROR(__xludf.DUMMYFUNCTION("CONCATENATE(GOOGLETRANSLATE(C1851, ""en"", ""ko""))"),"롤링스 | 프로 선호 야구 글러브 | 다양한 스타일")</f>
        <v>롤링스 | 프로 선호 야구 글러브 | 다양한 스타일</v>
      </c>
      <c r="F1851" s="1" t="str">
        <f>IFERROR(__xludf.DUMMYFUNCTION("CONCATENATE(GOOGLETRANSLATE(C1851, ""en"", ""ja""))"),"ローリングス |プロ好みの野球グローブ |複数のスタイル")</f>
        <v>ローリングス |プロ好みの野球グローブ |複数のスタイル</v>
      </c>
    </row>
    <row r="1852" ht="15.75" customHeight="1">
      <c r="A1852" s="1">
        <v>4659.0</v>
      </c>
      <c r="B1852" s="1" t="s">
        <v>15</v>
      </c>
      <c r="C1852" s="1" t="s">
        <v>1820</v>
      </c>
      <c r="D1852" s="1" t="str">
        <f>IFERROR(__xludf.DUMMYFUNCTION("CONCATENATE(GOOGLETRANSLATE(C1852, ""en"", ""zh-cn""))"),"Giro Empire SLX 男士公路骑行鞋")</f>
        <v>Giro Empire SLX 男士公路骑行鞋</v>
      </c>
      <c r="E1852" s="1" t="str">
        <f>IFERROR(__xludf.DUMMYFUNCTION("CONCATENATE(GOOGLETRANSLATE(C1852, ""en"", ""ko""))"),"Giro Empire SLX 남성용 로드 사이클링 신발")</f>
        <v>Giro Empire SLX 남성용 로드 사이클링 신발</v>
      </c>
      <c r="F1852" s="1" t="str">
        <f>IFERROR(__xludf.DUMMYFUNCTION("CONCATENATE(GOOGLETRANSLATE(C1852, ""en"", ""ja""))"),"Giro Empire SLX メンズ ロード サイクリング シューズ")</f>
        <v>Giro Empire SLX メンズ ロード サイクリング シューズ</v>
      </c>
    </row>
    <row r="1853" ht="15.75" customHeight="1">
      <c r="A1853" s="1">
        <v>4660.0</v>
      </c>
      <c r="B1853" s="1" t="s">
        <v>15</v>
      </c>
      <c r="C1853" s="1" t="s">
        <v>1821</v>
      </c>
      <c r="D1853" s="1" t="str">
        <f>IFERROR(__xludf.DUMMYFUNCTION("CONCATENATE(GOOGLETRANSLATE(C1853, ""en"", ""zh-cn""))"),"Fizik Vento Infinito Carbon 2 骑行鞋 - 男士白色/黑色，46.0")</f>
        <v>Fizik Vento Infinito Carbon 2 骑行鞋 - 男士白色/黑色，46.0</v>
      </c>
      <c r="E1853" s="1" t="str">
        <f>IFERROR(__xludf.DUMMYFUNCTION("CONCATENATE(GOOGLETRANSLATE(C1853, ""en"", ""ko""))"),"Fizik Vento Infinito Carbon 2 사이클링 슈즈 - 남성용 화이트/블랙, 46.0")</f>
        <v>Fizik Vento Infinito Carbon 2 사이클링 슈즈 - 남성용 화이트/블랙, 46.0</v>
      </c>
      <c r="F1853" s="1" t="str">
        <f>IFERROR(__xludf.DUMMYFUNCTION("CONCATENATE(GOOGLETRANSLATE(C1853, ""en"", ""ja""))"),"Fizik Vento Infinito Carbon 2 サイクリング シューズ - メンズ ホワイト/ブラック、46.0")</f>
        <v>Fizik Vento Infinito Carbon 2 サイクリング シューズ - メンズ ホワイト/ブラック、46.0</v>
      </c>
    </row>
    <row r="1854" ht="15.75" customHeight="1">
      <c r="A1854" s="1">
        <v>4677.0</v>
      </c>
      <c r="B1854" s="1" t="s">
        <v>15</v>
      </c>
      <c r="C1854" s="1" t="s">
        <v>1822</v>
      </c>
      <c r="D1854" s="1" t="str">
        <f>IFERROR(__xludf.DUMMYFUNCTION("CONCATENATE(GOOGLETRANSLATE(C1854, ""en"", ""zh-cn""))"),"Rawlings Heart of the Hide 棒球手套系列")</f>
        <v>Rawlings Heart of the Hide 棒球手套系列</v>
      </c>
      <c r="E1854" s="1" t="str">
        <f>IFERROR(__xludf.DUMMYFUNCTION("CONCATENATE(GOOGLETRANSLATE(C1854, ""en"", ""ko""))"),"롤링스의 Hide 야구 글러브 시리즈의 심장")</f>
        <v>롤링스의 Hide 야구 글러브 시리즈의 심장</v>
      </c>
      <c r="F1854" s="1" t="str">
        <f>IFERROR(__xludf.DUMMYFUNCTION("CONCATENATE(GOOGLETRANSLATE(C1854, ""en"", ""ja""))"),"ローリングス ハート オブ ザ ハイド ベースボール グローブ シリーズ")</f>
        <v>ローリングス ハート オブ ザ ハイド ベースボール グローブ シリーズ</v>
      </c>
    </row>
    <row r="1855" ht="15.75" customHeight="1">
      <c r="A1855" s="1">
        <v>4700.0</v>
      </c>
      <c r="B1855" s="1" t="s">
        <v>15</v>
      </c>
      <c r="C1855" s="1" t="s">
        <v>1823</v>
      </c>
      <c r="D1855" s="1" t="str">
        <f>IFERROR(__xludf.DUMMYFUNCTION("CONCATENATE(GOOGLETRANSLATE(C1855, ""en"", ""zh-cn""))"),"Giro Sector 男士山地骑行鞋")</f>
        <v>Giro Sector 男士山地骑行鞋</v>
      </c>
      <c r="E1855" s="1" t="str">
        <f>IFERROR(__xludf.DUMMYFUNCTION("CONCATENATE(GOOGLETRANSLATE(C1855, ""en"", ""ko""))"),"Giro Sector 남성용 산악 사이클링 신발")</f>
        <v>Giro Sector 남성용 산악 사이클링 신발</v>
      </c>
      <c r="F1855" s="1" t="str">
        <f>IFERROR(__xludf.DUMMYFUNCTION("CONCATENATE(GOOGLETRANSLATE(C1855, ""en"", ""ja""))"),"Giro Sector メンズ マウンテン サイクリング シューズ")</f>
        <v>Giro Sector メンズ マウンテン サイクリング シューズ</v>
      </c>
    </row>
    <row r="1856" ht="15.75" customHeight="1">
      <c r="A1856" s="1">
        <v>4707.0</v>
      </c>
      <c r="B1856" s="1" t="s">
        <v>15</v>
      </c>
      <c r="C1856" s="1" t="s">
        <v>1824</v>
      </c>
      <c r="D1856" s="1" t="str">
        <f>IFERROR(__xludf.DUMMYFUNCTION("CONCATENATE(GOOGLETRANSLATE(C1856, ""en"", ""zh-cn""))"),"ALL4JIG 1500 件便携式带腿拼图桌，可调节拼图板，带 4 个抽屉和盖子，3 倾斜角度成人拼图桌")</f>
        <v>ALL4JIG 1500 件便携式带腿拼图桌，可调节拼图板，带 4 个抽屉和盖子，3 倾斜角度成人拼图桌</v>
      </c>
      <c r="E1856" s="1" t="str">
        <f>IFERROR(__xludf.DUMMYFUNCTION("CONCATENATE(GOOGLETRANSLATE(C1856, ""en"", ""ko""))"),"ALL4JIG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1856" s="1" t="str">
        <f>IFERROR(__xludf.DUMMYFUNCTION("CONCATENATE(GOOGLETRANSLATE(C1856, ""en"", ""ja""))"),"ALL4JIG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1857" ht="15.75" customHeight="1">
      <c r="A1857" s="1">
        <v>4717.0</v>
      </c>
      <c r="B1857" s="1" t="s">
        <v>15</v>
      </c>
      <c r="C1857" s="1" t="s">
        <v>1825</v>
      </c>
      <c r="D1857" s="1" t="str">
        <f>IFERROR(__xludf.DUMMYFUNCTION("CONCATENATE(GOOGLETRANSLATE(C1857, ""en"", ""zh-cn""))"),"1500 块木制拼图桌 - 6 个抽屉，拼图板 | 27” X 35” 便携式拼图板 - 便携式拼图桌 |适合成人和儿童")</f>
        <v>1500 块木制拼图桌 - 6 个抽屉，拼图板 | 27” X 35” 便携式拼图板 - 便携式拼图桌 |适合成人和儿童</v>
      </c>
      <c r="E1857" s="1" t="str">
        <f>IFERROR(__xludf.DUMMYFUNCTION("CONCATENATE(GOOGLETRANSLATE(C1857, ""en"", ""ko""))"),"1500피스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1857" s="1" t="str">
        <f>IFERROR(__xludf.DUMMYFUNCTION("CONCATENATE(GOOGLETRANSLATE(C1857, ""en"", ""ja""))"),"1500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1858" ht="15.75" customHeight="1">
      <c r="A1858" s="1">
        <v>4721.0</v>
      </c>
      <c r="B1858" s="1" t="s">
        <v>15</v>
      </c>
      <c r="C1858" s="1" t="s">
        <v>1649</v>
      </c>
      <c r="D1858" s="1" t="str">
        <f>IFERROR(__xludf.DUMMYFUNCTION("CONCATENATE(GOOGLETRANSLATE(C1858, ""en"", ""zh-cn""))"),"GAN 机器人，魔方解谜机自动解谜器和解谜器，兼容 GAN 356i2 i3 iplay iCarry Speed Cubes（不含魔方）和最新版本 APP")</f>
        <v>GAN 机器人，魔方解谜机自动解谜器和解谜器，兼容 GAN 356i2 i3 iplay iCarry Speed Cubes（不含魔方）和最新版本 APP</v>
      </c>
      <c r="E1858" s="1" t="str">
        <f>IFERROR(__xludf.DUMMYFUNCTION("CONCATENATE(GOOGLETRANSLATE(C1858, ""en"", ""ko""))"),"GAN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1858" s="1" t="str">
        <f>IFERROR(__xludf.DUMMYFUNCTION("CONCATENATE(GOOGLETRANSLATE(C1858, ""en"", ""ja""))"),"GAN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1859" ht="15.75" customHeight="1">
      <c r="A1859" s="1">
        <v>4741.0</v>
      </c>
      <c r="B1859" s="1" t="s">
        <v>15</v>
      </c>
      <c r="C1859" s="1" t="s">
        <v>1826</v>
      </c>
      <c r="D1859" s="1" t="str">
        <f>IFERROR(__xludf.DUMMYFUNCTION("CONCATENATE(GOOGLETRANSLATE(C1859, ""en"", ""zh-cn""))"),"GAN 460 M 速度魔方， 4x4 磁性魔方 Gans 460M 拼图玩具（无贴纸）")</f>
        <v>GAN 460 M 速度魔方， 4x4 磁性魔方 Gans 460M 拼图玩具（无贴纸）</v>
      </c>
      <c r="E1859" s="1" t="str">
        <f>IFERROR(__xludf.DUMMYFUNCTION("CONCATENATE(GOOGLETRANSLATE(C1859, ""en"", ""ko""))"),"GAN 460 M 스피드 큐브, 4x4 마그네틱 마스터 큐브 Gans 460M 퍼즐 장난감(스티커 없음)")</f>
        <v>GAN 460 M 스피드 큐브, 4x4 마그네틱 마스터 큐브 Gans 460M 퍼즐 장난감(스티커 없음)</v>
      </c>
      <c r="F1859" s="1" t="str">
        <f>IFERROR(__xludf.DUMMYFUNCTION("CONCATENATE(GOOGLETRANSLATE(C1859, ""en"", ""ja""))"),"GAN 460 M スピード キューブ、4x4 磁気マスター キューブ Gans 460M パズルおもちゃ (ステッカーなし)")</f>
        <v>GAN 460 M スピード キューブ、4x4 磁気マスター キューブ Gans 460M パズルおもちゃ (ステッカーなし)</v>
      </c>
    </row>
    <row r="1860" ht="15.75" customHeight="1">
      <c r="A1860" s="1">
        <v>4742.0</v>
      </c>
      <c r="B1860" s="1" t="s">
        <v>15</v>
      </c>
      <c r="C1860" s="1" t="s">
        <v>1827</v>
      </c>
      <c r="D1860" s="1" t="str">
        <f>IFERROR(__xludf.DUMMYFUNCTION("CONCATENATE(GOOGLETRANSLATE(C1860, ""en"", ""zh-cn""))"),"宁神茶丸 甘麦大枣丸 (1000 茶丸)3383E-MAYWAY by Mayway")</f>
        <v>宁神茶丸 甘麦大枣丸 (1000 茶丸)3383E-MAYWAY by Mayway</v>
      </c>
      <c r="E1860" s="1" t="str">
        <f>IFERROR(__xludf.DUMMYFUNCTION("CONCATENATE(GOOGLETRANSLATE(C1860, ""en"", ""ko""))"),"Calm Spirit Teapills Gan Mai Da Zao Wan (1000 티필)3383E-MAYWAY by Mayway")</f>
        <v>Calm Spirit Teapills Gan Mai Da Zao Wan (1000 티필)3383E-MAYWAY by Mayway</v>
      </c>
      <c r="F1860" s="1" t="str">
        <f>IFERROR(__xludf.DUMMYFUNCTION("CONCATENATE(GOOGLETRANSLATE(C1860, ""en"", ""ja""))"),"Calm Spirit Teapills Gan Mai Da Zao Wan (1000 Teapills)3383E-MAYWAY by Mayway")</f>
        <v>Calm Spirit Teapills Gan Mai Da Zao Wan (1000 Teapills)3383E-MAYWAY by Mayway</v>
      </c>
    </row>
    <row r="1861" ht="15.75" customHeight="1">
      <c r="A1861" s="1">
        <v>4755.0</v>
      </c>
      <c r="B1861" s="1" t="s">
        <v>381</v>
      </c>
      <c r="C1861" s="1" t="s">
        <v>698</v>
      </c>
      <c r="D1861" s="1" t="str">
        <f>IFERROR(__xludf.DUMMYFUNCTION("CONCATENATE(GOOGLETRANSLATE(C1861, ""en"", ""zh-cn""))"),"男式拼色刺绣前拉链灯芯绒夹克")</f>
        <v>男式拼色刺绣前拉链灯芯绒夹克</v>
      </c>
      <c r="E1861" s="1" t="str">
        <f>IFERROR(__xludf.DUMMYFUNCTION("CONCATENATE(GOOGLETRANSLATE(C1861, ""en"", ""ko""))"),"남성용 컬러 블록 패치워크 자수 지퍼 프론트 코듀로이 재킷")</f>
        <v>남성용 컬러 블록 패치워크 자수 지퍼 프론트 코듀로이 재킷</v>
      </c>
      <c r="F1861" s="1" t="str">
        <f>IFERROR(__xludf.DUMMYFUNCTION("CONCATENATE(GOOGLETRANSLATE(C1861, ""en"", ""ja""))"),"メンズ カラーブロック パッチワーク 刺繍 ジップ フロント コーデュロイ ジャケット")</f>
        <v>メンズ カラーブロック パッチワーク 刺繍 ジップ フロント コーデュロイ ジャケット</v>
      </c>
    </row>
    <row r="1862" ht="15.75" customHeight="1">
      <c r="A1862" s="1">
        <v>4758.0</v>
      </c>
      <c r="B1862" s="1" t="s">
        <v>381</v>
      </c>
      <c r="C1862" s="1" t="s">
        <v>701</v>
      </c>
      <c r="D1862" s="1" t="str">
        <f>IFERROR(__xludf.DUMMYFUNCTION("CONCATENATE(GOOGLETRANSLATE(C1862, ""en"", ""zh-cn""))"),"男士纯色立领前拉链抓绒休闲夹克")</f>
        <v>男士纯色立领前拉链抓绒休闲夹克</v>
      </c>
      <c r="E1862" s="1" t="str">
        <f>IFERROR(__xludf.DUMMYFUNCTION("CONCATENATE(GOOGLETRANSLATE(C1862, ""en"", ""ko""))"),"남성용 솔리드 스탠드 칼라 지퍼 프론트 플리스 캐주얼 재킷")</f>
        <v>남성용 솔리드 스탠드 칼라 지퍼 프론트 플리스 캐주얼 재킷</v>
      </c>
      <c r="F1862" s="1" t="str">
        <f>IFERROR(__xludf.DUMMYFUNCTION("CONCATENATE(GOOGLETRANSLATE(C1862, ""en"", ""ja""))"),"メンズソリッドスタンドカラージップフロントフリースカジュアルジャケット")</f>
        <v>メンズソリッドスタンドカラージップフロントフリースカジュアルジャケット</v>
      </c>
    </row>
    <row r="1863" ht="15.75" customHeight="1">
      <c r="A1863" s="1">
        <v>4766.0</v>
      </c>
      <c r="B1863" s="1" t="s">
        <v>15</v>
      </c>
      <c r="C1863" s="1" t="s">
        <v>1828</v>
      </c>
      <c r="D1863" s="1" t="str">
        <f>IFERROR(__xludf.DUMMYFUNCTION("CONCATENATE(GOOGLETRANSLATE(C1863, ""en"", ""zh-cn""))"),"三星 Galaxy Z Fold 3 5G 手机，工厂解锁二合一 Android 智能手机平板电脑，256GB，120Hz，可折叠双屏，屏下摄像头，美国版，幻影黑")</f>
        <v>三星 Galaxy Z Fold 3 5G 手机，工厂解锁二合一 Android 智能手机平板电脑，256GB，120Hz，可折叠双屏，屏下摄像头，美国版，幻影黑</v>
      </c>
      <c r="E1863" s="1" t="str">
        <f>IFERROR(__xludf.DUMMYFUNCTION("CONCATENATE(GOOGLETRANSLATE(C1863, ""en"", ""ko""))"),"SAMSUNG 갤럭시 Z 폴드 3 5G 휴대폰, 공장 잠금 해제 2-in-1 안드로이드 스마트폰 태블릿, 256GB, 120Hz, 폴더블 듀얼 스크린, 언더 디스플레이 카메라, 미국 버전, 팬텀 블랙")</f>
        <v>SAMSUNG 갤럭시 Z 폴드 3 5G 휴대폰, 공장 잠금 해제 2-in-1 안드로이드 스마트폰 태블릿, 256GB, 120Hz, 폴더블 듀얼 스크린, 언더 디스플레이 카메라, 미국 버전, 팬텀 블랙</v>
      </c>
      <c r="F1863" s="1" t="str">
        <f>IFERROR(__xludf.DUMMYFUNCTION("CONCATENATE(GOOGLETRANSLATE(C1863, ""en"", ""ja""))"),"SAMSUNG Galaxy Z Fold 3 5G 携帯電話、工場出荷時のロック解除済み 2-in-1 Android スマートフォン タブレット、256GB、120Hz、折りたたみ式デュアル スクリーン、ディスプレイカメラ下、US バージョン、ファントム ブラック")</f>
        <v>SAMSUNG Galaxy Z Fold 3 5G 携帯電話、工場出荷時のロック解除済み 2-in-1 Android スマートフォン タブレット、256GB、120Hz、折りたたみ式デュアル スクリーン、ディスプレイカメラ下、US バージョン、ファントム ブラック</v>
      </c>
    </row>
    <row r="1864" ht="15.75" customHeight="1">
      <c r="A1864" s="1">
        <v>4767.0</v>
      </c>
      <c r="B1864" s="1" t="s">
        <v>15</v>
      </c>
      <c r="C1864" s="1" t="s">
        <v>1829</v>
      </c>
      <c r="D1864" s="1" t="str">
        <f>IFERROR(__xludf.DUMMYFUNCTION("CONCATENATE(GOOGLETRANSLATE(C1864, ""en"", ""zh-cn""))"),"Apple iPhone 14 Pro，256GB，深紫色 - 已解锁（续订）")</f>
        <v>Apple iPhone 14 Pro，256GB，深紫色 - 已解锁（续订）</v>
      </c>
      <c r="E1864" s="1" t="str">
        <f>IFERROR(__xludf.DUMMYFUNCTION("CONCATENATE(GOOGLETRANSLATE(C1864, ""en"", ""ko""))"),"Apple iPhone 14 Pro, 256GB, 딥 퍼플 - 공기계(리뉴얼)")</f>
        <v>Apple iPhone 14 Pro, 256GB, 딥 퍼플 - 공기계(리뉴얼)</v>
      </c>
      <c r="F1864" s="1" t="str">
        <f>IFERROR(__xludf.DUMMYFUNCTION("CONCATENATE(GOOGLETRANSLATE(C1864, ""en"", ""ja""))"),"Apple iPhone 14 Pro、256GB、ディープパープル - ロック解除済み (更新済み)")</f>
        <v>Apple iPhone 14 Pro、256GB、ディープパープル - ロック解除済み (更新済み)</v>
      </c>
    </row>
    <row r="1865" ht="15.75" customHeight="1">
      <c r="A1865" s="1">
        <v>4802.0</v>
      </c>
      <c r="B1865" s="1" t="s">
        <v>15</v>
      </c>
      <c r="C1865" s="1" t="s">
        <v>1830</v>
      </c>
      <c r="D1865" s="1" t="str">
        <f>IFERROR(__xludf.DUMMYFUNCTION("CONCATENATE(GOOGLETRANSLATE(C1865, ""en"", ""zh-cn""))"),"戴尔 Latitude 3540 15.6 英寸触摸屏全高清商务笔记本电脑，第 13 代英特尔 10 核 i5-1335U (Beat i7-1270P)，64GB DDR4 RAM，4TB PCIe SSD，WiFi 6E，蓝牙，黑色，Windows 11 Pro")</f>
        <v>戴尔 Latitude 3540 15.6 英寸触摸屏全高清商务笔记本电脑，第 13 代英特尔 10 核 i5-1335U (Beat i7-1270P)，64GB DDR4 RAM，4TB PCIe SSD，WiFi 6E，蓝牙，黑色，Windows 11 Pro</v>
      </c>
      <c r="E1865" s="1" t="str">
        <f>IFERROR(__xludf.DUMMYFUNCTION("CONCATENATE(GOOGLETRANSLATE(C1865, ""en"", ""ko""))"),"Dell Latitude 3540 15.6인치 터치스크린 FHD 비즈니스 노트북 컴퓨터, 13세대 Intel 10코어 i5-1335U(Beat i7-1270P), 64GB DDR4 RAM, 4TB PCIe SSD, WiFi 6E, 블루투스, 블랙, Windows 11 Pro")</f>
        <v>Dell Latitude 3540 15.6인치 터치스크린 FHD 비즈니스 노트북 컴퓨터, 13세대 Intel 10코어 i5-1335U(Beat i7-1270P), 64GB DDR4 RAM, 4TB PCIe SSD, WiFi 6E, 블루투스, 블랙, Windows 11 Pro</v>
      </c>
      <c r="F1865" s="1" t="str">
        <f>IFERROR(__xludf.DUMMYFUNCTION("CONCATENATE(GOOGLETRANSLATE(C1865, ""en"", ""ja""))"),"Dell Latitude 3540 15.6 インチ タッチスクリーン FHD ビジネス ラップトップ コンピューター、第 13 世代インテル 10 コア i5-1335U (Beat i7-1270P)、64GB DDR4 RAM、4TB PCIe SSD、WiFi 6E、Bluetooth、ブラック、Windows 11 Pro")</f>
        <v>Dell Latitude 3540 15.6 インチ タッチスクリーン FHD ビジネス ラップトップ コンピューター、第 13 世代インテル 10 コア i5-1335U (Beat i7-1270P)、64GB DDR4 RAM、4TB PCIe SSD、WiFi 6E、Bluetooth、ブラック、Windows 11 Pro</v>
      </c>
    </row>
    <row r="1866" ht="15.75" customHeight="1">
      <c r="A1866" s="1">
        <v>4808.0</v>
      </c>
      <c r="B1866" s="1" t="s">
        <v>15</v>
      </c>
      <c r="C1866" s="1" t="s">
        <v>1831</v>
      </c>
      <c r="D1866" s="1" t="str">
        <f>IFERROR(__xludf.DUMMYFUNCTION("CONCATENATE(GOOGLETRANSLATE(C1866, ""en"", ""zh-cn""))"),"Apple 2024 MacBook Air 15 英寸笔记本电脑，配备 M3 芯片：15.3 英寸 Liquid Retina 显示屏、8GB 统一内存、256GB SSD 存储、背光键盘、1080p FaceTime 高清摄像头、Touch ID；星光")</f>
        <v>Apple 2024 MacBook Air 15 英寸笔记本电脑，配备 M3 芯片：15.3 英寸 Liquid Retina 显示屏、8GB 统一内存、256GB SSD 存储、背光键盘、1080p FaceTime 高清摄像头、Touch ID；星光</v>
      </c>
      <c r="E1866" s="1" t="str">
        <f>IFERROR(__xludf.DUMMYFUNCTION("CONCATENATE(GOOGLETRANSLATE(C1866, ""en"", ""ko""))"),"M3 칩이 탑재된 Apple 2024 MacBook Air 15인치 노트북: 15.3인치 Liquid Retina 디스플레이, 8GB 통합 메모리, 256GB SSD 스토리지, 백라이트 키보드, 1080p FaceTime HD 카메라, Touch ID; 별빛")</f>
        <v>M3 칩이 탑재된 Apple 2024 MacBook Air 15인치 노트북: 15.3인치 Liquid Retina 디스플레이, 8GB 통합 메모리, 256GB SSD 스토리지, 백라이트 키보드, 1080p FaceTime HD 카메라, Touch ID; 별빛</v>
      </c>
      <c r="F1866" s="1" t="str">
        <f>IFERROR(__xludf.DUMMYFUNCTION("CONCATENATE(GOOGLETRANSLATE(C1866, ""en"", ""ja""))"),"Apple 2024 MacBook Air 15 インチ ラップトップ (M3 チップ搭載): 15.3 インチ Liquid Retina ディスプレイ、8GB ユニファイド メモリ、256GB SSD ストレージ、バックライト付きキーボード、1080p FaceTime HD カメラ、Touch ID。スターライト")</f>
        <v>Apple 2024 MacBook Air 15 インチ ラップトップ (M3 チップ搭載): 15.3 インチ Liquid Retina ディスプレイ、8GB ユニファイド メモリ、256GB SSD ストレージ、バックライト付きキーボード、1080p FaceTime HD カメラ、Touch ID。スターライト</v>
      </c>
    </row>
    <row r="1867" ht="15.75" customHeight="1">
      <c r="A1867" s="1">
        <v>4811.0</v>
      </c>
      <c r="B1867" s="1" t="s">
        <v>15</v>
      </c>
      <c r="C1867" s="1" t="s">
        <v>1832</v>
      </c>
      <c r="D1867" s="1" t="str">
        <f>IFERROR(__xludf.DUMMYFUNCTION("CONCATENATE(GOOGLETRANSLATE(C1867, ""en"", ""zh-cn""))"),"Apple 2024 MacBook Air 13 英寸笔记本电脑，配备 M3 芯片：13.6 英寸 Liquid Retina 显示屏、8GB 统一内存、512GB SSD 存储、背光键盘、1080p FaceTime 高清摄像头、Touch ID；银")</f>
        <v>Apple 2024 MacBook Air 13 英寸笔记本电脑，配备 M3 芯片：13.6 英寸 Liquid Retina 显示屏、8GB 统一内存、512GB SSD 存储、背光键盘、1080p FaceTime 高清摄像头、Touch ID；银</v>
      </c>
      <c r="E1867" s="1" t="str">
        <f>IFERROR(__xludf.DUMMYFUNCTION("CONCATENATE(GOOGLETRANSLATE(C1867, ""en"", ""ko""))"),"M3 칩을 탑재한 Apple 2024 MacBook Air 13인치 노트북: 13.6인치 Liquid Retina 디스플레이, 8GB 통합 메모리, 512GB SSD 스토리지, 백라이트 키보드, 1080p FaceTime HD 카메라, Touch ID; 은")</f>
        <v>M3 칩을 탑재한 Apple 2024 MacBook Air 13인치 노트북: 13.6인치 Liquid Retina 디스플레이, 8GB 통합 메모리, 512GB SSD 스토리지, 백라이트 키보드, 1080p FaceTime HD 카메라, Touch ID; 은</v>
      </c>
      <c r="F1867" s="1" t="str">
        <f>IFERROR(__xludf.DUMMYFUNCTION("CONCATENATE(GOOGLETRANSLATE(C1867, ""en"", ""ja""))"),"Apple 2024 MacBook Air 13 インチ ラップトップ (M3 チップ搭載): 13.6 インチ Liquid Retina ディスプレイ、8GB ユニファイド メモリ、512GB SSD ストレージ、バックライト付きキーボード、1080p FaceTime HD カメラ、Touch ID。銀")</f>
        <v>Apple 2024 MacBook Air 13 インチ ラップトップ (M3 チップ搭載): 13.6 インチ Liquid Retina ディスプレイ、8GB ユニファイド メモリ、512GB SSD ストレージ、バックライト付きキーボード、1080p FaceTime HD カメラ、Touch ID。銀</v>
      </c>
    </row>
    <row r="1868" ht="15.75" customHeight="1">
      <c r="A1868" s="1">
        <v>4812.0</v>
      </c>
      <c r="B1868" s="1" t="s">
        <v>15</v>
      </c>
      <c r="C1868" s="1" t="s">
        <v>1833</v>
      </c>
      <c r="D1868" s="1" t="str">
        <f>IFERROR(__xludf.DUMMYFUNCTION("CONCATENATE(GOOGLETRANSLATE(C1868, ""en"", ""zh-cn""))"),"Apple 2024 MacBook Air 15 英寸笔记本电脑，配备 M3 芯片：15.3 英寸 Liquid Retina 显示屏、8GB 统一内存、256GB SSD 存储、背光键盘、1080p FaceTime 高清摄像头、Touch ID；银")</f>
        <v>Apple 2024 MacBook Air 15 英寸笔记本电脑，配备 M3 芯片：15.3 英寸 Liquid Retina 显示屏、8GB 统一内存、256GB SSD 存储、背光键盘、1080p FaceTime 高清摄像头、Touch ID；银</v>
      </c>
      <c r="E1868" s="1" t="str">
        <f>IFERROR(__xludf.DUMMYFUNCTION("CONCATENATE(GOOGLETRANSLATE(C1868, ""en"", ""ko""))"),"M3 칩이 탑재된 Apple 2024 MacBook Air 15인치 노트북: 15.3인치 Liquid Retina 디스플레이, 8GB 통합 메모리, 256GB SSD 스토리지, 백라이트 키보드, 1080p FaceTime HD 카메라, Touch ID; 은")</f>
        <v>M3 칩이 탑재된 Apple 2024 MacBook Air 15인치 노트북: 15.3인치 Liquid Retina 디스플레이, 8GB 통합 메모리, 256GB SSD 스토리지, 백라이트 키보드, 1080p FaceTime HD 카메라, Touch ID; 은</v>
      </c>
      <c r="F1868" s="1" t="str">
        <f>IFERROR(__xludf.DUMMYFUNCTION("CONCATENATE(GOOGLETRANSLATE(C1868, ""en"", ""ja""))"),"Apple 2024 MacBook Air 15 インチ ラップトップ (M3 チップ搭載): 15.3 インチ Liquid Retina ディスプレイ、8GB ユニファイド メモリ、256GB SSD ストレージ、バックライト付きキーボード、1080p FaceTime HD カメラ、Touch ID。銀")</f>
        <v>Apple 2024 MacBook Air 15 インチ ラップトップ (M3 チップ搭載): 15.3 インチ Liquid Retina ディスプレイ、8GB ユニファイド メモリ、256GB SSD ストレージ、バックライト付きキーボード、1080p FaceTime HD カメラ、Touch ID。銀</v>
      </c>
    </row>
    <row r="1869" ht="15.75" customHeight="1">
      <c r="A1869" s="1">
        <v>4825.0</v>
      </c>
      <c r="B1869" s="1" t="s">
        <v>15</v>
      </c>
      <c r="C1869" s="1" t="s">
        <v>1834</v>
      </c>
      <c r="D1869" s="1" t="str">
        <f>IFERROR(__xludf.DUMMYFUNCTION("CONCATENATE(GOOGLETRANSLATE(C1869, ""en"", ""zh-cn""))"),"Apple 2023 款 MacBook Pro 笔记本电脑 M3 芯片，配备 8 核 CPU、10 核 GPU：14.2 英寸 Liquid Retina XDR 显示屏、8GB 统一内存、1TB SSD 存储。适用于 iPhone/iPad；深空灰色")</f>
        <v>Apple 2023 款 MacBook Pro 笔记本电脑 M3 芯片，配备 8 核 CPU、10 核 GPU：14.2 英寸 Liquid Retina XDR 显示屏、8GB 统一内存、1TB SSD 存储。适用于 iPhone/iPad；深空灰色</v>
      </c>
      <c r="E1869" s="1" t="str">
        <f>IFERROR(__xludf.DUMMYFUNCTION("CONCATENATE(GOOGLETRANSLATE(C1869, ""en"", ""ko""))"),"8코어 CPU, 10코어 GPU를 탑재한 Apple 2023 MacBook Pro 노트북 M3 칩: 14.2인치 Liquid Retina XDR 디스플레이, 8GB 통합 메모리, 1TB SSD 스토리지. iPhone/iPad에서 작동합니다. 스페이스 그레이")</f>
        <v>8코어 CPU, 10코어 GPU를 탑재한 Apple 2023 MacBook Pro 노트북 M3 칩: 14.2인치 Liquid Retina XDR 디스플레이, 8GB 통합 메모리, 1TB SSD 스토리지. iPhone/iPad에서 작동합니다. 스페이스 그레이</v>
      </c>
      <c r="F1869" s="1" t="str">
        <f>IFERROR(__xludf.DUMMYFUNCTION("CONCATENATE(GOOGLETRANSLATE(C1869, ""en"", ""ja""))"),"Apple 2023 MacBook Pro ラップトップ M3 チップ、8 コア CPU、10 コア GPU: 14.2 インチ Liquid Retina XDR ディスプレイ、8 GB ユニファイド メモリ、1 TB SSD ストレージ。 iPhone/iPad で動作します。スペースグレイ")</f>
        <v>Apple 2023 MacBook Pro ラップトップ M3 チップ、8 コア CPU、10 コア GPU: 14.2 インチ Liquid Retina XDR ディスプレイ、8 GB ユニファイド メモリ、1 TB SSD ストレージ。 iPhone/iPad で動作します。スペースグレイ</v>
      </c>
    </row>
    <row r="1870" ht="15.75" customHeight="1">
      <c r="A1870" s="1">
        <v>4826.0</v>
      </c>
      <c r="B1870" s="1" t="s">
        <v>15</v>
      </c>
      <c r="C1870" s="1" t="s">
        <v>1835</v>
      </c>
      <c r="D1870" s="1" t="str">
        <f>IFERROR(__xludf.DUMMYFUNCTION("CONCATENATE(GOOGLETRANSLATE(C1870, ""en"", ""zh-cn""))"),"Apple 2023 款 MacBook Pro 笔记本电脑 M3 芯片，配备 8 核 CPU、10 核 GPU：14.2 英寸 Liquid Retina XDR 显示屏、8GB 统一内存、1TB SSD 存储。适用于 iPhone/iPad；银")</f>
        <v>Apple 2023 款 MacBook Pro 笔记本电脑 M3 芯片，配备 8 核 CPU、10 核 GPU：14.2 英寸 Liquid Retina XDR 显示屏、8GB 统一内存、1TB SSD 存储。适用于 iPhone/iPad；银</v>
      </c>
      <c r="E1870" s="1" t="str">
        <f>IFERROR(__xludf.DUMMYFUNCTION("CONCATENATE(GOOGLETRANSLATE(C1870, ""en"", ""ko""))"),"8코어 CPU, 10코어 GPU를 탑재한 Apple 2023 MacBook Pro 노트북 M3 칩: 14.2인치 Liquid Retina XDR 디스플레이, 8GB 통합 메모리, 1TB SSD 스토리지. iPhone/iPad에서 작동합니다. 은")</f>
        <v>8코어 CPU, 10코어 GPU를 탑재한 Apple 2023 MacBook Pro 노트북 M3 칩: 14.2인치 Liquid Retina XDR 디스플레이, 8GB 통합 메모리, 1TB SSD 스토리지. iPhone/iPad에서 작동합니다. 은</v>
      </c>
      <c r="F1870" s="1" t="str">
        <f>IFERROR(__xludf.DUMMYFUNCTION("CONCATENATE(GOOGLETRANSLATE(C1870, ""en"", ""ja""))"),"Apple 2023 MacBook Pro ラップトップ M3 チップ、8 コア CPU、10 コア GPU: 14.2 インチ Liquid Retina XDR ディスプレイ、8 GB ユニファイド メモリ、1 TB SSD ストレージ。 iPhone/iPad で動作します。銀")</f>
        <v>Apple 2023 MacBook Pro ラップトップ M3 チップ、8 コア CPU、10 コア GPU: 14.2 インチ Liquid Retina XDR ディスプレイ、8 GB ユニファイド メモリ、1 TB SSD ストレージ。 iPhone/iPad で動作します。銀</v>
      </c>
    </row>
    <row r="1871" ht="15.75" customHeight="1">
      <c r="A1871" s="1">
        <v>4843.0</v>
      </c>
      <c r="B1871" s="1" t="s">
        <v>15</v>
      </c>
      <c r="C1871" s="1" t="s">
        <v>1836</v>
      </c>
      <c r="D1871" s="1" t="str">
        <f>IFERROR(__xludf.DUMMYFUNCTION("CONCATENATE(GOOGLETRANSLATE(C1871, ""en"", ""zh-cn""))"),"戴尔 Precision 7000 7760 工作站笔记本电脑 (2021) | 17.3 英寸 4K | Core Xeon W - 2TB SSD + 2TB SSD - 128GB RAM - RTX A3000 | 8 核 @ 5 GHz - 第 11 代 CPU - 6GB GDDR6 Win 11 Pro（更新版）")</f>
        <v>戴尔 Precision 7000 7760 工作站笔记本电脑 (2021) | 17.3 英寸 4K | Core Xeon W - 2TB SSD + 2TB SSD - 128GB RAM - RTX A3000 | 8 核 @ 5 GHz - 第 11 代 CPU - 6GB GDDR6 Win 11 Pro（更新版）</v>
      </c>
      <c r="E1871" s="1" t="str">
        <f>IFERROR(__xludf.DUMMYFUNCTION("CONCATENATE(GOOGLETRANSLATE(C1871, ""en"", ""ko""))"),"Dell Precision 7000 7760 워크스테이션 노트북(2021) | 17.3인치 4K | Core Xeon W - 2TB SSD + 2TB SSD - 128GB RAM - RTX A3000 | 8코어 @ 5GHz - 11세대 CPU - 6GB GDDR6 Win 11 Pro(리뉴얼)")</f>
        <v>Dell Precision 7000 7760 워크스테이션 노트북(2021) | 17.3인치 4K | Core Xeon W - 2TB SSD + 2TB SSD - 128GB RAM - RTX A3000 | 8코어 @ 5GHz - 11세대 CPU - 6GB GDDR6 Win 11 Pro(리뉴얼)</v>
      </c>
      <c r="F1871" s="1" t="str">
        <f>IFERROR(__xludf.DUMMYFUNCTION("CONCATENATE(GOOGLETRANSLATE(C1871, ""en"", ""ja""))"),"Dell Precision 7000 7760 ワークステーション ラップトップ (2021) | 17.3 インチ 4K | コア Xeon W - 2TB SSD + 2TB SSD - 128GB RAM - RTX A3000 | 8 コア @ 5 GHz - 第 11 世代 CPU - 6GB GDDR6 Win 11 Pro (リニューアル)")</f>
        <v>Dell Precision 7000 7760 ワークステーション ラップトップ (2021) | 17.3 インチ 4K | コア Xeon W - 2TB SSD + 2TB SSD - 128GB RAM - RTX A3000 | 8 コア @ 5 GHz - 第 11 世代 CPU - 6GB GDDR6 Win 11 Pro (リニューアル)</v>
      </c>
    </row>
    <row r="1872" ht="15.75" customHeight="1">
      <c r="A1872" s="1">
        <v>5043.0</v>
      </c>
      <c r="B1872" s="1" t="s">
        <v>15</v>
      </c>
      <c r="C1872" s="1" t="s">
        <v>1837</v>
      </c>
      <c r="D1872" s="1" t="str">
        <f>IFERROR(__xludf.DUMMYFUNCTION("CONCATENATE(GOOGLETRANSLATE(C1872, ""en"", ""zh-cn""))"),"Luminox 男士 0215.SL Sentry 0200 黑色表盘带红色标记手表")</f>
        <v>Luminox 男士 0215.SL Sentry 0200 黑色表盘带红色标记手表</v>
      </c>
      <c r="E1872" s="1" t="str">
        <f>IFERROR(__xludf.DUMMYFUNCTION("CONCATENATE(GOOGLETRANSLATE(C1872, ""en"", ""ko""))"),"루미녹스 남성용 0215.SL Sentry 0200 블랙 다이얼 레드 마킹 시계")</f>
        <v>루미녹스 남성용 0215.SL Sentry 0200 블랙 다이얼 레드 마킹 시계</v>
      </c>
      <c r="F1872" s="1" t="str">
        <f>IFERROR(__xludf.DUMMYFUNCTION("CONCATENATE(GOOGLETRANSLATE(C1872, ""en"", ""ja""))"),"ルミノックス メンズ 0215.SL セントリー 0200 ブラック ダイヤル レッド マーキング ウォッチ")</f>
        <v>ルミノックス メンズ 0215.SL セントリー 0200 ブラック ダイヤル レッド マーキング ウォッチ</v>
      </c>
    </row>
    <row r="1873" ht="15.75" customHeight="1">
      <c r="A1873" s="1">
        <v>5045.0</v>
      </c>
      <c r="B1873" s="1" t="s">
        <v>15</v>
      </c>
      <c r="C1873" s="1" t="s">
        <v>1788</v>
      </c>
      <c r="D1873" s="1" t="str">
        <f>IFERROR(__xludf.DUMMYFUNCTION("CONCATENATE(GOOGLETRANSLATE(C1873, ""en"", ""zh-cn""))"),"施华洛世奇 Aila Day Double Tour Berry 不锈钢腕表")</f>
        <v>施华洛世奇 Aila Day Double Tour Berry 不锈钢腕表</v>
      </c>
      <c r="E1873" s="1" t="str">
        <f>IFERROR(__xludf.DUMMYFUNCTION("CONCATENATE(GOOGLETRANSLATE(C1873, ""en"", ""ko""))"),"스와로브스키 Aila Day 더블 투어 베리 스테인리스 스틸 시계")</f>
        <v>스와로브스키 Aila Day 더블 투어 베리 스테인리스 스틸 시계</v>
      </c>
      <c r="F1873" s="1" t="str">
        <f>IFERROR(__xludf.DUMMYFUNCTION("CONCATENATE(GOOGLETRANSLATE(C1873, ""en"", ""ja""))"),"スワロフスキー アイラ デイ ダブル ツアー ベリー ステンレススチール ウォッチ")</f>
        <v>スワロフスキー アイラ デイ ダブル ツアー ベリー ステンレススチール ウォッチ</v>
      </c>
    </row>
    <row r="1874" ht="15.75" customHeight="1">
      <c r="A1874" s="1">
        <v>5052.0</v>
      </c>
      <c r="B1874" s="1" t="s">
        <v>15</v>
      </c>
      <c r="C1874" s="1" t="s">
        <v>1838</v>
      </c>
      <c r="D1874" s="1" t="str">
        <f>IFERROR(__xludf.DUMMYFUNCTION("CONCATENATE(GOOGLETRANSLATE(C1874, ""en"", ""zh-cn""))"),"Ravensburger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1874" s="1" t="str">
        <f>IFERROR(__xludf.DUMMYFUNCTION("CONCATENATE(GOOGLETRANSLATE(C1874, ""en"", ""ko""))"),"Ravensburger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1874" s="1" t="str">
        <f>IFERROR(__xludf.DUMMYFUNCTION("CONCATENATE(GOOGLETRANSLATE(C1874, ""en"", ""ja""))"),"Ravensburger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1875" ht="15.75" customHeight="1">
      <c r="A1875" s="1">
        <v>5053.0</v>
      </c>
      <c r="B1875" s="1" t="s">
        <v>15</v>
      </c>
      <c r="C1875" s="1" t="s">
        <v>1839</v>
      </c>
      <c r="D1875" s="1" t="str">
        <f>IFERROR(__xludf.DUMMYFUNCTION("CONCATENATE(GOOGLETRANSLATE(C1875, ""en"", ""zh-cn""))"),"GAN 13 磁悬浮 UV 涂层，磁性速度魔方 3x3 无贴纸 56 毫米磁铁魔方拼图玩具，GAN 2022 旗舰")</f>
        <v>GAN 13 磁悬浮 UV 涂层，磁性速度魔方 3x3 无贴纸 56 毫米磁铁魔方拼图玩具，GAN 2022 旗舰</v>
      </c>
      <c r="E1875" s="1" t="str">
        <f>IFERROR(__xludf.DUMMYFUNCTION("CONCATENATE(GOOGLETRANSLATE(C1875, ""en"", ""ko""))"),"GAN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1875" s="1" t="str">
        <f>IFERROR(__xludf.DUMMYFUNCTION("CONCATENATE(GOOGLETRANSLATE(C1875, ""en"", ""ja""))"),"GAN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1876" ht="15.75" customHeight="1">
      <c r="A1876" s="1">
        <v>5058.0</v>
      </c>
      <c r="B1876" s="1" t="s">
        <v>381</v>
      </c>
      <c r="C1876" s="1" t="s">
        <v>697</v>
      </c>
      <c r="D1876" s="1" t="str">
        <f>IFERROR(__xludf.DUMMYFUNCTION("CONCATENATE(GOOGLETRANSLATE(C1876, ""en"", ""zh-cn""))"),"男式拼色前拉链抽绳连帽夹克")</f>
        <v>男式拼色前拉链抽绳连帽夹克</v>
      </c>
      <c r="E1876" s="1" t="str">
        <f>IFERROR(__xludf.DUMMYFUNCTION("CONCATENATE(GOOGLETRANSLATE(C1876, ""en"", ""ko""))"),"남성용 컬러 블록 패치워크 지퍼 앞면 드로스트링 후드 재킷")</f>
        <v>남성용 컬러 블록 패치워크 지퍼 앞면 드로스트링 후드 재킷</v>
      </c>
      <c r="F1876" s="1" t="str">
        <f>IFERROR(__xludf.DUMMYFUNCTION("CONCATENATE(GOOGLETRANSLATE(C1876, ""en"", ""ja""))"),"メンズ カラーブロック パッチワーク ジップ フロント ドローストリング フード付きジャケット")</f>
        <v>メンズ カラーブロック パッチワーク ジップ フロント ドローストリング フード付きジャケット</v>
      </c>
    </row>
    <row r="1877" ht="15.75" customHeight="1">
      <c r="A1877" s="1">
        <v>5070.0</v>
      </c>
      <c r="B1877" s="1" t="s">
        <v>15</v>
      </c>
      <c r="C1877" s="1" t="s">
        <v>1840</v>
      </c>
      <c r="D1877" s="1" t="str">
        <f>IFERROR(__xludf.DUMMYFUNCTION("CONCATENATE(GOOGLETRANSLATE(C1877, ""en"", ""zh-cn""))"),"Cuberspeed GAN 13 uv 涂层 MagLev 无贴纸 3x3 速度立方拼图 gan13 maglev uv 涂层旗舰拼图")</f>
        <v>Cuberspeed GAN 13 uv 涂层 MagLev 无贴纸 3x3 速度立方拼图 gan13 maglev uv 涂层旗舰拼图</v>
      </c>
      <c r="E1877" s="1" t="str">
        <f>IFERROR(__xludf.DUMMYFUNCTION("CONCATENATE(GOOGLETRANSLATE(C1877, ""en"", ""ko""))"),"Cuberspeed GAN 13 uv 코팅 MagLev 스티커가 없는 3x3 스피드 큐브 퍼즐 gan13 maglev uv 코팅 플래그십 퍼즐")</f>
        <v>Cuberspeed GAN 13 uv 코팅 MagLev 스티커가 없는 3x3 스피드 큐브 퍼즐 gan13 maglev uv 코팅 플래그십 퍼즐</v>
      </c>
      <c r="F1877" s="1" t="str">
        <f>IFERROR(__xludf.DUMMYFUNCTION("CONCATENATE(GOOGLETRANSLATE(C1877, ""en"", ""ja""))"),"Cuberspeed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1878" ht="15.75" customHeight="1">
      <c r="A1878" s="1">
        <v>5074.0</v>
      </c>
      <c r="B1878" s="1" t="s">
        <v>15</v>
      </c>
      <c r="C1878" s="1" t="s">
        <v>1647</v>
      </c>
      <c r="D1878" s="1" t="str">
        <f>IFERROR(__xludf.DUMMYFUNCTION("CONCATENATE(GOOGLETRANSLATE(C1878, ""en"", ""zh-cn""))"),"带盖拼图板，大型倾斜 1500 块拼图桌，ENGRTALENT 35 英寸 x 26 英寸带抽屉便携式拼图桌，带彩色拼图分类托盘、指南、毛毡板和手柄。")</f>
        <v>带盖拼图板，大型倾斜 1500 块拼图桌，ENGRTALENT 35 英寸 x 26 英寸带抽屉便携式拼图桌，带彩色拼图分类托盘、指南、毛毡板和手柄。</v>
      </c>
      <c r="E1878" s="1" t="str">
        <f>IFERROR(__xludf.DUMMYFUNCTION("CONCATENATE(GOOGLETRANSLATE(C1878, ""en"", ""ko""))"),"덮개가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1878" s="1" t="str">
        <f>IFERROR(__xludf.DUMMYFUNCTION("CONCATENATE(GOOGLETRANSLATE(C1878, ""en"", ""ja""))"),"カバー付きパズルボード、大型傾斜1500ピースジグソーパズルテーブル、ENGRTALENT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1879" ht="15.75" customHeight="1">
      <c r="A1879" s="1">
        <v>5092.0</v>
      </c>
      <c r="B1879" s="1" t="s">
        <v>381</v>
      </c>
      <c r="C1879" s="1" t="s">
        <v>772</v>
      </c>
      <c r="D1879" s="1" t="str">
        <f>IFERROR(__xludf.DUMMYFUNCTION("CONCATENATE(GOOGLETRANSLATE(C1879, ""en"", ""zh-cn""))"),"女式纯色荷叶边饰边无袖简约中长连衣裙")</f>
        <v>女式纯色荷叶边饰边无袖简约中长连衣裙</v>
      </c>
      <c r="E1879" s="1" t="str">
        <f>IFERROR(__xludf.DUMMYFUNCTION("CONCATENATE(GOOGLETRANSLATE(C1879, ""en"", ""ko""))"),"여성 솔리드 컬러 프릴 트림 민소매 단순 미디 드레스")</f>
        <v>여성 솔리드 컬러 프릴 트림 민소매 단순 미디 드레스</v>
      </c>
      <c r="F1879" s="1" t="str">
        <f>IFERROR(__xludf.DUMMYFUNCTION("CONCATENATE(GOOGLETRANSLATE(C1879, ""en"", ""ja""))"),"女性ソリッドカラーフリルトリムノースリーブシンプルなミディドレス")</f>
        <v>女性ソリッドカラーフリルトリムノースリーブシンプルなミディドレス</v>
      </c>
    </row>
    <row r="1880" ht="15.75" customHeight="1">
      <c r="A1880" s="1">
        <v>5093.0</v>
      </c>
      <c r="B1880" s="1" t="s">
        <v>381</v>
      </c>
      <c r="C1880" s="1" t="s">
        <v>773</v>
      </c>
      <c r="D1880" s="1" t="str">
        <f>IFERROR(__xludf.DUMMYFUNCTION("CONCATENATE(GOOGLETRANSLATE(C1880, ""en"", ""zh-cn""))"),"无袖圆领宽松休闲花卉印花超长连衣裙")</f>
        <v>无袖圆领宽松休闲花卉印花超长连衣裙</v>
      </c>
      <c r="E1880" s="1" t="str">
        <f>IFERROR(__xludf.DUMMYFUNCTION("CONCATENATE(GOOGLETRANSLATE(C1880, ""en"", ""ko""))"),"민소매 O 넥 루즈 캐쥬얼 플로럴 프린트 맥시 드레스")</f>
        <v>민소매 O 넥 루즈 캐쥬얼 플로럴 프린트 맥시 드레스</v>
      </c>
      <c r="F1880" s="1" t="str">
        <f>IFERROR(__xludf.DUMMYFUNCTION("CONCATENATE(GOOGLETRANSLATE(C1880, ""en"", ""ja""))"),"ノースリーブ O ネック ルーズ カジュアル フローラル プリント マキシ ドレス")</f>
        <v>ノースリーブ O ネック ルーズ カジュアル フローラル プリント マキシ ドレス</v>
      </c>
    </row>
    <row r="1881" ht="15.75" customHeight="1">
      <c r="A1881" s="1">
        <v>5133.0</v>
      </c>
      <c r="B1881" s="1" t="s">
        <v>15</v>
      </c>
      <c r="C1881" s="1" t="s">
        <v>1841</v>
      </c>
      <c r="D1881" s="1" t="str">
        <f>IFERROR(__xludf.DUMMYFUNCTION("CONCATENATE(GOOGLETRANSLATE(C1881, ""en"", ""zh-cn""))"),"CyclingDeal 自行车旅行箱 - 700c 自行车 - 自行车航空航班旅行硬箱箱包 EVA 材料轻便耐用，带 TSA 锁 - 非常适合公路自行车 - 运输设备专业")</f>
        <v>CyclingDeal 自行车旅行箱 - 700c 自行车 - 自行车航空航班旅行硬箱箱包 EVA 材料轻便耐用，带 TSA 锁 - 非常适合公路自行车 - 运输设备专业</v>
      </c>
      <c r="E1881" s="1" t="str">
        <f>IFERROR(__xludf.DUMMYFUNCTION("CONCATENATE(GOOGLETRANSLATE(C1881, ""en"", ""ko""))"),"CyclingDeal 자전거 여행용 케이스 - 700c 자전거 - 자전거 항공 항공편 여행용 하드 케이스 박스 백 EVA 소재 TSA 잠금 장치가 포함된 경량 및 내구성 - 도로 자전거에 적합 - 운송 장비 프로")</f>
        <v>CyclingDeal 자전거 여행용 케이스 - 700c 자전거 - 자전거 항공 항공편 여행용 하드 케이스 박스 백 EVA 소재 TSA 잠금 장치가 포함된 경량 및 내구성 - 도로 자전거에 적합 - 운송 장비 프로</v>
      </c>
      <c r="F1881" s="1" t="str">
        <f>IFERROR(__xludf.DUMMYFUNCTION("CONCATENATE(GOOGLETRANSLATE(C1881, ""en"", ""ja""))"),"CyclingDeal バイクトラベルケース - 700c バイク - 自転車航空便旅行ハードケースボックスバッグ EVA 素材 軽量&amp;耐久性 TSA ロック付き - ロードバイクに最適 - 輸送機器プロ")</f>
        <v>CyclingDeal バイクトラベルケース - 700c バイク - 自転車航空便旅行ハードケースボックスバッグ EVA 素材 軽量&amp;耐久性 TSA ロック付き - ロードバイクに最適 - 輸送機器プロ</v>
      </c>
    </row>
    <row r="1882" ht="15.75" customHeight="1">
      <c r="A1882" s="1">
        <v>5144.0</v>
      </c>
      <c r="B1882" s="1" t="s">
        <v>15</v>
      </c>
      <c r="C1882" s="1" t="s">
        <v>1842</v>
      </c>
      <c r="D1882" s="1" t="str">
        <f>IFERROR(__xludf.DUMMYFUNCTION("CONCATENATE(GOOGLETRANSLATE(C1882, ""en"", ""zh-cn""))"),"波克芬诺 GAN Megaminx M 3x3 速度魔方 Gan 五角形磁性无贴纸魔法拼图魔方玩具")</f>
        <v>波克芬诺 GAN Megaminx M 3x3 速度魔方 Gan 五角形磁性无贴纸魔法拼图魔方玩具</v>
      </c>
      <c r="E1882" s="1" t="str">
        <f>IFERROR(__xludf.DUMMYFUNCTION("CONCATENATE(GOOGLETRANSLATE(C1882, ""en"", ""ko""))"),"Bokefenuo GAN Megaminx M 3x3 스피드 큐브 Gan 오각형 자기 스티커가없는 매직 퍼즐 큐브 장난감")</f>
        <v>Bokefenuo GAN Megaminx M 3x3 스피드 큐브 Gan 오각형 자기 스티커가없는 매직 퍼즐 큐브 장난감</v>
      </c>
      <c r="F1882" s="1" t="str">
        <f>IFERROR(__xludf.DUMMYFUNCTION("CONCATENATE(GOOGLETRANSLATE(C1882, ""en"", ""ja""))"),"Bokefenuo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1883" ht="15.75" customHeight="1">
      <c r="A1883" s="1">
        <v>5150.0</v>
      </c>
      <c r="B1883" s="1" t="s">
        <v>15</v>
      </c>
      <c r="C1883" s="1" t="s">
        <v>1843</v>
      </c>
      <c r="D1883" s="1" t="str">
        <f>IFERROR(__xludf.DUMMYFUNCTION("CONCATENATE(GOOGLETRANSLATE(C1883, ""en"", ""zh-cn""))"),"BroMocube 的 GAN 11M Pro 3x3 速度魔方 GAN 11 磁性拼图魔方 Gan11M 魔方（GAN 11 M Pro 磨砂无贴纸（黑色））")</f>
        <v>BroMocube 的 GAN 11M Pro 3x3 速度魔方 GAN 11 磁性拼图魔方 Gan11M 魔方（GAN 11 M Pro 磨砂无贴纸（黑色））</v>
      </c>
      <c r="E1883" s="1" t="str">
        <f>IFERROR(__xludf.DUMMYFUNCTION("CONCATENATE(GOOGLETRANSLATE(C1883, ""en"", ""ko""))"),"GAN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1883" s="1" t="str">
        <f>IFERROR(__xludf.DUMMYFUNCTION("CONCATENATE(GOOGLETRANSLATE(C1883, ""en"", ""ja""))"),"GAN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1884" ht="15.75" customHeight="1">
      <c r="A1884" s="1">
        <v>5154.0</v>
      </c>
      <c r="B1884" s="1" t="s">
        <v>15</v>
      </c>
      <c r="C1884" s="1" t="s">
        <v>1844</v>
      </c>
      <c r="D1884" s="1" t="str">
        <f>IFERROR(__xludf.DUMMYFUNCTION("CONCATENATE(GOOGLETRANSLATE(C1884, ""en"", ""zh-cn""))"),"Giro Aries 球形成人公路自行车头盔")</f>
        <v>Giro Aries 球形成人公路自行车头盔</v>
      </c>
      <c r="E1884" s="1" t="str">
        <f>IFERROR(__xludf.DUMMYFUNCTION("CONCATENATE(GOOGLETRANSLATE(C1884, ""en"", ""ko""))"),"Giro Aries 구형 성인용 로드 자전거 헬멧")</f>
        <v>Giro Aries 구형 성인용 로드 자전거 헬멧</v>
      </c>
      <c r="F1884" s="1" t="str">
        <f>IFERROR(__xludf.DUMMYFUNCTION("CONCATENATE(GOOGLETRANSLATE(C1884, ""en"", ""ja""))"),"Giro Aries 球状大人用ロードバイク ヘルメット")</f>
        <v>Giro Aries 球状大人用ロードバイク ヘルメット</v>
      </c>
    </row>
    <row r="1885" ht="15.75" customHeight="1">
      <c r="A1885" s="1">
        <v>5279.0</v>
      </c>
      <c r="B1885" s="1" t="s">
        <v>381</v>
      </c>
      <c r="C1885" s="1" t="s">
        <v>610</v>
      </c>
      <c r="D1885" s="1" t="str">
        <f>IFERROR(__xludf.DUMMYFUNCTION("CONCATENATE(GOOGLETRANSLATE(C1885, ""en"", ""zh-cn""))"),"男式民族几何色块拼布刺绣短袖 T 恤")</f>
        <v>男式民族几何色块拼布刺绣短袖 T 恤</v>
      </c>
      <c r="E1885" s="1" t="str">
        <f>IFERROR(__xludf.DUMMYFUNCTION("CONCATENATE(GOOGLETRANSLATE(C1885, ""en"", ""ko""))"),"남성용 에스닉 기하학 컬러 블록 패치워크 자수 반소매 티셔츠")</f>
        <v>남성용 에스닉 기하학 컬러 블록 패치워크 자수 반소매 티셔츠</v>
      </c>
      <c r="F1885" s="1" t="str">
        <f>IFERROR(__xludf.DUMMYFUNCTION("CONCATENATE(GOOGLETRANSLATE(C1885, ""en"", ""ja""))"),"メンズエスニック幾何学カラーブロックパッチワーク刺繍半袖Tシャツ")</f>
        <v>メンズエスニック幾何学カラーブロックパッチワーク刺繍半袖Tシャツ</v>
      </c>
    </row>
    <row r="1886" ht="15.75" customHeight="1">
      <c r="A1886" s="1">
        <v>5294.0</v>
      </c>
      <c r="B1886" s="1" t="s">
        <v>15</v>
      </c>
      <c r="C1886" s="1" t="s">
        <v>1845</v>
      </c>
      <c r="D1886" s="1" t="str">
        <f>IFERROR(__xludf.DUMMYFUNCTION("CONCATENATE(GOOGLETRANSLATE(C1886, ""en"", ""zh-cn""))"),"LiangCuber GAN 13磁悬浮旗舰磁力3x3无贴纸GAN13 M速度魔方（磨砂版）")</f>
        <v>LiangCuber GAN 13磁悬浮旗舰磁力3x3无贴纸GAN13 M速度魔方（磨砂版）</v>
      </c>
      <c r="E1886" s="1" t="str">
        <f>IFERROR(__xludf.DUMMYFUNCTION("CONCATENATE(GOOGLETRANSLATE(C1886, ""en"", ""ko""))"),"LiangCuber GAN 13 자기 부상 플래그십 마그네틱 3x3 스티커 없는 GAN13 M 스피드 큐브(반투명 버전)")</f>
        <v>LiangCuber GAN 13 자기 부상 플래그십 마그네틱 3x3 스티커 없는 GAN13 M 스피드 큐브(반투명 버전)</v>
      </c>
      <c r="F1886" s="1" t="str">
        <f>IFERROR(__xludf.DUMMYFUNCTION("CONCATENATE(GOOGLETRANSLATE(C1886, ""en"", ""ja""))"),"LiangCuber GAN 13 マグレブ旗艦 磁気 3x3 ステッカーレス GAN13 M スピード キューブ (つや消しバージョン)")</f>
        <v>LiangCuber GAN 13 マグレブ旗艦 磁気 3x3 ステッカーレス GAN13 M スピード キューブ (つや消しバージョン)</v>
      </c>
    </row>
    <row r="1887" ht="15.75" customHeight="1">
      <c r="A1887" s="1">
        <v>5295.0</v>
      </c>
      <c r="B1887" s="1" t="s">
        <v>15</v>
      </c>
      <c r="C1887" s="1" t="s">
        <v>1846</v>
      </c>
      <c r="D1887" s="1" t="str">
        <f>IFERROR(__xludf.DUMMYFUNCTION("CONCATENATE(GOOGLETRANSLATE(C1887, ""en"", ""zh-cn""))"),"带抽屉和盖垫的拼图板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1887" s="1" t="str">
        <f>IFERROR(__xludf.DUMMYFUNCTION("CONCATENATE(GOOGLETRANSLATE(C1887, ""en"", ""ko""))"),"서랍과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1887" s="1" t="str">
        <f>IFERROR(__xludf.DUMMYFUNCTION("CONCATENATE(GOOGLETRANSLATE(C1887, ""en"", ""ja""))"),"引き出しとカバー付きパズルボード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1888" ht="15.75" customHeight="1">
      <c r="A1888" s="1">
        <v>5300.0</v>
      </c>
      <c r="B1888" s="1" t="s">
        <v>15</v>
      </c>
      <c r="C1888" s="1" t="s">
        <v>1847</v>
      </c>
      <c r="D1888" s="1" t="str">
        <f>IFERROR(__xludf.DUMMYFUNCTION("CONCATENATE(GOOGLETRANSLATE(C1888, ""en"", ""zh-cn""))"),"Bukefuno GAN 12 Maglev 3x3 磁性魔方 GAN12Maglev Speed GAN 12Maglev 拼图魔方 GAN12 Maglev 3x3 魔方（磨砂表面无贴纸）")</f>
        <v>Bukefuno GAN 12 Maglev 3x3 磁性魔方 GAN12Maglev Speed GAN 12Maglev 拼图魔方 GAN12 Maglev 3x3 魔方（磨砂表面无贴纸）</v>
      </c>
      <c r="E1888" s="1" t="str">
        <f>IFERROR(__xludf.DUMMYFUNCTION("CONCATENATE(GOOGLETRANSLATE(C1888, ""en"", ""ko""))"),"Bukefuno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1888" s="1" t="str">
        <f>IFERROR(__xludf.DUMMYFUNCTION("CONCATENATE(GOOGLETRANSLATE(C1888, ""en"", ""ja""))"),"Bukefuno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1889" ht="15.75" customHeight="1">
      <c r="A1889" s="1">
        <v>5327.0</v>
      </c>
      <c r="B1889" s="1" t="s">
        <v>15</v>
      </c>
      <c r="C1889" s="1" t="s">
        <v>1848</v>
      </c>
      <c r="D1889" s="1" t="str">
        <f>IFERROR(__xludf.DUMMYFUNCTION("CONCATENATE(GOOGLETRANSLATE(C1889, ""en"", ""zh-cn""))"),"2022 HP 15.6 FHD 笔记本电脑，第 11 代 Intel Core i5-1135G7（击败 Intel i7-1065G7），32GB RAM，2TGB PCIe SSD，Intel Iris X 显卡，高清网络摄像头，HDMI，蓝牙，Win10，银色，32GB USB 卡")</f>
        <v>2022 HP 15.6 FHD 笔记本电脑，第 11 代 Intel Core i5-1135G7（击败 Intel i7-1065G7），32GB RAM，2TGB PCIe SSD，Intel Iris X 显卡，高清网络摄像头，HDMI，蓝牙，Win10，银色，32GB USB 卡</v>
      </c>
      <c r="E1889" s="1" t="str">
        <f>IFERROR(__xludf.DUMMYFUNCTION("CONCATENATE(GOOGLETRANSLATE(C1889, ""en"", ""ko""))"),"2022 HP 15.6 FHD 노트북 컴퓨터, 11세대 Intel Core i5-1135G7(Intel i7-1065G7 능가), 32GB RAM, 2TGB PCIe SSD, Intel Iris X 그래픽, HD 웹캠, HDMI, Bluetooth, Win10, 실버, 32GB USB 카드")</f>
        <v>2022 HP 15.6 FHD 노트북 컴퓨터, 11세대 Intel Core i5-1135G7(Intel i7-1065G7 능가), 32GB RAM, 2TGB PCIe SSD, Intel Iris X 그래픽, HD 웹캠, HDMI, Bluetooth, Win10, 실버, 32GB USB 카드</v>
      </c>
      <c r="F1889" s="1" t="str">
        <f>IFERROR(__xludf.DUMMYFUNCTION("CONCATENATE(GOOGLETRANSLATE(C1889, ""en"", ""ja""))"),"2022 HP 15.6 FHD ラップトップ コンピューター、第 11 世代インテル Core i5-1135G7 (インテル i7-1065G7 を上回る)、32GB RAM、2TGB PCIe SSD、インテル Iris X グラフィックス、HD ウェブカメラ、HDMI、Bluetooth、Win10、シルバー、32GB USB カード")</f>
        <v>2022 HP 15.6 FHD ラップトップ コンピューター、第 11 世代インテル Core i5-1135G7 (インテル i7-1065G7 を上回る)、32GB RAM、2TGB PCIe SSD、インテル Iris X グラフィックス、HD ウェブカメラ、HDMI、Bluetooth、Win10、シルバー、32GB USB カード</v>
      </c>
    </row>
    <row r="1890" ht="15.75" customHeight="1">
      <c r="A1890" s="1">
        <v>5347.0</v>
      </c>
      <c r="B1890" s="1" t="s">
        <v>15</v>
      </c>
      <c r="C1890" s="1" t="s">
        <v>1648</v>
      </c>
      <c r="D1890" s="1" t="str">
        <f>IFERROR(__xludf.DUMMYFUNCTION("CONCATENATE(GOOGLETRANSLATE(C1890, ""en"", ""zh-cn""))"),"CuberShop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1890" s="1" t="str">
        <f>IFERROR(__xludf.DUMMYFUNCTION("CONCATENATE(GOOGLETRANSLATE(C1890, ""en"", ""ko""))"),"CuberShop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1890" s="1" t="str">
        <f>IFERROR(__xludf.DUMMYFUNCTION("CONCATENATE(GOOGLETRANSLATE(C1890, ""en"", ""ja""))"),"CuberShop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1891" ht="15.75" customHeight="1">
      <c r="A1891" s="1">
        <v>5350.0</v>
      </c>
      <c r="B1891" s="1" t="s">
        <v>15</v>
      </c>
      <c r="C1891" s="1" t="s">
        <v>1649</v>
      </c>
      <c r="D1891" s="1" t="str">
        <f>IFERROR(__xludf.DUMMYFUNCTION("CONCATENATE(GOOGLETRANSLATE(C1891, ""en"", ""zh-cn""))"),"GAN 机器人，魔方解谜机自动解谜器和解谜器，兼容 GAN 356i2 i3 iplay iCarry Speed Cubes（不含魔方）和最新版本 APP")</f>
        <v>GAN 机器人，魔方解谜机自动解谜器和解谜器，兼容 GAN 356i2 i3 iplay iCarry Speed Cubes（不含魔方）和最新版本 APP</v>
      </c>
      <c r="E1891" s="1" t="str">
        <f>IFERROR(__xludf.DUMMYFUNCTION("CONCATENATE(GOOGLETRANSLATE(C1891, ""en"", ""ko""))"),"GAN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1891" s="1" t="str">
        <f>IFERROR(__xludf.DUMMYFUNCTION("CONCATENATE(GOOGLETRANSLATE(C1891, ""en"", ""ja""))"),"GAN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1892" ht="15.75" customHeight="1">
      <c r="A1892" s="1">
        <v>5383.0</v>
      </c>
      <c r="B1892" s="1" t="s">
        <v>15</v>
      </c>
      <c r="C1892" s="1" t="s">
        <v>1845</v>
      </c>
      <c r="D1892" s="1" t="str">
        <f>IFERROR(__xludf.DUMMYFUNCTION("CONCATENATE(GOOGLETRANSLATE(C1892, ""en"", ""zh-cn""))"),"LiangCuber GAN 13磁悬浮旗舰磁力3x3无贴纸GAN13 M速度魔方（磨砂版）")</f>
        <v>LiangCuber GAN 13磁悬浮旗舰磁力3x3无贴纸GAN13 M速度魔方（磨砂版）</v>
      </c>
      <c r="E1892" s="1" t="str">
        <f>IFERROR(__xludf.DUMMYFUNCTION("CONCATENATE(GOOGLETRANSLATE(C1892, ""en"", ""ko""))"),"LiangCuber GAN 13 자기 부상 플래그십 마그네틱 3x3 스티커 없는 GAN13 M 스피드 큐브(반투명 버전)")</f>
        <v>LiangCuber GAN 13 자기 부상 플래그십 마그네틱 3x3 스티커 없는 GAN13 M 스피드 큐브(반투명 버전)</v>
      </c>
      <c r="F1892" s="1" t="str">
        <f>IFERROR(__xludf.DUMMYFUNCTION("CONCATENATE(GOOGLETRANSLATE(C1892, ""en"", ""ja""))"),"LiangCuber GAN 13 マグレブ旗艦 磁気 3x3 ステッカーレス GAN13 M スピード キューブ (つや消しバージョン)")</f>
        <v>LiangCuber GAN 13 マグレブ旗艦 磁気 3x3 ステッカーレス GAN13 M スピード キューブ (つや消しバージョン)</v>
      </c>
    </row>
    <row r="1893" ht="15.75" customHeight="1">
      <c r="A1893" s="1">
        <v>5390.0</v>
      </c>
      <c r="B1893" s="1" t="s">
        <v>15</v>
      </c>
      <c r="C1893" s="1" t="s">
        <v>1648</v>
      </c>
      <c r="D1893" s="1" t="str">
        <f>IFERROR(__xludf.DUMMYFUNCTION("CONCATENATE(GOOGLETRANSLATE(C1893, ""en"", ""zh-cn""))"),"CuberShop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1893" s="1" t="str">
        <f>IFERROR(__xludf.DUMMYFUNCTION("CONCATENATE(GOOGLETRANSLATE(C1893, ""en"", ""ko""))"),"CuberShop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1893" s="1" t="str">
        <f>IFERROR(__xludf.DUMMYFUNCTION("CONCATENATE(GOOGLETRANSLATE(C1893, ""en"", ""ja""))"),"CuberShop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1894" ht="15.75" customHeight="1">
      <c r="A1894" s="1">
        <v>5392.0</v>
      </c>
      <c r="B1894" s="1" t="s">
        <v>381</v>
      </c>
      <c r="C1894" s="1" t="s">
        <v>806</v>
      </c>
      <c r="D1894" s="1" t="str">
        <f>IFERROR(__xludf.DUMMYFUNCTION("CONCATENATE(GOOGLETRANSLATE(C1894, ""en"", ""zh-cn""))"),"女式休闲格子半纽扣长袖长连衣裙")</f>
        <v>女式休闲格子半纽扣长袖长连衣裙</v>
      </c>
      <c r="E1894" s="1" t="str">
        <f>IFERROR(__xludf.DUMMYFUNCTION("CONCATENATE(GOOGLETRANSLATE(C1894, ""en"", ""ko""))"),"여성 캐주얼 격자 무늬 반 단추 전면 긴 소매 맥시 드레스")</f>
        <v>여성 캐주얼 격자 무늬 반 단추 전면 긴 소매 맥시 드레스</v>
      </c>
      <c r="F1894" s="1" t="str">
        <f>IFERROR(__xludf.DUMMYFUNCTION("CONCATENATE(GOOGLETRANSLATE(C1894, ""en"", ""ja""))"),"女性カジュアルチェック柄ハーフボタンフロント長袖マキシドレス")</f>
        <v>女性カジュアルチェック柄ハーフボタンフロント長袖マキシドレス</v>
      </c>
    </row>
    <row r="1895" ht="15.75" customHeight="1">
      <c r="A1895" s="1">
        <v>5393.0</v>
      </c>
      <c r="B1895" s="1" t="s">
        <v>381</v>
      </c>
      <c r="C1895" s="1" t="s">
        <v>813</v>
      </c>
      <c r="D1895" s="1" t="str">
        <f>IFERROR(__xludf.DUMMYFUNCTION("CONCATENATE(GOOGLETRANSLATE(C1895, ""en"", ""zh-cn""))"),"女式 100% 棉长袍长袍蕾丝拼接休闲婚礼中长连衣裙")</f>
        <v>女式 100% 棉长袍长袍蕾丝拼接休闲婚礼中长连衣裙</v>
      </c>
      <c r="E1895" s="1" t="str">
        <f>IFERROR(__xludf.DUMMYFUNCTION("CONCATENATE(GOOGLETRANSLATE(C1895, ""en"", ""ko""))"),"여성 100% 면 아바야 카프탄 레이스 패치워크 캐주얼 웨딩 미디 드레스")</f>
        <v>여성 100% 면 아바야 카프탄 레이스 패치워크 캐주얼 웨딩 미디 드레스</v>
      </c>
      <c r="F1895" s="1" t="str">
        <f>IFERROR(__xludf.DUMMYFUNCTION("CONCATENATE(GOOGLETRANSLATE(C1895, ""en"", ""ja""))"),"女性 100% コットンアバヤカフタンレースパッチワークカジュアルウェディングミディドレス")</f>
        <v>女性 100% コットンアバヤカフタンレースパッチワークカジュアルウェディングミディドレス</v>
      </c>
    </row>
    <row r="1896" ht="15.75" customHeight="1">
      <c r="A1896" s="1">
        <v>5396.0</v>
      </c>
      <c r="B1896" s="1" t="s">
        <v>381</v>
      </c>
      <c r="C1896" s="1" t="s">
        <v>774</v>
      </c>
      <c r="D1896" s="1" t="str">
        <f>IFERROR(__xludf.DUMMYFUNCTION("CONCATENATE(GOOGLETRANSLATE(C1896, ""en"", ""zh-cn""))"),"女式圆点印花拼布短袖假日波西米亚长连衣裙")</f>
        <v>女式圆点印花拼布短袖假日波西米亚长连衣裙</v>
      </c>
      <c r="E1896" s="1" t="str">
        <f>IFERROR(__xludf.DUMMYFUNCTION("CONCATENATE(GOOGLETRANSLATE(C1896, ""en"", ""ko""))"),"여성을 위한 폴카 도트 인쇄 패치워크 짧은 소매 휴일 보헤미아 맥시 드레스")</f>
        <v>여성을 위한 폴카 도트 인쇄 패치워크 짧은 소매 휴일 보헤미아 맥시 드레스</v>
      </c>
      <c r="F1896" s="1" t="str">
        <f>IFERROR(__xludf.DUMMYFUNCTION("CONCATENATE(GOOGLETRANSLATE(C1896, ""en"", ""ja""))"),"女性のための水玉プリント パッチワーク半袖ホリデー ボヘミア マキシ ドレス")</f>
        <v>女性のための水玉プリント パッチワーク半袖ホリデー ボヘミア マキシ ドレス</v>
      </c>
    </row>
    <row r="1897" ht="15.75" customHeight="1">
      <c r="A1897" s="1">
        <v>5414.0</v>
      </c>
      <c r="B1897" s="1" t="s">
        <v>15</v>
      </c>
      <c r="C1897" s="1" t="s">
        <v>1650</v>
      </c>
      <c r="D1897" s="1" t="str">
        <f>IFERROR(__xludf.DUMMYFUNCTION("CONCATENATE(GOOGLETRANSLATE(C1897, ""en"", ""zh-cn""))"),"SHARGEEK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1897" s="1" t="str">
        <f>IFERROR(__xludf.DUMMYFUNCTION("CONCATENATE(GOOGLETRANSLATE(C1897, ""en"", ""ko""))"),"SHARGEEK의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1897" s="1" t="str">
        <f>IFERROR(__xludf.DUMMYFUNCTION("CONCATENATE(GOOGLETRANSLATE(C1897, ""en"", ""ja""))"),"SHARGEEK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1898" ht="15.75" customHeight="1">
      <c r="A1898" s="1">
        <v>5423.0</v>
      </c>
      <c r="B1898" s="1" t="s">
        <v>15</v>
      </c>
      <c r="C1898" s="1" t="s">
        <v>1849</v>
      </c>
      <c r="D1898" s="1" t="str">
        <f>IFERROR(__xludf.DUMMYFUNCTION("CONCATENATE(GOOGLETRANSLATE(C1898, ""en"", ""zh-cn""))"),"GAN 460 M， Gan 4x4 磁性速度魔方， gan 460 m 4 x 4 儿童和成人无贴纸拼图玩具")</f>
        <v>GAN 460 M， Gan 4x4 磁性速度魔方， gan 460 m 4 x 4 儿童和成人无贴纸拼图玩具</v>
      </c>
      <c r="E1898" s="1" t="str">
        <f>IFERROR(__xludf.DUMMYFUNCTION("CONCATENATE(GOOGLETRANSLATE(C1898, ""en"", ""ko""))"),"GAN 460 M, Gan 4x4 자기 속도 큐브, gan 460 m 4 by 4 어린이와 성인을 위한 스티커 없는 퍼즐 장난감")</f>
        <v>GAN 460 M, Gan 4x4 자기 속도 큐브, gan 460 m 4 by 4 어린이와 성인을 위한 스티커 없는 퍼즐 장난감</v>
      </c>
      <c r="F1898" s="1" t="str">
        <f>IFERROR(__xludf.DUMMYFUNCTION("CONCATENATE(GOOGLETRANSLATE(C1898, ""en"", ""ja""))"),"GAN 460 M、Gan 4x4 磁気スピードキューブ、GAN 460 m 4 by 4 ステッカーレスパズルおもちゃ子供と大人向け")</f>
        <v>GAN 460 M、Gan 4x4 磁気スピードキューブ、GAN 460 m 4 by 4 ステッカーレスパズルおもちゃ子供と大人向け</v>
      </c>
    </row>
    <row r="1899" ht="15.75" customHeight="1">
      <c r="A1899" s="1">
        <v>5432.0</v>
      </c>
      <c r="B1899" s="1" t="s">
        <v>15</v>
      </c>
      <c r="C1899" s="1" t="s">
        <v>1850</v>
      </c>
      <c r="D1899" s="1" t="str">
        <f>IFERROR(__xludf.DUMMYFUNCTION("CONCATENATE(GOOGLETRANSLATE(C1899, ""en"", ""zh-cn""))"),"GAN 13 磁悬浮磨砂涂层，磁性速度魔方 3x3 无贴纸 56 毫米磁铁魔方拼图玩具，GAN 2022 旗舰")</f>
        <v>GAN 13 磁悬浮磨砂涂层，磁性速度魔方 3x3 无贴纸 56 毫米磁铁魔方拼图玩具，GAN 2022 旗舰</v>
      </c>
      <c r="E1899" s="1" t="str">
        <f>IFERROR(__xludf.DUMMYFUNCTION("CONCATENATE(GOOGLETRANSLATE(C1899, ""en"", ""ko""))"),"GAN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1899" s="1" t="str">
        <f>IFERROR(__xludf.DUMMYFUNCTION("CONCATENATE(GOOGLETRANSLATE(C1899, ""en"", ""ja""))"),"GAN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1900" ht="15.75" customHeight="1">
      <c r="A1900" s="1">
        <v>5434.0</v>
      </c>
      <c r="B1900" s="1" t="s">
        <v>15</v>
      </c>
      <c r="C1900" s="1" t="s">
        <v>1851</v>
      </c>
      <c r="D1900" s="1" t="str">
        <f>IFERROR(__xludf.DUMMYFUNCTION("CONCATENATE(GOOGLETRANSLATE(C1900, ""en"", ""zh-cn""))"),"GAN Megaminx M，五角磁力测速魔方，无贴纸")</f>
        <v>GAN Megaminx M，五角磁力测速魔方，无贴纸</v>
      </c>
      <c r="E1900" s="1" t="str">
        <f>IFERROR(__xludf.DUMMYFUNCTION("CONCATENATE(GOOGLETRANSLATE(C1900, ""en"", ""ko""))"),"GAN Megaminx M, 오각형 자기 속도 큐브, 스티커 없음")</f>
        <v>GAN Megaminx M, 오각형 자기 속도 큐브, 스티커 없음</v>
      </c>
      <c r="F1900" s="1" t="str">
        <f>IFERROR(__xludf.DUMMYFUNCTION("CONCATENATE(GOOGLETRANSLATE(C1900, ""en"", ""ja""))"),"GAN メガミンクス M、五角形磁気スピードキューブ、ステッカーレス")</f>
        <v>GAN メガミンクス M、五角形磁気スピードキューブ、ステッカーレス</v>
      </c>
    </row>
    <row r="1901" ht="15.75" customHeight="1">
      <c r="A1901" s="1">
        <v>5478.0</v>
      </c>
      <c r="B1901" s="1" t="s">
        <v>15</v>
      </c>
      <c r="C1901" s="1" t="s">
        <v>1852</v>
      </c>
      <c r="D1901" s="1" t="str">
        <f>IFERROR(__xludf.DUMMYFUNCTION("CONCATENATE(GOOGLETRANSLATE(C1901, ""en"", ""zh-cn""))"),"Roxenda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1901" s="1" t="str">
        <f>IFERROR(__xludf.DUMMYFUNCTION("CONCATENATE(GOOGLETRANSLATE(C1901, ""en"", ""ko""))"),"Roxenda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1901" s="1" t="str">
        <f>IFERROR(__xludf.DUMMYFUNCTION("CONCATENATE(GOOGLETRANSLATE(C1901, ""en"", ""ja""))"),"Roxenda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1902" ht="15.75" customHeight="1">
      <c r="A1902" s="1">
        <v>5487.0</v>
      </c>
      <c r="B1902" s="1" t="s">
        <v>15</v>
      </c>
      <c r="C1902" s="1" t="s">
        <v>1842</v>
      </c>
      <c r="D1902" s="1" t="str">
        <f>IFERROR(__xludf.DUMMYFUNCTION("CONCATENATE(GOOGLETRANSLATE(C1902, ""en"", ""zh-cn""))"),"波克芬诺 GAN Megaminx M 3x3 速度魔方 Gan 五角形磁性无贴纸魔法拼图魔方玩具")</f>
        <v>波克芬诺 GAN Megaminx M 3x3 速度魔方 Gan 五角形磁性无贴纸魔法拼图魔方玩具</v>
      </c>
      <c r="E1902" s="1" t="str">
        <f>IFERROR(__xludf.DUMMYFUNCTION("CONCATENATE(GOOGLETRANSLATE(C1902, ""en"", ""ko""))"),"Bokefenuo GAN Megaminx M 3x3 스피드 큐브 Gan 오각형 자기 스티커가없는 매직 퍼즐 큐브 장난감")</f>
        <v>Bokefenuo GAN Megaminx M 3x3 스피드 큐브 Gan 오각형 자기 스티커가없는 매직 퍼즐 큐브 장난감</v>
      </c>
      <c r="F1902" s="1" t="str">
        <f>IFERROR(__xludf.DUMMYFUNCTION("CONCATENATE(GOOGLETRANSLATE(C1902, ""en"", ""ja""))"),"Bokefenuo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1903" ht="15.75" customHeight="1">
      <c r="A1903" s="1">
        <v>5493.0</v>
      </c>
      <c r="B1903" s="1" t="s">
        <v>15</v>
      </c>
      <c r="C1903" s="1" t="s">
        <v>1846</v>
      </c>
      <c r="D1903" s="1" t="str">
        <f>IFERROR(__xludf.DUMMYFUNCTION("CONCATENATE(GOOGLETRANSLATE(C1903, ""en"", ""zh-cn""))"),"带抽屉和盖垫的拼图板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1903" s="1" t="str">
        <f>IFERROR(__xludf.DUMMYFUNCTION("CONCATENATE(GOOGLETRANSLATE(C1903, ""en"", ""ko""))"),"서랍과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1903" s="1" t="str">
        <f>IFERROR(__xludf.DUMMYFUNCTION("CONCATENATE(GOOGLETRANSLATE(C1903, ""en"", ""ja""))"),"引き出しとカバー付きパズルボード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1904" ht="15.75" customHeight="1">
      <c r="A1904" s="1">
        <v>5496.0</v>
      </c>
      <c r="B1904" s="1" t="s">
        <v>15</v>
      </c>
      <c r="C1904" s="1" t="s">
        <v>1853</v>
      </c>
      <c r="D1904" s="1" t="str">
        <f>IFERROR(__xludf.DUMMYFUNCTION("CONCATENATE(GOOGLETRANSLATE(C1904, ""en"", ""zh-cn""))"),"带金属腿和盖子的拼图桌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1904" s="1" t="str">
        <f>IFERROR(__xludf.DUMMYFUNCTION("CONCATENATE(GOOGLETRANSLATE(C1904, ""en"", ""ko""))"),"금속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1904" s="1" t="str">
        <f>IFERROR(__xludf.DUMMYFUNCTION("CONCATENATE(GOOGLETRANSLATE(C1904, ""en"", ""ja""))"),"金属製の脚とカバー付きパズルテーブル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1905" ht="15.75" customHeight="1">
      <c r="A1905" s="1">
        <v>5498.0</v>
      </c>
      <c r="B1905" s="1" t="s">
        <v>15</v>
      </c>
      <c r="C1905" s="1" t="s">
        <v>1847</v>
      </c>
      <c r="D1905" s="1" t="str">
        <f>IFERROR(__xludf.DUMMYFUNCTION("CONCATENATE(GOOGLETRANSLATE(C1905, ""en"", ""zh-cn""))"),"Bukefuno GAN 12 Maglev 3x3 磁性魔方 GAN12Maglev Speed GAN 12Maglev 拼图魔方 GAN12 Maglev 3x3 魔方（磨砂表面无贴纸）")</f>
        <v>Bukefuno GAN 12 Maglev 3x3 磁性魔方 GAN12Maglev Speed GAN 12Maglev 拼图魔方 GAN12 Maglev 3x3 魔方（磨砂表面无贴纸）</v>
      </c>
      <c r="E1905" s="1" t="str">
        <f>IFERROR(__xludf.DUMMYFUNCTION("CONCATENATE(GOOGLETRANSLATE(C1905, ""en"", ""ko""))"),"Bukefuno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1905" s="1" t="str">
        <f>IFERROR(__xludf.DUMMYFUNCTION("CONCATENATE(GOOGLETRANSLATE(C1905, ""en"", ""ja""))"),"Bukefuno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1906" ht="15.75" customHeight="1">
      <c r="A1906" s="1">
        <v>5524.0</v>
      </c>
      <c r="B1906" s="1" t="s">
        <v>15</v>
      </c>
      <c r="C1906" s="1" t="s">
        <v>1854</v>
      </c>
      <c r="D1906" s="1" t="str">
        <f>IFERROR(__xludf.DUMMYFUNCTION("CONCATENATE(GOOGLETRANSLATE(C1906, ""en"", ""zh-cn""))"),"FNNEMGE 300W便携式充电站（峰值350W），266Wh太阳能户外发电机，72000mAh 60W PD移动电源，双110V交流插座12V/10A直流输出，纯正弦波，野营电池供电")</f>
        <v>FNNEMGE 300W便携式充电站（峰值350W），266Wh太阳能户外发电机，72000mAh 60W PD移动电源，双110V交流插座12V/10A直流输出，纯正弦波，野营电池供电</v>
      </c>
      <c r="E1906" s="1" t="str">
        <f>IFERROR(__xludf.DUMMYFUNCTION("CONCATENATE(GOOGLETRANSLATE(C1906, ""en"", ""ko""))"),"FNNEMGE 300W 휴대용 발전소(350W 피크), 266Wh 태양광 실외 발전기, 듀얼 110V AC 콘센트 12V/10A DC 출력, 순수 사인파, 캠핑용 배터리 전원 공급 장치가 포함된 72000mAh 60W PD 전원 은행")</f>
        <v>FNNEMGE 300W 휴대용 발전소(350W 피크), 266Wh 태양광 실외 발전기, 듀얼 110V AC 콘센트 12V/10A DC 출력, 순수 사인파, 캠핑용 배터리 전원 공급 장치가 포함된 72000mAh 60W PD 전원 은행</v>
      </c>
      <c r="F1906" s="1" t="str">
        <f>IFERROR(__xludf.DUMMYFUNCTION("CONCATENATE(GOOGLETRANSLATE(C1906, ""en"", ""ja""))"),"FNNEMGE 300W ポータブルパワーステーション (350W ピーク)、266Wh ソーラー屋外発電機、デュアル 110V AC コンセント付き 72000mAh 60W PD パワーバンク 12V/10A DC 出力、純粋な正弦波、キャンプ用バッテリー電源")</f>
        <v>FNNEMGE 300W ポータブルパワーステーション (350W ピーク)、266Wh ソーラー屋外発電機、デュアル 110V AC コンセント付き 72000mAh 60W PD パワーバンク 12V/10A DC 出力、純粋な正弦波、キャンプ用バッテリー電源</v>
      </c>
    </row>
    <row r="1907" ht="15.75" customHeight="1">
      <c r="A1907" s="1">
        <v>5549.0</v>
      </c>
      <c r="B1907" s="1" t="s">
        <v>15</v>
      </c>
      <c r="C1907" s="1" t="s">
        <v>1855</v>
      </c>
      <c r="D1907" s="1" t="str">
        <f>IFERROR(__xludf.DUMMYFUNCTION("CONCATENATE(GOOGLETRANSLATE(C1907, ""en"", ""zh-cn""))"),"单人炉篝火带支架便携式火坑不锈钢火坑燃木低烟野营炉| 19.5x14 英寸户外火坑")</f>
        <v>单人炉篝火带支架便携式火坑不锈钢火坑燃木低烟野营炉| 19.5x14 英寸户外火坑</v>
      </c>
      <c r="E1907" s="1" t="str">
        <f>IFERROR(__xludf.DUMMYFUNCTION("CONCATENATE(GOOGLETRANSLATE(C1907, ""en"", ""ko""))"),"스탠드가 있는 솔로 스토브 모닥불 휴대용 화재 구덩이 스테인레스 스틸 화재 구덩이 장작 및 저연 캠핑 스토브 | 19.5x14 인치 야외 화덕")</f>
        <v>스탠드가 있는 솔로 스토브 모닥불 휴대용 화재 구덩이 스테인레스 스틸 화재 구덩이 장작 및 저연 캠핑 스토브 | 19.5x14 인치 야외 화덕</v>
      </c>
      <c r="F1907" s="1" t="str">
        <f>IFERROR(__xludf.DUMMYFUNCTION("CONCATENATE(GOOGLETRANSLATE(C1907, ""en"", ""ja""))"),"ソロストーブ焚き火スタンド付きポータブルファイヤーピットステンレススチールファイヤーピット薪燃焼および低煙キャンプストーブ | 19.5x14インチの屋外ファイヤーピット")</f>
        <v>ソロストーブ焚き火スタンド付きポータブルファイヤーピットステンレススチールファイヤーピット薪燃焼および低煙キャンプストーブ | 19.5x14インチの屋外ファイヤーピット</v>
      </c>
    </row>
    <row r="1908" ht="15.75" customHeight="1">
      <c r="A1908" s="1">
        <v>5550.0</v>
      </c>
      <c r="B1908" s="1" t="s">
        <v>15</v>
      </c>
      <c r="C1908" s="1" t="s">
        <v>1820</v>
      </c>
      <c r="D1908" s="1" t="str">
        <f>IFERROR(__xludf.DUMMYFUNCTION("CONCATENATE(GOOGLETRANSLATE(C1908, ""en"", ""zh-cn""))"),"Giro Empire SLX 男士公路骑行鞋")</f>
        <v>Giro Empire SLX 男士公路骑行鞋</v>
      </c>
      <c r="E1908" s="1" t="str">
        <f>IFERROR(__xludf.DUMMYFUNCTION("CONCATENATE(GOOGLETRANSLATE(C1908, ""en"", ""ko""))"),"Giro Empire SLX 남성용 로드 사이클링 신발")</f>
        <v>Giro Empire SLX 남성용 로드 사이클링 신발</v>
      </c>
      <c r="F1908" s="1" t="str">
        <f>IFERROR(__xludf.DUMMYFUNCTION("CONCATENATE(GOOGLETRANSLATE(C1908, ""en"", ""ja""))"),"Giro Empire SLX メンズ ロード サイクリング シューズ")</f>
        <v>Giro Empire SLX メンズ ロード サイクリング シューズ</v>
      </c>
    </row>
    <row r="1909" ht="15.75" customHeight="1">
      <c r="A1909" s="1">
        <v>5560.0</v>
      </c>
      <c r="B1909" s="1" t="s">
        <v>15</v>
      </c>
      <c r="C1909" s="1" t="s">
        <v>1856</v>
      </c>
      <c r="D1909" s="1" t="str">
        <f>IFERROR(__xludf.DUMMYFUNCTION("CONCATENATE(GOOGLETRANSLATE(C1909, ""en"", ""zh-cn""))"),"西迪鞋天才 10")</f>
        <v>西迪鞋天才 10</v>
      </c>
      <c r="E1909" s="1" t="str">
        <f>IFERROR(__xludf.DUMMYFUNCTION("CONCATENATE(GOOGLETRANSLATE(C1909, ""en"", ""ko""))"),"시디 신발 천재 10")</f>
        <v>시디 신발 천재 10</v>
      </c>
      <c r="F1909" s="1" t="str">
        <f>IFERROR(__xludf.DUMMYFUNCTION("CONCATENATE(GOOGLETRANSLATE(C1909, ""en"", ""ja""))"),"シディ シューズ ジーニアス 10")</f>
        <v>シディ シューズ ジーニアス 10</v>
      </c>
    </row>
    <row r="1910" ht="15.75" customHeight="1">
      <c r="A1910" s="1">
        <v>5561.0</v>
      </c>
      <c r="B1910" s="1" t="s">
        <v>15</v>
      </c>
      <c r="C1910" s="1" t="s">
        <v>1819</v>
      </c>
      <c r="D1910" s="1" t="str">
        <f>IFERROR(__xludf.DUMMYFUNCTION("CONCATENATE(GOOGLETRANSLATE(C1910, ""en"", ""zh-cn""))"),"罗林斯|专业人士首选棒球手套 |多种风格")</f>
        <v>罗林斯|专业人士首选棒球手套 |多种风格</v>
      </c>
      <c r="E1910" s="1" t="str">
        <f>IFERROR(__xludf.DUMMYFUNCTION("CONCATENATE(GOOGLETRANSLATE(C1910, ""en"", ""ko""))"),"롤링스 | 프로 선호 야구 글러브 | 다양한 스타일")</f>
        <v>롤링스 | 프로 선호 야구 글러브 | 다양한 스타일</v>
      </c>
      <c r="F1910" s="1" t="str">
        <f>IFERROR(__xludf.DUMMYFUNCTION("CONCATENATE(GOOGLETRANSLATE(C1910, ""en"", ""ja""))"),"ローリングス |プロ好みの野球グローブ |複数のスタイル")</f>
        <v>ローリングス |プロ好みの野球グローブ |複数のスタイル</v>
      </c>
    </row>
    <row r="1911" ht="15.75" customHeight="1">
      <c r="A1911" s="1">
        <v>5567.0</v>
      </c>
      <c r="B1911" s="1" t="s">
        <v>15</v>
      </c>
      <c r="C1911" s="1" t="s">
        <v>1823</v>
      </c>
      <c r="D1911" s="1" t="str">
        <f>IFERROR(__xludf.DUMMYFUNCTION("CONCATENATE(GOOGLETRANSLATE(C1911, ""en"", ""zh-cn""))"),"Giro Sector 男士山地骑行鞋")</f>
        <v>Giro Sector 男士山地骑行鞋</v>
      </c>
      <c r="E1911" s="1" t="str">
        <f>IFERROR(__xludf.DUMMYFUNCTION("CONCATENATE(GOOGLETRANSLATE(C1911, ""en"", ""ko""))"),"Giro Sector 남성용 산악 사이클링 신발")</f>
        <v>Giro Sector 남성용 산악 사이클링 신발</v>
      </c>
      <c r="F1911" s="1" t="str">
        <f>IFERROR(__xludf.DUMMYFUNCTION("CONCATENATE(GOOGLETRANSLATE(C1911, ""en"", ""ja""))"),"Giro Sector メンズ マウンテン サイクリング シューズ")</f>
        <v>Giro Sector メンズ マウンテン サイクリング シューズ</v>
      </c>
    </row>
    <row r="1912" ht="15.75" customHeight="1">
      <c r="A1912" s="1">
        <v>5576.0</v>
      </c>
      <c r="B1912" s="1" t="s">
        <v>15</v>
      </c>
      <c r="C1912" s="1" t="s">
        <v>1857</v>
      </c>
      <c r="D1912" s="1" t="str">
        <f>IFERROR(__xludf.DUMMYFUNCTION("CONCATENATE(GOOGLETRANSLATE(C1912, ""en"", ""zh-cn""))"),"Alexia 冥想座椅符合人体工程学，适合人体生理学禅宗瑜伽人体工学椅子泡沫垫家庭或办公室（浅灰色 - 纯素皮革）")</f>
        <v>Alexia 冥想座椅符合人体工程学，适合人体生理学禅宗瑜伽人体工学椅子泡沫垫家庭或办公室（浅灰色 - 纯素皮革）</v>
      </c>
      <c r="E1912" s="1" t="str">
        <f>IFERROR(__xludf.DUMMYFUNCTION("CONCATENATE(GOOGLETRANSLATE(C1912, ""en"", ""ko""))"),"Alexia 명상 시트 인체 생리학에 인체 공학적으로 올바른 Zen Yoga 인체 공학적 의자 폼 쿠션 가정 또는 사무실 (밝은 회색 - 비건 가죽)")</f>
        <v>Alexia 명상 시트 인체 생리학에 인체 공학적으로 올바른 Zen Yoga 인체 공학적 의자 폼 쿠션 가정 또는 사무실 (밝은 회색 - 비건 가죽)</v>
      </c>
      <c r="F1912" s="1" t="str">
        <f>IFERROR(__xludf.DUMMYFUNCTION("CONCATENATE(GOOGLETRANSLATE(C1912, ""en"", ""ja""))"),"Alexia 瞑想シート 人間の生理学的に正しい 禅ヨガ 人間工学に基づいた椅子 フォームクッション 自宅またはオフィス (ライトグレー - ビーガンレザー)")</f>
        <v>Alexia 瞑想シート 人間の生理学的に正しい 禅ヨガ 人間工学に基づいた椅子 フォームクッション 自宅またはオフィス (ライトグレー - ビーガンレザー)</v>
      </c>
    </row>
    <row r="1913" ht="15.75" customHeight="1">
      <c r="A1913" s="1">
        <v>5582.0</v>
      </c>
      <c r="B1913" s="1" t="s">
        <v>15</v>
      </c>
      <c r="C1913" s="1" t="s">
        <v>1858</v>
      </c>
      <c r="D1913" s="1" t="str">
        <f>IFERROR(__xludf.DUMMYFUNCTION("CONCATENATE(GOOGLETRANSLATE(C1913, ""en"", ""zh-cn""))"),"ASSAULTFITNESS Assault AirBike Elite，灰色")</f>
        <v>ASSAULTFITNESS Assault AirBike Elite，灰色</v>
      </c>
      <c r="E1913" s="1" t="str">
        <f>IFERROR(__xludf.DUMMYFUNCTION("CONCATENATE(GOOGLETRANSLATE(C1913, ""en"", ""ko""))"),"ASSAULTFITNESS Assault AirBike 엘리트, 그레이")</f>
        <v>ASSAULTFITNESS Assault AirBike 엘리트, 그레이</v>
      </c>
      <c r="F1913" s="1" t="str">
        <f>IFERROR(__xludf.DUMMYFUNCTION("CONCATENATE(GOOGLETRANSLATE(C1913, ""en"", ""ja""))"),"ASSAULTFITNESS アサルト エアバイク エリート、グレー")</f>
        <v>ASSAULTFITNESS アサルト エアバイク エリート、グレー</v>
      </c>
    </row>
    <row r="1914" ht="15.75" customHeight="1">
      <c r="A1914" s="1">
        <v>5590.0</v>
      </c>
      <c r="B1914" s="1" t="s">
        <v>15</v>
      </c>
      <c r="C1914" s="1" t="s">
        <v>1859</v>
      </c>
      <c r="D1914" s="1" t="str">
        <f>IFERROR(__xludf.DUMMYFUNCTION("CONCATENATE(GOOGLETRANSLATE(C1914, ""en"", ""zh-cn""))"),"LIVACA 面部果冻面膜 - 奇异果面膜即时保湿 - 果冻面膜粉 23 液量盎司 - 面部护肤产品剥离，平滑、保湿、清洁（奇异果）")</f>
        <v>LIVACA 面部果冻面膜 - 奇异果面膜即时保湿 - 果冻面膜粉 23 液量盎司 - 面部护肤产品剥离，平滑、保湿、清洁（奇异果）</v>
      </c>
      <c r="E1914" s="1" t="str">
        <f>IFERROR(__xludf.DUMMYFUNCTION("CONCATENATE(GOOGLETRANSLATE(C1914, ""en"", ""ko""))"),"LIVACA 젤리 마스크 페이셜 - 즉각적인 수분 공급을 위한 키위 과일 페이스 마스크 - 젤리 페이스 마스크 파우더 23 Fl Oz - 페이셜 스킨 케어 제품 껍질을 벗겨 부드럽게 하고, 보습하고, 클렌징합니다(키위)")</f>
        <v>LIVACA 젤리 마스크 페이셜 - 즉각적인 수분 공급을 위한 키위 과일 페이스 마스크 - 젤리 페이스 마스크 파우더 23 Fl Oz - 페이셜 스킨 케어 제품 껍질을 벗겨 부드럽게 하고, 보습하고, 클렌징합니다(키위)</v>
      </c>
      <c r="F1914" s="1" t="str">
        <f>IFERROR(__xludf.DUMMYFUNCTION("CONCATENATE(GOOGLETRANSLATE(C1914, ""en"", ""ja""))"),"LIVACA フェイシャル用ゼリーマスク - 瞬時に水分補給できるキウイフルーツフェイスマスク - ゼリーフェイスマスクパウダー 23 液量オンス - フェイシャルスキンケア製品のピールオフで滑らかにし、保湿し、クレンジングします (キウイ)")</f>
        <v>LIVACA フェイシャル用ゼリーマスク - 瞬時に水分補給できるキウイフルーツフェイスマスク - ゼリーフェイスマスクパウダー 23 液量オンス - フェイシャルスキンケア製品のピールオフで滑らかにし、保湿し、クレンジングします (キウイ)</v>
      </c>
    </row>
    <row r="1915" ht="15.75" customHeight="1">
      <c r="A1915" s="1">
        <v>5591.0</v>
      </c>
      <c r="B1915" s="1" t="s">
        <v>15</v>
      </c>
      <c r="C1915" s="1" t="s">
        <v>1860</v>
      </c>
      <c r="D1915" s="1" t="str">
        <f>IFERROR(__xludf.DUMMYFUNCTION("CONCATENATE(GOOGLETRANSLATE(C1915, ""en"", ""zh-cn""))"),"LED 面膜光疗 7 色光子光保养嫩肤提亮肤色脸部和颈部面部护理面膜")</f>
        <v>LED 面膜光疗 7 色光子光保养嫩肤提亮肤色脸部和颈部面部护理面膜</v>
      </c>
      <c r="E1915" s="1" t="str">
        <f>IFERROR(__xludf.DUMMYFUNCTION("CONCATENATE(GOOGLETRANSLATE(C1915, ""en"", ""ko""))"),"Led 페이스 마스크 라이트 테라피 7 컬러 광자 라이트 유지 관리 부드러운 피부와 밝게 피부 얼굴과 목을 위한 페이셜 케어 마스크")</f>
        <v>Led 페이스 마스크 라이트 테라피 7 컬러 광자 라이트 유지 관리 부드러운 피부와 밝게 피부 얼굴과 목을 위한 페이셜 케어 마스크</v>
      </c>
      <c r="F1915" s="1" t="str">
        <f>IFERROR(__xludf.DUMMYFUNCTION("CONCATENATE(GOOGLETRANSLATE(C1915, ""en"", ""ja""))"),"LED フェイスマスク光療法 7 色フォトンライトメンテナンス柔らかい肌と肌を明るくする顔と首用のフェイシャルケアマスク")</f>
        <v>LED フェイスマスク光療法 7 色フォトンライトメンテナンス柔らかい肌と肌を明るくする顔と首用のフェイシャルケアマスク</v>
      </c>
    </row>
    <row r="1916" ht="15.75" customHeight="1">
      <c r="A1916" s="1">
        <v>5606.0</v>
      </c>
      <c r="B1916" s="1" t="s">
        <v>15</v>
      </c>
      <c r="C1916" s="1" t="s">
        <v>1851</v>
      </c>
      <c r="D1916" s="1" t="str">
        <f>IFERROR(__xludf.DUMMYFUNCTION("CONCATENATE(GOOGLETRANSLATE(C1916, ""en"", ""zh-cn""))"),"GAN Megaminx M，五角磁力测速魔方，无贴纸")</f>
        <v>GAN Megaminx M，五角磁力测速魔方，无贴纸</v>
      </c>
      <c r="E1916" s="1" t="str">
        <f>IFERROR(__xludf.DUMMYFUNCTION("CONCATENATE(GOOGLETRANSLATE(C1916, ""en"", ""ko""))"),"GAN Megaminx M, 오각형 자기 속도 큐브, 스티커 없음")</f>
        <v>GAN Megaminx M, 오각형 자기 속도 큐브, 스티커 없음</v>
      </c>
      <c r="F1916" s="1" t="str">
        <f>IFERROR(__xludf.DUMMYFUNCTION("CONCATENATE(GOOGLETRANSLATE(C1916, ""en"", ""ja""))"),"GAN メガミンクス M、五角形磁気スピードキューブ、ステッカーレス")</f>
        <v>GAN メガミンクス M、五角形磁気スピードキューブ、ステッカーレス</v>
      </c>
    </row>
    <row r="1917" ht="15.75" customHeight="1">
      <c r="A1917" s="1">
        <v>5609.0</v>
      </c>
      <c r="B1917" s="1" t="s">
        <v>15</v>
      </c>
      <c r="C1917" s="1" t="s">
        <v>1839</v>
      </c>
      <c r="D1917" s="1" t="str">
        <f>IFERROR(__xludf.DUMMYFUNCTION("CONCATENATE(GOOGLETRANSLATE(C1917, ""en"", ""zh-cn""))"),"GAN 13 磁悬浮 UV 涂层，磁性速度魔方 3x3 无贴纸 56 毫米磁铁魔方拼图玩具，GAN 2022 旗舰")</f>
        <v>GAN 13 磁悬浮 UV 涂层，磁性速度魔方 3x3 无贴纸 56 毫米磁铁魔方拼图玩具，GAN 2022 旗舰</v>
      </c>
      <c r="E1917" s="1" t="str">
        <f>IFERROR(__xludf.DUMMYFUNCTION("CONCATENATE(GOOGLETRANSLATE(C1917, ""en"", ""ko""))"),"GAN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1917" s="1" t="str">
        <f>IFERROR(__xludf.DUMMYFUNCTION("CONCATENATE(GOOGLETRANSLATE(C1917, ""en"", ""ja""))"),"GAN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1918" ht="15.75" customHeight="1">
      <c r="A1918" s="1">
        <v>5610.0</v>
      </c>
      <c r="B1918" s="1" t="s">
        <v>15</v>
      </c>
      <c r="C1918" s="1" t="s">
        <v>1852</v>
      </c>
      <c r="D1918" s="1" t="str">
        <f>IFERROR(__xludf.DUMMYFUNCTION("CONCATENATE(GOOGLETRANSLATE(C1918, ""en"", ""zh-cn""))"),"Roxenda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1918" s="1" t="str">
        <f>IFERROR(__xludf.DUMMYFUNCTION("CONCATENATE(GOOGLETRANSLATE(C1918, ""en"", ""ko""))"),"Roxenda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1918" s="1" t="str">
        <f>IFERROR(__xludf.DUMMYFUNCTION("CONCATENATE(GOOGLETRANSLATE(C1918, ""en"", ""ja""))"),"Roxenda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1919" ht="15.75" customHeight="1">
      <c r="A1919" s="1">
        <v>5612.0</v>
      </c>
      <c r="B1919" s="1" t="s">
        <v>15</v>
      </c>
      <c r="C1919" s="1" t="s">
        <v>1648</v>
      </c>
      <c r="D1919" s="1" t="str">
        <f>IFERROR(__xludf.DUMMYFUNCTION("CONCATENATE(GOOGLETRANSLATE(C1919, ""en"", ""zh-cn""))"),"CuberShop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1919" s="1" t="str">
        <f>IFERROR(__xludf.DUMMYFUNCTION("CONCATENATE(GOOGLETRANSLATE(C1919, ""en"", ""ko""))"),"CuberShop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1919" s="1" t="str">
        <f>IFERROR(__xludf.DUMMYFUNCTION("CONCATENATE(GOOGLETRANSLATE(C1919, ""en"", ""ja""))"),"CuberShop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1920" ht="15.75" customHeight="1">
      <c r="A1920" s="1">
        <v>5615.0</v>
      </c>
      <c r="B1920" s="1" t="s">
        <v>15</v>
      </c>
      <c r="C1920" s="1" t="s">
        <v>1861</v>
      </c>
      <c r="D1920" s="1" t="str">
        <f>IFERROR(__xludf.DUMMYFUNCTION("CONCATENATE(GOOGLETRANSLATE(C1920, ""en"", ""zh-cn""))"),"博克芬诺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1920" s="1" t="str">
        <f>IFERROR(__xludf.DUMMYFUNCTION("CONCATENATE(GOOGLETRANSLATE(C1920, ""en"", ""ko""))"),"Bokefenuo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1920" s="1" t="str">
        <f>IFERROR(__xludf.DUMMYFUNCTION("CONCATENATE(GOOGLETRANSLATE(C1920, ""en"", ""ja""))"),"Bokefenuo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1921" ht="15.75" customHeight="1">
      <c r="A1921" s="1">
        <v>5624.0</v>
      </c>
      <c r="B1921" s="1" t="s">
        <v>15</v>
      </c>
      <c r="C1921" s="1" t="s">
        <v>1855</v>
      </c>
      <c r="D1921" s="1" t="str">
        <f>IFERROR(__xludf.DUMMYFUNCTION("CONCATENATE(GOOGLETRANSLATE(C1921, ""en"", ""zh-cn""))"),"单人炉篝火带支架便携式火坑不锈钢火坑燃木低烟野营炉| 19.5x14 英寸户外火坑")</f>
        <v>单人炉篝火带支架便携式火坑不锈钢火坑燃木低烟野营炉| 19.5x14 英寸户外火坑</v>
      </c>
      <c r="E1921" s="1" t="str">
        <f>IFERROR(__xludf.DUMMYFUNCTION("CONCATENATE(GOOGLETRANSLATE(C1921, ""en"", ""ko""))"),"스탠드가 있는 솔로 스토브 모닥불 휴대용 화재 구덩이 스테인레스 스틸 화재 구덩이 장작 및 저연 캠핑 스토브 | 19.5x14 인치 야외 화덕")</f>
        <v>스탠드가 있는 솔로 스토브 모닥불 휴대용 화재 구덩이 스테인레스 스틸 화재 구덩이 장작 및 저연 캠핑 스토브 | 19.5x14 인치 야외 화덕</v>
      </c>
      <c r="F1921" s="1" t="str">
        <f>IFERROR(__xludf.DUMMYFUNCTION("CONCATENATE(GOOGLETRANSLATE(C1921, ""en"", ""ja""))"),"ソロストーブ焚き火スタンド付きポータブルファイヤーピットステンレススチールファイヤーピット薪燃焼および低煙キャンプストーブ | 19.5x14インチの屋外ファイヤーピット")</f>
        <v>ソロストーブ焚き火スタンド付きポータブルファイヤーピットステンレススチールファイヤーピット薪燃焼および低煙キャンプストーブ | 19.5x14インチの屋外ファイヤーピット</v>
      </c>
    </row>
    <row r="1922" ht="15.75" customHeight="1">
      <c r="A1922" s="1">
        <v>5660.0</v>
      </c>
      <c r="B1922" s="1" t="s">
        <v>15</v>
      </c>
      <c r="C1922" s="1" t="s">
        <v>1825</v>
      </c>
      <c r="D1922" s="1" t="str">
        <f>IFERROR(__xludf.DUMMYFUNCTION("CONCATENATE(GOOGLETRANSLATE(C1922, ""en"", ""zh-cn""))"),"1500 块木制拼图桌 - 6 个抽屉，拼图板 | 27” X 35” 便携式拼图板 - 便携式拼图桌 |适合成人和儿童")</f>
        <v>1500 块木制拼图桌 - 6 个抽屉，拼图板 | 27” X 35” 便携式拼图板 - 便携式拼图桌 |适合成人和儿童</v>
      </c>
      <c r="E1922" s="1" t="str">
        <f>IFERROR(__xludf.DUMMYFUNCTION("CONCATENATE(GOOGLETRANSLATE(C1922, ""en"", ""ko""))"),"1500피스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1922" s="1" t="str">
        <f>IFERROR(__xludf.DUMMYFUNCTION("CONCATENATE(GOOGLETRANSLATE(C1922, ""en"", ""ja""))"),"1500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1923" ht="15.75" customHeight="1">
      <c r="A1923" s="1">
        <v>5667.0</v>
      </c>
      <c r="B1923" s="1" t="s">
        <v>15</v>
      </c>
      <c r="C1923" s="1" t="s">
        <v>1827</v>
      </c>
      <c r="D1923" s="1" t="str">
        <f>IFERROR(__xludf.DUMMYFUNCTION("CONCATENATE(GOOGLETRANSLATE(C1923, ""en"", ""zh-cn""))"),"宁神茶丸 甘麦大枣丸 (1000 茶丸)3383E-MAYWAY by Mayway")</f>
        <v>宁神茶丸 甘麦大枣丸 (1000 茶丸)3383E-MAYWAY by Mayway</v>
      </c>
      <c r="E1923" s="1" t="str">
        <f>IFERROR(__xludf.DUMMYFUNCTION("CONCATENATE(GOOGLETRANSLATE(C1923, ""en"", ""ko""))"),"Calm Spirit Teapills Gan Mai Da Zao Wan (1000 티필)3383E-MAYWAY by Mayway")</f>
        <v>Calm Spirit Teapills Gan Mai Da Zao Wan (1000 티필)3383E-MAYWAY by Mayway</v>
      </c>
      <c r="F1923" s="1" t="str">
        <f>IFERROR(__xludf.DUMMYFUNCTION("CONCATENATE(GOOGLETRANSLATE(C1923, ""en"", ""ja""))"),"Calm Spirit Teapills Gan Mai Da Zao Wan (1000 Teapills)3383E-MAYWAY by Mayway")</f>
        <v>Calm Spirit Teapills Gan Mai Da Zao Wan (1000 Teapills)3383E-MAYWAY by Mayway</v>
      </c>
    </row>
    <row r="1924" ht="15.75" customHeight="1">
      <c r="A1924" s="1">
        <v>5668.0</v>
      </c>
      <c r="B1924" s="1" t="s">
        <v>15</v>
      </c>
      <c r="C1924" s="1" t="s">
        <v>1842</v>
      </c>
      <c r="D1924" s="1" t="str">
        <f>IFERROR(__xludf.DUMMYFUNCTION("CONCATENATE(GOOGLETRANSLATE(C1924, ""en"", ""zh-cn""))"),"波克芬诺 GAN Megaminx M 3x3 速度魔方 Gan 五角形磁性无贴纸魔法拼图魔方玩具")</f>
        <v>波克芬诺 GAN Megaminx M 3x3 速度魔方 Gan 五角形磁性无贴纸魔法拼图魔方玩具</v>
      </c>
      <c r="E1924" s="1" t="str">
        <f>IFERROR(__xludf.DUMMYFUNCTION("CONCATENATE(GOOGLETRANSLATE(C1924, ""en"", ""ko""))"),"Bokefenuo GAN Megaminx M 3x3 스피드 큐브 Gan 오각형 자기 스티커가없는 매직 퍼즐 큐브 장난감")</f>
        <v>Bokefenuo GAN Megaminx M 3x3 스피드 큐브 Gan 오각형 자기 스티커가없는 매직 퍼즐 큐브 장난감</v>
      </c>
      <c r="F1924" s="1" t="str">
        <f>IFERROR(__xludf.DUMMYFUNCTION("CONCATENATE(GOOGLETRANSLATE(C1924, ""en"", ""ja""))"),"Bokefenuo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1925" ht="15.75" customHeight="1">
      <c r="A1925" s="1">
        <v>5675.0</v>
      </c>
      <c r="B1925" s="1" t="s">
        <v>15</v>
      </c>
      <c r="C1925" s="1" t="s">
        <v>1862</v>
      </c>
      <c r="D1925" s="1" t="str">
        <f>IFERROR(__xludf.DUMMYFUNCTION("CONCATENATE(GOOGLETRANSLATE(C1925, ""en"", ""zh-cn""))"),"女士休闲套装")</f>
        <v>女士休闲套装</v>
      </c>
      <c r="E1925" s="1" t="str">
        <f>IFERROR(__xludf.DUMMYFUNCTION("CONCATENATE(GOOGLETRANSLATE(C1925, ""en"", ""ko""))"),"여성용 라운지 세트")</f>
        <v>여성용 라운지 세트</v>
      </c>
      <c r="F1925" s="1" t="str">
        <f>IFERROR(__xludf.DUMMYFUNCTION("CONCATENATE(GOOGLETRANSLATE(C1925, ""en"", ""ja""))"),"レディースラウンジセット")</f>
        <v>レディースラウンジセット</v>
      </c>
    </row>
    <row r="1926" ht="15.75" customHeight="1">
      <c r="A1926" s="1">
        <v>5678.0</v>
      </c>
      <c r="B1926" s="1" t="s">
        <v>15</v>
      </c>
      <c r="C1926" s="1" t="s">
        <v>1863</v>
      </c>
      <c r="D1926" s="1" t="str">
        <f>IFERROR(__xludf.DUMMYFUNCTION("CONCATENATE(GOOGLETRANSLATE(C1926, ""en"", ""zh-cn""))"),"Magnolia Boutique 女式花卉印花甜心上衣")</f>
        <v>Magnolia Boutique 女式花卉印花甜心上衣</v>
      </c>
      <c r="E1926" s="1" t="str">
        <f>IFERROR(__xludf.DUMMYFUNCTION("CONCATENATE(GOOGLETRANSLATE(C1926, ""en"", ""ko""))"),"Magnolia Boutique 여성 꽃무늬 프린트 스윗하트 탑")</f>
        <v>Magnolia Boutique 여성 꽃무늬 프린트 스윗하트 탑</v>
      </c>
      <c r="F1926" s="1" t="str">
        <f>IFERROR(__xludf.DUMMYFUNCTION("CONCATENATE(GOOGLETRANSLATE(C1926, ""en"", ""ja""))"),"Magnolia Boutique レディース フローラル プリント スイートハート トップ")</f>
        <v>Magnolia Boutique レディース フローラル プリント スイートハート トップ</v>
      </c>
    </row>
    <row r="1927" ht="15.75" customHeight="1">
      <c r="A1927" s="1">
        <v>5685.0</v>
      </c>
      <c r="B1927" s="1" t="s">
        <v>15</v>
      </c>
      <c r="C1927" s="1" t="s">
        <v>1864</v>
      </c>
      <c r="D1927" s="1" t="str">
        <f>IFERROR(__xludf.DUMMYFUNCTION("CONCATENATE(GOOGLETRANSLATE(C1927, ""en"", ""zh-cn""))"),"PACT 女式有机合身喇叭中长连衣裙")</f>
        <v>PACT 女式有机合身喇叭中长连衣裙</v>
      </c>
      <c r="E1927" s="1" t="str">
        <f>IFERROR(__xludf.DUMMYFUNCTION("CONCATENATE(GOOGLETRANSLATE(C1927, ""en"", ""ko""))"),"PACT 여성 오가닉 핏 &amp; 플레어 미디 드레스")</f>
        <v>PACT 여성 오가닉 핏 &amp; 플레어 미디 드레스</v>
      </c>
      <c r="F1927" s="1" t="str">
        <f>IFERROR(__xludf.DUMMYFUNCTION("CONCATENATE(GOOGLETRANSLATE(C1927, ""en"", ""ja""))"),"PACT レディース オーガニック フィット＆フレア ミディドレス")</f>
        <v>PACT レディース オーガニック フィット＆フレア ミディドレス</v>
      </c>
    </row>
    <row r="1928" ht="15.75" customHeight="1">
      <c r="A1928" s="1">
        <v>5689.0</v>
      </c>
      <c r="B1928" s="1" t="s">
        <v>15</v>
      </c>
      <c r="C1928" s="1" t="s">
        <v>1865</v>
      </c>
      <c r="D1928" s="1" t="str">
        <f>IFERROR(__xludf.DUMMYFUNCTION("CONCATENATE(GOOGLETRANSLATE(C1928, ""en"", ""zh-cn""))"),"Free People Milley 双面套装")</f>
        <v>Free People Milley 双面套装</v>
      </c>
      <c r="E1928" s="1" t="str">
        <f>IFERROR(__xludf.DUMMYFUNCTION("CONCATENATE(GOOGLETRANSLATE(C1928, ""en"", ""ko""))"),"Free People Milley 양면 세트")</f>
        <v>Free People Milley 양면 세트</v>
      </c>
      <c r="F1928" s="1" t="str">
        <f>IFERROR(__xludf.DUMMYFUNCTION("CONCATENATE(GOOGLETRANSLATE(C1928, ""en"", ""ja""))"),"フリーピープル ミリー リバーシブル セット")</f>
        <v>フリーピープル ミリー リバーシブル セット</v>
      </c>
    </row>
    <row r="1929" ht="15.75" customHeight="1">
      <c r="A1929" s="1">
        <v>5692.0</v>
      </c>
      <c r="B1929" s="1" t="s">
        <v>15</v>
      </c>
      <c r="C1929" s="1" t="s">
        <v>1866</v>
      </c>
      <c r="D1929" s="1" t="str">
        <f>IFERROR(__xludf.DUMMYFUNCTION("CONCATENATE(GOOGLETRANSLATE(C1929, ""en"", ""zh-cn""))"),"Boden 女式 Amelie 长袖连衣裙")</f>
        <v>Boden 女式 Amelie 长袖连衣裙</v>
      </c>
      <c r="E1929" s="1" t="str">
        <f>IFERROR(__xludf.DUMMYFUNCTION("CONCATENATE(GOOGLETRANSLATE(C1929, ""en"", ""ko""))"),"Boden 여성 아멜리에 긴팔 드레스")</f>
        <v>Boden 여성 아멜리에 긴팔 드레스</v>
      </c>
      <c r="F1929" s="1" t="str">
        <f>IFERROR(__xludf.DUMMYFUNCTION("CONCATENATE(GOOGLETRANSLATE(C1929, ""en"", ""ja""))"),"Boden レディース Amelie 長袖ドレス")</f>
        <v>Boden レディース Amelie 長袖ドレス</v>
      </c>
    </row>
    <row r="1930" ht="15.75" customHeight="1">
      <c r="A1930" s="1">
        <v>5725.0</v>
      </c>
      <c r="B1930" s="1" t="s">
        <v>15</v>
      </c>
      <c r="C1930" s="1" t="s">
        <v>1867</v>
      </c>
      <c r="D1930" s="1" t="str">
        <f>IFERROR(__xludf.DUMMYFUNCTION("CONCATENATE(GOOGLETRANSLATE(C1930, ""en"", ""zh-cn""))"),"Urban Move 男士街头服饰设计师套装")</f>
        <v>Urban Move 男士街头服饰设计师套装</v>
      </c>
      <c r="E1930" s="1" t="str">
        <f>IFERROR(__xludf.DUMMYFUNCTION("CONCATENATE(GOOGLETRANSLATE(C1930, ""en"", ""ko""))"),"Urban Move 남성 스트리트웨어 디자이너 세트")</f>
        <v>Urban Move 남성 스트리트웨어 디자이너 세트</v>
      </c>
      <c r="F1930" s="1" t="str">
        <f>IFERROR(__xludf.DUMMYFUNCTION("CONCATENATE(GOOGLETRANSLATE(C1930, ""en"", ""ja""))"),"Urban Move メンズ ストリートウェア デザイナー セット")</f>
        <v>Urban Move メンズ ストリートウェア デザイナー セット</v>
      </c>
    </row>
    <row r="1931" ht="15.75" customHeight="1">
      <c r="A1931" s="1">
        <v>5737.0</v>
      </c>
      <c r="B1931" s="1" t="s">
        <v>15</v>
      </c>
      <c r="C1931" s="1" t="s">
        <v>1868</v>
      </c>
      <c r="D1931" s="1" t="str">
        <f>IFERROR(__xludf.DUMMYFUNCTION("CONCATENATE(GOOGLETRANSLATE(C1931, ""en"", ""zh-cn""))"),"耐克男士运动服俱乐部抓绒套头连帽衫")</f>
        <v>耐克男士运动服俱乐部抓绒套头连帽衫</v>
      </c>
      <c r="E1931" s="1" t="str">
        <f>IFERROR(__xludf.DUMMYFUNCTION("CONCATENATE(GOOGLETRANSLATE(C1931, ""en"", ""ko""))"),"나이키 남성 스포츠웨어 클럽 플리스 풀오버 후디")</f>
        <v>나이키 남성 스포츠웨어 클럽 플리스 풀오버 후디</v>
      </c>
      <c r="F1931" s="1" t="str">
        <f>IFERROR(__xludf.DUMMYFUNCTION("CONCATENATE(GOOGLETRANSLATE(C1931, ""en"", ""ja""))"),"ナイキ メンズ スポーツウェア クラブ フリース プルオーバー パーカー")</f>
        <v>ナイキ メンズ スポーツウェア クラブ フリース プルオーバー パーカー</v>
      </c>
    </row>
    <row r="1932" ht="15.75" customHeight="1">
      <c r="A1932" s="1">
        <v>5738.0</v>
      </c>
      <c r="B1932" s="1" t="s">
        <v>15</v>
      </c>
      <c r="C1932" s="1" t="s">
        <v>1869</v>
      </c>
      <c r="D1932" s="1" t="str">
        <f>IFERROR(__xludf.DUMMYFUNCTION("CONCATENATE(GOOGLETRANSLATE(C1932, ""en"", ""zh-cn""))"),"The North Face 男士 Junction 保暖夹克")</f>
        <v>The North Face 男士 Junction 保暖夹克</v>
      </c>
      <c r="E1932" s="1" t="str">
        <f>IFERROR(__xludf.DUMMYFUNCTION("CONCATENATE(GOOGLETRANSLATE(C1932, ""en"", ""ko""))"),"The North Face 남성 접합 절연 재킷")</f>
        <v>The North Face 남성 접합 절연 재킷</v>
      </c>
      <c r="F1932" s="1" t="str">
        <f>IFERROR(__xludf.DUMMYFUNCTION("CONCATENATE(GOOGLETRANSLATE(C1932, ""en"", ""ja""))"),"ザ・ノース・フェイス メンズ ジャンクション インサレーテッド ジャケット")</f>
        <v>ザ・ノース・フェイス メンズ ジャンクション インサレーテッド ジャケット</v>
      </c>
    </row>
    <row r="1933" ht="15.75" customHeight="1">
      <c r="A1933" s="1">
        <v>5745.0</v>
      </c>
      <c r="B1933" s="1" t="s">
        <v>15</v>
      </c>
      <c r="C1933" s="1" t="s">
        <v>1870</v>
      </c>
      <c r="D1933" s="1" t="str">
        <f>IFERROR(__xludf.DUMMYFUNCTION("CONCATENATE(GOOGLETRANSLATE(C1933, ""en"", ""zh-cn""))"),"Michael Kors 男士连帽背带式呼吸管派克大衣")</f>
        <v>Michael Kors 男士连帽背带式呼吸管派克大衣</v>
      </c>
      <c r="E1933" s="1" t="str">
        <f>IFERROR(__xludf.DUMMYFUNCTION("CONCATENATE(GOOGLETRANSLATE(C1933, ""en"", ""ko""))"),"Michael Kors 남성용 후드 턱받이 스노클 파카")</f>
        <v>Michael Kors 남성용 후드 턱받이 스노클 파카</v>
      </c>
      <c r="F1933" s="1" t="str">
        <f>IFERROR(__xludf.DUMMYFUNCTION("CONCATENATE(GOOGLETRANSLATE(C1933, ""en"", ""ja""))"),"Michael Kors メンズ フード付きビブ シュノーケル パーカー")</f>
        <v>Michael Kors メンズ フード付きビブ シュノーケル パーカー</v>
      </c>
    </row>
    <row r="1934" ht="15.75" customHeight="1">
      <c r="A1934" s="1">
        <v>5758.0</v>
      </c>
      <c r="B1934" s="1" t="s">
        <v>15</v>
      </c>
      <c r="C1934" s="1" t="s">
        <v>1871</v>
      </c>
      <c r="D1934" s="1" t="str">
        <f>IFERROR(__xludf.DUMMYFUNCTION("CONCATENATE(GOOGLETRANSLATE(C1934, ""en"", ""zh-cn""))"),"Antec Flux 案例")</f>
        <v>Antec Flux 案例</v>
      </c>
      <c r="E1934" s="1" t="str">
        <f>IFERROR(__xludf.DUMMYFUNCTION("CONCATENATE(GOOGLETRANSLATE(C1934, ""en"", ""ko""))"),"Antec Flux 케이스")</f>
        <v>Antec Flux 케이스</v>
      </c>
      <c r="F1934" s="1" t="str">
        <f>IFERROR(__xludf.DUMMYFUNCTION("CONCATENATE(GOOGLETRANSLATE(C1934, ""en"", ""ja""))"),"Antec フラックスケース")</f>
        <v>Antec フラックスケース</v>
      </c>
    </row>
    <row r="1935" ht="15.75" customHeight="1">
      <c r="A1935" s="1">
        <v>5767.0</v>
      </c>
      <c r="B1935" s="1" t="s">
        <v>15</v>
      </c>
      <c r="C1935" s="1" t="s">
        <v>1872</v>
      </c>
      <c r="D1935" s="1" t="str">
        <f>IFERROR(__xludf.DUMMYFUNCTION("CONCATENATE(GOOGLETRANSLATE(C1935, ""en"", ""zh-cn""))"),"分形设计北案")</f>
        <v>分形设计北案</v>
      </c>
      <c r="E1935" s="1" t="str">
        <f>IFERROR(__xludf.DUMMYFUNCTION("CONCATENATE(GOOGLETRANSLATE(C1935, ""en"", ""ko""))"),"프랙탈 디자인 노스 케이스")</f>
        <v>프랙탈 디자인 노스 케이스</v>
      </c>
      <c r="F1935" s="1" t="str">
        <f>IFERROR(__xludf.DUMMYFUNCTION("CONCATENATE(GOOGLETRANSLATE(C1935, ""en"", ""ja""))"),"フラクタル デザイン ノース ケース")</f>
        <v>フラクタル デザイン ノース ケース</v>
      </c>
    </row>
    <row r="1936" ht="15.75" customHeight="1">
      <c r="A1936" s="1">
        <v>5782.0</v>
      </c>
      <c r="B1936" s="1" t="s">
        <v>15</v>
      </c>
      <c r="C1936" s="1" t="s">
        <v>1873</v>
      </c>
      <c r="D1936" s="1" t="str">
        <f>IFERROR(__xludf.DUMMYFUNCTION("CONCATENATE(GOOGLETRANSLATE(C1936, ""en"", ""zh-cn""))"),"外壳 H5 Flow RGB 白色 Midi ATX 硬件/电子")</f>
        <v>外壳 H5 Flow RGB 白色 Midi ATX 硬件/电子</v>
      </c>
      <c r="E1936" s="1" t="str">
        <f>IFERROR(__xludf.DUMMYFUNCTION("CONCATENATE(GOOGLETRANSLATE(C1936, ""en"", ""ko""))"),"케이스 H5 Flow RGB 흰색 Midi ATX 하드웨어/전자")</f>
        <v>케이스 H5 Flow RGB 흰색 Midi ATX 하드웨어/전자</v>
      </c>
      <c r="F1936" s="1" t="str">
        <f>IFERROR(__xludf.DUMMYFUNCTION("CONCATENATE(GOOGLETRANSLATE(C1936, ""en"", ""ja""))"),"ケース H5 フロー RGB ホワイト Midi ATX ハードウェア/電子")</f>
        <v>ケース H5 フロー RGB ホワイト Midi ATX ハードウェア/電子</v>
      </c>
    </row>
    <row r="1937" ht="15.75" customHeight="1">
      <c r="A1937" s="1">
        <v>5787.0</v>
      </c>
      <c r="B1937" s="1" t="s">
        <v>15</v>
      </c>
      <c r="C1937" s="1" t="s">
        <v>1874</v>
      </c>
      <c r="D1937" s="1" t="str">
        <f>IFERROR(__xludf.DUMMYFUNCTION("CONCATENATE(GOOGLETRANSLATE(C1937, ""en"", ""zh-cn""))"),"VIVO 移动电脑推车")</f>
        <v>VIVO 移动电脑推车</v>
      </c>
      <c r="E1937" s="1" t="str">
        <f>IFERROR(__xludf.DUMMYFUNCTION("CONCATENATE(GOOGLETRANSLATE(C1937, ""en"", ""ko""))"),"VIVO 모바일 PC 카트")</f>
        <v>VIVO 모바일 PC 카트</v>
      </c>
      <c r="F1937" s="1" t="str">
        <f>IFERROR(__xludf.DUMMYFUNCTION("CONCATENATE(GOOGLETRANSLATE(C1937, ""en"", ""ja""))"),"VIVO モバイル PC カート")</f>
        <v>VIVO モバイル PC カート</v>
      </c>
    </row>
    <row r="1938" ht="15.75" customHeight="1">
      <c r="A1938" s="1">
        <v>5800.0</v>
      </c>
      <c r="B1938" s="1" t="s">
        <v>15</v>
      </c>
      <c r="C1938" s="1" t="s">
        <v>1875</v>
      </c>
      <c r="D1938" s="1" t="str">
        <f>IFERROR(__xludf.DUMMYFUNCTION("CONCATENATE(GOOGLETRANSLATE(C1938, ""en"", ""zh-cn""))"),"ProsourceFit 拼图运动垫")</f>
        <v>ProsourceFit 拼图运动垫</v>
      </c>
      <c r="E1938" s="1" t="str">
        <f>IFERROR(__xludf.DUMMYFUNCTION("CONCATENATE(GOOGLETRANSLATE(C1938, ""en"", ""ko""))"),"ProsourceFit 퍼즐 운동 매트")</f>
        <v>ProsourceFit 퍼즐 운동 매트</v>
      </c>
      <c r="F1938" s="1" t="str">
        <f>IFERROR(__xludf.DUMMYFUNCTION("CONCATENATE(GOOGLETRANSLATE(C1938, ""en"", ""ja""))"),"ProsourceFit パズル エクササイズ マット")</f>
        <v>ProsourceFit パズル エクササイズ マット</v>
      </c>
    </row>
    <row r="1939" ht="15.75" customHeight="1">
      <c r="A1939" s="1">
        <v>5820.0</v>
      </c>
      <c r="B1939" s="1" t="s">
        <v>15</v>
      </c>
      <c r="C1939" s="1" t="s">
        <v>1876</v>
      </c>
      <c r="D1939" s="1" t="str">
        <f>IFERROR(__xludf.DUMMYFUNCTION("CONCATENATE(GOOGLETRANSLATE(C1939, ""en"", ""zh-cn""))"),"学院运动+户外足球训练营套件")</f>
        <v>学院运动+户外足球训练营套件</v>
      </c>
      <c r="E1939" s="1" t="str">
        <f>IFERROR(__xludf.DUMMYFUNCTION("CONCATENATE(GOOGLETRANSLATE(C1939, ""en"", ""ko""))"),"아카데미 스포츠 + 야외 축구 훈련 캠프 키트")</f>
        <v>아카데미 스포츠 + 야외 축구 훈련 캠프 키트</v>
      </c>
      <c r="F1939" s="1" t="str">
        <f>IFERROR(__xludf.DUMMYFUNCTION("CONCATENATE(GOOGLETRANSLATE(C1939, ""en"", ""ja""))"),"アカデミー スポーツ + アウトドア フットボール トレーニング キャンプ キット")</f>
        <v>アカデミー スポーツ + アウトドア フットボール トレーニング キャンプ キット</v>
      </c>
    </row>
    <row r="1940" ht="15.75" customHeight="1">
      <c r="A1940" s="1">
        <v>5824.0</v>
      </c>
      <c r="B1940" s="1" t="s">
        <v>15</v>
      </c>
      <c r="C1940" s="1" t="s">
        <v>1877</v>
      </c>
      <c r="D1940" s="1" t="str">
        <f>IFERROR(__xludf.DUMMYFUNCTION("CONCATENATE(GOOGLETRANSLATE(C1940, ""en"", ""zh-cn""))"),"Park &amp; Sun Spectrum 2000 排球网系统")</f>
        <v>Park &amp; Sun Spectrum 2000 排球网系统</v>
      </c>
      <c r="E1940" s="1" t="str">
        <f>IFERROR(__xludf.DUMMYFUNCTION("CONCATENATE(GOOGLETRANSLATE(C1940, ""en"", ""ko""))"),"Park &amp; ​​Sun Spectrum 2000 배구 네트 시스템")</f>
        <v>Park &amp; ​​Sun Spectrum 2000 배구 네트 시스템</v>
      </c>
      <c r="F1940" s="1" t="str">
        <f>IFERROR(__xludf.DUMMYFUNCTION("CONCATENATE(GOOGLETRANSLATE(C1940, ""en"", ""ja""))"),"Park &amp; Sun Spectrum 2000 バレーボール ネット システム")</f>
        <v>Park &amp; Sun Spectrum 2000 バレーボール ネット システム</v>
      </c>
    </row>
    <row r="1941" ht="15.75" customHeight="1">
      <c r="A1941" s="1">
        <v>5833.0</v>
      </c>
      <c r="B1941" s="1" t="s">
        <v>15</v>
      </c>
      <c r="C1941" s="1" t="s">
        <v>1878</v>
      </c>
      <c r="D1941" s="1" t="str">
        <f>IFERROR(__xludf.DUMMYFUNCTION("CONCATENATE(GOOGLETRANSLATE(C1941, ""en"", ""zh-cn""))"),"Anne Klein 女士石英水晶手镯套装")</f>
        <v>Anne Klein 女士石英水晶手镯套装</v>
      </c>
      <c r="E1941" s="1" t="str">
        <f>IFERROR(__xludf.DUMMYFUNCTION("CONCATENATE(GOOGLETRANSLATE(C1941, ""en"", ""ko""))"),"Anne Klein 여성용 쿼츠 크리스탈 팔찌 팔찌 세트")</f>
        <v>Anne Klein 여성용 쿼츠 크리스탈 팔찌 팔찌 세트</v>
      </c>
      <c r="F1941" s="1" t="str">
        <f>IFERROR(__xludf.DUMMYFUNCTION("CONCATENATE(GOOGLETRANSLATE(C1941, ""en"", ""ja""))"),"Anne Klein レディース クォーツ クリスタル バングル ブレスレット セット")</f>
        <v>Anne Klein レディース クォーツ クリスタル バングル ブレスレット セット</v>
      </c>
    </row>
    <row r="1942" ht="15.75" customHeight="1">
      <c r="A1942" s="1">
        <v>5838.0</v>
      </c>
      <c r="B1942" s="1" t="s">
        <v>15</v>
      </c>
      <c r="C1942" s="1" t="s">
        <v>1879</v>
      </c>
      <c r="D1942" s="1" t="str">
        <f>IFERROR(__xludf.DUMMYFUNCTION("CONCATENATE(GOOGLETRANSLATE(C1942, ""en"", ""zh-cn""))"),"女士 施华洛世奇 腕表 八角形切割手链")</f>
        <v>女士 施华洛世奇 腕表 八角形切割手链</v>
      </c>
      <c r="E1942" s="1" t="str">
        <f>IFERROR(__xludf.DUMMYFUNCTION("CONCATENATE(GOOGLETRANSLATE(C1942, ""en"", ""ko""))"),"여성 스와로브스키 시계 옥타곤 컷 브레이슬릿")</f>
        <v>여성 스와로브스키 시계 옥타곤 컷 브레이슬릿</v>
      </c>
      <c r="F1942" s="1" t="str">
        <f>IFERROR(__xludf.DUMMYFUNCTION("CONCATENATE(GOOGLETRANSLATE(C1942, ""en"", ""ja""))"),"女性スワロフスキー ウォッチ オクタゴン カット ブレスレット")</f>
        <v>女性スワロフスキー ウォッチ オクタゴン カット ブレスレット</v>
      </c>
    </row>
    <row r="1943" ht="15.75" customHeight="1">
      <c r="A1943" s="1">
        <v>5839.0</v>
      </c>
      <c r="B1943" s="1" t="s">
        <v>15</v>
      </c>
      <c r="C1943" s="1" t="s">
        <v>1880</v>
      </c>
      <c r="D1943" s="1" t="str">
        <f>IFERROR(__xludf.DUMMYFUNCTION("CONCATENATE(GOOGLETRANSLATE(C1943, ""en"", ""zh-cn""))"),"BREDA Jane 网状表带手表")</f>
        <v>BREDA Jane 网状表带手表</v>
      </c>
      <c r="E1943" s="1" t="str">
        <f>IFERROR(__xludf.DUMMYFUNCTION("CONCATENATE(GOOGLETRANSLATE(C1943, ""en"", ""ko""))"),"BREDA 제인 메쉬 스트랩 시계")</f>
        <v>BREDA 제인 메쉬 스트랩 시계</v>
      </c>
      <c r="F1943" s="1" t="str">
        <f>IFERROR(__xludf.DUMMYFUNCTION("CONCATENATE(GOOGLETRANSLATE(C1943, ""en"", ""ja""))"),"BREDA ジェーン メッシュストラップ ウォッチ")</f>
        <v>BREDA ジェーン メッシュストラップ ウォッチ</v>
      </c>
    </row>
    <row r="1944" ht="15.75" customHeight="1">
      <c r="A1944" s="1">
        <v>5843.0</v>
      </c>
      <c r="B1944" s="1" t="s">
        <v>15</v>
      </c>
      <c r="C1944" s="1" t="s">
        <v>1881</v>
      </c>
      <c r="D1944" s="1" t="str">
        <f>IFERROR(__xludf.DUMMYFUNCTION("CONCATENATE(GOOGLETRANSLATE(C1944, ""en"", ""zh-cn""))"),"Bulova 男士萨顿手表 97D123")</f>
        <v>Bulova 男士萨顿手表 97D123</v>
      </c>
      <c r="E1944" s="1" t="str">
        <f>IFERROR(__xludf.DUMMYFUNCTION("CONCATENATE(GOOGLETRANSLATE(C1944, ""en"", ""ko""))"),"부로바 남성용 서튼 시계 97D123")</f>
        <v>부로바 남성용 서튼 시계 97D123</v>
      </c>
      <c r="F1944" s="1" t="str">
        <f>IFERROR(__xludf.DUMMYFUNCTION("CONCATENATE(GOOGLETRANSLATE(C1944, ""en"", ""ja""))"),"ブローバ メンズ サットン ウォッチ 97D123")</f>
        <v>ブローバ メンズ サットン ウォッチ 97D123</v>
      </c>
    </row>
    <row r="1945" ht="15.75" customHeight="1">
      <c r="A1945" s="1">
        <v>5845.0</v>
      </c>
      <c r="B1945" s="1" t="s">
        <v>15</v>
      </c>
      <c r="C1945" s="1" t="s">
        <v>1882</v>
      </c>
      <c r="D1945" s="1" t="str">
        <f>IFERROR(__xludf.DUMMYFUNCTION("CONCATENATE(GOOGLETRANSLATE(C1945, ""en"", ""zh-cn""))"),"Armani Exchange 女士三指针玫瑰金色不锈钢手表和")</f>
        <v>Armani Exchange 女士三指针玫瑰金色不锈钢手表和</v>
      </c>
      <c r="E1945" s="1" t="str">
        <f>IFERROR(__xludf.DUMMYFUNCTION("CONCATENATE(GOOGLETRANSLATE(C1945, ""en"", ""ko""))"),"아르마니 익스체인지 여성용 쓰리 핸즈 로즈 골드 톤 스테인리스 스틸 시계 및")</f>
        <v>아르마니 익스체인지 여성용 쓰리 핸즈 로즈 골드 톤 스테인리스 스틸 시계 및</v>
      </c>
      <c r="F1945" s="1" t="str">
        <f>IFERROR(__xludf.DUMMYFUNCTION("CONCATENATE(GOOGLETRANSLATE(C1945, ""en"", ""ja""))"),"アルマーニ エクスチェンジ レディース 3 針ローズゴールドトーン ステンレススチール ウォッチ")</f>
        <v>アルマーニ エクスチェンジ レディース 3 針ローズゴールドトーン ステンレススチール ウォッチ</v>
      </c>
    </row>
    <row r="1946" ht="15.75" customHeight="1">
      <c r="A1946" s="1">
        <v>5848.0</v>
      </c>
      <c r="B1946" s="1" t="s">
        <v>15</v>
      </c>
      <c r="C1946" s="1" t="s">
        <v>1883</v>
      </c>
      <c r="D1946" s="1" t="str">
        <f>IFERROR(__xludf.DUMMYFUNCTION("CONCATENATE(GOOGLETRANSLATE(C1946, ""en"", ""zh-cn""))"),"杰西卡·卡莱尔 (Jessica Carlyle) 女士心形手链手表带项链和耳环套装")</f>
        <v>杰西卡·卡莱尔 (Jessica Carlyle) 女士心形手链手表带项链和耳环套装</v>
      </c>
      <c r="E1946" s="1" t="str">
        <f>IFERROR(__xludf.DUMMYFUNCTION("CONCATENATE(GOOGLETRANSLATE(C1946, ""en"", ""ko""))"),"제시카 칼라일 여성용 하트 링크 팔찌 시계 및 목걸이 &amp; 귀걸이 세트")</f>
        <v>제시카 칼라일 여성용 하트 링크 팔찌 시계 및 목걸이 &amp; 귀걸이 세트</v>
      </c>
      <c r="F1946" s="1" t="str">
        <f>IFERROR(__xludf.DUMMYFUNCTION("CONCATENATE(GOOGLETRANSLATE(C1946, ""en"", ""ja""))"),"ジェシカ カーライル レディース ハートリンク ブレスレット ウォッチ ネックレス &amp; イヤリング セット付き")</f>
        <v>ジェシカ カーライル レディース ハートリンク ブレスレット ウォッチ ネックレス &amp; イヤリング セット付き</v>
      </c>
    </row>
    <row r="1947" ht="15.75" customHeight="1">
      <c r="A1947" s="1">
        <v>5866.0</v>
      </c>
      <c r="B1947" s="1" t="s">
        <v>15</v>
      </c>
      <c r="C1947" s="1" t="s">
        <v>1884</v>
      </c>
      <c r="D1947" s="1" t="str">
        <f>IFERROR(__xludf.DUMMYFUNCTION("CONCATENATE(GOOGLETRANSLATE(C1947, ""en"", ""zh-cn""))"),"Invicta 男士 Grand Diver 自动多功能手表")</f>
        <v>Invicta 男士 Grand Diver 自动多功能手表</v>
      </c>
      <c r="E1947" s="1" t="str">
        <f>IFERROR(__xludf.DUMMYFUNCTION("CONCATENATE(GOOGLETRANSLATE(C1947, ""en"", ""ko""))"),"인빅타 남성용 그랜드 다이버 자동 다기능 시계")</f>
        <v>인빅타 남성용 그랜드 다이버 자동 다기능 시계</v>
      </c>
      <c r="F1947" s="1" t="str">
        <f>IFERROR(__xludf.DUMMYFUNCTION("CONCATENATE(GOOGLETRANSLATE(C1947, ""en"", ""ja""))"),"Invicta メンズ グランド ダイバー 自動多機能腕時計")</f>
        <v>Invicta メンズ グランド ダイバー 自動多機能腕時計</v>
      </c>
    </row>
    <row r="1948" ht="15.75" customHeight="1">
      <c r="A1948" s="1">
        <v>5871.0</v>
      </c>
      <c r="B1948" s="1" t="s">
        <v>15</v>
      </c>
      <c r="C1948" s="1" t="s">
        <v>1885</v>
      </c>
      <c r="D1948" s="1" t="str">
        <f>IFERROR(__xludf.DUMMYFUNCTION("CONCATENATE(GOOGLETRANSLATE(C1948, ""en"", ""zh-cn""))"),"Ed Hardy 男士仿骷髅表盘硅胶手表套装")</f>
        <v>Ed Hardy 男士仿骷髅表盘硅胶手表套装</v>
      </c>
      <c r="E1948" s="1" t="str">
        <f>IFERROR(__xludf.DUMMYFUNCTION("CONCATENATE(GOOGLETRANSLATE(C1948, ""en"", ""ko""))"),"에드 하디 남성용 인조 스켈레톤 다이얼 실리콘 시계 세트")</f>
        <v>에드 하디 남성용 인조 스켈레톤 다이얼 실리콘 시계 세트</v>
      </c>
      <c r="F1948" s="1" t="str">
        <f>IFERROR(__xludf.DUMMYFUNCTION("CONCATENATE(GOOGLETRANSLATE(C1948, ""en"", ""ja""))"),"Ed Hardy メンズ フェイクスケルトン ダイヤル シリコン ウォッチ セット")</f>
        <v>Ed Hardy メンズ フェイクスケルトン ダイヤル シリコン ウォッチ セット</v>
      </c>
    </row>
    <row r="1949" ht="15.75" customHeight="1">
      <c r="A1949" s="1">
        <v>5888.0</v>
      </c>
      <c r="B1949" s="1" t="s">
        <v>15</v>
      </c>
      <c r="C1949" s="1" t="s">
        <v>1886</v>
      </c>
      <c r="D1949" s="1" t="str">
        <f>IFERROR(__xludf.DUMMYFUNCTION("CONCATENATE(GOOGLETRANSLATE(C1949, ""en"", ""zh-cn""))"),"Lamicall 可折叠手机支架")</f>
        <v>Lamicall 可折叠手机支架</v>
      </c>
      <c r="E1949" s="1" t="str">
        <f>IFERROR(__xludf.DUMMYFUNCTION("CONCATENATE(GOOGLETRANSLATE(C1949, ""en"", ""ko""))"),"라미콜 접이식 휴대폰 거치대")</f>
        <v>라미콜 접이식 휴대폰 거치대</v>
      </c>
      <c r="F1949" s="1" t="str">
        <f>IFERROR(__xludf.DUMMYFUNCTION("CONCATENATE(GOOGLETRANSLATE(C1949, ""en"", ""ja""))"),"Lamicall 折りたたみ式電話スタンド")</f>
        <v>Lamicall 折りたたみ式電話スタンド</v>
      </c>
    </row>
    <row r="1950" ht="15.75" customHeight="1">
      <c r="A1950" s="1">
        <v>5889.0</v>
      </c>
      <c r="B1950" s="1" t="s">
        <v>15</v>
      </c>
      <c r="C1950" s="1" t="s">
        <v>1887</v>
      </c>
      <c r="D1950" s="1" t="str">
        <f>IFERROR(__xludf.DUMMYFUNCTION("CONCATENATE(GOOGLETRANSLATE(C1950, ""en"", ""zh-cn""))"),"Casely 透明手机铃声")</f>
        <v>Casely 透明手机铃声</v>
      </c>
      <c r="E1950" s="1" t="str">
        <f>IFERROR(__xludf.DUMMYFUNCTION("CONCATENATE(GOOGLETRANSLATE(C1950, ""en"", ""ko""))"),"Casely 클리어 폰 링")</f>
        <v>Casely 클리어 폰 링</v>
      </c>
      <c r="F1950" s="1" t="str">
        <f>IFERROR(__xludf.DUMMYFUNCTION("CONCATENATE(GOOGLETRANSLATE(C1950, ""en"", ""ja""))"),"Casely クリアフォンリング")</f>
        <v>Casely クリアフォンリング</v>
      </c>
    </row>
    <row r="1951" ht="15.75" customHeight="1">
      <c r="A1951" s="1">
        <v>5912.0</v>
      </c>
      <c r="B1951" s="1" t="s">
        <v>15</v>
      </c>
      <c r="C1951" s="1" t="s">
        <v>1888</v>
      </c>
      <c r="D1951" s="1" t="str">
        <f>IFERROR(__xludf.DUMMYFUNCTION("CONCATENATE(GOOGLETRANSLATE(C1951, ""en"", ""zh-cn""))"),"Vitapro 手机握把")</f>
        <v>Vitapro 手机握把</v>
      </c>
      <c r="E1951" s="1" t="str">
        <f>IFERROR(__xludf.DUMMYFUNCTION("CONCATENATE(GOOGLETRANSLATE(C1951, ""en"", ""ko""))"),"비타프로 폰 그립")</f>
        <v>비타프로 폰 그립</v>
      </c>
      <c r="F1951" s="1" t="str">
        <f>IFERROR(__xludf.DUMMYFUNCTION("CONCATENATE(GOOGLETRANSLATE(C1951, ""en"", ""ja""))"),"ビタプロ フォン グリップ")</f>
        <v>ビタプロ フォン グリップ</v>
      </c>
    </row>
    <row r="1952" ht="15.75" customHeight="1">
      <c r="A1952" s="1">
        <v>5919.0</v>
      </c>
      <c r="B1952" s="1" t="s">
        <v>15</v>
      </c>
      <c r="C1952" s="1" t="s">
        <v>1889</v>
      </c>
      <c r="D1952" s="1" t="str">
        <f>IFERROR(__xludf.DUMMYFUNCTION("CONCATENATE(GOOGLETRANSLATE(C1952, ""en"", ""zh-cn""))"),"冰箱内置洗碗机")</f>
        <v>冰箱内置洗碗机</v>
      </c>
      <c r="E1952" s="1" t="str">
        <f>IFERROR(__xludf.DUMMYFUNCTION("CONCATENATE(GOOGLETRANSLATE(C1952, ""en"", ""ko""))"),"식기세척기 내장형 냉장고")</f>
        <v>식기세척기 내장형 냉장고</v>
      </c>
      <c r="F1952" s="1" t="str">
        <f>IFERROR(__xludf.DUMMYFUNCTION("CONCATENATE(GOOGLETRANSLATE(C1952, ""en"", ""ja""))"),"Frigidaire ビルトイン食器洗い機")</f>
        <v>Frigidaire ビルトイン食器洗い機</v>
      </c>
    </row>
    <row r="1953" ht="15.75" customHeight="1">
      <c r="A1953" s="1">
        <v>5924.0</v>
      </c>
      <c r="B1953" s="1" t="s">
        <v>15</v>
      </c>
      <c r="C1953" s="1" t="s">
        <v>1890</v>
      </c>
      <c r="D1953" s="1" t="str">
        <f>IFERROR(__xludf.DUMMYFUNCTION("CONCATENATE(GOOGLETRANSLATE(C1953, ""en"", ""zh-cn""))"),"GE 30 内置组合微波炉壁挂炉")</f>
        <v>GE 30 内置组合微波炉壁挂炉</v>
      </c>
      <c r="E1953" s="1" t="str">
        <f>IFERROR(__xludf.DUMMYFUNCTION("CONCATENATE(GOOGLETRANSLATE(C1953, ""en"", ""ko""))"),"GE 30 빌트인 콤비 전자레인지 벽오븐")</f>
        <v>GE 30 빌트인 콤비 전자레인지 벽오븐</v>
      </c>
      <c r="F1953" s="1" t="str">
        <f>IFERROR(__xludf.DUMMYFUNCTION("CONCATENATE(GOOGLETRANSLATE(C1953, ""en"", ""ja""))"),"GE 30 ビルトインコンビネーション電子レンジウォールオーブン")</f>
        <v>GE 30 ビルトインコンビネーション電子レンジウォールオーブン</v>
      </c>
    </row>
    <row r="1954" ht="15.75" customHeight="1">
      <c r="A1954" s="1">
        <v>5928.0</v>
      </c>
      <c r="B1954" s="1" t="s">
        <v>15</v>
      </c>
      <c r="C1954" s="1" t="s">
        <v>1891</v>
      </c>
      <c r="D1954" s="1" t="str">
        <f>IFERROR(__xludf.DUMMYFUNCTION("CONCATENATE(GOOGLETRANSLATE(C1954, ""en"", ""zh-cn""))"),"Equator Tiny Home 超紧凑电器包")</f>
        <v>Equator Tiny Home 超紧凑电器包</v>
      </c>
      <c r="E1954" s="1" t="str">
        <f>IFERROR(__xludf.DUMMYFUNCTION("CONCATENATE(GOOGLETRANSLATE(C1954, ""en"", ""ko""))"),"Equator Tiny Home 초소형 기기 팩")</f>
        <v>Equator Tiny Home 초소형 기기 팩</v>
      </c>
      <c r="F1954" s="1" t="str">
        <f>IFERROR(__xludf.DUMMYFUNCTION("CONCATENATE(GOOGLETRANSLATE(C1954, ""en"", ""ja""))"),"Equator Tiny Home Ultra Compact アプライアンス パック")</f>
        <v>Equator Tiny Home Ultra Compact アプライアンス パック</v>
      </c>
    </row>
    <row r="1955" ht="15.75" customHeight="1">
      <c r="A1955" s="1">
        <v>5933.0</v>
      </c>
      <c r="B1955" s="1" t="s">
        <v>15</v>
      </c>
      <c r="C1955" s="1" t="s">
        <v>1892</v>
      </c>
      <c r="D1955" s="1" t="str">
        <f>IFERROR(__xludf.DUMMYFUNCTION("CONCATENATE(GOOGLETRANSLATE(C1955, ""en"", ""zh-cn""))"),"Dash 清晰视图烤面包机")</f>
        <v>Dash 清晰视图烤面包机</v>
      </c>
      <c r="E1955" s="1" t="str">
        <f>IFERROR(__xludf.DUMMYFUNCTION("CONCATENATE(GOOGLETRANSLATE(C1955, ""en"", ""ko""))"),"대시 클리어 뷰 토스터")</f>
        <v>대시 클리어 뷰 토스터</v>
      </c>
      <c r="F1955" s="1" t="str">
        <f>IFERROR(__xludf.DUMMYFUNCTION("CONCATENATE(GOOGLETRANSLATE(C1955, ""en"", ""ja""))"),"ダッシュ クリアビュートースター")</f>
        <v>ダッシュ クリアビュートースター</v>
      </c>
    </row>
    <row r="1956" ht="15.75" customHeight="1">
      <c r="A1956" s="1">
        <v>5934.0</v>
      </c>
      <c r="B1956" s="1" t="s">
        <v>15</v>
      </c>
      <c r="C1956" s="1" t="s">
        <v>1893</v>
      </c>
      <c r="D1956" s="1" t="str">
        <f>IFERROR(__xludf.DUMMYFUNCTION("CONCATENATE(GOOGLETRANSLATE(C1956, ""en"", ""zh-cn""))"),"惠而浦 1.7 铜。英尺超范围微波炉")</f>
        <v>惠而浦 1.7 铜。英尺超范围微波炉</v>
      </c>
      <c r="E1956" s="1" t="str">
        <f>IFERROR(__xludf.DUMMYFUNCTION("CONCATENATE(GOOGLETRANSLATE(C1956, ""en"", ""ko""))"),"월풀 1.7 Cu. Ft 오버 더 레인지 전자레인지")</f>
        <v>월풀 1.7 Cu. Ft 오버 더 레인지 전자레인지</v>
      </c>
      <c r="F1956" s="1" t="str">
        <f>IFERROR(__xludf.DUMMYFUNCTION("CONCATENATE(GOOGLETRANSLATE(C1956, ""en"", ""ja""))"),"ワールプール 1.7 Cu。フィートオーバーザレンジ電子レンジ")</f>
        <v>ワールプール 1.7 Cu。フィートオーバーザレンジ電子レンジ</v>
      </c>
    </row>
    <row r="1957" ht="15.75" customHeight="1">
      <c r="A1957" s="1">
        <v>5954.0</v>
      </c>
      <c r="B1957" s="1" t="s">
        <v>15</v>
      </c>
      <c r="C1957" s="1" t="s">
        <v>1894</v>
      </c>
      <c r="D1957" s="1" t="str">
        <f>IFERROR(__xludf.DUMMYFUNCTION("CONCATENATE(GOOGLETRANSLATE(C1957, ""en"", ""zh-cn""))"),"按美容功能定制洗发水")</f>
        <v>按美容功能定制洗发水</v>
      </c>
      <c r="E1957" s="1" t="str">
        <f>IFERROR(__xludf.DUMMYFUNCTION("CONCATENATE(GOOGLETRANSLATE(C1957, ""en"", ""ko""))"),"미용 기능별 맞춤형 샴푸")</f>
        <v>미용 기능별 맞춤형 샴푸</v>
      </c>
      <c r="F1957" s="1" t="str">
        <f>IFERROR(__xludf.DUMMYFUNCTION("CONCATENATE(GOOGLETRANSLATE(C1957, ""en"", ""ja""))"),"美の機能別カスタムシャンプー")</f>
        <v>美の機能別カスタムシャンプー</v>
      </c>
    </row>
    <row r="1958" ht="15.75" customHeight="1">
      <c r="A1958" s="1">
        <v>5973.0</v>
      </c>
      <c r="B1958" s="1" t="s">
        <v>15</v>
      </c>
      <c r="C1958" s="1" t="s">
        <v>1895</v>
      </c>
      <c r="D1958" s="1" t="str">
        <f>IFERROR(__xludf.DUMMYFUNCTION("CONCATENATE(GOOGLETRANSLATE(C1958, ""en"", ""zh-cn""))"),"Jshealth头发配方维生素促进头发生长和能量以及")</f>
        <v>Jshealth头发配方维生素促进头发生长和能量以及</v>
      </c>
      <c r="E1958" s="1" t="str">
        <f>IFERROR(__xludf.DUMMYFUNCTION("CONCATENATE(GOOGLETRANSLATE(C1958, ""en"", ""ko""))"),"모발 성장과 에너지를 위한 Jshealth 헤어 포뮬라 비타민 및")</f>
        <v>모발 성장과 에너지를 위한 Jshealth 헤어 포뮬라 비타민 및</v>
      </c>
      <c r="F1958" s="1" t="str">
        <f>IFERROR(__xludf.DUMMYFUNCTION("CONCATENATE(GOOGLETRANSLATE(C1958, ""en"", ""ja""))"),"Jshealth ヘア フォーミュラ 髪の成長とエネルギーのためのビタミン、")</f>
        <v>Jshealth ヘア フォーミュラ 髪の成長とエネルギーのためのビタミン、</v>
      </c>
    </row>
    <row r="1959" ht="15.75" customHeight="1">
      <c r="A1959" s="1">
        <v>5976.0</v>
      </c>
      <c r="B1959" s="1" t="s">
        <v>15</v>
      </c>
      <c r="C1959" s="1" t="s">
        <v>1896</v>
      </c>
      <c r="D1959" s="1" t="str">
        <f>IFERROR(__xludf.DUMMYFUNCTION("CONCATENATE(GOOGLETRANSLATE(C1959, ""en"", ""zh-cn""))"),"妈妈天然头发生长补充剂")</f>
        <v>妈妈天然头发生长补充剂</v>
      </c>
      <c r="E1959" s="1" t="str">
        <f>IFERROR(__xludf.DUMMYFUNCTION("CONCATENATE(GOOGLETRANSLATE(C1959, ""en"", ""ko""))"),"Mama 천연 모발 성장 보조제")</f>
        <v>Mama 천연 모발 성장 보조제</v>
      </c>
      <c r="F1959" s="1" t="str">
        <f>IFERROR(__xludf.DUMMYFUNCTION("CONCATENATE(GOOGLETRANSLATE(C1959, ""en"", ""ja""))"),"ママナチュラル育毛サプリメント")</f>
        <v>ママナチュラル育毛サプリメント</v>
      </c>
    </row>
    <row r="1960" ht="15.75" customHeight="1">
      <c r="A1960" s="1">
        <v>5984.0</v>
      </c>
      <c r="B1960" s="1" t="s">
        <v>15</v>
      </c>
      <c r="C1960" s="1" t="s">
        <v>1897</v>
      </c>
      <c r="D1960" s="1" t="str">
        <f>IFERROR(__xludf.DUMMYFUNCTION("CONCATENATE(GOOGLETRANSLATE(C1960, ""en"", ""zh-cn""))"),"L'ange Hair Le Duo 气流造型器")</f>
        <v>L'ange Hair Le Duo 气流造型器</v>
      </c>
      <c r="E1960" s="1" t="str">
        <f>IFERROR(__xludf.DUMMYFUNCTION("CONCATENATE(GOOGLETRANSLATE(C1960, ""en"", ""ko""))"),"랑쥬 헤어 르 듀오 에어플로우 스타일러")</f>
        <v>랑쥬 헤어 르 듀오 에어플로우 스타일러</v>
      </c>
      <c r="F1960" s="1" t="str">
        <f>IFERROR(__xludf.DUMMYFUNCTION("CONCATENATE(GOOGLETRANSLATE(C1960, ""en"", ""ja""))"),"L'ange Hair ル デュオ エアフロー スタイラー")</f>
        <v>L'ange Hair ル デュオ エアフロー スタイラー</v>
      </c>
    </row>
    <row r="1961" ht="15.75" customHeight="1">
      <c r="A1961" s="1">
        <v>5999.0</v>
      </c>
      <c r="B1961" s="1" t="s">
        <v>15</v>
      </c>
      <c r="C1961" s="1" t="s">
        <v>1898</v>
      </c>
      <c r="D1961" s="1" t="str">
        <f>IFERROR(__xludf.DUMMYFUNCTION("CONCATENATE(GOOGLETRANSLATE(C1961, ""en"", ""zh-cn""))"),"Addition Studio Essential 头发两件套礼品套装")</f>
        <v>Addition Studio Essential 头发两件套礼品套装</v>
      </c>
      <c r="E1961" s="1" t="str">
        <f>IFERROR(__xludf.DUMMYFUNCTION("CONCATENATE(GOOGLETRANSLATE(C1961, ""en"", ""ko""))"),"애디션스튜디오 에센셜 헤어 듀오 선물세트")</f>
        <v>애디션스튜디오 에센셜 헤어 듀오 선물세트</v>
      </c>
      <c r="F1961" s="1" t="str">
        <f>IFERROR(__xludf.DUMMYFUNCTION("CONCATENATE(GOOGLETRANSLATE(C1961, ""en"", ""ja""))"),"アディション スタジオ エッセンシャル ヘア デュオ ギフトセット")</f>
        <v>アディション スタジオ エッセンシャル ヘア デュオ ギフトセット</v>
      </c>
    </row>
    <row r="1962" ht="15.75" customHeight="1">
      <c r="A1962" s="1">
        <v>6017.0</v>
      </c>
      <c r="B1962" s="1" t="s">
        <v>15</v>
      </c>
      <c r="C1962" s="1" t="s">
        <v>1899</v>
      </c>
      <c r="D1962" s="1" t="str">
        <f>IFERROR(__xludf.DUMMYFUNCTION("CONCATENATE(GOOGLETRANSLATE(C1962, ""en"", ""zh-cn""))"),"美容最爱套装 30 岁秀发 + 能量")</f>
        <v>美容最爱套装 30 岁秀发 + 能量</v>
      </c>
      <c r="E1962" s="1" t="str">
        <f>IFERROR(__xludf.DUMMYFUNCTION("CONCATENATE(GOOGLETRANSLATE(C1962, ""en"", ""ko""))"),"뷰티 즐겨찾기 번들 30s 헤어 + 에너지")</f>
        <v>뷰티 즐겨찾기 번들 30s 헤어 + 에너지</v>
      </c>
      <c r="F1962" s="1" t="str">
        <f>IFERROR(__xludf.DUMMYFUNCTION("CONCATENATE(GOOGLETRANSLATE(C1962, ""en"", ""ja""))"),"ビューティー フェイバリット バンドル 30 代のヘア + エネルギー")</f>
        <v>ビューティー フェイバリット バンドル 30 代のヘア + エネルギー</v>
      </c>
    </row>
    <row r="1963" ht="15.75" customHeight="1">
      <c r="A1963" s="1">
        <v>6020.0</v>
      </c>
      <c r="B1963" s="1" t="s">
        <v>15</v>
      </c>
      <c r="C1963" s="1" t="s">
        <v>1900</v>
      </c>
      <c r="D1963" s="1" t="str">
        <f>IFERROR(__xludf.DUMMYFUNCTION("CONCATENATE(GOOGLETRANSLATE(C1963, ""en"", ""zh-cn""))"),"Fable &amp; Mane 健康护发精油仪式礼品套装")</f>
        <v>Fable &amp; Mane 健康护发精油仪式礼品套装</v>
      </c>
      <c r="E1963" s="1" t="str">
        <f>IFERROR(__xludf.DUMMYFUNCTION("CONCATENATE(GOOGLETRANSLATE(C1963, ""en"", ""ko""))"),"Fable &amp; Mane 헬시 헤어 오일링 리추얼 선물 세트")</f>
        <v>Fable &amp; Mane 헬시 헤어 오일링 리추얼 선물 세트</v>
      </c>
      <c r="F1963" s="1" t="str">
        <f>IFERROR(__xludf.DUMMYFUNCTION("CONCATENATE(GOOGLETRANSLATE(C1963, ""en"", ""ja""))"),"Fable &amp; Mane ヘルシー ヘア オイリング リチュアル ギフト セット")</f>
        <v>Fable &amp; Mane ヘルシー ヘア オイリング リチュアル ギフト セット</v>
      </c>
    </row>
    <row r="1964" ht="15.75" customHeight="1">
      <c r="A1964" s="1">
        <v>6025.0</v>
      </c>
      <c r="B1964" s="1" t="s">
        <v>15</v>
      </c>
      <c r="C1964" s="1" t="s">
        <v>1901</v>
      </c>
      <c r="D1964" s="1" t="str">
        <f>IFERROR(__xludf.DUMMYFUNCTION("CONCATENATE(GOOGLETRANSLATE(C1964, ""en"", ""zh-cn""))"),"Swisse 女士头发营养胶囊")</f>
        <v>Swisse 女士头发营养胶囊</v>
      </c>
      <c r="E1964" s="1" t="str">
        <f>IFERROR(__xludf.DUMMYFUNCTION("CONCATENATE(GOOGLETRANSLATE(C1964, ""en"", ""ko""))"),"Swisse 여성용 모발 영양 캡슐")</f>
        <v>Swisse 여성용 모발 영양 캡슐</v>
      </c>
      <c r="F1964" s="1" t="str">
        <f>IFERROR(__xludf.DUMMYFUNCTION("CONCATENATE(GOOGLETRANSLATE(C1964, ""en"", ""ja""))"),"Swisse 女性用ヘア栄養カプセル")</f>
        <v>Swisse 女性用ヘア栄養カプセル</v>
      </c>
    </row>
    <row r="1965" ht="15.75" customHeight="1">
      <c r="A1965" s="1">
        <v>6026.0</v>
      </c>
      <c r="B1965" s="1" t="s">
        <v>15</v>
      </c>
      <c r="C1965" s="1" t="s">
        <v>1902</v>
      </c>
      <c r="D1965" s="1" t="str">
        <f>IFERROR(__xludf.DUMMYFUNCTION("CONCATENATE(GOOGLETRANSLATE(C1965, ""en"", ""zh-cn""))"),"Cult Beauty 美发类别套件（价值超过 105.00 欧元）")</f>
        <v>Cult Beauty 美发类别套件（价值超过 105.00 欧元）</v>
      </c>
      <c r="E1965" s="1" t="str">
        <f>IFERROR(__xludf.DUMMYFUNCTION("CONCATENATE(GOOGLETRANSLATE(C1965, ""en"", ""ko""))"),"컬트 뷰티 헤어 카테고리 키트(€105.00 이상 상당)")</f>
        <v>컬트 뷰티 헤어 카테고리 키트(€105.00 이상 상당)</v>
      </c>
      <c r="F1965" s="1" t="str">
        <f>IFERROR(__xludf.DUMMYFUNCTION("CONCATENATE(GOOGLETRANSLATE(C1965, ""en"", ""ja""))"),"Cult Beauty ヘア カテゴリ キット (€105.00 以上相当)")</f>
        <v>Cult Beauty ヘア カテゴリ キット (€105.00 以上相当)</v>
      </c>
    </row>
    <row r="1966" ht="15.75" customHeight="1">
      <c r="A1966" s="1">
        <v>6039.0</v>
      </c>
      <c r="B1966" s="1" t="s">
        <v>15</v>
      </c>
      <c r="C1966" s="1" t="s">
        <v>1853</v>
      </c>
      <c r="D1966" s="1" t="str">
        <f>IFERROR(__xludf.DUMMYFUNCTION("CONCATENATE(GOOGLETRANSLATE(C1966, ""en"", ""zh-cn""))"),"带金属腿和盖子的拼图桌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1966" s="1" t="str">
        <f>IFERROR(__xludf.DUMMYFUNCTION("CONCATENATE(GOOGLETRANSLATE(C1966, ""en"", ""ko""))"),"금속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1966" s="1" t="str">
        <f>IFERROR(__xludf.DUMMYFUNCTION("CONCATENATE(GOOGLETRANSLATE(C1966, ""en"", ""ja""))"),"金属製の脚とカバー付きパズルテーブル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1967" ht="15.75" customHeight="1">
      <c r="A1967" s="1">
        <v>6042.0</v>
      </c>
      <c r="B1967" s="1" t="s">
        <v>15</v>
      </c>
      <c r="C1967" s="1" t="s">
        <v>1648</v>
      </c>
      <c r="D1967" s="1" t="str">
        <f>IFERROR(__xludf.DUMMYFUNCTION("CONCATENATE(GOOGLETRANSLATE(C1967, ""en"", ""zh-cn""))"),"CuberShop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1967" s="1" t="str">
        <f>IFERROR(__xludf.DUMMYFUNCTION("CONCATENATE(GOOGLETRANSLATE(C1967, ""en"", ""ko""))"),"CuberShop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1967" s="1" t="str">
        <f>IFERROR(__xludf.DUMMYFUNCTION("CONCATENATE(GOOGLETRANSLATE(C1967, ""en"", ""ja""))"),"CuberShop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1968" ht="15.75" customHeight="1">
      <c r="A1968" s="1">
        <v>6055.0</v>
      </c>
      <c r="B1968" s="1" t="s">
        <v>15</v>
      </c>
      <c r="C1968" s="1" t="s">
        <v>1650</v>
      </c>
      <c r="D1968" s="1" t="str">
        <f>IFERROR(__xludf.DUMMYFUNCTION("CONCATENATE(GOOGLETRANSLATE(C1968, ""en"", ""zh-cn""))"),"SHARGEEK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1968" s="1" t="str">
        <f>IFERROR(__xludf.DUMMYFUNCTION("CONCATENATE(GOOGLETRANSLATE(C1968, ""en"", ""ko""))"),"SHARGEEK의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1968" s="1" t="str">
        <f>IFERROR(__xludf.DUMMYFUNCTION("CONCATENATE(GOOGLETRANSLATE(C1968, ""en"", ""ja""))"),"SHARGEEK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1969" ht="15.75" customHeight="1">
      <c r="A1969" s="1">
        <v>6072.0</v>
      </c>
      <c r="B1969" s="1" t="s">
        <v>15</v>
      </c>
      <c r="C1969" s="1" t="s">
        <v>1903</v>
      </c>
      <c r="D1969" s="1" t="str">
        <f>IFERROR(__xludf.DUMMYFUNCTION("CONCATENATE(GOOGLETRANSLATE(C1969, ""en"", ""zh-cn""))"),"CuberShop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1969" s="1" t="str">
        <f>IFERROR(__xludf.DUMMYFUNCTION("CONCATENATE(GOOGLETRANSLATE(C1969, ""en"", ""ko""))"),"CuberShop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1969" s="1" t="str">
        <f>IFERROR(__xludf.DUMMYFUNCTION("CONCATENATE(GOOGLETRANSLATE(C1969, ""en"", ""ja""))"),"CuberShop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1970" ht="15.75" customHeight="1">
      <c r="A1970" s="1">
        <v>6078.0</v>
      </c>
      <c r="B1970" s="1" t="s">
        <v>15</v>
      </c>
      <c r="C1970" s="1" t="s">
        <v>1823</v>
      </c>
      <c r="D1970" s="1" t="str">
        <f>IFERROR(__xludf.DUMMYFUNCTION("CONCATENATE(GOOGLETRANSLATE(C1970, ""en"", ""zh-cn""))"),"Giro Sector 男士山地骑行鞋")</f>
        <v>Giro Sector 男士山地骑行鞋</v>
      </c>
      <c r="E1970" s="1" t="str">
        <f>IFERROR(__xludf.DUMMYFUNCTION("CONCATENATE(GOOGLETRANSLATE(C1970, ""en"", ""ko""))"),"Giro Sector 남성용 산악 사이클링 신발")</f>
        <v>Giro Sector 남성용 산악 사이클링 신발</v>
      </c>
      <c r="F1970" s="1" t="str">
        <f>IFERROR(__xludf.DUMMYFUNCTION("CONCATENATE(GOOGLETRANSLATE(C1970, ""en"", ""ja""))"),"Giro Sector メンズ マウンテン サイクリング シューズ")</f>
        <v>Giro Sector メンズ マウンテン サイクリング シューズ</v>
      </c>
    </row>
    <row r="1971" ht="15.75" customHeight="1">
      <c r="A1971" s="1">
        <v>6079.0</v>
      </c>
      <c r="B1971" s="1" t="s">
        <v>15</v>
      </c>
      <c r="C1971" s="1" t="s">
        <v>1904</v>
      </c>
      <c r="D1971" s="1" t="str">
        <f>IFERROR(__xludf.DUMMYFUNCTION("CONCATENATE(GOOGLETRANSLATE(C1971, ""en"", ""zh-cn""))"),"美国 Pride 家具瑜伽系列现代人造皮革弧形躺椅，适合伸展和放松，非常适合卧室、客厅、冥想室或办公室，常规，黑巧克力色")</f>
        <v>美国 Pride 家具瑜伽系列现代人造皮革弧形躺椅，适合伸展和放松，非常适合卧室、客厅、冥想室或办公室，常规，黑巧克力色</v>
      </c>
      <c r="E1971" s="1" t="str">
        <f>IFERROR(__xludf.DUMMYFUNCTION("CONCATENATE(GOOGLETRANSLATE(C1971, ""en"", ""ko""))"),"US Pride Furniture Yoga Collection 스트레칭과 휴식을 위한 현대적인 인조 가죽 곡선 라운지 의자, 침실, 거실, 명상실 또는 사무실, 일반, 다크 초콜릿에 이상적")</f>
        <v>US Pride Furniture Yoga Collection 스트레칭과 휴식을 위한 현대적인 인조 가죽 곡선 라운지 의자, 침실, 거실, 명상실 또는 사무실, 일반, 다크 초콜릿에 이상적</v>
      </c>
      <c r="F1971" s="1" t="str">
        <f>IFERROR(__xludf.DUMMYFUNCTION("CONCATENATE(GOOGLETRANSLATE(C1971, ""en"", ""ja""))"),"USプライドファニチャーヨガコレクション ストレッチとリラクゼーションのためのモダンなフェイクレザーの湾曲したラウンジ長椅子、寝室、リビング、瞑想室またはオフィスに最適、レギュラー、ダークチョコレート")</f>
        <v>USプライドファニチャーヨガコレクション ストレッチとリラクゼーションのためのモダンなフェイクレザーの湾曲したラウンジ長椅子、寝室、リビング、瞑想室またはオフィスに最適、レギュラー、ダークチョコレート</v>
      </c>
    </row>
    <row r="1972" ht="15.75" customHeight="1">
      <c r="A1972" s="1">
        <v>6080.0</v>
      </c>
      <c r="B1972" s="1" t="s">
        <v>15</v>
      </c>
      <c r="C1972" s="1" t="s">
        <v>1820</v>
      </c>
      <c r="D1972" s="1" t="str">
        <f>IFERROR(__xludf.DUMMYFUNCTION("CONCATENATE(GOOGLETRANSLATE(C1972, ""en"", ""zh-cn""))"),"Giro Empire SLX 男士公路骑行鞋")</f>
        <v>Giro Empire SLX 男士公路骑行鞋</v>
      </c>
      <c r="E1972" s="1" t="str">
        <f>IFERROR(__xludf.DUMMYFUNCTION("CONCATENATE(GOOGLETRANSLATE(C1972, ""en"", ""ko""))"),"Giro Empire SLX 남성용 로드 사이클링 신발")</f>
        <v>Giro Empire SLX 남성용 로드 사이클링 신발</v>
      </c>
      <c r="F1972" s="1" t="str">
        <f>IFERROR(__xludf.DUMMYFUNCTION("CONCATENATE(GOOGLETRANSLATE(C1972, ""en"", ""ja""))"),"Giro Empire SLX メンズ ロード サイクリング シューズ")</f>
        <v>Giro Empire SLX メンズ ロード サイクリング シューズ</v>
      </c>
    </row>
    <row r="1973" ht="15.75" customHeight="1">
      <c r="A1973" s="1">
        <v>6090.0</v>
      </c>
      <c r="B1973" s="1" t="s">
        <v>15</v>
      </c>
      <c r="C1973" s="1" t="s">
        <v>1905</v>
      </c>
      <c r="D1973" s="1" t="str">
        <f>IFERROR(__xludf.DUMMYFUNCTION("CONCATENATE(GOOGLETRANSLATE(C1973, ""en"", ""zh-cn""))"),"Lake MX241 耐力骑行鞋 - 男士")</f>
        <v>Lake MX241 耐力骑行鞋 - 男士</v>
      </c>
      <c r="E1973" s="1" t="str">
        <f>IFERROR(__xludf.DUMMYFUNCTION("CONCATENATE(GOOGLETRANSLATE(C1973, ""en"", ""ko""))"),"Lake MX241 인듀어런스 사이클링 슈즈 - 남성용")</f>
        <v>Lake MX241 인듀어런스 사이클링 슈즈 - 남성용</v>
      </c>
      <c r="F1973" s="1" t="str">
        <f>IFERROR(__xludf.DUMMYFUNCTION("CONCATENATE(GOOGLETRANSLATE(C1973, ""en"", ""ja""))"),"Lake MX241 エンデュランス サイクリング シューズ - メンズ")</f>
        <v>Lake MX241 エンデュランス サイクリング シューズ - メンズ</v>
      </c>
    </row>
    <row r="1974" ht="15.75" customHeight="1">
      <c r="A1974" s="1">
        <v>6095.0</v>
      </c>
      <c r="B1974" s="1" t="s">
        <v>15</v>
      </c>
      <c r="C1974" s="1" t="s">
        <v>1906</v>
      </c>
      <c r="D1974" s="1" t="str">
        <f>IFERROR(__xludf.DUMMYFUNCTION("CONCATENATE(GOOGLETRANSLATE(C1974, ""en"", ""zh-cn""))"),"Igloo 54 夸脱钢带传统不锈钢冷却器带开瓶器")</f>
        <v>Igloo 54 夸脱钢带传统不锈钢冷却器带开瓶器</v>
      </c>
      <c r="E1974" s="1" t="str">
        <f>IFERROR(__xludf.DUMMYFUNCTION("CONCATENATE(GOOGLETRANSLATE(C1974, ""en"", ""ko""))"),"이글루 54 Qt 스틸 벨티드 레거시 스테인리스 스틸 쿨러(병따개 포함)")</f>
        <v>이글루 54 Qt 스틸 벨티드 레거시 스테인리스 스틸 쿨러(병따개 포함)</v>
      </c>
      <c r="F1974" s="1" t="str">
        <f>IFERROR(__xludf.DUMMYFUNCTION("CONCATENATE(GOOGLETRANSLATE(C1974, ""en"", ""ja""))"),"Igloo 54 Qt スチールベルト付きレガシーステンレススチールクーラー ボトルオープナー付き")</f>
        <v>Igloo 54 Qt スチールベルト付きレガシーステンレススチールクーラー ボトルオープナー付き</v>
      </c>
    </row>
    <row r="1975" ht="15.75" customHeight="1">
      <c r="A1975" s="1">
        <v>6098.0</v>
      </c>
      <c r="B1975" s="1" t="s">
        <v>15</v>
      </c>
      <c r="C1975" s="1" t="s">
        <v>1907</v>
      </c>
      <c r="D1975" s="1" t="str">
        <f>IFERROR(__xludf.DUMMYFUNCTION("CONCATENATE(GOOGLETRANSLATE(C1975, ""en"", ""zh-cn""))"),"Lenovo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1975" s="1" t="str">
        <f>IFERROR(__xludf.DUMMYFUNCTION("CONCATENATE(GOOGLETRANSLATE(C1975, ""en"", ""ko""))"),"Lenovo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1975" s="1" t="str">
        <f>IFERROR(__xludf.DUMMYFUNCTION("CONCATENATE(GOOGLETRANSLATE(C1975, ""en"", ""ja""))"),"Lenovo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1976" ht="15.75" customHeight="1">
      <c r="A1976" s="1">
        <v>6101.0</v>
      </c>
      <c r="B1976" s="1" t="s">
        <v>15</v>
      </c>
      <c r="C1976" s="1" t="s">
        <v>1650</v>
      </c>
      <c r="D1976" s="1" t="str">
        <f>IFERROR(__xludf.DUMMYFUNCTION("CONCATENATE(GOOGLETRANSLATE(C1976, ""en"", ""zh-cn""))"),"SHARGEEK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1976" s="1" t="str">
        <f>IFERROR(__xludf.DUMMYFUNCTION("CONCATENATE(GOOGLETRANSLATE(C1976, ""en"", ""ko""))"),"SHARGEEK의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1976" s="1" t="str">
        <f>IFERROR(__xludf.DUMMYFUNCTION("CONCATENATE(GOOGLETRANSLATE(C1976, ""en"", ""ja""))"),"SHARGEEK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1977" ht="15.75" customHeight="1">
      <c r="A1977" s="1">
        <v>6119.0</v>
      </c>
      <c r="B1977" s="1" t="s">
        <v>15</v>
      </c>
      <c r="C1977" s="1" t="s">
        <v>1846</v>
      </c>
      <c r="D1977" s="1" t="str">
        <f>IFERROR(__xludf.DUMMYFUNCTION("CONCATENATE(GOOGLETRANSLATE(C1977, ""en"", ""zh-cn""))"),"带抽屉和盖垫的拼图板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1977" s="1" t="str">
        <f>IFERROR(__xludf.DUMMYFUNCTION("CONCATENATE(GOOGLETRANSLATE(C1977, ""en"", ""ko""))"),"서랍과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1977" s="1" t="str">
        <f>IFERROR(__xludf.DUMMYFUNCTION("CONCATENATE(GOOGLETRANSLATE(C1977, ""en"", ""ja""))"),"引き出しとカバー付きパズルボード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1978" ht="15.75" customHeight="1">
      <c r="A1978" s="1">
        <v>6124.0</v>
      </c>
      <c r="B1978" s="1" t="s">
        <v>15</v>
      </c>
      <c r="C1978" s="1" t="s">
        <v>1908</v>
      </c>
      <c r="D1978" s="1" t="str">
        <f>IFERROR(__xludf.DUMMYFUNCTION("CONCATENATE(GOOGLETRANSLATE(C1978, ""en"", ""zh-cn""))"),"Alexia D371-CU001 冥想座椅（纯素皮革，深灰色）")</f>
        <v>Alexia D371-CU001 冥想座椅（纯素皮革，深灰色）</v>
      </c>
      <c r="E1978" s="1" t="str">
        <f>IFERROR(__xludf.DUMMYFUNCTION("CONCATENATE(GOOGLETRANSLATE(C1978, ""en"", ""ko""))"),"알렉시아 D371-CU001 명상 시트 (비건 가죽, 다크 그레이)")</f>
        <v>알렉시아 D371-CU001 명상 시트 (비건 가죽, 다크 그레이)</v>
      </c>
      <c r="F1978" s="1" t="str">
        <f>IFERROR(__xludf.DUMMYFUNCTION("CONCATENATE(GOOGLETRANSLATE(C1978, ""en"", ""ja""))"),"Alexia D371-CU001 瞑想シート (ヴィーガンレザー、ダークグレー)")</f>
        <v>Alexia D371-CU001 瞑想シート (ヴィーガンレザー、ダークグレー)</v>
      </c>
    </row>
    <row r="1979" ht="15.75" customHeight="1">
      <c r="A1979" s="1">
        <v>6150.0</v>
      </c>
      <c r="B1979" s="1" t="s">
        <v>15</v>
      </c>
      <c r="C1979" s="1" t="s">
        <v>1909</v>
      </c>
      <c r="D1979" s="1" t="str">
        <f>IFERROR(__xludf.DUMMYFUNCTION("CONCATENATE(GOOGLETRANSLATE(C1979, ""en"", ""zh-cn""))"),"YOGABODY 瑜伽吊架，室内外使用")</f>
        <v>YOGABODY 瑜伽吊架，室内外使用</v>
      </c>
      <c r="E1979" s="1" t="str">
        <f>IFERROR(__xludf.DUMMYFUNCTION("CONCATENATE(GOOGLETRANSLATE(C1979, ""en"", ""ko""))"),"YOGABODY 요가 공중 그네 스탠드, 실내 및 실외 사용")</f>
        <v>YOGABODY 요가 공중 그네 스탠드, 실내 및 실외 사용</v>
      </c>
      <c r="F1979" s="1" t="str">
        <f>IFERROR(__xludf.DUMMYFUNCTION("CONCATENATE(GOOGLETRANSLATE(C1979, ""en"", ""ja""))"),"YOGABODY ヨガ空中ブランコスタンド、屋内および屋外で使用可能")</f>
        <v>YOGABODY ヨガ空中ブランコスタンド、屋内および屋外で使用可能</v>
      </c>
    </row>
    <row r="1980" ht="15.75" customHeight="1">
      <c r="A1980" s="1">
        <v>6151.0</v>
      </c>
      <c r="B1980" s="1" t="s">
        <v>15</v>
      </c>
      <c r="C1980" s="1" t="s">
        <v>1910</v>
      </c>
      <c r="D1980" s="1" t="str">
        <f>IFERROR(__xludf.DUMMYFUNCTION("CONCATENATE(GOOGLETRANSLATE(C1980, ""en"", ""zh-cn""))"),"Vento Powerstrap R2 Aeroweave")</f>
        <v>Vento Powerstrap R2 Aeroweave</v>
      </c>
      <c r="E1980" s="1" t="str">
        <f>IFERROR(__xludf.DUMMYFUNCTION("CONCATENATE(GOOGLETRANSLATE(C1980, ""en"", ""ko""))"),"벤토 파워스트랩 R2 에어로위브")</f>
        <v>벤토 파워스트랩 R2 에어로위브</v>
      </c>
      <c r="F1980" s="1" t="str">
        <f>IFERROR(__xludf.DUMMYFUNCTION("CONCATENATE(GOOGLETRANSLATE(C1980, ""en"", ""ja""))"),"ヴェント パワーストラップ R2 エアロウィーブ")</f>
        <v>ヴェント パワーストラップ R2 エアロウィーブ</v>
      </c>
    </row>
    <row r="1981" ht="15.75" customHeight="1">
      <c r="A1981" s="1">
        <v>6155.0</v>
      </c>
      <c r="B1981" s="1" t="s">
        <v>15</v>
      </c>
      <c r="C1981" s="1" t="s">
        <v>1911</v>
      </c>
      <c r="D1981" s="1" t="str">
        <f>IFERROR(__xludf.DUMMYFUNCTION("CONCATENATE(GOOGLETRANSLATE(C1981, ""en"", ""zh-cn""))"),"Alvantor 弹出式泡泡帐篷 - 6' x 6' 即时冰屋帐篷 - 2-3 人露台屏风屋 - 大型超大防风雨吊舱 - 防寒露营帐篷 - 米色")</f>
        <v>Alvantor 弹出式泡泡帐篷 - 6' x 6' 即时冰屋帐篷 - 2-3 人露台屏风屋 - 大型超大防风雨吊舱 - 防寒露营帐篷 - 米色</v>
      </c>
      <c r="E1981" s="1" t="str">
        <f>IFERROR(__xludf.DUMMYFUNCTION("CONCATENATE(GOOGLETRANSLATE(C1981, ""en"", ""ko""))"),"Alvantor 팝업 버블 텐트 - 6' x 6' 인스턴트 이글루 텐트 - 파티오용 2-3인용 스크린 하우스 - 대형 특대 전천후 포드 - 방한 캠핑 텐트 - 베이지")</f>
        <v>Alvantor 팝업 버블 텐트 - 6' x 6' 인스턴트 이글루 텐트 - 파티오용 2-3인용 스크린 하우스 - 대형 특대 전천후 포드 - 방한 캠핑 텐트 - 베이지</v>
      </c>
      <c r="F1981" s="1" t="str">
        <f>IFERROR(__xludf.DUMMYFUNCTION("CONCATENATE(GOOGLETRANSLATE(C1981, ""en"", ""ja""))"),"Alvantor ポップアップバブルテント - 6フィート x 6フィート インスタントイグルーテント - パティオ用2～3人用スクリーンハウス - 大型特大耐候性ポッド - 防寒キャンプテント - ベージュ")</f>
        <v>Alvantor ポップアップバブルテント - 6フィート x 6フィート インスタントイグルーテント - パティオ用2～3人用スクリーンハウス - 大型特大耐候性ポッド - 防寒キャンプテント - ベージュ</v>
      </c>
    </row>
    <row r="1982" ht="15.75" customHeight="1">
      <c r="A1982" s="1">
        <v>6163.0</v>
      </c>
      <c r="B1982" s="1" t="s">
        <v>15</v>
      </c>
      <c r="C1982" s="1" t="s">
        <v>1907</v>
      </c>
      <c r="D1982" s="1" t="str">
        <f>IFERROR(__xludf.DUMMYFUNCTION("CONCATENATE(GOOGLETRANSLATE(C1982, ""en"", ""zh-cn""))"),"Lenovo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1982" s="1" t="str">
        <f>IFERROR(__xludf.DUMMYFUNCTION("CONCATENATE(GOOGLETRANSLATE(C1982, ""en"", ""ko""))"),"Lenovo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1982" s="1" t="str">
        <f>IFERROR(__xludf.DUMMYFUNCTION("CONCATENATE(GOOGLETRANSLATE(C1982, ""en"", ""ja""))"),"Lenovo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1983" ht="15.75" customHeight="1">
      <c r="A1983" s="1">
        <v>6164.0</v>
      </c>
      <c r="B1983" s="1" t="s">
        <v>15</v>
      </c>
      <c r="C1983" s="1" t="s">
        <v>1842</v>
      </c>
      <c r="D1983" s="1" t="str">
        <f>IFERROR(__xludf.DUMMYFUNCTION("CONCATENATE(GOOGLETRANSLATE(C1983, ""en"", ""zh-cn""))"),"波克芬诺 GAN Megaminx M 3x3 速度魔方 Gan 五角形磁性无贴纸魔法拼图魔方玩具")</f>
        <v>波克芬诺 GAN Megaminx M 3x3 速度魔方 Gan 五角形磁性无贴纸魔法拼图魔方玩具</v>
      </c>
      <c r="E1983" s="1" t="str">
        <f>IFERROR(__xludf.DUMMYFUNCTION("CONCATENATE(GOOGLETRANSLATE(C1983, ""en"", ""ko""))"),"Bokefenuo GAN Megaminx M 3x3 스피드 큐브 Gan 오각형 자기 스티커가없는 매직 퍼즐 큐브 장난감")</f>
        <v>Bokefenuo GAN Megaminx M 3x3 스피드 큐브 Gan 오각형 자기 스티커가없는 매직 퍼즐 큐브 장난감</v>
      </c>
      <c r="F1983" s="1" t="str">
        <f>IFERROR(__xludf.DUMMYFUNCTION("CONCATENATE(GOOGLETRANSLATE(C1983, ""en"", ""ja""))"),"Bokefenuo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1984" ht="15.75" customHeight="1">
      <c r="A1984" s="1">
        <v>6165.0</v>
      </c>
      <c r="B1984" s="1" t="s">
        <v>15</v>
      </c>
      <c r="C1984" s="1" t="s">
        <v>1650</v>
      </c>
      <c r="D1984" s="1" t="str">
        <f>IFERROR(__xludf.DUMMYFUNCTION("CONCATENATE(GOOGLETRANSLATE(C1984, ""en"", ""zh-cn""))"),"SHARGEEK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1984" s="1" t="str">
        <f>IFERROR(__xludf.DUMMYFUNCTION("CONCATENATE(GOOGLETRANSLATE(C1984, ""en"", ""ko""))"),"SHARGEEK의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1984" s="1" t="str">
        <f>IFERROR(__xludf.DUMMYFUNCTION("CONCATENATE(GOOGLETRANSLATE(C1984, ""en"", ""ja""))"),"SHARGEEK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1985" ht="15.75" customHeight="1">
      <c r="A1985" s="1">
        <v>6166.0</v>
      </c>
      <c r="B1985" s="1" t="s">
        <v>15</v>
      </c>
      <c r="C1985" s="1" t="s">
        <v>1649</v>
      </c>
      <c r="D1985" s="1" t="str">
        <f>IFERROR(__xludf.DUMMYFUNCTION("CONCATENATE(GOOGLETRANSLATE(C1985, ""en"", ""zh-cn""))"),"GAN 机器人，魔方解谜机自动解谜器和解谜器，兼容 GAN 356i2 i3 iplay iCarry Speed Cubes（不含魔方）和最新版本 APP")</f>
        <v>GAN 机器人，魔方解谜机自动解谜器和解谜器，兼容 GAN 356i2 i3 iplay iCarry Speed Cubes（不含魔方）和最新版本 APP</v>
      </c>
      <c r="E1985" s="1" t="str">
        <f>IFERROR(__xludf.DUMMYFUNCTION("CONCATENATE(GOOGLETRANSLATE(C1985, ""en"", ""ko""))"),"GAN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1985" s="1" t="str">
        <f>IFERROR(__xludf.DUMMYFUNCTION("CONCATENATE(GOOGLETRANSLATE(C1985, ""en"", ""ja""))"),"GAN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1986" ht="15.75" customHeight="1">
      <c r="A1986" s="1">
        <v>6168.0</v>
      </c>
      <c r="B1986" s="1" t="s">
        <v>15</v>
      </c>
      <c r="C1986" s="1" t="s">
        <v>1852</v>
      </c>
      <c r="D1986" s="1" t="str">
        <f>IFERROR(__xludf.DUMMYFUNCTION("CONCATENATE(GOOGLETRANSLATE(C1986, ""en"", ""zh-cn""))"),"Roxenda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1986" s="1" t="str">
        <f>IFERROR(__xludf.DUMMYFUNCTION("CONCATENATE(GOOGLETRANSLATE(C1986, ""en"", ""ko""))"),"Roxenda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1986" s="1" t="str">
        <f>IFERROR(__xludf.DUMMYFUNCTION("CONCATENATE(GOOGLETRANSLATE(C1986, ""en"", ""ja""))"),"Roxenda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1987" ht="15.75" customHeight="1">
      <c r="A1987" s="1">
        <v>6172.0</v>
      </c>
      <c r="B1987" s="1" t="s">
        <v>15</v>
      </c>
      <c r="C1987" s="1" t="s">
        <v>1849</v>
      </c>
      <c r="D1987" s="1" t="str">
        <f>IFERROR(__xludf.DUMMYFUNCTION("CONCATENATE(GOOGLETRANSLATE(C1987, ""en"", ""zh-cn""))"),"GAN 460 M， Gan 4x4 磁性速度魔方， gan 460 m 4 x 4 儿童和成人无贴纸拼图玩具")</f>
        <v>GAN 460 M， Gan 4x4 磁性速度魔方， gan 460 m 4 x 4 儿童和成人无贴纸拼图玩具</v>
      </c>
      <c r="E1987" s="1" t="str">
        <f>IFERROR(__xludf.DUMMYFUNCTION("CONCATENATE(GOOGLETRANSLATE(C1987, ""en"", ""ko""))"),"GAN 460 M, Gan 4x4 자기 속도 큐브, gan 460 m 4 by 4 어린이와 성인을 위한 스티커 없는 퍼즐 장난감")</f>
        <v>GAN 460 M, Gan 4x4 자기 속도 큐브, gan 460 m 4 by 4 어린이와 성인을 위한 스티커 없는 퍼즐 장난감</v>
      </c>
      <c r="F1987" s="1" t="str">
        <f>IFERROR(__xludf.DUMMYFUNCTION("CONCATENATE(GOOGLETRANSLATE(C1987, ""en"", ""ja""))"),"GAN 460 M、Gan 4x4 磁気スピードキューブ、GAN 460 m 4 by 4 ステッカーレスパズルおもちゃ子供と大人向け")</f>
        <v>GAN 460 M、Gan 4x4 磁気スピードキューブ、GAN 460 m 4 by 4 ステッカーレスパズルおもちゃ子供と大人向け</v>
      </c>
    </row>
    <row r="1988" ht="15.75" customHeight="1">
      <c r="A1988" s="1">
        <v>6177.0</v>
      </c>
      <c r="B1988" s="1" t="s">
        <v>15</v>
      </c>
      <c r="C1988" s="1" t="s">
        <v>1838</v>
      </c>
      <c r="D1988" s="1" t="str">
        <f>IFERROR(__xludf.DUMMYFUNCTION("CONCATENATE(GOOGLETRANSLATE(C1988, ""en"", ""zh-cn""))"),"Ravensburger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1988" s="1" t="str">
        <f>IFERROR(__xludf.DUMMYFUNCTION("CONCATENATE(GOOGLETRANSLATE(C1988, ""en"", ""ko""))"),"Ravensburger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1988" s="1" t="str">
        <f>IFERROR(__xludf.DUMMYFUNCTION("CONCATENATE(GOOGLETRANSLATE(C1988, ""en"", ""ja""))"),"Ravensburger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1989" ht="15.75" customHeight="1">
      <c r="A1989" s="1">
        <v>6187.0</v>
      </c>
      <c r="B1989" s="1" t="s">
        <v>15</v>
      </c>
      <c r="C1989" s="1" t="s">
        <v>1847</v>
      </c>
      <c r="D1989" s="1" t="str">
        <f>IFERROR(__xludf.DUMMYFUNCTION("CONCATENATE(GOOGLETRANSLATE(C1989, ""en"", ""zh-cn""))"),"Bukefuno GAN 12 Maglev 3x3 磁性魔方 GAN12Maglev Speed GAN 12Maglev 拼图魔方 GAN12 Maglev 3x3 魔方（磨砂表面无贴纸）")</f>
        <v>Bukefuno GAN 12 Maglev 3x3 磁性魔方 GAN12Maglev Speed GAN 12Maglev 拼图魔方 GAN12 Maglev 3x3 魔方（磨砂表面无贴纸）</v>
      </c>
      <c r="E1989" s="1" t="str">
        <f>IFERROR(__xludf.DUMMYFUNCTION("CONCATENATE(GOOGLETRANSLATE(C1989, ""en"", ""ko""))"),"Bukefuno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1989" s="1" t="str">
        <f>IFERROR(__xludf.DUMMYFUNCTION("CONCATENATE(GOOGLETRANSLATE(C1989, ""en"", ""ja""))"),"Bukefuno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1990" ht="15.75" customHeight="1">
      <c r="A1990" s="1">
        <v>6189.0</v>
      </c>
      <c r="B1990" s="1" t="s">
        <v>15</v>
      </c>
      <c r="C1990" s="1" t="s">
        <v>1912</v>
      </c>
      <c r="D1990" s="1" t="str">
        <f>IFERROR(__xludf.DUMMYFUNCTION("CONCATENATE(GOOGLETRANSLATE(C1990, ""en"", ""zh-cn""))"),"EF ECOFLOW 便携式发电站 RIVER 2，256Wh LiFePO4 电池/ 1 小时快速充电，2 个高达 600W 的交流电源插座，太阳能发电机（太阳能电池板可选）适合户外露营/房车/家用")</f>
        <v>EF ECOFLOW 便携式发电站 RIVER 2，256Wh LiFePO4 电池/ 1 小时快速充电，2 个高达 600W 的交流电源插座，太阳能发电机（太阳能电池板可选）适合户外露营/房车/家用</v>
      </c>
      <c r="E1990" s="1" t="str">
        <f>IFERROR(__xludf.DUMMYFUNCTION("CONCATENATE(GOOGLETRANSLATE(C1990, ""en"", ""ko""))"),"EF ECOFLOW 휴대용 발전소 RIVER 2, 256Wh LiFePO4 배터리/1시간 고속 충전, 최대 600W AC 콘센트 2개, 야외 캠핑/RV/가정용 태양광 발전기(태양광 패널 옵션)")</f>
        <v>EF ECOFLOW 휴대용 발전소 RIVER 2, 256Wh LiFePO4 배터리/1시간 고속 충전, 최대 600W AC 콘센트 2개, 야외 캠핑/RV/가정용 태양광 발전기(태양광 패널 옵션)</v>
      </c>
      <c r="F1990" s="1" t="str">
        <f>IFERROR(__xludf.DUMMYFUNCTION("CONCATENATE(GOOGLETRANSLATE(C1990, ""en"", ""ja""))"),"EF ECOFLOW ポータブルパワーステーション RIVER 2、256Wh LiFePO4 バッテリー/1 時間の急速充電、最大 600W AC コンセント 2 個、屋外キャンプ/RV/家庭用太陽光発電機 (ソーラーパネルはオプション)")</f>
        <v>EF ECOFLOW ポータブルパワーステーション RIVER 2、256Wh LiFePO4 バッテリー/1 時間の急速充電、最大 600W AC コンセント 2 個、屋外キャンプ/RV/家庭用太陽光発電機 (ソーラーパネルはオプション)</v>
      </c>
    </row>
    <row r="1991" ht="15.75" customHeight="1">
      <c r="A1991" s="1">
        <v>6190.0</v>
      </c>
      <c r="B1991" s="1" t="s">
        <v>15</v>
      </c>
      <c r="C1991" s="1" t="s">
        <v>1857</v>
      </c>
      <c r="D1991" s="1" t="str">
        <f>IFERROR(__xludf.DUMMYFUNCTION("CONCATENATE(GOOGLETRANSLATE(C1991, ""en"", ""zh-cn""))"),"Alexia 冥想座椅符合人体工程学，适合人体生理学禅宗瑜伽人体工学椅子泡沫垫家庭或办公室（浅灰色 - 纯素皮革）")</f>
        <v>Alexia 冥想座椅符合人体工程学，适合人体生理学禅宗瑜伽人体工学椅子泡沫垫家庭或办公室（浅灰色 - 纯素皮革）</v>
      </c>
      <c r="E1991" s="1" t="str">
        <f>IFERROR(__xludf.DUMMYFUNCTION("CONCATENATE(GOOGLETRANSLATE(C1991, ""en"", ""ko""))"),"Alexia 명상 시트 인체 생리학에 인체 공학적으로 올바른 Zen Yoga 인체 공학적 의자 폼 쿠션 가정 또는 사무실 (밝은 회색 - 비건 가죽)")</f>
        <v>Alexia 명상 시트 인체 생리학에 인체 공학적으로 올바른 Zen Yoga 인체 공학적 의자 폼 쿠션 가정 또는 사무실 (밝은 회색 - 비건 가죽)</v>
      </c>
      <c r="F1991" s="1" t="str">
        <f>IFERROR(__xludf.DUMMYFUNCTION("CONCATENATE(GOOGLETRANSLATE(C1991, ""en"", ""ja""))"),"Alexia 瞑想シート 人間の生理学的に正しい 禅ヨガ 人間工学に基づいた椅子 フォームクッション 自宅またはオフィス (ライトグレー - ビーガンレザー)")</f>
        <v>Alexia 瞑想シート 人間の生理学的に正しい 禅ヨガ 人間工学に基づいた椅子 フォームクッション 自宅またはオフィス (ライトグレー - ビーガンレザー)</v>
      </c>
    </row>
    <row r="1992" ht="15.75" customHeight="1">
      <c r="A1992" s="1">
        <v>6192.0</v>
      </c>
      <c r="B1992" s="1" t="s">
        <v>15</v>
      </c>
      <c r="C1992" s="1" t="s">
        <v>1913</v>
      </c>
      <c r="D1992" s="1" t="str">
        <f>IFERROR(__xludf.DUMMYFUNCTION("CONCATENATE(GOOGLETRANSLATE(C1992, ""en"", ""zh-cn""))"),"Lake CX241 骑行鞋 - 男士")</f>
        <v>Lake CX241 骑行鞋 - 男士</v>
      </c>
      <c r="E1992" s="1" t="str">
        <f>IFERROR(__xludf.DUMMYFUNCTION("CONCATENATE(GOOGLETRANSLATE(C1992, ""en"", ""ko""))"),"Lake CX241 사이클링 신발 - 남성용")</f>
        <v>Lake CX241 사이클링 신발 - 남성용</v>
      </c>
      <c r="F1992" s="1" t="str">
        <f>IFERROR(__xludf.DUMMYFUNCTION("CONCATENATE(GOOGLETRANSLATE(C1992, ""en"", ""ja""))"),"Lake CX241 サイクリング シューズ - メンズ")</f>
        <v>Lake CX241 サイクリング シューズ - メンズ</v>
      </c>
    </row>
    <row r="1993" ht="15.75" customHeight="1">
      <c r="A1993" s="1">
        <v>6196.0</v>
      </c>
      <c r="B1993" s="1" t="s">
        <v>15</v>
      </c>
      <c r="C1993" s="1" t="s">
        <v>1823</v>
      </c>
      <c r="D1993" s="1" t="str">
        <f>IFERROR(__xludf.DUMMYFUNCTION("CONCATENATE(GOOGLETRANSLATE(C1993, ""en"", ""zh-cn""))"),"Giro Sector 男士山地骑行鞋")</f>
        <v>Giro Sector 男士山地骑行鞋</v>
      </c>
      <c r="E1993" s="1" t="str">
        <f>IFERROR(__xludf.DUMMYFUNCTION("CONCATENATE(GOOGLETRANSLATE(C1993, ""en"", ""ko""))"),"Giro Sector 남성용 산악 사이클링 신발")</f>
        <v>Giro Sector 남성용 산악 사이클링 신발</v>
      </c>
      <c r="F1993" s="1" t="str">
        <f>IFERROR(__xludf.DUMMYFUNCTION("CONCATENATE(GOOGLETRANSLATE(C1993, ""en"", ""ja""))"),"Giro Sector メンズ マウンテン サイクリング シューズ")</f>
        <v>Giro Sector メンズ マウンテン サイクリング シューズ</v>
      </c>
    </row>
    <row r="1994" ht="15.75" customHeight="1">
      <c r="A1994" s="1">
        <v>6197.0</v>
      </c>
      <c r="B1994" s="1" t="s">
        <v>15</v>
      </c>
      <c r="C1994" s="1" t="s">
        <v>1906</v>
      </c>
      <c r="D1994" s="1" t="str">
        <f>IFERROR(__xludf.DUMMYFUNCTION("CONCATENATE(GOOGLETRANSLATE(C1994, ""en"", ""zh-cn""))"),"Igloo 54 夸脱钢带传统不锈钢冷却器带开瓶器")</f>
        <v>Igloo 54 夸脱钢带传统不锈钢冷却器带开瓶器</v>
      </c>
      <c r="E1994" s="1" t="str">
        <f>IFERROR(__xludf.DUMMYFUNCTION("CONCATENATE(GOOGLETRANSLATE(C1994, ""en"", ""ko""))"),"이글루 54 Qt 스틸 벨티드 레거시 스테인리스 스틸 쿨러(병따개 포함)")</f>
        <v>이글루 54 Qt 스틸 벨티드 레거시 스테인리스 스틸 쿨러(병따개 포함)</v>
      </c>
      <c r="F1994" s="1" t="str">
        <f>IFERROR(__xludf.DUMMYFUNCTION("CONCATENATE(GOOGLETRANSLATE(C1994, ""en"", ""ja""))"),"Igloo 54 Qt スチールベルト付きレガシーステンレススチールクーラー ボトルオープナー付き")</f>
        <v>Igloo 54 Qt スチールベルト付きレガシーステンレススチールクーラー ボトルオープナー付き</v>
      </c>
    </row>
    <row r="1995" ht="15.75" customHeight="1">
      <c r="A1995" s="1">
        <v>6212.0</v>
      </c>
      <c r="B1995" s="1" t="s">
        <v>15</v>
      </c>
      <c r="C1995" s="1" t="s">
        <v>1914</v>
      </c>
      <c r="D1995" s="1" t="str">
        <f>IFERROR(__xludf.DUMMYFUNCTION("CONCATENATE(GOOGLETRANSLATE(C1995, ""en"", ""zh-cn""))"),"Oakley 男士 Flak 2.0 XL 哑光矩形偏光太阳镜")</f>
        <v>Oakley 男士 Flak 2.0 XL 哑光矩形偏光太阳镜</v>
      </c>
      <c r="E1995" s="1" t="str">
        <f>IFERROR(__xludf.DUMMYFUNCTION("CONCATENATE(GOOGLETRANSLATE(C1995, ""en"", ""ko""))"),"오클리 남성용 플랙 2.0 XL 무광 직사각형 선글라스 편광")</f>
        <v>오클리 남성용 플랙 2.0 XL 무광 직사각형 선글라스 편광</v>
      </c>
      <c r="F1995" s="1" t="str">
        <f>IFERROR(__xludf.DUMMYFUNCTION("CONCATENATE(GOOGLETRANSLATE(C1995, ""en"", ""ja""))"),"オークリー メンズ Flak 2.0 XL マット レクタンギュラー サングラス 偏光")</f>
        <v>オークリー メンズ Flak 2.0 XL マット レクタンギュラー サングラス 偏光</v>
      </c>
    </row>
    <row r="1996" ht="15.75" customHeight="1">
      <c r="A1996" s="1">
        <v>6213.0</v>
      </c>
      <c r="B1996" s="1" t="s">
        <v>15</v>
      </c>
      <c r="C1996" s="1" t="s">
        <v>1826</v>
      </c>
      <c r="D1996" s="1" t="str">
        <f>IFERROR(__xludf.DUMMYFUNCTION("CONCATENATE(GOOGLETRANSLATE(C1996, ""en"", ""zh-cn""))"),"GAN 460 M 速度魔方， 4x4 磁性魔方 Gans 460M 拼图玩具（无贴纸）")</f>
        <v>GAN 460 M 速度魔方， 4x4 磁性魔方 Gans 460M 拼图玩具（无贴纸）</v>
      </c>
      <c r="E1996" s="1" t="str">
        <f>IFERROR(__xludf.DUMMYFUNCTION("CONCATENATE(GOOGLETRANSLATE(C1996, ""en"", ""ko""))"),"GAN 460 M 스피드 큐브, 4x4 마그네틱 마스터 큐브 Gans 460M 퍼즐 장난감(스티커 없음)")</f>
        <v>GAN 460 M 스피드 큐브, 4x4 마그네틱 마스터 큐브 Gans 460M 퍼즐 장난감(스티커 없음)</v>
      </c>
      <c r="F1996" s="1" t="str">
        <f>IFERROR(__xludf.DUMMYFUNCTION("CONCATENATE(GOOGLETRANSLATE(C1996, ""en"", ""ja""))"),"GAN 460 M スピード キューブ、4x4 磁気マスター キューブ Gans 460M パズルおもちゃ (ステッカーなし)")</f>
        <v>GAN 460 M スピード キューブ、4x4 磁気マスター キューブ Gans 460M パズルおもちゃ (ステッカーなし)</v>
      </c>
    </row>
    <row r="1997" ht="15.75" customHeight="1">
      <c r="A1997" s="1">
        <v>6215.0</v>
      </c>
      <c r="B1997" s="1" t="s">
        <v>15</v>
      </c>
      <c r="C1997" s="1" t="s">
        <v>1650</v>
      </c>
      <c r="D1997" s="1" t="str">
        <f>IFERROR(__xludf.DUMMYFUNCTION("CONCATENATE(GOOGLETRANSLATE(C1997, ""en"", ""zh-cn""))"),"SHARGEEK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1997" s="1" t="str">
        <f>IFERROR(__xludf.DUMMYFUNCTION("CONCATENATE(GOOGLETRANSLATE(C1997, ""en"", ""ko""))"),"SHARGEEK의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1997" s="1" t="str">
        <f>IFERROR(__xludf.DUMMYFUNCTION("CONCATENATE(GOOGLETRANSLATE(C1997, ""en"", ""ja""))"),"SHARGEEK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1998" ht="15.75" customHeight="1">
      <c r="A1998" s="1">
        <v>6222.0</v>
      </c>
      <c r="B1998" s="1" t="s">
        <v>15</v>
      </c>
      <c r="C1998" s="1" t="s">
        <v>1847</v>
      </c>
      <c r="D1998" s="1" t="str">
        <f>IFERROR(__xludf.DUMMYFUNCTION("CONCATENATE(GOOGLETRANSLATE(C1998, ""en"", ""zh-cn""))"),"Bukefuno GAN 12 Maglev 3x3 磁性魔方 GAN12Maglev Speed GAN 12Maglev 拼图魔方 GAN12 Maglev 3x3 魔方（磨砂表面无贴纸）")</f>
        <v>Bukefuno GAN 12 Maglev 3x3 磁性魔方 GAN12Maglev Speed GAN 12Maglev 拼图魔方 GAN12 Maglev 3x3 魔方（磨砂表面无贴纸）</v>
      </c>
      <c r="E1998" s="1" t="str">
        <f>IFERROR(__xludf.DUMMYFUNCTION("CONCATENATE(GOOGLETRANSLATE(C1998, ""en"", ""ko""))"),"Bukefuno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1998" s="1" t="str">
        <f>IFERROR(__xludf.DUMMYFUNCTION("CONCATENATE(GOOGLETRANSLATE(C1998, ""en"", ""ja""))"),"Bukefuno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1999" ht="15.75" customHeight="1">
      <c r="A1999" s="1">
        <v>6228.0</v>
      </c>
      <c r="B1999" s="1" t="s">
        <v>15</v>
      </c>
      <c r="C1999" s="1" t="s">
        <v>1851</v>
      </c>
      <c r="D1999" s="1" t="str">
        <f>IFERROR(__xludf.DUMMYFUNCTION("CONCATENATE(GOOGLETRANSLATE(C1999, ""en"", ""zh-cn""))"),"GAN Megaminx M，五角磁力测速魔方，无贴纸")</f>
        <v>GAN Megaminx M，五角磁力测速魔方，无贴纸</v>
      </c>
      <c r="E1999" s="1" t="str">
        <f>IFERROR(__xludf.DUMMYFUNCTION("CONCATENATE(GOOGLETRANSLATE(C1999, ""en"", ""ko""))"),"GAN Megaminx M, 오각형 자기 속도 큐브, 스티커 없음")</f>
        <v>GAN Megaminx M, 오각형 자기 속도 큐브, 스티커 없음</v>
      </c>
      <c r="F1999" s="1" t="str">
        <f>IFERROR(__xludf.DUMMYFUNCTION("CONCATENATE(GOOGLETRANSLATE(C1999, ""en"", ""ja""))"),"GAN メガミンクス M、五角形磁気スピードキューブ、ステッカーレス")</f>
        <v>GAN メガミンクス M、五角形磁気スピードキューブ、ステッカーレス</v>
      </c>
    </row>
    <row r="2000" ht="15.75" customHeight="1">
      <c r="A2000" s="1">
        <v>6230.0</v>
      </c>
      <c r="B2000" s="1" t="s">
        <v>15</v>
      </c>
      <c r="C2000" s="1" t="s">
        <v>1852</v>
      </c>
      <c r="D2000" s="1" t="str">
        <f>IFERROR(__xludf.DUMMYFUNCTION("CONCATENATE(GOOGLETRANSLATE(C2000, ""en"", ""zh-cn""))"),"Roxenda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2000" s="1" t="str">
        <f>IFERROR(__xludf.DUMMYFUNCTION("CONCATENATE(GOOGLETRANSLATE(C2000, ""en"", ""ko""))"),"Roxenda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2000" s="1" t="str">
        <f>IFERROR(__xludf.DUMMYFUNCTION("CONCATENATE(GOOGLETRANSLATE(C2000, ""en"", ""ja""))"),"Roxenda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2001" ht="15.75" customHeight="1">
      <c r="A2001" s="1">
        <v>6238.0</v>
      </c>
      <c r="B2001" s="1" t="s">
        <v>15</v>
      </c>
      <c r="C2001" s="1" t="s">
        <v>1846</v>
      </c>
      <c r="D2001" s="1" t="str">
        <f>IFERROR(__xludf.DUMMYFUNCTION("CONCATENATE(GOOGLETRANSLATE(C2001, ""en"", ""zh-cn""))"),"带抽屉和盖垫的拼图板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2001" s="1" t="str">
        <f>IFERROR(__xludf.DUMMYFUNCTION("CONCATENATE(GOOGLETRANSLATE(C2001, ""en"", ""ko""))"),"서랍과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2001" s="1" t="str">
        <f>IFERROR(__xludf.DUMMYFUNCTION("CONCATENATE(GOOGLETRANSLATE(C2001, ""en"", ""ja""))"),"引き出しとカバー付きパズルボード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2002" ht="15.75" customHeight="1">
      <c r="A2002" s="1">
        <v>6261.0</v>
      </c>
      <c r="B2002" s="1" t="s">
        <v>15</v>
      </c>
      <c r="C2002" s="1" t="s">
        <v>1844</v>
      </c>
      <c r="D2002" s="1" t="str">
        <f>IFERROR(__xludf.DUMMYFUNCTION("CONCATENATE(GOOGLETRANSLATE(C2002, ""en"", ""zh-cn""))"),"Giro Aries 球形成人公路自行车头盔")</f>
        <v>Giro Aries 球形成人公路自行车头盔</v>
      </c>
      <c r="E2002" s="1" t="str">
        <f>IFERROR(__xludf.DUMMYFUNCTION("CONCATENATE(GOOGLETRANSLATE(C2002, ""en"", ""ko""))"),"Giro Aries 구형 성인용 로드 자전거 헬멧")</f>
        <v>Giro Aries 구형 성인용 로드 자전거 헬멧</v>
      </c>
      <c r="F2002" s="1" t="str">
        <f>IFERROR(__xludf.DUMMYFUNCTION("CONCATENATE(GOOGLETRANSLATE(C2002, ""en"", ""ja""))"),"Giro Aries 球状大人用ロードバイク ヘルメット")</f>
        <v>Giro Aries 球状大人用ロードバイク ヘルメット</v>
      </c>
    </row>
    <row r="2003" ht="15.75" customHeight="1">
      <c r="A2003" s="1">
        <v>6266.0</v>
      </c>
      <c r="B2003" s="1" t="s">
        <v>15</v>
      </c>
      <c r="C2003" s="1" t="s">
        <v>1840</v>
      </c>
      <c r="D2003" s="1" t="str">
        <f>IFERROR(__xludf.DUMMYFUNCTION("CONCATENATE(GOOGLETRANSLATE(C2003, ""en"", ""zh-cn""))"),"Cuberspeed GAN 13 uv 涂层 MagLev 无贴纸 3x3 速度立方拼图 gan13 maglev uv 涂层旗舰拼图")</f>
        <v>Cuberspeed GAN 13 uv 涂层 MagLev 无贴纸 3x3 速度立方拼图 gan13 maglev uv 涂层旗舰拼图</v>
      </c>
      <c r="E2003" s="1" t="str">
        <f>IFERROR(__xludf.DUMMYFUNCTION("CONCATENATE(GOOGLETRANSLATE(C2003, ""en"", ""ko""))"),"Cuberspeed GAN 13 uv 코팅 MagLev 스티커가 없는 3x3 스피드 큐브 퍼즐 gan13 maglev uv 코팅 플래그십 퍼즐")</f>
        <v>Cuberspeed GAN 13 uv 코팅 MagLev 스티커가 없는 3x3 스피드 큐브 퍼즐 gan13 maglev uv 코팅 플래그십 퍼즐</v>
      </c>
      <c r="F2003" s="1" t="str">
        <f>IFERROR(__xludf.DUMMYFUNCTION("CONCATENATE(GOOGLETRANSLATE(C2003, ""en"", ""ja""))"),"Cuberspeed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2004" ht="15.75" customHeight="1">
      <c r="A2004" s="1">
        <v>6269.0</v>
      </c>
      <c r="B2004" s="1" t="s">
        <v>15</v>
      </c>
      <c r="C2004" s="1" t="s">
        <v>1851</v>
      </c>
      <c r="D2004" s="1" t="str">
        <f>IFERROR(__xludf.DUMMYFUNCTION("CONCATENATE(GOOGLETRANSLATE(C2004, ""en"", ""zh-cn""))"),"GAN Megaminx M，五角磁力测速魔方，无贴纸")</f>
        <v>GAN Megaminx M，五角磁力测速魔方，无贴纸</v>
      </c>
      <c r="E2004" s="1" t="str">
        <f>IFERROR(__xludf.DUMMYFUNCTION("CONCATENATE(GOOGLETRANSLATE(C2004, ""en"", ""ko""))"),"GAN Megaminx M, 오각형 자기 속도 큐브, 스티커 없음")</f>
        <v>GAN Megaminx M, 오각형 자기 속도 큐브, 스티커 없음</v>
      </c>
      <c r="F2004" s="1" t="str">
        <f>IFERROR(__xludf.DUMMYFUNCTION("CONCATENATE(GOOGLETRANSLATE(C2004, ""en"", ""ja""))"),"GAN メガミンクス M、五角形磁気スピードキューブ、ステッカーレス")</f>
        <v>GAN メガミンクス M、五角形磁気スピードキューブ、ステッカーレス</v>
      </c>
    </row>
    <row r="2005" ht="15.75" customHeight="1">
      <c r="A2005" s="1">
        <v>6277.0</v>
      </c>
      <c r="B2005" s="1" t="s">
        <v>15</v>
      </c>
      <c r="C2005" s="1" t="s">
        <v>1847</v>
      </c>
      <c r="D2005" s="1" t="str">
        <f>IFERROR(__xludf.DUMMYFUNCTION("CONCATENATE(GOOGLETRANSLATE(C2005, ""en"", ""zh-cn""))"),"Bukefuno GAN 12 Maglev 3x3 磁性魔方 GAN12Maglev Speed GAN 12Maglev 拼图魔方 GAN12 Maglev 3x3 魔方（磨砂表面无贴纸）")</f>
        <v>Bukefuno GAN 12 Maglev 3x3 磁性魔方 GAN12Maglev Speed GAN 12Maglev 拼图魔方 GAN12 Maglev 3x3 魔方（磨砂表面无贴纸）</v>
      </c>
      <c r="E2005" s="1" t="str">
        <f>IFERROR(__xludf.DUMMYFUNCTION("CONCATENATE(GOOGLETRANSLATE(C2005, ""en"", ""ko""))"),"Bukefuno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2005" s="1" t="str">
        <f>IFERROR(__xludf.DUMMYFUNCTION("CONCATENATE(GOOGLETRANSLATE(C2005, ""en"", ""ja""))"),"Bukefuno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2006" ht="15.75" customHeight="1">
      <c r="A2006" s="1">
        <v>6289.0</v>
      </c>
      <c r="B2006" s="1" t="s">
        <v>15</v>
      </c>
      <c r="C2006" s="1" t="s">
        <v>1851</v>
      </c>
      <c r="D2006" s="1" t="str">
        <f>IFERROR(__xludf.DUMMYFUNCTION("CONCATENATE(GOOGLETRANSLATE(C2006, ""en"", ""zh-cn""))"),"GAN Megaminx M，五角磁力测速魔方，无贴纸")</f>
        <v>GAN Megaminx M，五角磁力测速魔方，无贴纸</v>
      </c>
      <c r="E2006" s="1" t="str">
        <f>IFERROR(__xludf.DUMMYFUNCTION("CONCATENATE(GOOGLETRANSLATE(C2006, ""en"", ""ko""))"),"GAN Megaminx M, 오각형 자기 속도 큐브, 스티커 없음")</f>
        <v>GAN Megaminx M, 오각형 자기 속도 큐브, 스티커 없음</v>
      </c>
      <c r="F2006" s="1" t="str">
        <f>IFERROR(__xludf.DUMMYFUNCTION("CONCATENATE(GOOGLETRANSLATE(C2006, ""en"", ""ja""))"),"GAN メガミンクス M、五角形磁気スピードキューブ、ステッカーレス")</f>
        <v>GAN メガミンクス M、五角形磁気スピードキューブ、ステッカーレス</v>
      </c>
    </row>
    <row r="2007" ht="15.75" customHeight="1">
      <c r="A2007" s="1">
        <v>6294.0</v>
      </c>
      <c r="B2007" s="1" t="s">
        <v>15</v>
      </c>
      <c r="C2007" s="1" t="s">
        <v>1852</v>
      </c>
      <c r="D2007" s="1" t="str">
        <f>IFERROR(__xludf.DUMMYFUNCTION("CONCATENATE(GOOGLETRANSLATE(C2007, ""en"", ""zh-cn""))"),"Roxenda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2007" s="1" t="str">
        <f>IFERROR(__xludf.DUMMYFUNCTION("CONCATENATE(GOOGLETRANSLATE(C2007, ""en"", ""ko""))"),"Roxenda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2007" s="1" t="str">
        <f>IFERROR(__xludf.DUMMYFUNCTION("CONCATENATE(GOOGLETRANSLATE(C2007, ""en"", ""ja""))"),"Roxenda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2008" ht="15.75" customHeight="1">
      <c r="A2008" s="1">
        <v>6299.0</v>
      </c>
      <c r="B2008" s="1" t="s">
        <v>15</v>
      </c>
      <c r="C2008" s="1" t="s">
        <v>1844</v>
      </c>
      <c r="D2008" s="1" t="str">
        <f>IFERROR(__xludf.DUMMYFUNCTION("CONCATENATE(GOOGLETRANSLATE(C2008, ""en"", ""zh-cn""))"),"Giro Aries 球形成人公路自行车头盔")</f>
        <v>Giro Aries 球形成人公路自行车头盔</v>
      </c>
      <c r="E2008" s="1" t="str">
        <f>IFERROR(__xludf.DUMMYFUNCTION("CONCATENATE(GOOGLETRANSLATE(C2008, ""en"", ""ko""))"),"Giro Aries 구형 성인용 로드 자전거 헬멧")</f>
        <v>Giro Aries 구형 성인용 로드 자전거 헬멧</v>
      </c>
      <c r="F2008" s="1" t="str">
        <f>IFERROR(__xludf.DUMMYFUNCTION("CONCATENATE(GOOGLETRANSLATE(C2008, ""en"", ""ja""))"),"Giro Aries 球状大人用ロードバイク ヘルメット")</f>
        <v>Giro Aries 球状大人用ロードバイク ヘルメット</v>
      </c>
    </row>
    <row r="2009" ht="15.75" customHeight="1">
      <c r="A2009" s="1">
        <v>6305.0</v>
      </c>
      <c r="B2009" s="1" t="s">
        <v>15</v>
      </c>
      <c r="C2009" s="1" t="s">
        <v>1914</v>
      </c>
      <c r="D2009" s="1" t="str">
        <f>IFERROR(__xludf.DUMMYFUNCTION("CONCATENATE(GOOGLETRANSLATE(C2009, ""en"", ""zh-cn""))"),"Oakley 男士 Flak 2.0 XL 哑光矩形偏光太阳镜")</f>
        <v>Oakley 男士 Flak 2.0 XL 哑光矩形偏光太阳镜</v>
      </c>
      <c r="E2009" s="1" t="str">
        <f>IFERROR(__xludf.DUMMYFUNCTION("CONCATENATE(GOOGLETRANSLATE(C2009, ""en"", ""ko""))"),"오클리 남성용 플랙 2.0 XL 무광 직사각형 선글라스 편광")</f>
        <v>오클리 남성용 플랙 2.0 XL 무광 직사각형 선글라스 편광</v>
      </c>
      <c r="F2009" s="1" t="str">
        <f>IFERROR(__xludf.DUMMYFUNCTION("CONCATENATE(GOOGLETRANSLATE(C2009, ""en"", ""ja""))"),"オークリー メンズ Flak 2.0 XL マット レクタンギュラー サングラス 偏光")</f>
        <v>オークリー メンズ Flak 2.0 XL マット レクタンギュラー サングラス 偏光</v>
      </c>
    </row>
    <row r="2010" ht="15.75" customHeight="1">
      <c r="A2010" s="1">
        <v>6318.0</v>
      </c>
      <c r="B2010" s="1" t="s">
        <v>15</v>
      </c>
      <c r="C2010" s="1" t="s">
        <v>1823</v>
      </c>
      <c r="D2010" s="1" t="str">
        <f>IFERROR(__xludf.DUMMYFUNCTION("CONCATENATE(GOOGLETRANSLATE(C2010, ""en"", ""zh-cn""))"),"Giro Sector 男士山地骑行鞋")</f>
        <v>Giro Sector 男士山地骑行鞋</v>
      </c>
      <c r="E2010" s="1" t="str">
        <f>IFERROR(__xludf.DUMMYFUNCTION("CONCATENATE(GOOGLETRANSLATE(C2010, ""en"", ""ko""))"),"Giro Sector 남성용 산악 사이클링 신발")</f>
        <v>Giro Sector 남성용 산악 사이클링 신발</v>
      </c>
      <c r="F2010" s="1" t="str">
        <f>IFERROR(__xludf.DUMMYFUNCTION("CONCATENATE(GOOGLETRANSLATE(C2010, ""en"", ""ja""))"),"Giro Sector メンズ マウンテン サイクリング シューズ")</f>
        <v>Giro Sector メンズ マウンテン サイクリング シューズ</v>
      </c>
    </row>
    <row r="2011" ht="15.75" customHeight="1">
      <c r="A2011" s="1">
        <v>6329.0</v>
      </c>
      <c r="B2011" s="1" t="s">
        <v>15</v>
      </c>
      <c r="C2011" s="1" t="s">
        <v>1839</v>
      </c>
      <c r="D2011" s="1" t="str">
        <f>IFERROR(__xludf.DUMMYFUNCTION("CONCATENATE(GOOGLETRANSLATE(C2011, ""en"", ""zh-cn""))"),"GAN 13 磁悬浮 UV 涂层，磁性速度魔方 3x3 无贴纸 56 毫米磁铁魔方拼图玩具，GAN 2022 旗舰")</f>
        <v>GAN 13 磁悬浮 UV 涂层，磁性速度魔方 3x3 无贴纸 56 毫米磁铁魔方拼图玩具，GAN 2022 旗舰</v>
      </c>
      <c r="E2011" s="1" t="str">
        <f>IFERROR(__xludf.DUMMYFUNCTION("CONCATENATE(GOOGLETRANSLATE(C2011, ""en"", ""ko""))"),"GAN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2011" s="1" t="str">
        <f>IFERROR(__xludf.DUMMYFUNCTION("CONCATENATE(GOOGLETRANSLATE(C2011, ""en"", ""ja""))"),"GAN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2012" ht="15.75" customHeight="1">
      <c r="A2012" s="1">
        <v>6338.0</v>
      </c>
      <c r="B2012" s="1" t="s">
        <v>15</v>
      </c>
      <c r="C2012" s="1" t="s">
        <v>1650</v>
      </c>
      <c r="D2012" s="1" t="str">
        <f>IFERROR(__xludf.DUMMYFUNCTION("CONCATENATE(GOOGLETRANSLATE(C2012, ""en"", ""zh-cn""))"),"SHARGEEK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2012" s="1" t="str">
        <f>IFERROR(__xludf.DUMMYFUNCTION("CONCATENATE(GOOGLETRANSLATE(C2012, ""en"", ""ko""))"),"SHARGEEK의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2012" s="1" t="str">
        <f>IFERROR(__xludf.DUMMYFUNCTION("CONCATENATE(GOOGLETRANSLATE(C2012, ""en"", ""ja""))"),"SHARGEEK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2013" ht="15.75" customHeight="1">
      <c r="A2013" s="1">
        <v>6343.0</v>
      </c>
      <c r="B2013" s="1" t="s">
        <v>15</v>
      </c>
      <c r="C2013" s="1" t="s">
        <v>1845</v>
      </c>
      <c r="D2013" s="1" t="str">
        <f>IFERROR(__xludf.DUMMYFUNCTION("CONCATENATE(GOOGLETRANSLATE(C2013, ""en"", ""zh-cn""))"),"LiangCuber GAN 13磁悬浮旗舰磁力3x3无贴纸GAN13 M速度魔方（磨砂版）")</f>
        <v>LiangCuber GAN 13磁悬浮旗舰磁力3x3无贴纸GAN13 M速度魔方（磨砂版）</v>
      </c>
      <c r="E2013" s="1" t="str">
        <f>IFERROR(__xludf.DUMMYFUNCTION("CONCATENATE(GOOGLETRANSLATE(C2013, ""en"", ""ko""))"),"LiangCuber GAN 13 자기 부상 플래그십 마그네틱 3x3 스티커 없는 GAN13 M 스피드 큐브(반투명 버전)")</f>
        <v>LiangCuber GAN 13 자기 부상 플래그십 마그네틱 3x3 스티커 없는 GAN13 M 스피드 큐브(반투명 버전)</v>
      </c>
      <c r="F2013" s="1" t="str">
        <f>IFERROR(__xludf.DUMMYFUNCTION("CONCATENATE(GOOGLETRANSLATE(C2013, ""en"", ""ja""))"),"LiangCuber GAN 13 マグレブ旗艦 磁気 3x3 ステッカーレス GAN13 M スピード キューブ (つや消しバージョン)")</f>
        <v>LiangCuber GAN 13 マグレブ旗艦 磁気 3x3 ステッカーレス GAN13 M スピード キューブ (つや消しバージョン)</v>
      </c>
    </row>
    <row r="2014" ht="15.75" customHeight="1">
      <c r="A2014" s="1">
        <v>6347.0</v>
      </c>
      <c r="B2014" s="1" t="s">
        <v>15</v>
      </c>
      <c r="C2014" s="1" t="s">
        <v>1839</v>
      </c>
      <c r="D2014" s="1" t="str">
        <f>IFERROR(__xludf.DUMMYFUNCTION("CONCATENATE(GOOGLETRANSLATE(C2014, ""en"", ""zh-cn""))"),"GAN 13 磁悬浮 UV 涂层，磁性速度魔方 3x3 无贴纸 56 毫米磁铁魔方拼图玩具，GAN 2022 旗舰")</f>
        <v>GAN 13 磁悬浮 UV 涂层，磁性速度魔方 3x3 无贴纸 56 毫米磁铁魔方拼图玩具，GAN 2022 旗舰</v>
      </c>
      <c r="E2014" s="1" t="str">
        <f>IFERROR(__xludf.DUMMYFUNCTION("CONCATENATE(GOOGLETRANSLATE(C2014, ""en"", ""ko""))"),"GAN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2014" s="1" t="str">
        <f>IFERROR(__xludf.DUMMYFUNCTION("CONCATENATE(GOOGLETRANSLATE(C2014, ""en"", ""ja""))"),"GAN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2015" ht="15.75" customHeight="1">
      <c r="A2015" s="1">
        <v>6351.0</v>
      </c>
      <c r="B2015" s="1" t="s">
        <v>15</v>
      </c>
      <c r="C2015" s="1" t="s">
        <v>1852</v>
      </c>
      <c r="D2015" s="1" t="str">
        <f>IFERROR(__xludf.DUMMYFUNCTION("CONCATENATE(GOOGLETRANSLATE(C2015, ""en"", ""zh-cn""))"),"Roxenda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2015" s="1" t="str">
        <f>IFERROR(__xludf.DUMMYFUNCTION("CONCATENATE(GOOGLETRANSLATE(C2015, ""en"", ""ko""))"),"Roxenda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2015" s="1" t="str">
        <f>IFERROR(__xludf.DUMMYFUNCTION("CONCATENATE(GOOGLETRANSLATE(C2015, ""en"", ""ja""))"),"Roxenda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2016" ht="15.75" customHeight="1">
      <c r="A2016" s="1">
        <v>6358.0</v>
      </c>
      <c r="B2016" s="1" t="s">
        <v>15</v>
      </c>
      <c r="C2016" s="1" t="s">
        <v>1861</v>
      </c>
      <c r="D2016" s="1" t="str">
        <f>IFERROR(__xludf.DUMMYFUNCTION("CONCATENATE(GOOGLETRANSLATE(C2016, ""en"", ""zh-cn""))"),"博克芬诺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2016" s="1" t="str">
        <f>IFERROR(__xludf.DUMMYFUNCTION("CONCATENATE(GOOGLETRANSLATE(C2016, ""en"", ""ko""))"),"Bokefenuo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2016" s="1" t="str">
        <f>IFERROR(__xludf.DUMMYFUNCTION("CONCATENATE(GOOGLETRANSLATE(C2016, ""en"", ""ja""))"),"Bokefenuo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2017" ht="15.75" customHeight="1">
      <c r="A2017" s="1">
        <v>6362.0</v>
      </c>
      <c r="B2017" s="1" t="s">
        <v>15</v>
      </c>
      <c r="C2017" s="1" t="s">
        <v>1826</v>
      </c>
      <c r="D2017" s="1" t="str">
        <f>IFERROR(__xludf.DUMMYFUNCTION("CONCATENATE(GOOGLETRANSLATE(C2017, ""en"", ""zh-cn""))"),"GAN 460 M 速度魔方， 4x4 磁性魔方 Gans 460M 拼图玩具（无贴纸）")</f>
        <v>GAN 460 M 速度魔方， 4x4 磁性魔方 Gans 460M 拼图玩具（无贴纸）</v>
      </c>
      <c r="E2017" s="1" t="str">
        <f>IFERROR(__xludf.DUMMYFUNCTION("CONCATENATE(GOOGLETRANSLATE(C2017, ""en"", ""ko""))"),"GAN 460 M 스피드 큐브, 4x4 마그네틱 마스터 큐브 Gans 460M 퍼즐 장난감(스티커 없음)")</f>
        <v>GAN 460 M 스피드 큐브, 4x4 마그네틱 마스터 큐브 Gans 460M 퍼즐 장난감(스티커 없음)</v>
      </c>
      <c r="F2017" s="1" t="str">
        <f>IFERROR(__xludf.DUMMYFUNCTION("CONCATENATE(GOOGLETRANSLATE(C2017, ""en"", ""ja""))"),"GAN 460 M スピード キューブ、4x4 磁気マスター キューブ Gans 460M パズルおもちゃ (ステッカーなし)")</f>
        <v>GAN 460 M スピード キューブ、4x4 磁気マスター キューブ Gans 460M パズルおもちゃ (ステッカーなし)</v>
      </c>
    </row>
    <row r="2018" ht="15.75" customHeight="1">
      <c r="A2018" s="1">
        <v>6381.0</v>
      </c>
      <c r="B2018" s="1" t="s">
        <v>15</v>
      </c>
      <c r="C2018" s="1" t="s">
        <v>1915</v>
      </c>
      <c r="D2018" s="1" t="str">
        <f>IFERROR(__xludf.DUMMYFUNCTION("CONCATENATE(GOOGLETRANSLATE(C2018, ""en"", ""zh-cn""))"),"BTC Fashion 女式褶皱 V 领上衣")</f>
        <v>BTC Fashion 女式褶皱 V 领上衣</v>
      </c>
      <c r="E2018" s="1" t="str">
        <f>IFERROR(__xludf.DUMMYFUNCTION("CONCATENATE(GOOGLETRANSLATE(C2018, ""en"", ""ko""))"),"BTC 패션 여성 플리츠 V넥 탑")</f>
        <v>BTC 패션 여성 플리츠 V넥 탑</v>
      </c>
      <c r="F2018" s="1" t="str">
        <f>IFERROR(__xludf.DUMMYFUNCTION("CONCATENATE(GOOGLETRANSLATE(C2018, ""en"", ""ja""))"),"BTC ファッション レディース プリーツ V ネック トップ")</f>
        <v>BTC ファッション レディース プリーツ V ネック トップ</v>
      </c>
    </row>
    <row r="2019" ht="15.75" customHeight="1">
      <c r="A2019" s="1">
        <v>6383.0</v>
      </c>
      <c r="B2019" s="1" t="s">
        <v>15</v>
      </c>
      <c r="C2019" s="1" t="s">
        <v>1916</v>
      </c>
      <c r="D2019" s="1" t="str">
        <f>IFERROR(__xludf.DUMMYFUNCTION("CONCATENATE(GOOGLETRANSLATE(C2019, ""en"", ""zh-cn""))"),"DOROSE 女式正装休闲蕾丝花卉长袖衬衫")</f>
        <v>DOROSE 女式正装休闲蕾丝花卉长袖衬衫</v>
      </c>
      <c r="E2019" s="1" t="str">
        <f>IFERROR(__xludf.DUMMYFUNCTION("CONCATENATE(GOOGLETRANSLATE(C2019, ""en"", ""ko""))"),"DOROSE 여성 드레시 캐주얼 레이스 꽃무늬 긴팔 셔츠")</f>
        <v>DOROSE 여성 드레시 캐주얼 레이스 꽃무늬 긴팔 셔츠</v>
      </c>
      <c r="F2019" s="1" t="str">
        <f>IFERROR(__xludf.DUMMYFUNCTION("CONCATENATE(GOOGLETRANSLATE(C2019, ""en"", ""ja""))"),"DOROSE レディース ドレッシー カジュアル レース 花柄 長袖シャツ")</f>
        <v>DOROSE レディース ドレッシー カジュアル レース 花柄 長袖シャツ</v>
      </c>
    </row>
    <row r="2020" ht="15.75" customHeight="1">
      <c r="A2020" s="1">
        <v>6391.0</v>
      </c>
      <c r="B2020" s="1" t="s">
        <v>15</v>
      </c>
      <c r="C2020" s="1" t="s">
        <v>1917</v>
      </c>
      <c r="D2020" s="1" t="str">
        <f>IFERROR(__xludf.DUMMYFUNCTION("CONCATENATE(GOOGLETRANSLATE(C2020, ""en"", ""zh-cn""))"),"女式飘逸蕾丝下摆圆领短袖上衣")</f>
        <v>女式飘逸蕾丝下摆圆领短袖上衣</v>
      </c>
      <c r="E2020" s="1" t="str">
        <f>IFERROR(__xludf.DUMMYFUNCTION("CONCATENATE(GOOGLETRANSLATE(C2020, ""en"", ""ko""))"),"여성용 하늘거리는 레이스 밑단 크루넥 반팔 탑")</f>
        <v>여성용 하늘거리는 레이스 밑단 크루넥 반팔 탑</v>
      </c>
      <c r="F2020" s="1" t="str">
        <f>IFERROR(__xludf.DUMMYFUNCTION("CONCATENATE(GOOGLETRANSLATE(C2020, ""en"", ""ja""))"),"レディース Flowy レースヘム クルーネック 半袖トップ")</f>
        <v>レディース Flowy レースヘム クルーネック 半袖トップ</v>
      </c>
    </row>
    <row r="2021" ht="15.75" customHeight="1">
      <c r="A2021" s="1">
        <v>6393.0</v>
      </c>
      <c r="B2021" s="1" t="s">
        <v>15</v>
      </c>
      <c r="C2021" s="1" t="s">
        <v>1918</v>
      </c>
      <c r="D2021" s="1" t="str">
        <f>IFERROR(__xludf.DUMMYFUNCTION("CONCATENATE(GOOGLETRANSLATE(C2021, ""en"", ""zh-cn""))"),"Donna Karan 女式单扣夹克")</f>
        <v>Donna Karan 女式单扣夹克</v>
      </c>
      <c r="E2021" s="1" t="str">
        <f>IFERROR(__xludf.DUMMYFUNCTION("CONCATENATE(GOOGLETRANSLATE(C2021, ""en"", ""ko""))"),"Donna Karan 여성 싱글 버튼 재킷")</f>
        <v>Donna Karan 여성 싱글 버튼 재킷</v>
      </c>
      <c r="F2021" s="1" t="str">
        <f>IFERROR(__xludf.DUMMYFUNCTION("CONCATENATE(GOOGLETRANSLATE(C2021, ""en"", ""ja""))"),"ダナ キャラン レディース シングルボタン ジャケット")</f>
        <v>ダナ キャラン レディース シングルボタン ジャケット</v>
      </c>
    </row>
    <row r="2022" ht="15.75" customHeight="1">
      <c r="A2022" s="1">
        <v>6408.0</v>
      </c>
      <c r="B2022" s="1" t="s">
        <v>15</v>
      </c>
      <c r="C2022" s="1" t="s">
        <v>1919</v>
      </c>
      <c r="D2022" s="1" t="str">
        <f>IFERROR(__xludf.DUMMYFUNCTION("CONCATENATE(GOOGLETRANSLATE(C2022, ""en"", ""zh-cn""))"),"Donna Karan 女式束带翼领羊毛大衣")</f>
        <v>Donna Karan 女式束带翼领羊毛大衣</v>
      </c>
      <c r="E2022" s="1" t="str">
        <f>IFERROR(__xludf.DUMMYFUNCTION("CONCATENATE(GOOGLETRANSLATE(C2022, ""en"", ""ko""))"),"Donna Karan 여성용 벨트 윙 칼라 울 코트")</f>
        <v>Donna Karan 여성용 벨트 윙 칼라 울 코트</v>
      </c>
      <c r="F2022" s="1" t="str">
        <f>IFERROR(__xludf.DUMMYFUNCTION("CONCATENATE(GOOGLETRANSLATE(C2022, ""en"", ""ja""))"),"Donna Karan レディース ベルテッド ウィングカラー ウール コート")</f>
        <v>Donna Karan レディース ベルテッド ウィングカラー ウール コート</v>
      </c>
    </row>
    <row r="2023" ht="15.75" customHeight="1">
      <c r="A2023" s="1">
        <v>6429.0</v>
      </c>
      <c r="B2023" s="1" t="s">
        <v>15</v>
      </c>
      <c r="C2023" s="1" t="s">
        <v>1920</v>
      </c>
      <c r="D2023" s="1" t="str">
        <f>IFERROR(__xludf.DUMMYFUNCTION("CONCATENATE(GOOGLETRANSLATE(C2023, ""en"", ""zh-cn""))"),"Azaro Uomo 男式商务几何长袖纽扣衬衫")</f>
        <v>Azaro Uomo 男式商务几何长袖纽扣衬衫</v>
      </c>
      <c r="E2023" s="1" t="str">
        <f>IFERROR(__xludf.DUMMYFUNCTION("CONCATENATE(GOOGLETRANSLATE(C2023, ""en"", ""ko""))"),"Azaro Uomo 남성 비즈니스 기하학 긴 소매 버튼 다운 셔츠")</f>
        <v>Azaro Uomo 남성 비즈니스 기하학 긴 소매 버튼 다운 셔츠</v>
      </c>
      <c r="F2023" s="1" t="str">
        <f>IFERROR(__xludf.DUMMYFUNCTION("CONCATENATE(GOOGLETRANSLATE(C2023, ""en"", ""ja""))"),"Azaro Uomo メンズ ビジネス ジオメトリック 長袖 ボタンダウン シャツ")</f>
        <v>Azaro Uomo メンズ ビジネス ジオメトリック 長袖 ボタンダウン シャツ</v>
      </c>
    </row>
    <row r="2024" ht="15.75" customHeight="1">
      <c r="A2024" s="1">
        <v>6434.0</v>
      </c>
      <c r="B2024" s="1" t="s">
        <v>15</v>
      </c>
      <c r="C2024" s="1" t="s">
        <v>1921</v>
      </c>
      <c r="D2024" s="1" t="str">
        <f>IFERROR(__xludf.DUMMYFUNCTION("CONCATENATE(GOOGLETRANSLATE(C2024, ""en"", ""zh-cn""))"),"Ward St 男士常规版型正装衬衫")</f>
        <v>Ward St 男士常规版型正装衬衫</v>
      </c>
      <c r="E2024" s="1" t="str">
        <f>IFERROR(__xludf.DUMMYFUNCTION("CONCATENATE(GOOGLETRANSLATE(C2024, ""en"", ""ko""))"),"Ward St 남성 레귤러 핏 드레스 셔츠")</f>
        <v>Ward St 남성 레귤러 핏 드레스 셔츠</v>
      </c>
      <c r="F2024" s="1" t="str">
        <f>IFERROR(__xludf.DUMMYFUNCTION("CONCATENATE(GOOGLETRANSLATE(C2024, ""en"", ""ja""))"),"Ward St メンズ レギュラーフィット ドレスシャツ")</f>
        <v>Ward St メンズ レギュラーフィット ドレスシャツ</v>
      </c>
    </row>
    <row r="2025" ht="15.75" customHeight="1">
      <c r="A2025" s="1">
        <v>6436.0</v>
      </c>
      <c r="B2025" s="1" t="s">
        <v>15</v>
      </c>
      <c r="C2025" s="1" t="s">
        <v>1922</v>
      </c>
      <c r="D2025" s="1" t="str">
        <f>IFERROR(__xludf.DUMMYFUNCTION("CONCATENATE(GOOGLETRANSLATE(C2025, ""en"", ""zh-cn""))"),"Michael Kors 男士经典版型羊毛羊绒混纺大衣")</f>
        <v>Michael Kors 男士经典版型羊毛羊绒混纺大衣</v>
      </c>
      <c r="E2025" s="1" t="str">
        <f>IFERROR(__xludf.DUMMYFUNCTION("CONCATENATE(GOOGLETRANSLATE(C2025, ""en"", ""ko""))"),"마이클 코어스 남성 클래식핏 울 캐시미어 블렌드 오버코트")</f>
        <v>마이클 코어스 남성 클래식핏 울 캐시미어 블렌드 오버코트</v>
      </c>
      <c r="F2025" s="1" t="str">
        <f>IFERROR(__xludf.DUMMYFUNCTION("CONCATENATE(GOOGLETRANSLATE(C2025, ""en"", ""ja""))"),"Michael Kors メンズ クラシック フィット ウール カシミア ブレンド オーバーコート")</f>
        <v>Michael Kors メンズ クラシック フィット ウール カシミア ブレンド オーバーコート</v>
      </c>
    </row>
    <row r="2026" ht="15.75" customHeight="1">
      <c r="A2026" s="1">
        <v>6446.0</v>
      </c>
      <c r="B2026" s="1" t="s">
        <v>15</v>
      </c>
      <c r="C2026" s="1" t="s">
        <v>1923</v>
      </c>
      <c r="D2026" s="1" t="str">
        <f>IFERROR(__xludf.DUMMYFUNCTION("CONCATENATE(GOOGLETRANSLATE(C2026, ""en"", ""zh-cn""))"),"Hollister 男士宽松连帽衫")</f>
        <v>Hollister 男士宽松连帽衫</v>
      </c>
      <c r="E2026" s="1" t="str">
        <f>IFERROR(__xludf.DUMMYFUNCTION("CONCATENATE(GOOGLETRANSLATE(C2026, ""en"", ""ko""))"),"홀리스터 남성용 배기 후디")</f>
        <v>홀리스터 남성용 배기 후디</v>
      </c>
      <c r="F2026" s="1" t="str">
        <f>IFERROR(__xludf.DUMMYFUNCTION("CONCATENATE(GOOGLETRANSLATE(C2026, ""en"", ""ja""))"),"Hollister メンズ バギー パーカー")</f>
        <v>Hollister メンズ バギー パーカー</v>
      </c>
    </row>
    <row r="2027" ht="15.75" customHeight="1">
      <c r="A2027" s="1">
        <v>6463.0</v>
      </c>
      <c r="B2027" s="1" t="s">
        <v>15</v>
      </c>
      <c r="C2027" s="1" t="s">
        <v>1924</v>
      </c>
      <c r="D2027" s="1" t="str">
        <f>IFERROR(__xludf.DUMMYFUNCTION("CONCATENATE(GOOGLETRANSLATE(C2027, ""en"", ""zh-cn""))"),"罗技 M196 蓝牙无线鼠标")</f>
        <v>罗技 M196 蓝牙无线鼠标</v>
      </c>
      <c r="E2027" s="1" t="str">
        <f>IFERROR(__xludf.DUMMYFUNCTION("CONCATENATE(GOOGLETRANSLATE(C2027, ""en"", ""ko""))"),"로지텍 M196 Bluetooth 무선 마우스")</f>
        <v>로지텍 M196 Bluetooth 무선 마우스</v>
      </c>
      <c r="F2027" s="1" t="str">
        <f>IFERROR(__xludf.DUMMYFUNCTION("CONCATENATE(GOOGLETRANSLATE(C2027, ""en"", ""ja""))"),"ロジクール M196 Bluetooth ワイヤレス マウス")</f>
        <v>ロジクール M196 Bluetooth ワイヤレス マウス</v>
      </c>
    </row>
    <row r="2028" ht="15.75" customHeight="1">
      <c r="A2028" s="1">
        <v>6468.0</v>
      </c>
      <c r="B2028" s="1" t="s">
        <v>15</v>
      </c>
      <c r="C2028" s="1" t="s">
        <v>1925</v>
      </c>
      <c r="D2028" s="1" t="str">
        <f>IFERROR(__xludf.DUMMYFUNCTION("CONCATENATE(GOOGLETRANSLATE(C2028, ""en"", ""zh-cn""))"),"安静！ Light Base 600 LX 中型塔式机箱")</f>
        <v>安静！ Light Base 600 LX 中型塔式机箱</v>
      </c>
      <c r="E2028" s="1" t="str">
        <f>IFERROR(__xludf.DUMMYFUNCTION("CONCATENATE(GOOGLETRANSLATE(C2028, ""en"", ""ko""))"),"조용히 해! Light Base 600 LX 미디 타워 케이스")</f>
        <v>조용히 해! Light Base 600 LX 미디 타워 케이스</v>
      </c>
      <c r="F2028" s="1" t="str">
        <f>IFERROR(__xludf.DUMMYFUNCTION("CONCATENATE(GOOGLETRANSLATE(C2028, ""en"", ""ja""))"),"静かに！ライトベース 600 LX ミディタワーケース")</f>
        <v>静かに！ライトベース 600 LX ミディタワーケース</v>
      </c>
    </row>
    <row r="2029" ht="15.75" customHeight="1">
      <c r="A2029" s="1">
        <v>6476.0</v>
      </c>
      <c r="B2029" s="1" t="s">
        <v>15</v>
      </c>
      <c r="C2029" s="1" t="s">
        <v>1926</v>
      </c>
      <c r="D2029" s="1" t="str">
        <f>IFERROR(__xludf.DUMMYFUNCTION("CONCATENATE(GOOGLETRANSLATE(C2029, ""en"", ""zh-cn""))"),"Corsair 6500D 气流中塔双室 PC 机箱")</f>
        <v>Corsair 6500D 气流中塔双室 PC 机箱</v>
      </c>
      <c r="E2029" s="1" t="str">
        <f>IFERROR(__xludf.DUMMYFUNCTION("CONCATENATE(GOOGLETRANSLATE(C2029, ""en"", ""ko""))"),"Corsair 6500D Airflow 미드 타워 듀얼 챔버 PC 케이스")</f>
        <v>Corsair 6500D Airflow 미드 타워 듀얼 챔버 PC 케이스</v>
      </c>
      <c r="F2029" s="1" t="str">
        <f>IFERROR(__xludf.DUMMYFUNCTION("CONCATENATE(GOOGLETRANSLATE(C2029, ""en"", ""ja""))"),"Corsair 6500D エアフロー ミッドタワー デュアル チャンバー PC ケース")</f>
        <v>Corsair 6500D エアフロー ミッドタワー デュアル チャンバー PC ケース</v>
      </c>
    </row>
    <row r="2030" ht="15.75" customHeight="1">
      <c r="A2030" s="1">
        <v>6484.0</v>
      </c>
      <c r="B2030" s="1" t="s">
        <v>15</v>
      </c>
      <c r="C2030" s="1" t="s">
        <v>1927</v>
      </c>
      <c r="D2030" s="1" t="str">
        <f>IFERROR(__xludf.DUMMYFUNCTION("CONCATENATE(GOOGLETRANSLATE(C2030, ""en"", ""zh-cn""))"),"Fractal Design HDD 驱动器托盘套件 FD-A-TRAY-001")</f>
        <v>Fractal Design HDD 驱动器托盘套件 FD-A-TRAY-001</v>
      </c>
      <c r="E2030" s="1" t="str">
        <f>IFERROR(__xludf.DUMMYFUNCTION("CONCATENATE(GOOGLETRANSLATE(C2030, ""en"", ""ko""))"),"프랙탈 디자인 HDD 드라이브 트레이 키트 FD-A-TRAY-001")</f>
        <v>프랙탈 디자인 HDD 드라이브 트레이 키트 FD-A-TRAY-001</v>
      </c>
      <c r="F2030" s="1" t="str">
        <f>IFERROR(__xludf.DUMMYFUNCTION("CONCATENATE(GOOGLETRANSLATE(C2030, ""en"", ""ja""))"),"Fractal Design HDD ドライブ トレイ キット FD-A-TRAY-001")</f>
        <v>Fractal Design HDD ドライブ トレイ キット FD-A-TRAY-001</v>
      </c>
    </row>
    <row r="2031" ht="15.75" customHeight="1">
      <c r="A2031" s="1">
        <v>6489.0</v>
      </c>
      <c r="B2031" s="1" t="s">
        <v>15</v>
      </c>
      <c r="C2031" s="1" t="s">
        <v>1928</v>
      </c>
      <c r="D2031" s="1" t="str">
        <f>IFERROR(__xludf.DUMMYFUNCTION("CONCATENATE(GOOGLETRANSLATE(C2031, ""en"", ""zh-cn""))"),"ORICO 9合1 USB C扩展坞")</f>
        <v>ORICO 9合1 USB C扩展坞</v>
      </c>
      <c r="E2031" s="1" t="str">
        <f>IFERROR(__xludf.DUMMYFUNCTION("CONCATENATE(GOOGLETRANSLATE(C2031, ""en"", ""ko""))"),"ORICO 9-in-1 USB C 도킹 스테이션")</f>
        <v>ORICO 9-in-1 USB C 도킹 스테이션</v>
      </c>
      <c r="F2031" s="1" t="str">
        <f>IFERROR(__xludf.DUMMYFUNCTION("CONCATENATE(GOOGLETRANSLATE(C2031, ""en"", ""ja""))"),"ORICO 9-in-1 USB C ドッキング ステーション")</f>
        <v>ORICO 9-in-1 USB C ドッキング ステーション</v>
      </c>
    </row>
    <row r="2032" ht="15.75" customHeight="1">
      <c r="A2032" s="1">
        <v>6492.0</v>
      </c>
      <c r="B2032" s="1" t="s">
        <v>15</v>
      </c>
      <c r="C2032" s="1" t="s">
        <v>1929</v>
      </c>
      <c r="D2032" s="1" t="str">
        <f>IFERROR(__xludf.DUMMYFUNCTION("CONCATENATE(GOOGLETRANSLATE(C2032, ""en"", ""zh-cn""))"),"Corsair K70 CORE RGB 机械游戏键盘")</f>
        <v>Corsair K70 CORE RGB 机械游戏键盘</v>
      </c>
      <c r="E2032" s="1" t="str">
        <f>IFERROR(__xludf.DUMMYFUNCTION("CONCATENATE(GOOGLETRANSLATE(C2032, ""en"", ""ko""))"),"Corsair K70 CORE RGB 기계식 게이밍 키보드")</f>
        <v>Corsair K70 CORE RGB 기계식 게이밍 키보드</v>
      </c>
      <c r="F2032" s="1" t="str">
        <f>IFERROR(__xludf.DUMMYFUNCTION("CONCATENATE(GOOGLETRANSLATE(C2032, ""en"", ""ja""))"),"Corsair K70 CORE RGB メカニカル ゲーミング キーボード")</f>
        <v>Corsair K70 CORE RGB メカニカル ゲーミング キーボード</v>
      </c>
    </row>
    <row r="2033" ht="15.75" customHeight="1">
      <c r="A2033" s="1">
        <v>6525.0</v>
      </c>
      <c r="B2033" s="1" t="s">
        <v>15</v>
      </c>
      <c r="C2033" s="1" t="s">
        <v>1930</v>
      </c>
      <c r="D2033" s="1" t="str">
        <f>IFERROR(__xludf.DUMMYFUNCTION("CONCATENATE(GOOGLETRANSLATE(C2033, ""en"", ""zh-cn""))"),"Hxsj 有线游戏键盘和鼠标组合")</f>
        <v>Hxsj 有线游戏键盘和鼠标组合</v>
      </c>
      <c r="E2033" s="1" t="str">
        <f>IFERROR(__xludf.DUMMYFUNCTION("CONCATENATE(GOOGLETRANSLATE(C2033, ""en"", ""ko""))"),"Hxsj 유선 게이밍 키보드 및 마우스 콤보")</f>
        <v>Hxsj 유선 게이밍 키보드 및 마우스 콤보</v>
      </c>
      <c r="F2033" s="1" t="str">
        <f>IFERROR(__xludf.DUMMYFUNCTION("CONCATENATE(GOOGLETRANSLATE(C2033, ""en"", ""ja""))"),"Hxsj 有線ゲーミング キーボードとマウスのコンボ")</f>
        <v>Hxsj 有線ゲーミング キーボードとマウスのコンボ</v>
      </c>
    </row>
    <row r="2034" ht="15.75" customHeight="1">
      <c r="A2034" s="1">
        <v>6530.0</v>
      </c>
      <c r="B2034" s="1" t="s">
        <v>15</v>
      </c>
      <c r="C2034" s="1" t="s">
        <v>1931</v>
      </c>
      <c r="D2034" s="1" t="str">
        <f>IFERROR(__xludf.DUMMYFUNCTION("CONCATENATE(GOOGLETRANSLATE(C2034, ""en"", ""zh-cn""))"),"Virtual Meshify 2 ATX 灵活中灯塔")</f>
        <v>Virtual Meshify 2 ATX 灵活中灯塔</v>
      </c>
      <c r="E2034" s="1" t="str">
        <f>IFERROR(__xludf.DUMMYFUNCTION("CONCATENATE(GOOGLETRANSLATE(C2034, ""en"", ""ko""))"),"Virtual Meshify 2 ATX 유연한 미드 라이트 타워")</f>
        <v>Virtual Meshify 2 ATX 유연한 미드 라이트 타워</v>
      </c>
      <c r="F2034" s="1" t="str">
        <f>IFERROR(__xludf.DUMMYFUNCTION("CONCATENATE(GOOGLETRANSLATE(C2034, ""en"", ""ja""))"),"Virtual Meshify 2 ATX フレキシブルミッドライトタワー")</f>
        <v>Virtual Meshify 2 ATX フレキシブルミッドライトタワー</v>
      </c>
    </row>
    <row r="2035" ht="15.75" customHeight="1">
      <c r="A2035" s="1">
        <v>6531.0</v>
      </c>
      <c r="B2035" s="1" t="s">
        <v>15</v>
      </c>
      <c r="C2035" s="1" t="s">
        <v>1932</v>
      </c>
      <c r="D2035" s="1" t="str">
        <f>IFERROR(__xludf.DUMMYFUNCTION("CONCATENATE(GOOGLETRANSLATE(C2035, ""en"", ""zh-cn""))"),"semour 手势感应遥控机器人玩具，适合 5-7 岁儿童 |可编程和交互式|送给男孩和女孩的完美圣诞生日礼物")</f>
        <v>semour 手势感应遥控机器人玩具，适合 5-7 岁儿童 |可编程和交互式|送给男孩和女孩的完美圣诞生日礼物</v>
      </c>
      <c r="E2035" s="1" t="str">
        <f>IFERROR(__xludf.DUMMYFUNCTION("CONCATENATE(GOOGLETRANSLATE(C2035, ""en"", ""ko""))"),"5-7세 어린이를 위한 제스처 감지 RC 로봇 장난감 | 프로그래밍 가능 및 대화형 | 남자아이와 여자아이를 위한 완벽한 크리스마스 생일 선물")</f>
        <v>5-7세 어린이를 위한 제스처 감지 RC 로봇 장난감 | 프로그래밍 가능 및 대화형 | 남자아이와 여자아이를 위한 완벽한 크리스마스 생일 선물</v>
      </c>
      <c r="F2035" s="1" t="str">
        <f>IFERROR(__xludf.DUMMYFUNCTION("CONCATENATE(GOOGLETRANSLATE(C2035, ""en"", ""ja""))"),"semour ジェスチャーセンシング RC ロボットおもちゃ 5 ～ 7 歳の子供向け |プログラム可能でインタラクティブ |男の子にも女の子にもぴったりなクリスマス誕生日プレゼント")</f>
        <v>semour ジェスチャーセンシング RC ロボットおもちゃ 5 ～ 7 歳の子供向け |プログラム可能でインタラクティブ |男の子にも女の子にもぴったりなクリスマス誕生日プレゼント</v>
      </c>
    </row>
    <row r="2036" ht="15.75" customHeight="1">
      <c r="A2036" s="1">
        <v>6552.0</v>
      </c>
      <c r="B2036" s="1" t="s">
        <v>15</v>
      </c>
      <c r="C2036" s="1" t="s">
        <v>1933</v>
      </c>
      <c r="D2036" s="1" t="str">
        <f>IFERROR(__xludf.DUMMYFUNCTION("CONCATENATE(GOOGLETRANSLATE(C2036, ""en"", ""zh-cn""))"),"Anpcso 儿童玩具适合 2 3 4 5 6 7 岁以上男孩幼儿经典积木套装、恐龙、汽车、人物、拼搭、学习和玩耍、教育互动")</f>
        <v>Anpcso 儿童玩具适合 2 3 4 5 6 7 岁以上男孩幼儿经典积木套装、恐龙、汽车、人物、拼搭、学习和玩耍、教育互动</v>
      </c>
      <c r="E2036" s="1" t="str">
        <f>IFERROR(__xludf.DUMMYFUNCTION("CONCATENATE(GOOGLETRANSLATE(C2036, ""en"", ""ko""))"),"Anpcso 어린이 장난감 2 3 4 5 6 7세 이상 소년 유아 클래식 벽돌 세트, 공룡, 자동차, 피규어, 빌드, 학습 및 놀이, 교육용 대화형")</f>
        <v>Anpcso 어린이 장난감 2 3 4 5 6 7세 이상 소년 유아 클래식 벽돌 세트, 공룡, 자동차, 피규어, 빌드, 학습 및 놀이, 교육용 대화형</v>
      </c>
      <c r="F2036" s="1" t="str">
        <f>IFERROR(__xludf.DUMMYFUNCTION("CONCATENATE(GOOGLETRANSLATE(C2036, ""en"", ""ja""))"),"Anpcso 子供のおもちゃ 2 3 4 5 6 7 歳以上の男の子向け 幼児 クラシック レンガセット 恐竜 車 フィギュア 組み立て 学び遊び 教育インタラクティブ")</f>
        <v>Anpcso 子供のおもちゃ 2 3 4 5 6 7 歳以上の男の子向け 幼児 クラシック レンガセット 恐竜 車 フィギュア 組み立て 学び遊び 教育インタラクティブ</v>
      </c>
    </row>
    <row r="2037" ht="15.75" customHeight="1">
      <c r="A2037" s="1">
        <v>6553.0</v>
      </c>
      <c r="B2037" s="1" t="s">
        <v>15</v>
      </c>
      <c r="C2037" s="1" t="s">
        <v>1934</v>
      </c>
      <c r="D2037" s="1" t="str">
        <f>IFERROR(__xludf.DUMMYFUNCTION("CONCATENATE(GOOGLETRANSLATE(C2037, ""en"", ""zh-cn""))"),"AIBREAY 陀螺仪 6 件装战斗上衣金属融合入门套装")</f>
        <v>AIBREAY 陀螺仪 6 件装战斗上衣金属融合入门套装</v>
      </c>
      <c r="E2037" s="1" t="str">
        <f>IFERROR(__xludf.DUMMYFUNCTION("CONCATENATE(GOOGLETRANSLATE(C2037, ""en"", ""ko""))"),"AIBREAY 자이로스 6개 팩 배틀링 탑 메탈 퓨전 스타터 세트")</f>
        <v>AIBREAY 자이로스 6개 팩 배틀링 탑 메탈 퓨전 스타터 세트</v>
      </c>
      <c r="F2037" s="1" t="str">
        <f>IFERROR(__xludf.DUMMYFUNCTION("CONCATENATE(GOOGLETRANSLATE(C2037, ""en"", ""ja""))"),"AIBREAY ジャイロ 6 個パック バトリングトップス メタルフュージョン スターターセット")</f>
        <v>AIBREAY ジャイロ 6 個パック バトリングトップス メタルフュージョン スターターセット</v>
      </c>
    </row>
    <row r="2038" ht="15.75" customHeight="1">
      <c r="A2038" s="1">
        <v>6554.0</v>
      </c>
      <c r="B2038" s="1" t="s">
        <v>15</v>
      </c>
      <c r="C2038" s="1" t="s">
        <v>1935</v>
      </c>
      <c r="D2038" s="1" t="str">
        <f>IFERROR(__xludf.DUMMYFUNCTION("CONCATENATE(GOOGLETRANSLATE(C2038, ""en"", ""zh-cn""))"),"Playbees 发光透明齿轮飞机玩具")</f>
        <v>Playbees 发光透明齿轮飞机玩具</v>
      </c>
      <c r="E2038" s="1" t="str">
        <f>IFERROR(__xludf.DUMMYFUNCTION("CONCATENATE(GOOGLETRANSLATE(C2038, ""en"", ""ko""))"),"Playbees 라이트 업 투명 기어 비행기 장난감")</f>
        <v>Playbees 라이트 업 투명 기어 비행기 장난감</v>
      </c>
      <c r="F2038" s="1" t="str">
        <f>IFERROR(__xludf.DUMMYFUNCTION("CONCATENATE(GOOGLETRANSLATE(C2038, ""en"", ""ja""))"),"Playbees ライトアップ透明ギア飛行機おもちゃ")</f>
        <v>Playbees ライトアップ透明ギア飛行機おもちゃ</v>
      </c>
    </row>
    <row r="2039" ht="15.75" customHeight="1">
      <c r="A2039" s="1">
        <v>6579.0</v>
      </c>
      <c r="B2039" s="1" t="s">
        <v>15</v>
      </c>
      <c r="C2039" s="1" t="s">
        <v>1936</v>
      </c>
      <c r="D2039" s="1" t="str">
        <f>IFERROR(__xludf.DUMMYFUNCTION("CONCATENATE(GOOGLETRANSLATE(C2039, ""en"", ""zh-cn""))"),"Slickblue 便携式篮球筐系统")</f>
        <v>Slickblue 便携式篮球筐系统</v>
      </c>
      <c r="E2039" s="1" t="str">
        <f>IFERROR(__xludf.DUMMYFUNCTION("CONCATENATE(GOOGLETRANSLATE(C2039, ""en"", ""ko""))"),"Slickblue 휴대용 농구대 시스템")</f>
        <v>Slickblue 휴대용 농구대 시스템</v>
      </c>
      <c r="F2039" s="1" t="str">
        <f>IFERROR(__xludf.DUMMYFUNCTION("CONCATENATE(GOOGLETRANSLATE(C2039, ""en"", ""ja""))"),"Slickblue ポータブルバスケットボールフープシステム")</f>
        <v>Slickblue ポータブルバスケットボールフープシステム</v>
      </c>
    </row>
    <row r="2040" ht="15.75" customHeight="1">
      <c r="A2040" s="1">
        <v>6586.0</v>
      </c>
      <c r="B2040" s="1" t="s">
        <v>15</v>
      </c>
      <c r="C2040" s="1" t="s">
        <v>1937</v>
      </c>
      <c r="D2040" s="1" t="str">
        <f>IFERROR(__xludf.DUMMYFUNCTION("CONCATENATE(GOOGLETRANSLATE(C2040, ""en"", ""zh-cn""))"),"Gared Sports户外篮球系统")</f>
        <v>Gared Sports户外篮球系统</v>
      </c>
      <c r="E2040" s="1" t="str">
        <f>IFERROR(__xludf.DUMMYFUNCTION("CONCATENATE(GOOGLETRANSLATE(C2040, ""en"", ""ko""))"),"Gared Sports 야외 농구 시스템")</f>
        <v>Gared Sports 야외 농구 시스템</v>
      </c>
      <c r="F2040" s="1" t="str">
        <f>IFERROR(__xludf.DUMMYFUNCTION("CONCATENATE(GOOGLETRANSLATE(C2040, ""en"", ""ja""))"),"Gared スポーツ アウトドア バスケットボール システム")</f>
        <v>Gared スポーツ アウトドア バスケットボール システム</v>
      </c>
    </row>
    <row r="2041" ht="15.75" customHeight="1">
      <c r="A2041" s="1">
        <v>6589.0</v>
      </c>
      <c r="B2041" s="1" t="s">
        <v>15</v>
      </c>
      <c r="C2041" s="1" t="s">
        <v>1938</v>
      </c>
      <c r="D2041" s="1" t="str">
        <f>IFERROR(__xludf.DUMMYFUNCTION("CONCATENATE(GOOGLETRANSLATE(C2041, ""en"", ""zh-cn""))"),"运动队便携式足球门网套装")</f>
        <v>运动队便携式足球门网套装</v>
      </c>
      <c r="E2041" s="1" t="str">
        <f>IFERROR(__xludf.DUMMYFUNCTION("CONCATENATE(GOOGLETRANSLATE(C2041, ""en"", ""ko""))"),"스포츠 분대 휴대용 축구 골네트 세트")</f>
        <v>스포츠 분대 휴대용 축구 골네트 세트</v>
      </c>
      <c r="F2041" s="1" t="str">
        <f>IFERROR(__xludf.DUMMYFUNCTION("CONCATENATE(GOOGLETRANSLATE(C2041, ""en"", ""ja""))"),"スポーツスクワッドポータブルサッカーゴールネットセット")</f>
        <v>スポーツスクワッドポータブルサッカーゴールネットセット</v>
      </c>
    </row>
    <row r="2042" ht="15.75" customHeight="1">
      <c r="A2042" s="1">
        <v>6599.0</v>
      </c>
      <c r="B2042" s="1" t="s">
        <v>15</v>
      </c>
      <c r="C2042" s="1" t="s">
        <v>1939</v>
      </c>
      <c r="D2042" s="1" t="str">
        <f>IFERROR(__xludf.DUMMYFUNCTION("CONCATENATE(GOOGLETRANSLATE(C2042, ""en"", ""zh-cn""))"),"MADOG 运动器材充气船")</f>
        <v>MADOG 运动器材充气船</v>
      </c>
      <c r="E2042" s="1" t="str">
        <f>IFERROR(__xludf.DUMMYFUNCTION("CONCATENATE(GOOGLETRANSLATE(C2042, ""en"", ""ko""))"),"MADOG 스포츠 장비 풍선 보트")</f>
        <v>MADOG 스포츠 장비 풍선 보트</v>
      </c>
      <c r="F2042" s="1" t="str">
        <f>IFERROR(__xludf.DUMMYFUNCTION("CONCATENATE(GOOGLETRANSLATE(C2042, ""en"", ""ja""))"),"MADOG スポーツ用品インフレータブル ボート")</f>
        <v>MADOG スポーツ用品インフレータブル ボート</v>
      </c>
    </row>
    <row r="2043" ht="15.75" customHeight="1">
      <c r="A2043" s="1">
        <v>6604.0</v>
      </c>
      <c r="B2043" s="1" t="s">
        <v>15</v>
      </c>
      <c r="C2043" s="1" t="s">
        <v>1940</v>
      </c>
      <c r="D2043" s="1" t="str">
        <f>IFERROR(__xludf.DUMMYFUNCTION("CONCATENATE(GOOGLETRANSLATE(C2043, ""en"", ""zh-cn""))"),"富兰克林运动软尖目标投掷")</f>
        <v>富兰克林运动软尖目标投掷</v>
      </c>
      <c r="E2043" s="1" t="str">
        <f>IFERROR(__xludf.DUMMYFUNCTION("CONCATENATE(GOOGLETRANSLATE(C2043, ""en"", ""ko""))"),"프랭클린 스포츠 소프트 팁 타겟 토스")</f>
        <v>프랭클린 스포츠 소프트 팁 타겟 토스</v>
      </c>
      <c r="F2043" s="1" t="str">
        <f>IFERROR(__xludf.DUMMYFUNCTION("CONCATENATE(GOOGLETRANSLATE(C2043, ""en"", ""ja""))"),"フランクリン スポーツ ソフトチップ ターゲット トス")</f>
        <v>フランクリン スポーツ ソフトチップ ターゲット トス</v>
      </c>
    </row>
    <row r="2044" ht="15.75" customHeight="1">
      <c r="A2044" s="1">
        <v>6608.0</v>
      </c>
      <c r="B2044" s="1" t="s">
        <v>15</v>
      </c>
      <c r="C2044" s="1" t="s">
        <v>1941</v>
      </c>
      <c r="D2044" s="1" t="str">
        <f>IFERROR(__xludf.DUMMYFUNCTION("CONCATENATE(GOOGLETRANSLATE(C2044, ""en"", ""zh-cn""))"),"Easton Speed 美国青少年棒球棒")</f>
        <v>Easton Speed 美国青少年棒球棒</v>
      </c>
      <c r="E2044" s="1" t="str">
        <f>IFERROR(__xludf.DUMMYFUNCTION("CONCATENATE(GOOGLETRANSLATE(C2044, ""en"", ""ko""))"),"이스턴 스피드 USA 청소년 야구 배트")</f>
        <v>이스턴 스피드 USA 청소년 야구 배트</v>
      </c>
      <c r="F2044" s="1" t="str">
        <f>IFERROR(__xludf.DUMMYFUNCTION("CONCATENATE(GOOGLETRANSLATE(C2044, ""en"", ""ja""))"),"Easton Speed USA 少年野球バット")</f>
        <v>Easton Speed USA 少年野球バット</v>
      </c>
    </row>
    <row r="2045" ht="15.75" customHeight="1">
      <c r="A2045" s="1">
        <v>6611.0</v>
      </c>
      <c r="B2045" s="1" t="s">
        <v>15</v>
      </c>
      <c r="C2045" s="1" t="s">
        <v>1942</v>
      </c>
      <c r="D2045" s="1" t="str">
        <f>IFERROR(__xludf.DUMMYFUNCTION("CONCATENATE(GOOGLETRANSLATE(C2045, ""en"", ""zh-cn""))"),"Timex 女士连衣裙水晶手表和手链礼品套装")</f>
        <v>Timex 女士连衣裙水晶手表和手链礼品套装</v>
      </c>
      <c r="E2045" s="1" t="str">
        <f>IFERROR(__xludf.DUMMYFUNCTION("CONCATENATE(GOOGLETRANSLATE(C2045, ""en"", ""ko""))"),"타이멕스 여성용 드레스 크리스탈 시계 &amp; 팔찌 선물 세트")</f>
        <v>타이멕스 여성용 드레스 크리스탈 시계 &amp; 팔찌 선물 세트</v>
      </c>
      <c r="F2045" s="1" t="str">
        <f>IFERROR(__xludf.DUMMYFUNCTION("CONCATENATE(GOOGLETRANSLATE(C2045, ""en"", ""ja""))"),"タイメックス レディース ドレス クリスタル ウォッチ &amp; ブレスレット ギフト セット")</f>
        <v>タイメックス レディース ドレス クリスタル ウォッチ &amp; ブレスレット ギフト セット</v>
      </c>
    </row>
    <row r="2046" ht="15.75" customHeight="1">
      <c r="A2046" s="1">
        <v>6624.0</v>
      </c>
      <c r="B2046" s="1" t="s">
        <v>15</v>
      </c>
      <c r="C2046" s="1" t="s">
        <v>1943</v>
      </c>
      <c r="D2046" s="1" t="str">
        <f>IFERROR(__xludf.DUMMYFUNCTION("CONCATENATE(GOOGLETRANSLATE(C2046, ""en"", ""zh-cn""))"),"Michael Kors 男士跑道计时不锈钢手表")</f>
        <v>Michael Kors 男士跑道计时不锈钢手表</v>
      </c>
      <c r="E2046" s="1" t="str">
        <f>IFERROR(__xludf.DUMMYFUNCTION("CONCATENATE(GOOGLETRANSLATE(C2046, ""en"", ""ko""))"),"마이클 코어스 남성용 런웨이 크로노그래프 스테인레스 스틸 시계")</f>
        <v>마이클 코어스 남성용 런웨이 크로노그래프 스테인레스 스틸 시계</v>
      </c>
      <c r="F2046" s="1" t="str">
        <f>IFERROR(__xludf.DUMMYFUNCTION("CONCATENATE(GOOGLETRANSLATE(C2046, ""en"", ""ja""))"),"Michael Kors メンズ ランウェイ クロノグラフ ステンレススチール ウォッチ")</f>
        <v>Michael Kors メンズ ランウェイ クロノグラフ ステンレススチール ウォッチ</v>
      </c>
    </row>
    <row r="2047" ht="15.75" customHeight="1">
      <c r="A2047" s="1">
        <v>6639.0</v>
      </c>
      <c r="B2047" s="1" t="s">
        <v>15</v>
      </c>
      <c r="C2047" s="1" t="s">
        <v>1944</v>
      </c>
      <c r="D2047" s="1" t="str">
        <f>IFERROR(__xludf.DUMMYFUNCTION("CONCATENATE(GOOGLETRANSLATE(C2047, ""en"", ""zh-cn""))"),"女士施华洛世奇 Dextera 手镯手表")</f>
        <v>女士施华洛世奇 Dextera 手镯手表</v>
      </c>
      <c r="E2047" s="1" t="str">
        <f>IFERROR(__xludf.DUMMYFUNCTION("CONCATENATE(GOOGLETRANSLATE(C2047, ""en"", ""ko""))"),"여성 스와로브스키 Dextera 뱅글 시계")</f>
        <v>여성 스와로브스키 Dextera 뱅글 시계</v>
      </c>
      <c r="F2047" s="1" t="str">
        <f>IFERROR(__xludf.DUMMYFUNCTION("CONCATENATE(GOOGLETRANSLATE(C2047, ""en"", ""ja""))"),"女性スワロフスキー デクステラ バングル ウォッチ")</f>
        <v>女性スワロフスキー デクステラ バングル ウォッチ</v>
      </c>
    </row>
    <row r="2048" ht="15.75" customHeight="1">
      <c r="A2048" s="1">
        <v>6643.0</v>
      </c>
      <c r="B2048" s="1" t="s">
        <v>15</v>
      </c>
      <c r="C2048" s="1" t="s">
        <v>1945</v>
      </c>
      <c r="D2048" s="1" t="str">
        <f>IFERROR(__xludf.DUMMYFUNCTION("CONCATENATE(GOOGLETRANSLATE(C2048, ""en"", ""zh-cn""))"),"坦桑石手表")</f>
        <v>坦桑石手表</v>
      </c>
      <c r="E2048" s="1" t="str">
        <f>IFERROR(__xludf.DUMMYFUNCTION("CONCATENATE(GOOGLETRANSLATE(C2048, ""en"", ""ko""))"),"탄자나이트 시계")</f>
        <v>탄자나이트 시계</v>
      </c>
      <c r="F2048" s="1" t="str">
        <f>IFERROR(__xludf.DUMMYFUNCTION("CONCATENATE(GOOGLETRANSLATE(C2048, ""en"", ""ja""))"),"タンザナイト ウォッチ")</f>
        <v>タンザナイト ウォッチ</v>
      </c>
    </row>
    <row r="2049" ht="15.75" customHeight="1">
      <c r="A2049" s="1">
        <v>6644.0</v>
      </c>
      <c r="B2049" s="1" t="s">
        <v>15</v>
      </c>
      <c r="C2049" s="1" t="s">
        <v>1946</v>
      </c>
      <c r="D2049" s="1" t="str">
        <f>IFERROR(__xludf.DUMMYFUNCTION("CONCATENATE(GOOGLETRANSLATE(C2049, ""en"", ""zh-cn""))"),"Montres Prestige x Invicta 男士手表")</f>
        <v>Montres Prestige x Invicta 男士手表</v>
      </c>
      <c r="E2049" s="1" t="str">
        <f>IFERROR(__xludf.DUMMYFUNCTION("CONCATENATE(GOOGLETRANSLATE(C2049, ""en"", ""ko""))"),"Montres Prestige x Invicta 남성용 시계")</f>
        <v>Montres Prestige x Invicta 남성용 시계</v>
      </c>
      <c r="F2049" s="1" t="str">
        <f>IFERROR(__xludf.DUMMYFUNCTION("CONCATENATE(GOOGLETRANSLATE(C2049, ""en"", ""ja""))"),"Montres Prestige x Invicta メンズ ウォッチ")</f>
        <v>Montres Prestige x Invicta メンズ ウォッチ</v>
      </c>
    </row>
    <row r="2050" ht="15.75" customHeight="1">
      <c r="A2050" s="1">
        <v>6651.0</v>
      </c>
      <c r="B2050" s="1" t="s">
        <v>15</v>
      </c>
      <c r="C2050" s="1" t="s">
        <v>1947</v>
      </c>
      <c r="D2050" s="1" t="str">
        <f>IFERROR(__xludf.DUMMYFUNCTION("CONCATENATE(GOOGLETRANSLATE(C2050, ""en"", ""zh-cn""))"),"Takfox 手机皮套 适用于三星 Galaxy S23 Ultra S23 Plus S22 S21 S20 Note 20+")</f>
        <v>Takfox 手机皮套 适用于三星 Galaxy S23 Ultra S23 Plus S22 S21 S20 Note 20+</v>
      </c>
      <c r="E2050" s="1" t="str">
        <f>IFERROR(__xludf.DUMMYFUNCTION("CONCATENATE(GOOGLETRANSLATE(C2050, ""en"", ""ko""))"),"삼성 갤럭시 S23 울트라 S23 플러스 S22 S21 S20 노트 20+용 Takfox 휴대폰 홀스터")</f>
        <v>삼성 갤럭시 S23 울트라 S23 플러스 S22 S21 S20 노트 20+용 Takfox 휴대폰 홀스터</v>
      </c>
      <c r="F2050" s="1" t="str">
        <f>IFERROR(__xludf.DUMMYFUNCTION("CONCATENATE(GOOGLETRANSLATE(C2050, ""en"", ""ja""))"),"Takfox 電話ホルスター Samsung Galaxy S23 Ultra S23 Plus S22 S21 S20 Note 20+用")</f>
        <v>Takfox 電話ホルスター Samsung Galaxy S23 Ultra S23 Plus S22 S21 S20 Note 20+用</v>
      </c>
    </row>
    <row r="2051" ht="15.75" customHeight="1">
      <c r="A2051" s="1">
        <v>6652.0</v>
      </c>
      <c r="B2051" s="1" t="s">
        <v>15</v>
      </c>
      <c r="C2051" s="1" t="s">
        <v>1948</v>
      </c>
      <c r="D2051" s="1" t="str">
        <f>IFERROR(__xludf.DUMMYFUNCTION("CONCATENATE(GOOGLETRANSLATE(C2051, ""en"", ""zh-cn""))"),"Case-Mate 可调节斜挎挂绳")</f>
        <v>Case-Mate 可调节斜挎挂绳</v>
      </c>
      <c r="E2051" s="1" t="str">
        <f>IFERROR(__xludf.DUMMYFUNCTION("CONCATENATE(GOOGLETRANSLATE(C2051, ""en"", ""ko""))"),"Case-Mate 조절 가능한 크로스바디 끈")</f>
        <v>Case-Mate 조절 가능한 크로스바디 끈</v>
      </c>
      <c r="F2051" s="1" t="str">
        <f>IFERROR(__xludf.DUMMYFUNCTION("CONCATENATE(GOOGLETRANSLATE(C2051, ""en"", ""ja""))"),"Case-Mate 調節可能なクロスボディ ストラップ")</f>
        <v>Case-Mate 調節可能なクロスボディ ストラップ</v>
      </c>
    </row>
    <row r="2052" ht="15.75" customHeight="1">
      <c r="A2052" s="1">
        <v>6674.0</v>
      </c>
      <c r="B2052" s="1" t="s">
        <v>15</v>
      </c>
      <c r="C2052" s="1" t="s">
        <v>1949</v>
      </c>
      <c r="D2052" s="1" t="str">
        <f>IFERROR(__xludf.DUMMYFUNCTION("CONCATENATE(GOOGLETRANSLATE(C2052, ""en"", ""zh-cn""))"),"PopSockets PopGrip 珐琅精致 Cosmic")</f>
        <v>PopSockets PopGrip 珐琅精致 Cosmic</v>
      </c>
      <c r="E2052" s="1" t="str">
        <f>IFERROR(__xludf.DUMMYFUNCTION("CONCATENATE(GOOGLETRANSLATE(C2052, ""en"", ""ko""))"),"팝소켓 팝그립 에나멜 데인티 코스믹")</f>
        <v>팝소켓 팝그립 에나멜 데인티 코스믹</v>
      </c>
      <c r="F2052" s="1" t="str">
        <f>IFERROR(__xludf.DUMMYFUNCTION("CONCATENATE(GOOGLETRANSLATE(C2052, ""en"", ""ja""))"),"ポップソケッツ ポップグリップ エナメル デインティ コズミック")</f>
        <v>ポップソケッツ ポップグリップ エナメル デインティ コズミック</v>
      </c>
    </row>
    <row r="2053" ht="15.75" customHeight="1">
      <c r="A2053" s="1">
        <v>6676.0</v>
      </c>
      <c r="B2053" s="1" t="s">
        <v>15</v>
      </c>
      <c r="C2053" s="1" t="s">
        <v>1950</v>
      </c>
      <c r="D2053" s="1" t="str">
        <f>IFERROR(__xludf.DUMMYFUNCTION("CONCATENATE(GOOGLETRANSLATE(C2053, ""en"", ""zh-cn""))"),"Friendsa 6 件塑料迪斯科水晶手机握把")</f>
        <v>Friendsa 6 件塑料迪斯科水晶手机握把</v>
      </c>
      <c r="E2053" s="1" t="str">
        <f>IFERROR(__xludf.DUMMYFUNCTION("CONCATENATE(GOOGLETRANSLATE(C2053, ""en"", ""ko""))"),"Frienda 6개 플라스틱 디스코 크리스탈 휴대폰 그립")</f>
        <v>Frienda 6개 플라스틱 디스코 크리스탈 휴대폰 그립</v>
      </c>
      <c r="F2053" s="1" t="str">
        <f>IFERROR(__xludf.DUMMYFUNCTION("CONCATENATE(GOOGLETRANSLATE(C2053, ""en"", ""ja""))"),"Frienda 6 ピース プラスチック ディスコ クリスタル 携帯電話グリップ")</f>
        <v>Frienda 6 ピース プラスチック ディスコ クリスタル 携帯電話グリップ</v>
      </c>
    </row>
    <row r="2054" ht="15.75" customHeight="1">
      <c r="A2054" s="1">
        <v>6690.0</v>
      </c>
      <c r="B2054" s="1" t="s">
        <v>15</v>
      </c>
      <c r="C2054" s="1" t="s">
        <v>1951</v>
      </c>
      <c r="D2054" s="1" t="str">
        <f>IFERROR(__xludf.DUMMYFUNCTION("CONCATENATE(GOOGLETRANSLATE(C2054, ""en"", ""zh-cn""))"),"SS 手机挂绳、2 个可调节手机颈带、4 个手机贴片、通用多功能手机挂绳，与大多数智能手机兼容，")</f>
        <v>SS 手机挂绳、2 个可调节手机颈带、4 个手机贴片、通用多功能手机挂绳，与大多数智能手机兼容，</v>
      </c>
      <c r="E2054" s="1" t="str">
        <f>IFERROR(__xludf.DUMMYFUNCTION("CONCATENATE(GOOGLETRANSLATE(C2054, ""en"", ""ko""))"),"SS 휴대폰 끈, 조절 가능한 휴대폰 넥 스트랩 2개, 휴대폰 패치 4개, 대부분의 스마트폰과 호환되는 범용 다기능 휴대폰 끈,")</f>
        <v>SS 휴대폰 끈, 조절 가능한 휴대폰 넥 스트랩 2개, 휴대폰 패치 4개, 대부분의 스마트폰과 호환되는 범용 다기능 휴대폰 끈,</v>
      </c>
      <c r="F2054" s="1" t="str">
        <f>IFERROR(__xludf.DUMMYFUNCTION("CONCATENATE(GOOGLETRANSLATE(C2054, ""en"", ""ja""))"),"SS 電話ストラップ、調節可能な電話ネックストラップ x 2、電話パッチ x 4、ほとんどのスマートフォンと互換性のあるユニバーサル多機能携帯電話ストラップ、")</f>
        <v>SS 電話ストラップ、調節可能な電話ネックストラップ x 2、電話パッチ x 4、ほとんどのスマートフォンと互換性のあるユニバーサル多機能携帯電話ストラップ、</v>
      </c>
    </row>
    <row r="2055" ht="15.75" customHeight="1">
      <c r="A2055" s="1">
        <v>6691.0</v>
      </c>
      <c r="B2055" s="1" t="s">
        <v>15</v>
      </c>
      <c r="C2055" s="1" t="s">
        <v>1952</v>
      </c>
      <c r="D2055" s="1" t="str">
        <f>IFERROR(__xludf.DUMMYFUNCTION("CONCATENATE(GOOGLETRANSLATE(C2055, ""en"", ""zh-cn""))"),"Danby 10.1 立方英尺公寓尺寸冰箱")</f>
        <v>Danby 10.1 立方英尺公寓尺寸冰箱</v>
      </c>
      <c r="E2055" s="1" t="str">
        <f>IFERROR(__xludf.DUMMYFUNCTION("CONCATENATE(GOOGLETRANSLATE(C2055, ""en"", ""ko""))"),"Danby 10.1 Cu.Ft 아파트 크기 냉장고")</f>
        <v>Danby 10.1 Cu.Ft 아파트 크기 냉장고</v>
      </c>
      <c r="F2055" s="1" t="str">
        <f>IFERROR(__xludf.DUMMYFUNCTION("CONCATENATE(GOOGLETRANSLATE(C2055, ""en"", ""ja""))"),"Danby 10.1 立方フィートのアパートサイズ冷蔵庫")</f>
        <v>Danby 10.1 立方フィートのアパートサイズ冷蔵庫</v>
      </c>
    </row>
    <row r="2056" ht="15.75" customHeight="1">
      <c r="A2056" s="1">
        <v>6702.0</v>
      </c>
      <c r="B2056" s="1" t="s">
        <v>15</v>
      </c>
      <c r="C2056" s="1" t="s">
        <v>1953</v>
      </c>
      <c r="D2056" s="1" t="str">
        <f>IFERROR(__xludf.DUMMYFUNCTION("CONCATENATE(GOOGLETRANSLATE(C2056, ""en"", ""zh-cn""))"),"Kitchen Switchen 转售 Bella 2 片烤面包机")</f>
        <v>Kitchen Switchen 转售 Bella 2 片烤面包机</v>
      </c>
      <c r="E2056" s="1" t="str">
        <f>IFERROR(__xludf.DUMMYFUNCTION("CONCATENATE(GOOGLETRANSLATE(C2056, ""en"", ""ko""))"),"주방 스위치 재판매 Bella 2슬라이스 토스터")</f>
        <v>주방 스위치 재판매 Bella 2슬라이스 토스터</v>
      </c>
      <c r="F2056" s="1" t="str">
        <f>IFERROR(__xludf.DUMMYFUNCTION("CONCATENATE(GOOGLETRANSLATE(C2056, ""en"", ""ja""))"),"Kitchen Switchen 再販 Bella 2 スライス トースター")</f>
        <v>Kitchen Switchen 再販 Bella 2 スライス トースター</v>
      </c>
    </row>
    <row r="2057" ht="15.75" customHeight="1">
      <c r="A2057" s="1">
        <v>6704.0</v>
      </c>
      <c r="B2057" s="1" t="s">
        <v>15</v>
      </c>
      <c r="C2057" s="1" t="s">
        <v>1954</v>
      </c>
      <c r="D2057" s="1" t="str">
        <f>IFERROR(__xludf.DUMMYFUNCTION("CONCATENATE(GOOGLETRANSLATE(C2057, ""en"", ""zh-cn""))"),"Frigidaire 3.2-Cu.-Ft. 65 瓦擦板门复古紧凑型冰箱")</f>
        <v>Frigidaire 3.2-Cu.-Ft. 65 瓦擦板门复古紧凑型冰箱</v>
      </c>
      <c r="E2057" s="1" t="str">
        <f>IFERROR(__xludf.DUMMYFUNCTION("CONCATENATE(GOOGLETRANSLATE(C2057, ""en"", ""ko""))"),"Frigidaire 3.2-Cu.-Ft. 65와트 지우개 보드 도어 레트로 컴팩트 냉장고")</f>
        <v>Frigidaire 3.2-Cu.-Ft. 65와트 지우개 보드 도어 레트로 컴팩트 냉장고</v>
      </c>
      <c r="F2057" s="1" t="str">
        <f>IFERROR(__xludf.DUMMYFUNCTION("CONCATENATE(GOOGLETRANSLATE(C2057, ""en"", ""ja""))"),"フリジデア 3.2 立方フィート65ワットイレーザーボードドアレトロコンパクト冷蔵庫")</f>
        <v>フリジデア 3.2 立方フィート65ワットイレーザーボードドアレトロコンパクト冷蔵庫</v>
      </c>
    </row>
    <row r="2058" ht="15.75" customHeight="1">
      <c r="A2058" s="1">
        <v>6714.0</v>
      </c>
      <c r="B2058" s="1" t="s">
        <v>15</v>
      </c>
      <c r="C2058" s="1" t="s">
        <v>1955</v>
      </c>
      <c r="D2058" s="1" t="str">
        <f>IFERROR(__xludf.DUMMYFUNCTION("CONCATENATE(GOOGLETRANSLATE(C2058, ""en"", ""zh-cn""))"),"32 铜。英尺。超大容量 3 门法式对开门冰箱，带双...")</f>
        <v>32 铜。英尺。超大容量 3 门法式对开门冰箱，带双...</v>
      </c>
      <c r="E2058" s="1" t="str">
        <f>IFERROR(__xludf.DUMMYFUNCTION("CONCATENATE(GOOGLETRANSLATE(C2058, ""en"", ""ko""))"),"32큐. 포트. 듀얼 기능을 갖춘 MEGA 용량 3도어 프렌치 도어 냉장고")</f>
        <v>32큐. 포트. 듀얼 기능을 갖춘 MEGA 용량 3도어 프렌치 도어 냉장고</v>
      </c>
      <c r="F2058" s="1" t="str">
        <f>IFERROR(__xludf.DUMMYFUNCTION("CONCATENATE(GOOGLETRANSLATE(C2058, ""en"", ""ja""))"),"32銅。フォートデュアル冷蔵庫を備えたメガ容量 3 ドアフレンチドア冷蔵庫")</f>
        <v>32銅。フォートデュアル冷蔵庫を備えたメガ容量 3 ドアフレンチドア冷蔵庫</v>
      </c>
    </row>
    <row r="2059" ht="15.75" customHeight="1">
      <c r="A2059" s="1">
        <v>6715.0</v>
      </c>
      <c r="B2059" s="1" t="s">
        <v>15</v>
      </c>
      <c r="C2059" s="1" t="s">
        <v>1956</v>
      </c>
      <c r="D2059" s="1" t="str">
        <f>IFERROR(__xludf.DUMMYFUNCTION("CONCATENATE(GOOGLETRANSLATE(C2059, ""en"", ""zh-cn""))"),"Frigidaire 24 混合型桶式洗碗机")</f>
        <v>Frigidaire 24 混合型桶式洗碗机</v>
      </c>
      <c r="E2059" s="1" t="str">
        <f>IFERROR(__xludf.DUMMYFUNCTION("CONCATENATE(GOOGLETRANSLATE(C2059, ""en"", ""ko""))"),"Frigidaire 24 하이브리드 욕조 식기세척기")</f>
        <v>Frigidaire 24 하이브리드 욕조 식기세척기</v>
      </c>
      <c r="F2059" s="1" t="str">
        <f>IFERROR(__xludf.DUMMYFUNCTION("CONCATENATE(GOOGLETRANSLATE(C2059, ""en"", ""ja""))"),"Frigidaire 24 ハイブリッド浴槽食器洗い機")</f>
        <v>Frigidaire 24 ハイブリッド浴槽食器洗い機</v>
      </c>
    </row>
    <row r="2060" ht="15.75" customHeight="1">
      <c r="A2060" s="1">
        <v>6716.0</v>
      </c>
      <c r="B2060" s="1" t="s">
        <v>15</v>
      </c>
      <c r="C2060" s="1" t="s">
        <v>1957</v>
      </c>
      <c r="D2060" s="1" t="str">
        <f>IFERROR(__xludf.DUMMYFUNCTION("CONCATENATE(GOOGLETRANSLATE(C2060, ""en"", ""zh-cn""))"),"GE 台式微波炉 GCST20S1WBB")</f>
        <v>GE 台式微波炉 GCST20S1WBB</v>
      </c>
      <c r="E2060" s="1" t="str">
        <f>IFERROR(__xludf.DUMMYFUNCTION("CONCATENATE(GOOGLETRANSLATE(C2060, ""en"", ""ko""))"),"GE 조리대 전자레인지 GCST20S1WBB")</f>
        <v>GE 조리대 전자레인지 GCST20S1WBB</v>
      </c>
      <c r="F2060" s="1" t="str">
        <f>IFERROR(__xludf.DUMMYFUNCTION("CONCATENATE(GOOGLETRANSLATE(C2060, ""en"", ""ja""))"),"GE カウンタートップ電子レンジ GCST20S1WBB")</f>
        <v>GE カウンタートップ電子レンジ GCST20S1WBB</v>
      </c>
    </row>
    <row r="2061" ht="15.75" customHeight="1">
      <c r="A2061" s="1">
        <v>6728.0</v>
      </c>
      <c r="B2061" s="1" t="s">
        <v>15</v>
      </c>
      <c r="C2061" s="1" t="s">
        <v>1958</v>
      </c>
      <c r="D2061" s="1" t="str">
        <f>IFERROR(__xludf.DUMMYFUNCTION("CONCATENATE(GOOGLETRANSLATE(C2061, ""en"", ""zh-cn""))"),"Comfee CMO-C20M1WH 复古微波炉，11 级功率，快速多级烹饪")</f>
        <v>Comfee CMO-C20M1WH 复古微波炉，11 级功率，快速多级烹饪</v>
      </c>
      <c r="E2061" s="1" t="str">
        <f>IFERROR(__xludf.DUMMYFUNCTION("CONCATENATE(GOOGLETRANSLATE(C2061, ""en"", ""ko""))"),"Comfee CMO-C20M1WH 11가지 전력 레벨의 빠른 다단계 조리 기능을 갖춘 복고풍 전자레인지")</f>
        <v>Comfee CMO-C20M1WH 11가지 전력 레벨의 빠른 다단계 조리 기능을 갖춘 복고풍 전자레인지</v>
      </c>
      <c r="F2061" s="1" t="str">
        <f>IFERROR(__xludf.DUMMYFUNCTION("CONCATENATE(GOOGLETRANSLATE(C2061, ""en"", ""ja""))"),"Comfee CMO-C20M1WH レトロ電子レンジ 11 出力レベル 高速多段階調理")</f>
        <v>Comfee CMO-C20M1WH レトロ電子レンジ 11 出力レベル 高速多段階調理</v>
      </c>
    </row>
    <row r="2062" ht="15.75" customHeight="1">
      <c r="A2062" s="1">
        <v>6730.0</v>
      </c>
      <c r="B2062" s="1" t="s">
        <v>15</v>
      </c>
      <c r="C2062" s="1" t="s">
        <v>1959</v>
      </c>
      <c r="D2062" s="1" t="str">
        <f>IFERROR(__xludf.DUMMYFUNCTION("CONCATENATE(GOOGLETRANSLATE(C2062, ""en"", ""zh-cn""))"),"敏卡艾尔光波 LED 吊扇 F845")</f>
        <v>敏卡艾尔光波 LED 吊扇 F845</v>
      </c>
      <c r="E2062" s="1" t="str">
        <f>IFERROR(__xludf.DUMMYFUNCTION("CONCATENATE(GOOGLETRANSLATE(C2062, ""en"", ""ko""))"),"Minka Aire 라이트 웨이브 LED 천장 팬 F845")</f>
        <v>Minka Aire 라이트 웨이브 LED 천장 팬 F845</v>
      </c>
      <c r="F2062" s="1" t="str">
        <f>IFERROR(__xludf.DUMMYFUNCTION("CONCATENATE(GOOGLETRANSLATE(C2062, ""en"", ""ja""))"),"ミンカアイレ ライトウェーブLEDシーリングファン F845")</f>
        <v>ミンカアイレ ライトウェーブLEDシーリングファン F845</v>
      </c>
    </row>
    <row r="2063" ht="15.75" customHeight="1">
      <c r="A2063" s="1">
        <v>6734.0</v>
      </c>
      <c r="B2063" s="1" t="s">
        <v>15</v>
      </c>
      <c r="C2063" s="1" t="s">
        <v>1960</v>
      </c>
      <c r="D2063" s="1" t="str">
        <f>IFERROR(__xludf.DUMMYFUNCTION("CONCATENATE(GOOGLETRANSLATE(C2063, ""en"", ""zh-cn""))"),"Odele 好发日套装")</f>
        <v>Odele 好发日套装</v>
      </c>
      <c r="E2063" s="1" t="str">
        <f>IFERROR(__xludf.DUMMYFUNCTION("CONCATENATE(GOOGLETRANSLATE(C2063, ""en"", ""ko""))"),"오델레 굿 헤어 데이 키트")</f>
        <v>오델레 굿 헤어 데이 키트</v>
      </c>
      <c r="F2063" s="1" t="str">
        <f>IFERROR(__xludf.DUMMYFUNCTION("CONCATENATE(GOOGLETRANSLATE(C2063, ""en"", ""ja""))"),"オーデル グッド ヘア デイ キット")</f>
        <v>オーデル グッド ヘア デイ キット</v>
      </c>
    </row>
    <row r="2064" ht="15.75" customHeight="1">
      <c r="A2064" s="1">
        <v>6739.0</v>
      </c>
      <c r="B2064" s="1" t="s">
        <v>15</v>
      </c>
      <c r="C2064" s="1" t="s">
        <v>1961</v>
      </c>
      <c r="D2064" s="1" t="str">
        <f>IFERROR(__xludf.DUMMYFUNCTION("CONCATENATE(GOOGLETRANSLATE(C2064, ""en"", ""zh-cn""))"),"Diva Stuff 头发生长凝胶")</f>
        <v>Diva Stuff 头发生长凝胶</v>
      </c>
      <c r="E2064" s="1" t="str">
        <f>IFERROR(__xludf.DUMMYFUNCTION("CONCATENATE(GOOGLETRANSLATE(C2064, ""en"", ""ko""))"),"디바 스터프 모발 성장 젤")</f>
        <v>디바 스터프 모발 성장 젤</v>
      </c>
      <c r="F2064" s="1" t="str">
        <f>IFERROR(__xludf.DUMMYFUNCTION("CONCATENATE(GOOGLETRANSLATE(C2064, ""en"", ""ja""))"),"ディーバ スタッフ 育毛ジェル")</f>
        <v>ディーバ スタッフ 育毛ジェル</v>
      </c>
    </row>
    <row r="2065" ht="15.75" customHeight="1">
      <c r="A2065" s="1">
        <v>6741.0</v>
      </c>
      <c r="B2065" s="1" t="s">
        <v>15</v>
      </c>
      <c r="C2065" s="1" t="s">
        <v>1962</v>
      </c>
      <c r="D2065" s="1" t="str">
        <f>IFERROR(__xludf.DUMMYFUNCTION("CONCATENATE(GOOGLETRANSLATE(C2065, ""en"", ""zh-cn""))"),"按美容功能定制护发精华素")</f>
        <v>按美容功能定制护发精华素</v>
      </c>
      <c r="E2065" s="1" t="str">
        <f>IFERROR(__xludf.DUMMYFUNCTION("CONCATENATE(GOOGLETRANSLATE(C2065, ""en"", ""ko""))"),"미용 기능별 맞춤형 헤어 세럼")</f>
        <v>미용 기능별 맞춤형 헤어 세럼</v>
      </c>
      <c r="F2065" s="1" t="str">
        <f>IFERROR(__xludf.DUMMYFUNCTION("CONCATENATE(GOOGLETRANSLATE(C2065, ""en"", ""ja""))"),"美の機能別にカスタマイズしたヘアセラム")</f>
        <v>美の機能別にカスタマイズしたヘアセラム</v>
      </c>
    </row>
    <row r="2066" ht="15.75" customHeight="1">
      <c r="A2066" s="1">
        <v>6764.0</v>
      </c>
      <c r="B2066" s="1" t="s">
        <v>15</v>
      </c>
      <c r="C2066" s="1" t="s">
        <v>1963</v>
      </c>
      <c r="D2066" s="1" t="str">
        <f>IFERROR(__xludf.DUMMYFUNCTION("CONCATENATE(GOOGLETRANSLATE(C2066, ""en"", ""zh-cn""))"),"Daily Perfection 胶原蛋白洗发水和护发素套装，含生物素和角蛋白，无盐、无硫酸盐、不含对羟基苯甲酸酯配方，可滋养并补充额外成分")</f>
        <v>Daily Perfection 胶原蛋白洗发水和护发素套装，含生物素和角蛋白，无盐、无硫酸盐、不含对羟基苯甲酸酯配方，可滋养并补充额外成分</v>
      </c>
      <c r="E2066" s="1" t="str">
        <f>IFERROR(__xludf.DUMMYFUNCTION("CONCATENATE(GOOGLETRANSLATE(C2066, ""en"", ""ko""))"),"데일리 퍼펙션 콜라겐 샴푸 및 컨디셔너 세트, 비오틴과 케라틴, 무염, 무황산염, 무파라벤 포뮬러로 영양을 공급하고 추가 기능 제공")</f>
        <v>데일리 퍼펙션 콜라겐 샴푸 및 컨디셔너 세트, 비오틴과 케라틴, 무염, 무황산염, 무파라벤 포뮬러로 영양을 공급하고 추가 기능 제공</v>
      </c>
      <c r="F2066" s="1" t="str">
        <f>IFERROR(__xludf.DUMMYFUNCTION("CONCATENATE(GOOGLETRANSLATE(C2066, ""en"", ""ja""))"),"Daily Perfection コラーゲン シャンプーとコンディショナー セット、ビオチンとケラチン、塩分不使用、硫酸塩不使用、パラベン不使用のフォーミュラで栄養を補給し、追加します。")</f>
        <v>Daily Perfection コラーゲン シャンプーとコンディショナー セット、ビオチンとケラチン、塩分不使用、硫酸塩不使用、パラベン不使用のフォーミュラで栄養を補給し、追加します。</v>
      </c>
    </row>
    <row r="2067" ht="15.75" customHeight="1">
      <c r="A2067" s="1">
        <v>6766.0</v>
      </c>
      <c r="B2067" s="1" t="s">
        <v>15</v>
      </c>
      <c r="C2067" s="1" t="s">
        <v>1964</v>
      </c>
      <c r="D2067" s="1" t="str">
        <f>IFERROR(__xludf.DUMMYFUNCTION("CONCATENATE(GOOGLETRANSLATE(C2067, ""en"", ""zh-cn""))"),"慈善与爱心 阿育吠陀芳香疗法 头发和皮肤护理")</f>
        <v>慈善与爱心 阿育吠陀芳香疗法 头发和皮肤护理</v>
      </c>
      <c r="E2067" s="1" t="str">
        <f>IFERROR(__xludf.DUMMYFUNCTION("CONCATENATE(GOOGLETRANSLATE(C2067, ""en"", ""ko""))"),"자선 &amp; 사랑 아유르베다 아로마테라피 헤어 &amp; 스킨 케어")</f>
        <v>자선 &amp; 사랑 아유르베다 아로마테라피 헤어 &amp; 스킨 케어</v>
      </c>
      <c r="F2067" s="1" t="str">
        <f>IFERROR(__xludf.DUMMYFUNCTION("CONCATENATE(GOOGLETRANSLATE(C2067, ""en"", ""ja""))"),"チャリティー＆ラブ アーユルヴェーダ アロマセラピー ヘア＆スキンケア")</f>
        <v>チャリティー＆ラブ アーユルヴェーダ アロマセラピー ヘア＆スキンケア</v>
      </c>
    </row>
    <row r="2068" ht="15.75" customHeight="1">
      <c r="A2068" s="1">
        <v>6773.0</v>
      </c>
      <c r="B2068" s="1" t="s">
        <v>15</v>
      </c>
      <c r="C2068" s="1" t="s">
        <v>1965</v>
      </c>
      <c r="D2068" s="1" t="str">
        <f>IFERROR(__xludf.DUMMYFUNCTION("CONCATENATE(GOOGLETRANSLATE(C2068, ""en"", ""zh-cn""))"),"John Frieda ULTRA 填充剂 + 增稠洗发水")</f>
        <v>John Frieda ULTRA 填充剂 + 增稠洗发水</v>
      </c>
      <c r="E2068" s="1" t="str">
        <f>IFERROR(__xludf.DUMMYFUNCTION("CONCATENATE(GOOGLETRANSLATE(C2068, ""en"", ""ko""))"),"존 프리다 울트라 필러+ 씨크닝 샴푸")</f>
        <v>존 프리다 울트라 필러+ 씨크닝 샴푸</v>
      </c>
      <c r="F2068" s="1" t="str">
        <f>IFERROR(__xludf.DUMMYFUNCTION("CONCATENATE(GOOGLETRANSLATE(C2068, ""en"", ""ja""))"),"ジョン フリーダ ウルトラ フィラー+ シックニング シャンプー")</f>
        <v>ジョン フリーダ ウルトラ フィラー+ シックニング シャンプー</v>
      </c>
    </row>
    <row r="2069" ht="15.75" customHeight="1">
      <c r="A2069" s="1">
        <v>6780.0</v>
      </c>
      <c r="B2069" s="1" t="s">
        <v>15</v>
      </c>
      <c r="C2069" s="1" t="s">
        <v>1966</v>
      </c>
      <c r="D2069" s="1" t="str">
        <f>IFERROR(__xludf.DUMMYFUNCTION("CONCATENATE(GOOGLETRANSLATE(C2069, ""en"", ""zh-cn""))"),"Jason 天然生物素洗发水")</f>
        <v>Jason 天然生物素洗发水</v>
      </c>
      <c r="E2069" s="1" t="str">
        <f>IFERROR(__xludf.DUMMYFUNCTION("CONCATENATE(GOOGLETRANSLATE(C2069, ""en"", ""ko""))"),"제이슨 내추럴 비오틴 샴푸")</f>
        <v>제이슨 내추럴 비오틴 샴푸</v>
      </c>
      <c r="F2069" s="1" t="str">
        <f>IFERROR(__xludf.DUMMYFUNCTION("CONCATENATE(GOOGLETRANSLATE(C2069, ""en"", ""ja""))"),"ジェイソン ナチュラル ビオチン シャンプー")</f>
        <v>ジェイソン ナチュラル ビオチン シャンプー</v>
      </c>
    </row>
    <row r="2070" ht="15.75" customHeight="1">
      <c r="A2070" s="1">
        <v>6784.0</v>
      </c>
      <c r="B2070" s="1" t="s">
        <v>15</v>
      </c>
      <c r="C2070" s="1" t="s">
        <v>1967</v>
      </c>
      <c r="D2070" s="1" t="str">
        <f>IFERROR(__xludf.DUMMYFUNCTION("CONCATENATE(GOOGLETRANSLATE(C2070, ""en"", ""zh-cn""))"),"Beauty Treats 椰子头发抛光剂")</f>
        <v>Beauty Treats 椰子头发抛光剂</v>
      </c>
      <c r="E2070" s="1" t="str">
        <f>IFERROR(__xludf.DUMMYFUNCTION("CONCATENATE(GOOGLETRANSLATE(C2070, ""en"", ""ko""))"),"뷰티 트리츠 코코넛 헤어 폴리셔")</f>
        <v>뷰티 트리츠 코코넛 헤어 폴리셔</v>
      </c>
      <c r="F2070" s="1" t="str">
        <f>IFERROR(__xludf.DUMMYFUNCTION("CONCATENATE(GOOGLETRANSLATE(C2070, ""en"", ""ja""))"),"ビューティー トリート ココナッツ ヘアポリッシャー")</f>
        <v>ビューティー トリート ココナッツ ヘアポリッシャー</v>
      </c>
    </row>
    <row r="2071" ht="15.75" customHeight="1">
      <c r="A2071" s="1">
        <v>6789.0</v>
      </c>
      <c r="B2071" s="1" t="s">
        <v>15</v>
      </c>
      <c r="C2071" s="1" t="s">
        <v>1968</v>
      </c>
      <c r="D2071" s="1" t="str">
        <f>IFERROR(__xludf.DUMMYFUNCTION("CONCATENATE(GOOGLETRANSLATE(C2071, ""en"", ""zh-cn""))"),"Hair Therapy Australia 浓密洗发水和护发素套装")</f>
        <v>Hair Therapy Australia 浓密洗发水和护发素套装</v>
      </c>
      <c r="E2071" s="1" t="str">
        <f>IFERROR(__xludf.DUMMYFUNCTION("CONCATENATE(GOOGLETRANSLATE(C2071, ""en"", ""ko""))"),"헤어 테라피 오스트레일리아 틱 &amp; 풀 샴푸 &amp; 컨디셔너 세트")</f>
        <v>헤어 테라피 오스트레일리아 틱 &amp; 풀 샴푸 &amp; 컨디셔너 세트</v>
      </c>
      <c r="F2071" s="1" t="str">
        <f>IFERROR(__xludf.DUMMYFUNCTION("CONCATENATE(GOOGLETRANSLATE(C2071, ""en"", ""ja""))"),"ヘア セラピー オーストラリア シック &amp; フル シャンプー &amp; コンディショナー セット")</f>
        <v>ヘア セラピー オーストラリア シック &amp; フル シャンプー &amp; コンディショナー セット</v>
      </c>
    </row>
    <row r="2072" ht="15.75" customHeight="1">
      <c r="A2072" s="1">
        <v>6799.0</v>
      </c>
      <c r="B2072" s="1" t="s">
        <v>15</v>
      </c>
      <c r="C2072" s="1" t="s">
        <v>1969</v>
      </c>
      <c r="D2072" s="1" t="str">
        <f>IFERROR(__xludf.DUMMYFUNCTION("CONCATENATE(GOOGLETRANSLATE(C2072, ""en"", ""zh-cn""))"),"Hers 头发再生泡沫护理")</f>
        <v>Hers 头发再生泡沫护理</v>
      </c>
      <c r="E2072" s="1" t="str">
        <f>IFERROR(__xludf.DUMMYFUNCTION("CONCATENATE(GOOGLETRANSLATE(C2072, ""en"", ""ko""))"),"Hers 헤어 재성장 폼 트리트먼트")</f>
        <v>Hers 헤어 재성장 폼 트리트먼트</v>
      </c>
      <c r="F2072" s="1" t="str">
        <f>IFERROR(__xludf.DUMMYFUNCTION("CONCATENATE(GOOGLETRANSLATE(C2072, ""en"", ""ja""))"),"ハーズ ヘア リグロース フォーム トリートメント")</f>
        <v>ハーズ ヘア リグロース フォーム トリートメント</v>
      </c>
    </row>
    <row r="2073" ht="15.75" customHeight="1">
      <c r="A2073" s="1">
        <v>6816.0</v>
      </c>
      <c r="B2073" s="1" t="s">
        <v>15</v>
      </c>
      <c r="C2073" s="1" t="s">
        <v>1970</v>
      </c>
      <c r="D2073" s="1" t="str">
        <f>IFERROR(__xludf.DUMMYFUNCTION("CONCATENATE(GOOGLETRANSLATE(C2073, ""en"", ""zh-cn""))"),"48条权力法则")</f>
        <v>48条权力法则</v>
      </c>
      <c r="E2073" s="1" t="str">
        <f>IFERROR(__xludf.DUMMYFUNCTION("CONCATENATE(GOOGLETRANSLATE(C2073, ""en"", ""ko""))"),"권력의 48가지 법칙")</f>
        <v>권력의 48가지 법칙</v>
      </c>
      <c r="F2073" s="1" t="str">
        <f>IFERROR(__xludf.DUMMYFUNCTION("CONCATENATE(GOOGLETRANSLATE(C2073, ""en"", ""ja""))"),"力に関する 48 の法則")</f>
        <v>力に関する 48 の法則</v>
      </c>
    </row>
    <row r="2074" ht="15.75" customHeight="1">
      <c r="A2074" s="1">
        <v>6823.0</v>
      </c>
      <c r="B2074" s="1" t="s">
        <v>15</v>
      </c>
      <c r="C2074" s="1" t="s">
        <v>1971</v>
      </c>
      <c r="D2074" s="1" t="str">
        <f>IFERROR(__xludf.DUMMYFUNCTION("CONCATENATE(GOOGLETRANSLATE(C2074, ""en"", ""zh-cn""))"),"人工智能电子书的成功：通过秘密技巧扩大读者群")</f>
        <v>人工智能电子书的成功：通过秘密技巧扩大读者群</v>
      </c>
      <c r="E2074" s="1" t="str">
        <f>IFERROR(__xludf.DUMMYFUNCTION("CONCATENATE(GOOGLETRANSLATE(C2074, ""en"", ""ko""))"),"AI를 통한 전자책 성공: 비밀 팁으로 독자층을 확대하세요")</f>
        <v>AI를 통한 전자책 성공: 비밀 팁으로 독자층을 확대하세요</v>
      </c>
      <c r="F2074" s="1" t="str">
        <f>IFERROR(__xludf.DUMMYFUNCTION("CONCATENATE(GOOGLETRANSLATE(C2074, ""en"", ""ja""))"),"AI で電子書籍を成功させる : 秘密のヒントで読者数を増やす")</f>
        <v>AI で電子書籍を成功させる : 秘密のヒントで読者数を増やす</v>
      </c>
    </row>
    <row r="2075" ht="15.75" customHeight="1">
      <c r="A2075" s="1">
        <v>6827.0</v>
      </c>
      <c r="B2075" s="1" t="s">
        <v>15</v>
      </c>
      <c r="C2075" s="1" t="s">
        <v>1972</v>
      </c>
      <c r="D2075" s="1" t="str">
        <f>IFERROR(__xludf.DUMMYFUNCTION("CONCATENATE(GOOGLETRANSLATE(C2075, ""en"", ""zh-cn""))"),"职位")</f>
        <v>职位</v>
      </c>
      <c r="E2075" s="1" t="str">
        <f>IFERROR(__xludf.DUMMYFUNCTION("CONCATENATE(GOOGLETRANSLATE(C2075, ""en"", ""ko""))"),"위치")</f>
        <v>위치</v>
      </c>
      <c r="F2075" s="1" t="str">
        <f>IFERROR(__xludf.DUMMYFUNCTION("CONCATENATE(GOOGLETRANSLATE(C2075, ""en"", ""ja""))"),"立場")</f>
        <v>立場</v>
      </c>
    </row>
    <row r="2076" ht="15.75" customHeight="1">
      <c r="A2076" s="1">
        <v>6845.0</v>
      </c>
      <c r="B2076" s="1" t="s">
        <v>15</v>
      </c>
      <c r="C2076" s="1" t="s">
        <v>1973</v>
      </c>
      <c r="D2076" s="1" t="str">
        <f>IFERROR(__xludf.DUMMYFUNCTION("CONCATENATE(GOOGLETRANSLATE(C2076, ""en"", ""zh-cn""))"),"连接")</f>
        <v>连接</v>
      </c>
      <c r="E2076" s="1" t="str">
        <f>IFERROR(__xludf.DUMMYFUNCTION("CONCATENATE(GOOGLETRANSLATE(C2076, ""en"", ""ko""))"),"연결하다")</f>
        <v>연결하다</v>
      </c>
      <c r="F2076" s="1" t="str">
        <f>IFERROR(__xludf.DUMMYFUNCTION("CONCATENATE(GOOGLETRANSLATE(C2076, ""en"", ""ja""))"),"接続する")</f>
        <v>接続する</v>
      </c>
    </row>
    <row r="2077" ht="15.75" customHeight="1">
      <c r="A2077" s="1">
        <v>6851.0</v>
      </c>
      <c r="B2077" s="1" t="s">
        <v>15</v>
      </c>
      <c r="C2077" s="1" t="s">
        <v>1974</v>
      </c>
      <c r="D2077" s="1" t="str">
        <f>IFERROR(__xludf.DUMMYFUNCTION("CONCATENATE(GOOGLETRANSLATE(C2077, ""en"", ""zh-cn""))"),"索尼 PlayStation 商店礼品卡")</f>
        <v>索尼 PlayStation 商店礼品卡</v>
      </c>
      <c r="E2077" s="1" t="str">
        <f>IFERROR(__xludf.DUMMYFUNCTION("CONCATENATE(GOOGLETRANSLATE(C2077, ""en"", ""ko""))"),"Sony PlayStation Store 기프트 카드")</f>
        <v>Sony PlayStation Store 기프트 카드</v>
      </c>
      <c r="F2077" s="1" t="str">
        <f>IFERROR(__xludf.DUMMYFUNCTION("CONCATENATE(GOOGLETRANSLATE(C2077, ""en"", ""ja""))"),"ソニー プレイステーション ストア ギフトカード")</f>
        <v>ソニー プレイステーション ストア ギフトカード</v>
      </c>
    </row>
    <row r="2078" ht="15.75" customHeight="1">
      <c r="A2078" s="1">
        <v>6864.0</v>
      </c>
      <c r="B2078" s="1" t="s">
        <v>15</v>
      </c>
      <c r="C2078" s="1" t="s">
        <v>1975</v>
      </c>
      <c r="D2078" s="1" t="str">
        <f>IFERROR(__xludf.DUMMYFUNCTION("CONCATENATE(GOOGLETRANSLATE(C2078, ""en"", ""zh-cn""))"),"索尼 ZV-E10 II 无反光镜相机")</f>
        <v>索尼 ZV-E10 II 无反光镜相机</v>
      </c>
      <c r="E2078" s="1" t="str">
        <f>IFERROR(__xludf.DUMMYFUNCTION("CONCATENATE(GOOGLETRANSLATE(C2078, ""en"", ""ko""))"),"Sony ZV-E10 II 미러리스 카메라")</f>
        <v>Sony ZV-E10 II 미러리스 카메라</v>
      </c>
      <c r="F2078" s="1" t="str">
        <f>IFERROR(__xludf.DUMMYFUNCTION("CONCATENATE(GOOGLETRANSLATE(C2078, ""en"", ""ja""))"),"ソニー ZV-E10 II ミラーレスカメラ")</f>
        <v>ソニー ZV-E10 II ミラーレスカメラ</v>
      </c>
    </row>
    <row r="2079" ht="15.75" customHeight="1">
      <c r="A2079" s="1">
        <v>6866.0</v>
      </c>
      <c r="B2079" s="1" t="s">
        <v>15</v>
      </c>
      <c r="C2079" s="1" t="s">
        <v>1976</v>
      </c>
      <c r="D2079" s="1" t="str">
        <f>IFERROR(__xludf.DUMMYFUNCTION("CONCATENATE(GOOGLETRANSLATE(C2079, ""en"", ""zh-cn""))"),"索尼 HZC-PRV50 永久许可证")</f>
        <v>索尼 HZC-PRV50 永久许可证</v>
      </c>
      <c r="E2079" s="1" t="str">
        <f>IFERROR(__xludf.DUMMYFUNCTION("CONCATENATE(GOOGLETRANSLATE(C2079, ""en"", ""ko""))"),"Sony HZC-PRV50 영구 라이센스")</f>
        <v>Sony HZC-PRV50 영구 라이센스</v>
      </c>
      <c r="F2079" s="1" t="str">
        <f>IFERROR(__xludf.DUMMYFUNCTION("CONCATENATE(GOOGLETRANSLATE(C2079, ""en"", ""ja""))"),"ソニー HZC-PRV50 永久ライセンス")</f>
        <v>ソニー HZC-PRV50 永久ライセンス</v>
      </c>
    </row>
    <row r="2080" ht="15.75" customHeight="1">
      <c r="A2080" s="1">
        <v>6874.0</v>
      </c>
      <c r="B2080" s="1" t="s">
        <v>15</v>
      </c>
      <c r="C2080" s="1" t="s">
        <v>1977</v>
      </c>
      <c r="D2080" s="1" t="str">
        <f>IFERROR(__xludf.DUMMYFUNCTION("CONCATENATE(GOOGLETRANSLATE(C2080, ""en"", ""zh-cn""))"),"传奇故事 - 索尼 PlayStation 5 [数字下载]")</f>
        <v>传奇故事 - 索尼 PlayStation 5 [数字下载]</v>
      </c>
      <c r="E2080" s="1" t="str">
        <f>IFERROR(__xludf.DUMMYFUNCTION("CONCATENATE(GOOGLETRANSLATE(C2080, ""en"", ""ko""))"),"전설적인 이야기 - Sony PlayStation 5 [디지털 다운로드]")</f>
        <v>전설적인 이야기 - Sony PlayStation 5 [디지털 다운로드]</v>
      </c>
      <c r="F2080" s="1" t="str">
        <f>IFERROR(__xludf.DUMMYFUNCTION("CONCATENATE(GOOGLETRANSLATE(C2080, ""en"", ""ja""))"),"Legendary Tales - Sony PlayStation 5 [デジタルダウンロード]")</f>
        <v>Legendary Tales - Sony PlayStation 5 [デジタルダウンロード]</v>
      </c>
    </row>
    <row r="2081" ht="15.75" customHeight="1">
      <c r="A2081" s="1">
        <v>6880.0</v>
      </c>
      <c r="B2081" s="1" t="s">
        <v>15</v>
      </c>
      <c r="C2081" s="1" t="s">
        <v>1978</v>
      </c>
      <c r="D2081" s="1" t="str">
        <f>IFERROR(__xludf.DUMMYFUNCTION("CONCATENATE(GOOGLETRANSLATE(C2081, ""en"", ""zh-cn""))"),"Deceive Inc. - 特别版内容 - Sony PlayStation 5 [数字下载]")</f>
        <v>Deceive Inc. - 特别版内容 - Sony PlayStation 5 [数字下载]</v>
      </c>
      <c r="E2081" s="1" t="str">
        <f>IFERROR(__xludf.DUMMYFUNCTION("CONCATENATE(GOOGLETRANSLATE(C2081, ""en"", ""ko""))"),"Deceive Inc. - 스페셜 에디션 콘텐츠 - Sony PlayStation 5 [디지털 다운로드]")</f>
        <v>Deceive Inc. - 스페셜 에디션 콘텐츠 - Sony PlayStation 5 [디지털 다운로드]</v>
      </c>
      <c r="F2081" s="1" t="str">
        <f>IFERROR(__xludf.DUMMYFUNCTION("CONCATENATE(GOOGLETRANSLATE(C2081, ""en"", ""ja""))"),"Deceive Inc. - スペシャル エディション コンテンツ - Sony PlayStation 5 [デジタル ダウンロード]")</f>
        <v>Deceive Inc. - スペシャル エディション コンテンツ - Sony PlayStation 5 [デジタル ダウンロード]</v>
      </c>
    </row>
    <row r="2082" ht="15.75" customHeight="1">
      <c r="A2082" s="1">
        <v>6913.0</v>
      </c>
      <c r="B2082" s="1" t="s">
        <v>15</v>
      </c>
      <c r="C2082" s="1" t="s">
        <v>1979</v>
      </c>
      <c r="D2082" s="1" t="str">
        <f>IFERROR(__xludf.DUMMYFUNCTION("CONCATENATE(GOOGLETRANSLATE(C2082, ""en"", ""zh-cn""))"),"Apple 礼品卡 16 美元 主要美国")</f>
        <v>Apple 礼品卡 16 美元 主要美国</v>
      </c>
      <c r="E2082" s="1" t="str">
        <f>IFERROR(__xludf.DUMMYFUNCTION("CONCATENATE(GOOGLETRANSLATE(C2082, ""en"", ""ko""))"),"Apple 기프트 카드 16 USD 주요 미국")</f>
        <v>Apple 기프트 카드 16 USD 주요 미국</v>
      </c>
      <c r="F2082" s="1" t="str">
        <f>IFERROR(__xludf.DUMMYFUNCTION("CONCATENATE(GOOGLETRANSLATE(C2082, ""en"", ""ja""))"),"Apple ギフトカード 16 USD キー 米国")</f>
        <v>Apple ギフトカード 16 USD キー 米国</v>
      </c>
    </row>
    <row r="2083" ht="15.75" customHeight="1">
      <c r="A2083" s="1">
        <v>6924.0</v>
      </c>
      <c r="B2083" s="1" t="s">
        <v>15</v>
      </c>
      <c r="C2083" s="1" t="s">
        <v>1980</v>
      </c>
      <c r="D2083" s="1" t="str">
        <f>IFERROR(__xludf.DUMMYFUNCTION("CONCATENATE(GOOGLETRANSLATE(C2083, ""en"", ""zh-cn""))"),"Apple 礼品卡 25 美元 |美国账户")</f>
        <v>Apple 礼品卡 25 美元 |美国账户</v>
      </c>
      <c r="E2083" s="1" t="str">
        <f>IFERROR(__xludf.DUMMYFUNCTION("CONCATENATE(GOOGLETRANSLATE(C2083, ""en"", ""ko""))"),"애플 기프트 카드 25 USD | 미국 계정")</f>
        <v>애플 기프트 카드 25 USD | 미국 계정</v>
      </c>
      <c r="F2083" s="1" t="str">
        <f>IFERROR(__xludf.DUMMYFUNCTION("CONCATENATE(GOOGLETRANSLATE(C2083, ""en"", ""ja""))"),"Apple ギフトカード 25 米ドル |米国アカウント")</f>
        <v>Apple ギフトカード 25 米ドル |米国アカウント</v>
      </c>
    </row>
    <row r="2084" ht="15.75" customHeight="1">
      <c r="A2084" s="1">
        <v>6960.0</v>
      </c>
      <c r="B2084" s="1" t="s">
        <v>15</v>
      </c>
      <c r="C2084" s="1" t="s">
        <v>1981</v>
      </c>
      <c r="D2084" s="1" t="str">
        <f>IFERROR(__xludf.DUMMYFUNCTION("CONCATENATE(GOOGLETRANSLATE(C2084, ""en"", ""zh-cn""))"),"年轻的蒙戈 [电子书]")</f>
        <v>年轻的蒙戈 [电子书]</v>
      </c>
      <c r="E2084" s="1" t="str">
        <f>IFERROR(__xludf.DUMMYFUNCTION("CONCATENATE(GOOGLETRANSLATE(C2084, ""en"", ""ko""))"),"영 문고 [eBook]")</f>
        <v>영 문고 [eBook]</v>
      </c>
      <c r="F2084" s="1" t="str">
        <f>IFERROR(__xludf.DUMMYFUNCTION("CONCATENATE(GOOGLETRANSLATE(C2084, ""en"", ""ja""))"),"ヤング・マンゴ [電子書籍]")</f>
        <v>ヤング・マンゴ [電子書籍]</v>
      </c>
    </row>
    <row r="2085" ht="15.75" customHeight="1">
      <c r="A2085" s="1">
        <v>6978.0</v>
      </c>
      <c r="B2085" s="1" t="s">
        <v>15</v>
      </c>
      <c r="C2085" s="1" t="s">
        <v>1982</v>
      </c>
      <c r="D2085" s="1" t="str">
        <f>IFERROR(__xludf.DUMMYFUNCTION("CONCATENATE(GOOGLETRANSLATE(C2085, ""en"", ""zh-cn""))"),"任天堂礼品卡")</f>
        <v>任天堂礼品卡</v>
      </c>
      <c r="E2085" s="1" t="str">
        <f>IFERROR(__xludf.DUMMYFUNCTION("CONCATENATE(GOOGLETRANSLATE(C2085, ""en"", ""ko""))"),"닌텐도 기프트 카드")</f>
        <v>닌텐도 기프트 카드</v>
      </c>
      <c r="F2085" s="1" t="str">
        <f>IFERROR(__xludf.DUMMYFUNCTION("CONCATENATE(GOOGLETRANSLATE(C2085, ""en"", ""ja""))"),"ニンテンドーギフトカード")</f>
        <v>ニンテンドーギフトカード</v>
      </c>
    </row>
    <row r="2086" ht="15.75" customHeight="1">
      <c r="A2086" s="1">
        <v>6981.0</v>
      </c>
      <c r="B2086" s="1" t="s">
        <v>15</v>
      </c>
      <c r="C2086" s="1" t="s">
        <v>1983</v>
      </c>
      <c r="D2086" s="1" t="str">
        <f>IFERROR(__xludf.DUMMYFUNCTION("CONCATENATE(GOOGLETRANSLATE(C2086, ""en"", ""zh-cn""))"),"任天堂 eShop 卡 10$ (NINTENDO ESHOP) - 即时下载")</f>
        <v>任天堂 eShop 卡 10$ (NINTENDO ESHOP) - 即时下载</v>
      </c>
      <c r="E2086" s="1" t="str">
        <f>IFERROR(__xludf.DUMMYFUNCTION("CONCATENATE(GOOGLETRANSLATE(C2086, ""en"", ""ko""))"),"Nintendo eShop 카드 10$ (NINTENDO ESHOP) - 즉시 다운로드")</f>
        <v>Nintendo eShop 카드 10$ (NINTENDO ESHOP) - 즉시 다운로드</v>
      </c>
      <c r="F2086" s="1" t="str">
        <f>IFERROR(__xludf.DUMMYFUNCTION("CONCATENATE(GOOGLETRANSLATE(C2086, ""en"", ""ja""))"),"ニンテンドー eショップ カード 10$ (NINTENDO ESHOP) - インスタントダウンロード")</f>
        <v>ニンテンドー eショップ カード 10$ (NINTENDO ESHOP) - インスタントダウンロード</v>
      </c>
    </row>
    <row r="2087" ht="15.75" customHeight="1">
      <c r="A2087" s="1">
        <v>6985.0</v>
      </c>
      <c r="B2087" s="1" t="s">
        <v>15</v>
      </c>
      <c r="C2087" s="1" t="s">
        <v>1984</v>
      </c>
      <c r="D2087" s="1" t="str">
        <f>IFERROR(__xludf.DUMMYFUNCTION("CONCATENATE(GOOGLETRANSLATE(C2087, ""en"", ""zh-cn""))"),"任天堂 eShop 路易吉礼品卡")</f>
        <v>任天堂 eShop 路易吉礼品卡</v>
      </c>
      <c r="E2087" s="1" t="str">
        <f>IFERROR(__xludf.DUMMYFUNCTION("CONCATENATE(GOOGLETRANSLATE(C2087, ""en"", ""ko""))"),"Nintendo eShop 루이지 기프트 카드")</f>
        <v>Nintendo eShop 루이지 기프트 카드</v>
      </c>
      <c r="F2087" s="1" t="str">
        <f>IFERROR(__xludf.DUMMYFUNCTION("CONCATENATE(GOOGLETRANSLATE(C2087, ""en"", ""ja""))"),"ニンテンドーeショップ ルイージ ギフトカード")</f>
        <v>ニンテンドーeショップ ルイージ ギフトカード</v>
      </c>
    </row>
    <row r="2088" ht="15.75" customHeight="1">
      <c r="A2088" s="1">
        <v>6987.0</v>
      </c>
      <c r="B2088" s="1" t="s">
        <v>15</v>
      </c>
      <c r="C2088" s="1" t="s">
        <v>1985</v>
      </c>
      <c r="D2088" s="1" t="str">
        <f>IFERROR(__xludf.DUMMYFUNCTION("CONCATENATE(GOOGLETRANSLATE(C2088, ""en"", ""zh-cn""))"),"eCash - 任天堂 eShop 礼品卡 [数字下载]")</f>
        <v>eCash - 任天堂 eShop 礼品卡 [数字下载]</v>
      </c>
      <c r="E2088" s="1" t="str">
        <f>IFERROR(__xludf.DUMMYFUNCTION("CONCATENATE(GOOGLETRANSLATE(C2088, ""en"", ""ko""))"),"eCash - Nintendo eShop 기프트 카드 [디지털 다운로드]")</f>
        <v>eCash - Nintendo eShop 기프트 카드 [디지털 다운로드]</v>
      </c>
      <c r="F2088" s="1" t="str">
        <f>IFERROR(__xludf.DUMMYFUNCTION("CONCATENATE(GOOGLETRANSLATE(C2088, ""en"", ""ja""))"),"eCash - ニンテンドー eショップ ギフトカード [デジタルダウンロード]")</f>
        <v>eCash - ニンテンドー eショップ ギフトカード [デジタルダウンロード]</v>
      </c>
    </row>
    <row r="2089" ht="15.75" customHeight="1">
      <c r="A2089" s="1">
        <v>6990.0</v>
      </c>
      <c r="B2089" s="1" t="s">
        <v>15</v>
      </c>
      <c r="C2089" s="1" t="s">
        <v>1986</v>
      </c>
      <c r="D2089" s="1" t="str">
        <f>IFERROR(__xludf.DUMMYFUNCTION("CONCATENATE(GOOGLETRANSLATE(C2089, ""en"", ""zh-cn""))"),"无题鹅游戏 (Nintendo Switch) - Nintendo eShop 帐户 - 全球")</f>
        <v>无题鹅游戏 (Nintendo Switch) - Nintendo eShop 帐户 - 全球</v>
      </c>
      <c r="E2089" s="1" t="str">
        <f>IFERROR(__xludf.DUMMYFUNCTION("CONCATENATE(GOOGLETRANSLATE(C2089, ""en"", ""ko""))"),"Untitled Goose Game(Nintendo Switch) - Nintendo eShop 계정 - GLOBAL")</f>
        <v>Untitled Goose Game(Nintendo Switch) - Nintendo eShop 계정 - GLOBAL</v>
      </c>
      <c r="F2089" s="1" t="str">
        <f>IFERROR(__xludf.DUMMYFUNCTION("CONCATENATE(GOOGLETRANSLATE(C2089, ""en"", ""ja""))"),"Untitled Goose Game (Nintendo Switch) - ニンテンドー eショップ アカウント - GLOBAL")</f>
        <v>Untitled Goose Game (Nintendo Switch) - ニンテンドー eショップ アカウント - GLOBAL</v>
      </c>
    </row>
    <row r="2090" ht="15.75" customHeight="1">
      <c r="A2090" s="1">
        <v>6998.0</v>
      </c>
      <c r="B2090" s="1" t="s">
        <v>15</v>
      </c>
      <c r="C2090" s="1" t="s">
        <v>1987</v>
      </c>
      <c r="D2090" s="1" t="str">
        <f>IFERROR(__xludf.DUMMYFUNCTION("CONCATENATE(GOOGLETRANSLATE(C2090, ""en"", ""zh-cn""))"),"Nintendo eShop 50 美元礼品卡（通过电子邮件发送）")</f>
        <v>Nintendo eShop 50 美元礼品卡（通过电子邮件发送）</v>
      </c>
      <c r="E2090" s="1" t="str">
        <f>IFERROR(__xludf.DUMMYFUNCTION("CONCATENATE(GOOGLETRANSLATE(C2090, ""en"", ""ko""))"),"Nintendo eShop $50 기프트 카드(이메일 배송)")</f>
        <v>Nintendo eShop $50 기프트 카드(이메일 배송)</v>
      </c>
      <c r="F2090" s="1" t="str">
        <f>IFERROR(__xludf.DUMMYFUNCTION("CONCATENATE(GOOGLETRANSLATE(C2090, ""en"", ""ja""))"),"ニンテンドーeショップ$50ギフトカード（メール配信）")</f>
        <v>ニンテンドーeショップ$50ギフトカード（メール配信）</v>
      </c>
    </row>
    <row r="2091" ht="15.75" customHeight="1">
      <c r="A2091" s="1">
        <v>7027.0</v>
      </c>
      <c r="B2091" s="1" t="s">
        <v>15</v>
      </c>
      <c r="C2091" s="1" t="s">
        <v>1988</v>
      </c>
      <c r="D2091" s="1" t="str">
        <f>IFERROR(__xludf.DUMMYFUNCTION("CONCATENATE(GOOGLETRANSLATE(C2091, ""en"", ""zh-cn""))"),"adidas Originals 男士 Adicolor 经典短跑短裤")</f>
        <v>adidas Originals 男士 Adicolor 经典短跑短裤</v>
      </c>
      <c r="E2091" s="1" t="str">
        <f>IFERROR(__xludf.DUMMYFUNCTION("CONCATENATE(GOOGLETRANSLATE(C2091, ""en"", ""ko""))"),"adidas Originals 남성 Adicolor 클래식 스프린터 반바지")</f>
        <v>adidas Originals 남성 Adicolor 클래식 스프린터 반바지</v>
      </c>
      <c r="F2091" s="1" t="str">
        <f>IFERROR(__xludf.DUMMYFUNCTION("CONCATENATE(GOOGLETRANSLATE(C2091, ""en"", ""ja""))"),"アディダス オリジナルス メンズ アディカラー クラシック スプリンター ショーツ")</f>
        <v>アディダス オリジナルス メンズ アディカラー クラシック スプリンター ショーツ</v>
      </c>
    </row>
    <row r="2092" ht="15.75" customHeight="1">
      <c r="A2092" s="1">
        <v>7035.0</v>
      </c>
      <c r="B2092" s="1" t="s">
        <v>15</v>
      </c>
      <c r="C2092" s="1" t="s">
        <v>1989</v>
      </c>
      <c r="D2092" s="1" t="str">
        <f>IFERROR(__xludf.DUMMYFUNCTION("CONCATENATE(GOOGLETRANSLATE(C2092, ""en"", ""zh-cn""))"),"阿迪达斯女式 Hyperglam 全长罗纹 HIIT 长裤")</f>
        <v>阿迪达斯女式 Hyperglam 全长罗纹 HIIT 长裤</v>
      </c>
      <c r="E2092" s="1" t="str">
        <f>IFERROR(__xludf.DUMMYFUNCTION("CONCATENATE(GOOGLETRANSLATE(C2092, ""en"", ""ko""))"),"adidas 여성용 하이퍼글램 전장 골지 HIIT 바지")</f>
        <v>adidas 여성용 하이퍼글램 전장 골지 HIIT 바지</v>
      </c>
      <c r="F2092" s="1" t="str">
        <f>IFERROR(__xludf.DUMMYFUNCTION("CONCATENATE(GOOGLETRANSLATE(C2092, ""en"", ""ja""))"),"アディダス レディース ハイパーグラム フルレングス リブ HIIT パンツ")</f>
        <v>アディダス レディース ハイパーグラム フルレングス リブ HIIT パンツ</v>
      </c>
    </row>
    <row r="2093" ht="15.75" customHeight="1">
      <c r="A2093" s="1">
        <v>7049.0</v>
      </c>
      <c r="B2093" s="1" t="s">
        <v>15</v>
      </c>
      <c r="C2093" s="1" t="s">
        <v>1990</v>
      </c>
      <c r="D2093" s="1" t="str">
        <f>IFERROR(__xludf.DUMMYFUNCTION("CONCATENATE(GOOGLETRANSLATE(C2093, ""en"", ""zh-cn""))"),"阿迪达斯 女士 Run 70s 2.0 运动鞋")</f>
        <v>阿迪达斯 女士 Run 70s 2.0 运动鞋</v>
      </c>
      <c r="E2093" s="1" t="str">
        <f>IFERROR(__xludf.DUMMYFUNCTION("CONCATENATE(GOOGLETRANSLATE(C2093, ""en"", ""ko""))"),"아디다스 여성용 런 70s 2.0 스니커즈")</f>
        <v>아디다스 여성용 런 70s 2.0 스니커즈</v>
      </c>
      <c r="F2093" s="1" t="str">
        <f>IFERROR(__xludf.DUMMYFUNCTION("CONCATENATE(GOOGLETRANSLATE(C2093, ""en"", ""ja""))"),"アディダス レディース ラン 70s 2.0 スニーカー")</f>
        <v>アディダス レディース ラン 70s 2.0 スニーカー</v>
      </c>
    </row>
    <row r="2094" ht="15.75" customHeight="1">
      <c r="A2094" s="1">
        <v>7051.0</v>
      </c>
      <c r="B2094" s="1" t="s">
        <v>15</v>
      </c>
      <c r="C2094" s="1" t="s">
        <v>1991</v>
      </c>
      <c r="D2094" s="1" t="str">
        <f>IFERROR(__xludf.DUMMYFUNCTION("CONCATENATE(GOOGLETRANSLATE(C2094, ""en"", ""zh-cn""))"),"ASICS 女士训练核心文胸")</f>
        <v>ASICS 女士训练核心文胸</v>
      </c>
      <c r="E2094" s="1" t="str">
        <f>IFERROR(__xludf.DUMMYFUNCTION("CONCATENATE(GOOGLETRANSLATE(C2094, ""en"", ""ko""))"),"아식스 여성 트레이닝 코어 브라")</f>
        <v>아식스 여성 트레이닝 코어 브라</v>
      </c>
      <c r="F2094" s="1" t="str">
        <f>IFERROR(__xludf.DUMMYFUNCTION("CONCATENATE(GOOGLETRANSLATE(C2094, ""en"", ""ja""))"),"アシックス トレーニングコアブラ レディース")</f>
        <v>アシックス トレーニングコアブラ レディース</v>
      </c>
    </row>
    <row r="2095" ht="15.75" customHeight="1">
      <c r="A2095" s="1">
        <v>7057.0</v>
      </c>
      <c r="B2095" s="1" t="s">
        <v>15</v>
      </c>
      <c r="C2095" s="1" t="s">
        <v>1992</v>
      </c>
      <c r="D2095" s="1" t="str">
        <f>IFERROR(__xludf.DUMMYFUNCTION("CONCATENATE(GOOGLETRANSLATE(C2095, ""en"", ""zh-cn""))"),"ASICS 女士训练核心弹力梭织长裤")</f>
        <v>ASICS 女士训练核心弹力梭织长裤</v>
      </c>
      <c r="E2095" s="1" t="str">
        <f>IFERROR(__xludf.DUMMYFUNCTION("CONCATENATE(GOOGLETRANSLATE(C2095, ""en"", ""ko""))"),"아식스 여성용 트레이닝 코어 스트레치 우븐 팬츠")</f>
        <v>아식스 여성용 트레이닝 코어 스트레치 우븐 팬츠</v>
      </c>
      <c r="F2095" s="1" t="str">
        <f>IFERROR(__xludf.DUMMYFUNCTION("CONCATENATE(GOOGLETRANSLATE(C2095, ""en"", ""ja""))"),"アシックス レディース トレーニング コア ストレッチ ウーブン パンツ")</f>
        <v>アシックス レディース トレーニング コア ストレッチ ウーブン パンツ</v>
      </c>
    </row>
    <row r="2096" ht="15.75" customHeight="1">
      <c r="A2096" s="1">
        <v>7066.0</v>
      </c>
      <c r="B2096" s="1" t="s">
        <v>15</v>
      </c>
      <c r="C2096" s="1" t="s">
        <v>1993</v>
      </c>
      <c r="D2096" s="1" t="str">
        <f>IFERROR(__xludf.DUMMYFUNCTION("CONCATENATE(GOOGLETRANSLATE(C2096, ""en"", ""zh-cn""))"),"ASICS 男士 ACTIBREEZE 透气针织短裤")</f>
        <v>ASICS 男士 ACTIBREEZE 透气针织短裤</v>
      </c>
      <c r="E2096" s="1" t="str">
        <f>IFERROR(__xludf.DUMMYFUNCTION("CONCATENATE(GOOGLETRANSLATE(C2096, ""en"", ""ko""))"),"ASICS 남성 ACTIBREEZE 벤티드 니트 반바지")</f>
        <v>ASICS 남성 ACTIBREEZE 벤티드 니트 반바지</v>
      </c>
      <c r="F2096" s="1" t="str">
        <f>IFERROR(__xludf.DUMMYFUNCTION("CONCATENATE(GOOGLETRANSLATE(C2096, ""en"", ""ja""))"),"アシックス(ASICS) ACTIBREEZE ベンテッドニットショーツ メンズ")</f>
        <v>アシックス(ASICS) ACTIBREEZE ベンテッドニットショーツ メンズ</v>
      </c>
    </row>
    <row r="2097" ht="15.75" customHeight="1">
      <c r="A2097" s="1">
        <v>7068.0</v>
      </c>
      <c r="B2097" s="1" t="s">
        <v>15</v>
      </c>
      <c r="C2097" s="1" t="s">
        <v>1994</v>
      </c>
      <c r="D2097" s="1" t="str">
        <f>IFERROR(__xludf.DUMMYFUNCTION("CONCATENATE(GOOGLETRANSLATE(C2097, ""en"", ""zh-cn""))"),"ASICS 女式 92 Fit Sana 口袋紧身裤")</f>
        <v>ASICS 女式 92 Fit Sana 口袋紧身裤</v>
      </c>
      <c r="E2097" s="1" t="str">
        <f>IFERROR(__xludf.DUMMYFUNCTION("CONCATENATE(GOOGLETRANSLATE(C2097, ""en"", ""ko""))"),"아식스 여성용 92 핏 사나 포켓 타이트")</f>
        <v>아식스 여성용 92 핏 사나 포켓 타이트</v>
      </c>
      <c r="F2097" s="1" t="str">
        <f>IFERROR(__xludf.DUMMYFUNCTION("CONCATENATE(GOOGLETRANSLATE(C2097, ""en"", ""ja""))"),"アシックス ウィメンズ 92 フィット サナ ポケット タイト")</f>
        <v>アシックス ウィメンズ 92 フィット サナ ポケット タイト</v>
      </c>
    </row>
    <row r="2098" ht="15.75" customHeight="1">
      <c r="A2098" s="1">
        <v>7072.0</v>
      </c>
      <c r="B2098" s="1" t="s">
        <v>15</v>
      </c>
      <c r="C2098" s="1" t="s">
        <v>1995</v>
      </c>
      <c r="D2098" s="1" t="str">
        <f>IFERROR(__xludf.DUMMYFUNCTION("CONCATENATE(GOOGLETRANSLATE(C2098, ""en"", ""zh-cn""))"),"ASICS 女式活动针织连帽衫")</f>
        <v>ASICS 女式活动针织连帽衫</v>
      </c>
      <c r="E2098" s="1" t="str">
        <f>IFERROR(__xludf.DUMMYFUNCTION("CONCATENATE(GOOGLETRANSLATE(C2098, ""en"", ""ko""))"),"아식스 여성용 모빌리티 니트 후디")</f>
        <v>아식스 여성용 모빌리티 니트 후디</v>
      </c>
      <c r="F2098" s="1" t="str">
        <f>IFERROR(__xludf.DUMMYFUNCTION("CONCATENATE(GOOGLETRANSLATE(C2098, ""en"", ""ja""))"),"アシックス モビリティニットパーカー レディース")</f>
        <v>アシックス モビリティニットパーカー レディース</v>
      </c>
    </row>
    <row r="2099" ht="15.75" customHeight="1">
      <c r="A2099" s="1">
        <v>7080.0</v>
      </c>
      <c r="B2099" s="1" t="s">
        <v>15</v>
      </c>
      <c r="C2099" s="1" t="s">
        <v>1996</v>
      </c>
      <c r="D2099" s="1" t="str">
        <f>IFERROR(__xludf.DUMMYFUNCTION("CONCATENATE(GOOGLETRANSLATE(C2099, ""en"", ""zh-cn""))"),"亚瑟士 GT-2160")</f>
        <v>亚瑟士 GT-2160</v>
      </c>
      <c r="E2099" s="1" t="str">
        <f>IFERROR(__xludf.DUMMYFUNCTION("CONCATENATE(GOOGLETRANSLATE(C2099, ""en"", ""ko""))"),"아식스 GT-2160")</f>
        <v>아식스 GT-2160</v>
      </c>
      <c r="F2099" s="1" t="str">
        <f>IFERROR(__xludf.DUMMYFUNCTION("CONCATENATE(GOOGLETRANSLATE(C2099, ""en"", ""ja""))"),"アシックス GT-2160")</f>
        <v>アシックス GT-2160</v>
      </c>
    </row>
    <row r="2100" ht="15.75" customHeight="1">
      <c r="A2100" s="1">
        <v>7087.0</v>
      </c>
      <c r="B2100" s="1" t="s">
        <v>15</v>
      </c>
      <c r="C2100" s="1" t="s">
        <v>1997</v>
      </c>
      <c r="D2100" s="1" t="str">
        <f>IFERROR(__xludf.DUMMYFUNCTION("CONCATENATE(GOOGLETRANSLATE(C2100, ""en"", ""zh-cn""))"),"ASICS 女式 ACTIBREEZE 提花短袖上衣")</f>
        <v>ASICS 女式 ACTIBREEZE 提花短袖上衣</v>
      </c>
      <c r="E2100" s="1" t="str">
        <f>IFERROR(__xludf.DUMMYFUNCTION("CONCATENATE(GOOGLETRANSLATE(C2100, ""en"", ""ko""))"),"ASICS 여성용 ACTIBREEZE 자카드 반팔 탑")</f>
        <v>ASICS 여성용 ACTIBREEZE 자카드 반팔 탑</v>
      </c>
      <c r="F2100" s="1" t="str">
        <f>IFERROR(__xludf.DUMMYFUNCTION("CONCATENATE(GOOGLETRANSLATE(C2100, ""en"", ""ja""))"),"[アシックス] ACTIBREEZE ジャカード半袖トップ レディース")</f>
        <v>[アシックス] ACTIBREEZE ジャカード半袖トップ レディース</v>
      </c>
    </row>
    <row r="2101" ht="15.75" customHeight="1">
      <c r="A2101" s="1">
        <v>7092.0</v>
      </c>
      <c r="B2101" s="1" t="s">
        <v>15</v>
      </c>
      <c r="C2101" s="1" t="s">
        <v>1998</v>
      </c>
      <c r="D2101" s="1" t="str">
        <f>IFERROR(__xludf.DUMMYFUNCTION("CONCATENATE(GOOGLETRANSLATE(C2101, ""en"", ""zh-cn""))"),"Gymshark 训练护腿")</f>
        <v>Gymshark 训练护腿</v>
      </c>
      <c r="E2101" s="1" t="str">
        <f>IFERROR(__xludf.DUMMYFUNCTION("CONCATENATE(GOOGLETRANSLATE(C2101, ""en"", ""ko""))"),"Gymshark 트레이닝 레깅스")</f>
        <v>Gymshark 트레이닝 레깅스</v>
      </c>
      <c r="F2101" s="1" t="str">
        <f>IFERROR(__xludf.DUMMYFUNCTION("CONCATENATE(GOOGLETRANSLATE(C2101, ""en"", ""ja""))"),"Gymshark トレーニング レギンス")</f>
        <v>Gymshark トレーニング レギンス</v>
      </c>
    </row>
    <row r="2102" ht="15.75" customHeight="1">
      <c r="A2102" s="1">
        <v>7103.0</v>
      </c>
      <c r="B2102" s="1" t="s">
        <v>15</v>
      </c>
      <c r="C2102" s="1" t="s">
        <v>1999</v>
      </c>
      <c r="D2102" s="1" t="str">
        <f>IFERROR(__xludf.DUMMYFUNCTION("CONCATENATE(GOOGLETRANSLATE(C2102, ""en"", ""zh-cn""))"),"Gymshark 女式日常货架弹力再生聚酯纤维上衣")</f>
        <v>Gymshark 女式日常货架弹力再生聚酯纤维上衣</v>
      </c>
      <c r="E2102" s="1" t="str">
        <f>IFERROR(__xludf.DUMMYFUNCTION("CONCATENATE(GOOGLETRANSLATE(C2102, ""en"", ""ko""))"),"Gymshark 여성용 일상 선반 스트레치 재활용 폴리에스테르 탑")</f>
        <v>Gymshark 여성용 일상 선반 스트레치 재활용 폴리에스테르 탑</v>
      </c>
      <c r="F2102" s="1" t="str">
        <f>IFERROR(__xludf.DUMMYFUNCTION("CONCATENATE(GOOGLETRANSLATE(C2102, ""en"", ""ja""))"),"Gymshark レディース エブリデイ シェルフ ストレッチ リサイクル ポリエステル トップ")</f>
        <v>Gymshark レディース エブリデイ シェルフ ストレッチ リサイクル ポリエステル トップ</v>
      </c>
    </row>
    <row r="2103" ht="15.75" customHeight="1">
      <c r="A2103" s="1">
        <v>7114.0</v>
      </c>
      <c r="B2103" s="1" t="s">
        <v>15</v>
      </c>
      <c r="C2103" s="1" t="s">
        <v>2000</v>
      </c>
      <c r="D2103" s="1" t="str">
        <f>IFERROR(__xludf.DUMMYFUNCTION("CONCATENATE(GOOGLETRANSLATE(C2103, ""en"", ""zh-cn""))"),"Gymshark 日常无缝短裤")</f>
        <v>Gymshark 日常无缝短裤</v>
      </c>
      <c r="E2103" s="1" t="str">
        <f>IFERROR(__xludf.DUMMYFUNCTION("CONCATENATE(GOOGLETRANSLATE(C2103, ""en"", ""ko""))"),"Gymshark 에브리데이 심리스 반바지")</f>
        <v>Gymshark 에브리데이 심리스 반바지</v>
      </c>
      <c r="F2103" s="1" t="str">
        <f>IFERROR(__xludf.DUMMYFUNCTION("CONCATENATE(GOOGLETRANSLATE(C2103, ""en"", ""ja""))"),"Gymshark エブリデイ シームレス ショーツ")</f>
        <v>Gymshark エブリデイ シームレス ショーツ</v>
      </c>
    </row>
    <row r="2104" ht="15.75" customHeight="1">
      <c r="A2104" s="1">
        <v>7117.0</v>
      </c>
      <c r="B2104" s="1" t="s">
        <v>15</v>
      </c>
      <c r="C2104" s="1" t="s">
        <v>2001</v>
      </c>
      <c r="D2104" s="1" t="str">
        <f>IFERROR(__xludf.DUMMYFUNCTION("CONCATENATE(GOOGLETRANSLATE(C2104, ""en"", ""zh-cn""))"),"Gymshark Vital 无缝短裤")</f>
        <v>Gymshark Vital 无缝短裤</v>
      </c>
      <c r="E2104" s="1" t="str">
        <f>IFERROR(__xludf.DUMMYFUNCTION("CONCATENATE(GOOGLETRANSLATE(C2104, ""en"", ""ko""))"),"Gymshark 바이탈 심리스 반바지")</f>
        <v>Gymshark 바이탈 심리스 반바지</v>
      </c>
      <c r="F2104" s="1" t="str">
        <f>IFERROR(__xludf.DUMMYFUNCTION("CONCATENATE(GOOGLETRANSLATE(C2104, ""en"", ""ja""))"),"Gymshark バイタル シームレス ショーツ")</f>
        <v>Gymshark バイタル シームレス ショーツ</v>
      </c>
    </row>
    <row r="2105" ht="15.75" customHeight="1">
      <c r="A2105" s="1">
        <v>7132.0</v>
      </c>
      <c r="B2105" s="1" t="s">
        <v>15</v>
      </c>
      <c r="C2105" s="1" t="s">
        <v>2002</v>
      </c>
      <c r="D2105" s="1" t="str">
        <f>IFERROR(__xludf.DUMMYFUNCTION("CONCATENATE(GOOGLETRANSLATE(C2105, ""en"", ""zh-cn""))"),"耐克女式中腰开放式下摆长裤")</f>
        <v>耐克女式中腰开放式下摆长裤</v>
      </c>
      <c r="E2105" s="1" t="str">
        <f>IFERROR(__xludf.DUMMYFUNCTION("CONCATENATE(GOOGLETRANSLATE(C2105, ""en"", ""ko""))"),"나이키 여성용 미드라이즈 오픈 밑단 팬츠")</f>
        <v>나이키 여성용 미드라이즈 오픈 밑단 팬츠</v>
      </c>
      <c r="F2105" s="1" t="str">
        <f>IFERROR(__xludf.DUMMYFUNCTION("CONCATENATE(GOOGLETRANSLATE(C2105, ""en"", ""ja""))"),"ナイキ レディース ミッドライズ オープンヘム パンツ")</f>
        <v>ナイキ レディース ミッドライズ オープンヘム パンツ</v>
      </c>
    </row>
    <row r="2106" ht="15.75" customHeight="1">
      <c r="A2106" s="1">
        <v>7148.0</v>
      </c>
      <c r="B2106" s="1" t="s">
        <v>15</v>
      </c>
      <c r="C2106" s="1" t="s">
        <v>2003</v>
      </c>
      <c r="D2106" s="1" t="str">
        <f>IFERROR(__xludf.DUMMYFUNCTION("CONCATENATE(GOOGLETRANSLATE(C2106, ""en"", ""zh-cn""))"),"耐克男式 Tech 全拉链 Windrunner 连帽衫")</f>
        <v>耐克男式 Tech 全拉链 Windrunner 连帽衫</v>
      </c>
      <c r="E2106" s="1" t="str">
        <f>IFERROR(__xludf.DUMMYFUNCTION("CONCATENATE(GOOGLETRANSLATE(C2106, ""en"", ""ko""))"),"나이키 남성 테크 풀집 윈드러너 후디")</f>
        <v>나이키 남성 테크 풀집 윈드러너 후디</v>
      </c>
      <c r="F2106" s="1" t="str">
        <f>IFERROR(__xludf.DUMMYFUNCTION("CONCATENATE(GOOGLETRANSLATE(C2106, ""en"", ""ja""))"),"ナイキ メンズ テック フルジップ ウィンドランナー パーカー")</f>
        <v>ナイキ メンズ テック フルジップ ウィンドランナー パーカー</v>
      </c>
    </row>
    <row r="2107" ht="15.75" customHeight="1">
      <c r="A2107" s="1">
        <v>7164.0</v>
      </c>
      <c r="B2107" s="1" t="s">
        <v>15</v>
      </c>
      <c r="C2107" s="1" t="s">
        <v>2004</v>
      </c>
      <c r="D2107" s="1" t="str">
        <f>IFERROR(__xludf.DUMMYFUNCTION("CONCATENATE(GOOGLETRANSLATE(C2107, ""en"", ""zh-cn""))"),"男士 Nike Therma-FIT 长裤")</f>
        <v>男士 Nike Therma-FIT 长裤</v>
      </c>
      <c r="E2107" s="1" t="str">
        <f>IFERROR(__xludf.DUMMYFUNCTION("CONCATENATE(GOOGLETRANSLATE(C2107, ""en"", ""ko""))"),"남성용 나이키 써마핏 팬츠")</f>
        <v>남성용 나이키 써마핏 팬츠</v>
      </c>
      <c r="F2107" s="1" t="str">
        <f>IFERROR(__xludf.DUMMYFUNCTION("CONCATENATE(GOOGLETRANSLATE(C2107, ""en"", ""ja""))"),"メンズ ナイキ サーマ フィット パンツ")</f>
        <v>メンズ ナイキ サーマ フィット パンツ</v>
      </c>
    </row>
    <row r="2108" ht="15.75" customHeight="1">
      <c r="A2108" s="1">
        <v>7167.0</v>
      </c>
      <c r="B2108" s="1" t="s">
        <v>15</v>
      </c>
      <c r="C2108" s="1" t="s">
        <v>2005</v>
      </c>
      <c r="D2108" s="1" t="str">
        <f>IFERROR(__xludf.DUMMYFUNCTION("CONCATENATE(GOOGLETRANSLATE(C2108, ""en"", ""zh-cn""))"),"耐克女式 Universa 中等支撑高腰 7/8 带口袋打底裤")</f>
        <v>耐克女式 Universa 中等支撑高腰 7/8 带口袋打底裤</v>
      </c>
      <c r="E2108" s="1" t="str">
        <f>IFERROR(__xludf.DUMMYFUNCTION("CONCATENATE(GOOGLETRANSLATE(C2108, ""en"", ""ko""))"),"나이키 여성용 유니버사 미디엄 서포트 하이웨이스트 7/8 레깅스(포켓 포함)")</f>
        <v>나이키 여성용 유니버사 미디엄 서포트 하이웨이스트 7/8 레깅스(포켓 포함)</v>
      </c>
      <c r="F2108" s="1" t="str">
        <f>IFERROR(__xludf.DUMMYFUNCTION("CONCATENATE(GOOGLETRANSLATE(C2108, ""en"", ""ja""))"),"ナイキ レディース ユニバーサ ミディアム サポート ハイウエスト 7/8 レギンス ポケット付き")</f>
        <v>ナイキ レディース ユニバーサ ミディアム サポート ハイウエスト 7/8 レギンス ポケット付き</v>
      </c>
    </row>
    <row r="2109" ht="15.75" customHeight="1">
      <c r="A2109" s="1">
        <v>7176.0</v>
      </c>
      <c r="B2109" s="1" t="s">
        <v>15</v>
      </c>
      <c r="C2109" s="1" t="s">
        <v>2006</v>
      </c>
      <c r="D2109" s="1" t="str">
        <f>IFERROR(__xludf.DUMMYFUNCTION("CONCATENATE(GOOGLETRANSLATE(C2109, ""en"", ""zh-cn""))"),"Reebok 男士 Training Essentials 梭织无衬里长裤")</f>
        <v>Reebok 男士 Training Essentials 梭织无衬里长裤</v>
      </c>
      <c r="E2109" s="1" t="str">
        <f>IFERROR(__xludf.DUMMYFUNCTION("CONCATENATE(GOOGLETRANSLATE(C2109, ""en"", ""ko""))"),"Reebok 남성 트레이닝 에센셜 우븐 언라인 팬츠")</f>
        <v>Reebok 남성 트레이닝 에센셜 우븐 언라인 팬츠</v>
      </c>
      <c r="F2109" s="1" t="str">
        <f>IFERROR(__xludf.DUMMYFUNCTION("CONCATENATE(GOOGLETRANSLATE(C2109, ""en"", ""ja""))"),"リーボック メンズ トレーニング エッセンシャル ウーブン裏地なしパンツ")</f>
        <v>リーボック メンズ トレーニング エッセンシャル ウーブン裏地なしパンツ</v>
      </c>
    </row>
    <row r="2110" ht="15.75" customHeight="1">
      <c r="A2110" s="1">
        <v>7180.0</v>
      </c>
      <c r="B2110" s="1" t="s">
        <v>15</v>
      </c>
      <c r="C2110" s="1" t="s">
        <v>2007</v>
      </c>
      <c r="D2110" s="1" t="str">
        <f>IFERROR(__xludf.DUMMYFUNCTION("CONCATENATE(GOOGLETRANSLATE(C2110, ""en"", ""zh-cn""))"),"Reebok 男士经典矢量黑色运动裤")</f>
        <v>Reebok 男士经典矢量黑色运动裤</v>
      </c>
      <c r="E2110" s="1" t="str">
        <f>IFERROR(__xludf.DUMMYFUNCTION("CONCATENATE(GOOGLETRANSLATE(C2110, ""en"", ""ko""))"),"Reebok 남성 클래식 벡터 블랙 트랙 팬츠")</f>
        <v>Reebok 남성 클래식 벡터 블랙 트랙 팬츠</v>
      </c>
      <c r="F2110" s="1" t="str">
        <f>IFERROR(__xludf.DUMMYFUNCTION("CONCATENATE(GOOGLETRANSLATE(C2110, ""en"", ""ja""))"),"リーボック メンズ クラシック ベクター ブラック トラック パンツ")</f>
        <v>リーボック メンズ クラシック ベクター ブラック トラック パンツ</v>
      </c>
    </row>
    <row r="2111" ht="15.75" customHeight="1">
      <c r="A2111" s="1">
        <v>7183.0</v>
      </c>
      <c r="B2111" s="1" t="s">
        <v>15</v>
      </c>
      <c r="C2111" s="1" t="s">
        <v>2008</v>
      </c>
      <c r="D2111" s="1" t="str">
        <f>IFERROR(__xludf.DUMMYFUNCTION("CONCATENATE(GOOGLETRANSLATE(C2111, ""en"", ""zh-cn""))"),"Reebok 男士 Identity 小号徽标抓绒慢跑裤")</f>
        <v>Reebok 男士 Identity 小号徽标抓绒慢跑裤</v>
      </c>
      <c r="E2111" s="1" t="str">
        <f>IFERROR(__xludf.DUMMYFUNCTION("CONCATENATE(GOOGLETRANSLATE(C2111, ""en"", ""ko""))"),"Reebok 남성 아이덴티티 스몰 로고 플리스 조거팬츠")</f>
        <v>Reebok 남성 아이덴티티 스몰 로고 플리스 조거팬츠</v>
      </c>
      <c r="F2111" s="1" t="str">
        <f>IFERROR(__xludf.DUMMYFUNCTION("CONCATENATE(GOOGLETRANSLATE(C2111, ""en"", ""ja""))"),"Reebok メンズ アイデンティティ スモール ロゴ フリース ジョガー")</f>
        <v>Reebok メンズ アイデンティティ スモール ロゴ フリース ジョガー</v>
      </c>
    </row>
    <row r="2112" ht="15.75" customHeight="1">
      <c r="A2112" s="1">
        <v>7196.0</v>
      </c>
      <c r="B2112" s="1" t="s">
        <v>15</v>
      </c>
      <c r="C2112" s="1" t="s">
        <v>2009</v>
      </c>
      <c r="D2112" s="1" t="str">
        <f>IFERROR(__xludf.DUMMYFUNCTION("CONCATENATE(GOOGLETRANSLATE(C2112, ""en"", ""zh-cn""))"),"Reebok Classics Archive Essentials 裤子")</f>
        <v>Reebok Classics Archive Essentials 裤子</v>
      </c>
      <c r="E2112" s="1" t="str">
        <f>IFERROR(__xludf.DUMMYFUNCTION("CONCATENATE(GOOGLETRANSLATE(C2112, ""en"", ""ko""))"),"Reebok Classics 아카이브 에센셜 팬츠")</f>
        <v>Reebok Classics 아카이브 에센셜 팬츠</v>
      </c>
      <c r="F2112" s="1" t="str">
        <f>IFERROR(__xludf.DUMMYFUNCTION("CONCATENATE(GOOGLETRANSLATE(C2112, ""en"", ""ja""))"),"リーボック クラシック アーカイブ エッセンシャル パンツ")</f>
        <v>リーボック クラシック アーカイブ エッセンシャル パンツ</v>
      </c>
    </row>
    <row r="2113" ht="15.75" customHeight="1">
      <c r="A2113" s="1">
        <v>7199.0</v>
      </c>
      <c r="B2113" s="1" t="s">
        <v>15</v>
      </c>
      <c r="C2113" s="1" t="s">
        <v>2010</v>
      </c>
      <c r="D2113" s="1" t="str">
        <f>IFERROR(__xludf.DUMMYFUNCTION("CONCATENATE(GOOGLETRANSLATE(C2113, ""en"", ""zh-cn""))"),"Reebok 女式 Identity 小号徽标抓绒全拉链连帽衫")</f>
        <v>Reebok 女式 Identity 小号徽标抓绒全拉链连帽衫</v>
      </c>
      <c r="E2113" s="1" t="str">
        <f>IFERROR(__xludf.DUMMYFUNCTION("CONCATENATE(GOOGLETRANSLATE(C2113, ""en"", ""ko""))"),"Reebok 여성용 아이덴티티 스몰 로고 플리스 풀집 후디")</f>
        <v>Reebok 여성용 아이덴티티 스몰 로고 플리스 풀집 후디</v>
      </c>
      <c r="F2113" s="1" t="str">
        <f>IFERROR(__xludf.DUMMYFUNCTION("CONCATENATE(GOOGLETRANSLATE(C2113, ""en"", ""ja""))"),"リーボック レディース アイデンティティ スモール ロゴ フリース フルジップ パーカー")</f>
        <v>リーボック レディース アイデンティティ スモール ロゴ フリース フルジップ パーカー</v>
      </c>
    </row>
    <row r="2114" ht="15.75" customHeight="1">
      <c r="A2114" s="1">
        <v>7226.0</v>
      </c>
      <c r="B2114" s="1" t="s">
        <v>15</v>
      </c>
      <c r="C2114" s="1" t="s">
        <v>1824</v>
      </c>
      <c r="D2114" s="1" t="str">
        <f>IFERROR(__xludf.DUMMYFUNCTION("CONCATENATE(GOOGLETRANSLATE(C2114, ""en"", ""zh-cn""))"),"ALL4JIG 1500 件便携式带腿拼图桌，可调节拼图板，带 4 个抽屉和盖子，3 倾斜角度成人拼图桌")</f>
        <v>ALL4JIG 1500 件便携式带腿拼图桌，可调节拼图板，带 4 个抽屉和盖子，3 倾斜角度成人拼图桌</v>
      </c>
      <c r="E2114" s="1" t="str">
        <f>IFERROR(__xludf.DUMMYFUNCTION("CONCATENATE(GOOGLETRANSLATE(C2114, ""en"", ""ko""))"),"ALL4JIG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2114" s="1" t="str">
        <f>IFERROR(__xludf.DUMMYFUNCTION("CONCATENATE(GOOGLETRANSLATE(C2114, ""en"", ""ja""))"),"ALL4JIG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2115" ht="15.75" customHeight="1">
      <c r="A2115" s="1">
        <v>7229.0</v>
      </c>
      <c r="B2115" s="1" t="s">
        <v>15</v>
      </c>
      <c r="C2115" s="1" t="s">
        <v>1843</v>
      </c>
      <c r="D2115" s="1" t="str">
        <f>IFERROR(__xludf.DUMMYFUNCTION("CONCATENATE(GOOGLETRANSLATE(C2115, ""en"", ""zh-cn""))"),"BroMocube 的 GAN 11M Pro 3x3 速度魔方 GAN 11 磁性拼图魔方 Gan11M 魔方（GAN 11 M Pro 磨砂无贴纸（黑色））")</f>
        <v>BroMocube 的 GAN 11M Pro 3x3 速度魔方 GAN 11 磁性拼图魔方 Gan11M 魔方（GAN 11 M Pro 磨砂无贴纸（黑色））</v>
      </c>
      <c r="E2115" s="1" t="str">
        <f>IFERROR(__xludf.DUMMYFUNCTION("CONCATENATE(GOOGLETRANSLATE(C2115, ""en"", ""ko""))"),"GAN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2115" s="1" t="str">
        <f>IFERROR(__xludf.DUMMYFUNCTION("CONCATENATE(GOOGLETRANSLATE(C2115, ""en"", ""ja""))"),"GAN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2116" ht="15.75" customHeight="1">
      <c r="A2116" s="1">
        <v>7238.0</v>
      </c>
      <c r="B2116" s="1" t="s">
        <v>15</v>
      </c>
      <c r="C2116" s="1" t="s">
        <v>1855</v>
      </c>
      <c r="D2116" s="1" t="str">
        <f>IFERROR(__xludf.DUMMYFUNCTION("CONCATENATE(GOOGLETRANSLATE(C2116, ""en"", ""zh-cn""))"),"单人炉篝火带支架便携式火坑不锈钢火坑燃木低烟野营炉| 19.5x14 英寸户外火坑")</f>
        <v>单人炉篝火带支架便携式火坑不锈钢火坑燃木低烟野营炉| 19.5x14 英寸户外火坑</v>
      </c>
      <c r="E2116" s="1" t="str">
        <f>IFERROR(__xludf.DUMMYFUNCTION("CONCATENATE(GOOGLETRANSLATE(C2116, ""en"", ""ko""))"),"스탠드가 있는 솔로 스토브 모닥불 휴대용 화재 구덩이 스테인레스 스틸 화재 구덩이 장작 및 저연 캠핑 스토브 | 19.5x14 인치 야외 화덕")</f>
        <v>스탠드가 있는 솔로 스토브 모닥불 휴대용 화재 구덩이 스테인레스 스틸 화재 구덩이 장작 및 저연 캠핑 스토브 | 19.5x14 인치 야외 화덕</v>
      </c>
      <c r="F2116" s="1" t="str">
        <f>IFERROR(__xludf.DUMMYFUNCTION("CONCATENATE(GOOGLETRANSLATE(C2116, ""en"", ""ja""))"),"ソロストーブ焚き火スタンド付きポータブルファイヤーピットステンレススチールファイヤーピット薪燃焼および低煙キャンプストーブ | 19.5x14インチの屋外ファイヤーピット")</f>
        <v>ソロストーブ焚き火スタンド付きポータブルファイヤーピットステンレススチールファイヤーピット薪燃焼および低煙キャンプストーブ | 19.5x14インチの屋外ファイヤーピット</v>
      </c>
    </row>
    <row r="2117" ht="15.75" customHeight="1">
      <c r="A2117" s="1">
        <v>7241.0</v>
      </c>
      <c r="B2117" s="1" t="s">
        <v>15</v>
      </c>
      <c r="C2117" s="1" t="s">
        <v>2011</v>
      </c>
      <c r="D2117" s="1" t="str">
        <f>IFERROR(__xludf.DUMMYFUNCTION("CONCATENATE(GOOGLETRANSLATE(C2117, ""en"", ""zh-cn""))"),"罗林斯| HEART OF THE HIDE 棒球手套 | R2G 和轮廓贴合模型 |高级磨合|多种风格")</f>
        <v>罗林斯| HEART OF THE HIDE 棒球手套 | R2G 和轮廓贴合模型 |高级磨合|多种风格</v>
      </c>
      <c r="E2117" s="1" t="str">
        <f>IFERROR(__xludf.DUMMYFUNCTION("CONCATENATE(GOOGLETRANSLATE(C2117, ""en"", ""ko""))"),"롤링스 | 숨은 야구 글러브의 심장 | R2G 및 윤곽 맞춤 모델 | 고급 침입 | 다양한 스타일")</f>
        <v>롤링스 | 숨은 야구 글러브의 심장 | R2G 및 윤곽 맞춤 모델 | 고급 침입 | 다양한 스타일</v>
      </c>
      <c r="F2117" s="1" t="str">
        <f>IFERROR(__xludf.DUMMYFUNCTION("CONCATENATE(GOOGLETRANSLATE(C2117, ""en"", ""ja""))"),"ローリングス | HEART OF THE HIDE 野球グローブ | R2G &amp; 輪郭フィットモデル |高度な慣らし運転 |複数のスタイル")</f>
        <v>ローリングス | HEART OF THE HIDE 野球グローブ | R2G &amp; 輪郭フィットモデル |高度な慣らし運転 |複数のスタイル</v>
      </c>
    </row>
    <row r="2118" ht="15.75" customHeight="1">
      <c r="A2118" s="1">
        <v>7244.0</v>
      </c>
      <c r="B2118" s="1" t="s">
        <v>15</v>
      </c>
      <c r="C2118" s="1" t="s">
        <v>2012</v>
      </c>
      <c r="D2118" s="1" t="str">
        <f>IFERROR(__xludf.DUMMYFUNCTION("CONCATENATE(GOOGLETRANSLATE(C2118, ""en"", ""zh-cn""))"),"Lake 男鞋 Cx238")</f>
        <v>Lake 男鞋 Cx238</v>
      </c>
      <c r="E2118" s="1" t="str">
        <f>IFERROR(__xludf.DUMMYFUNCTION("CONCATENATE(GOOGLETRANSLATE(C2118, ""en"", ""ko""))"),"레이크 남성 신발 Cx238")</f>
        <v>레이크 남성 신발 Cx238</v>
      </c>
      <c r="F2118" s="1" t="str">
        <f>IFERROR(__xludf.DUMMYFUNCTION("CONCATENATE(GOOGLETRANSLATE(C2118, ""en"", ""ja""))"),"レイク メンズ シューズ CX238")</f>
        <v>レイク メンズ シューズ CX238</v>
      </c>
    </row>
    <row r="2119" ht="15.75" customHeight="1">
      <c r="A2119" s="1">
        <v>7245.0</v>
      </c>
      <c r="B2119" s="1" t="s">
        <v>15</v>
      </c>
      <c r="C2119" s="1" t="s">
        <v>2013</v>
      </c>
      <c r="D2119" s="1" t="str">
        <f>IFERROR(__xludf.DUMMYFUNCTION("CONCATENATE(GOOGLETRANSLATE(C2119, ""en"", ""zh-cn""))"),"Tilt Industries - 自行车平衡训练器|自行车修理架/平衡训练器组合")</f>
        <v>Tilt Industries - 自行车平衡训练器|自行车修理架/平衡训练器组合</v>
      </c>
      <c r="E2119" s="1" t="str">
        <f>IFERROR(__xludf.DUMMYFUNCTION("CONCATENATE(GOOGLETRANSLATE(C2119, ""en"", ""ko""))"),"Tilt Industries - 자전거 밸런스 트레이너 | 자전거 수리 스탠드/밸런스 트레이너 콤보")</f>
        <v>Tilt Industries - 자전거 밸런스 트레이너 | 자전거 수리 스탠드/밸런스 트레이너 콤보</v>
      </c>
      <c r="F2119" s="1" t="str">
        <f>IFERROR(__xludf.DUMMYFUNCTION("CONCATENATE(GOOGLETRANSLATE(C2119, ""en"", ""ja""))"),"Tilt Industries - バイクバランストレーナー |自転車修理スタンド/バランストレーナーコンボ")</f>
        <v>Tilt Industries - バイクバランストレーナー |自転車修理スタンド/バランストレーナーコンボ</v>
      </c>
    </row>
    <row r="2120" ht="15.75" customHeight="1">
      <c r="A2120" s="1">
        <v>7251.0</v>
      </c>
      <c r="B2120" s="1" t="s">
        <v>15</v>
      </c>
      <c r="C2120" s="1" t="s">
        <v>1910</v>
      </c>
      <c r="D2120" s="1" t="str">
        <f>IFERROR(__xludf.DUMMYFUNCTION("CONCATENATE(GOOGLETRANSLATE(C2120, ""en"", ""zh-cn""))"),"Vento Powerstrap R2 Aeroweave")</f>
        <v>Vento Powerstrap R2 Aeroweave</v>
      </c>
      <c r="E2120" s="1" t="str">
        <f>IFERROR(__xludf.DUMMYFUNCTION("CONCATENATE(GOOGLETRANSLATE(C2120, ""en"", ""ko""))"),"벤토 파워스트랩 R2 에어로위브")</f>
        <v>벤토 파워스트랩 R2 에어로위브</v>
      </c>
      <c r="F2120" s="1" t="str">
        <f>IFERROR(__xludf.DUMMYFUNCTION("CONCATENATE(GOOGLETRANSLATE(C2120, ""en"", ""ja""))"),"ヴェント パワーストラップ R2 エアロウィーブ")</f>
        <v>ヴェント パワーストラップ R2 エアロウィーブ</v>
      </c>
    </row>
    <row r="2121" ht="15.75" customHeight="1">
      <c r="A2121" s="1">
        <v>7258.0</v>
      </c>
      <c r="B2121" s="1" t="s">
        <v>15</v>
      </c>
      <c r="C2121" s="1" t="s">
        <v>2014</v>
      </c>
      <c r="D2121" s="1" t="str">
        <f>IFERROR(__xludf.DUMMYFUNCTION("CONCATENATE(GOOGLETRANSLATE(C2121, ""en"", ""zh-cn""))"),"Atotfusion 棉质厚轻桌凳靠背坐垫瑜伽椅垫适用于室内/室外家庭办公室花园装饰棉质坐垫 3 座长凳坐垫，150 x 50 x 8 厘米（灰色）")</f>
        <v>Atotfusion 棉质厚轻桌凳靠背坐垫瑜伽椅垫适用于室内/室外家庭办公室花园装饰棉质坐垫 3 座长凳坐垫，150 x 50 x 8 厘米（灰色）</v>
      </c>
      <c r="E2121" s="1" t="str">
        <f>IFERROR(__xludf.DUMMYFUNCTION("CONCATENATE(GOOGLETRANSLATE(C2121, ""en"", ""ko""))"),"Atootfusion 면 두꺼운 경량 테이블 의자 뒷좌석 쿠션 요가 의자 패드 실내/실외 홈 오피스 정원 장식 면 쿠션 3인용 벤치 쿠션, 150 x 50 x 8 cm(회색)")</f>
        <v>Atootfusion 면 두꺼운 경량 테이블 의자 뒷좌석 쿠션 요가 의자 패드 실내/실외 홈 오피스 정원 장식 면 쿠션 3인용 벤치 쿠션, 150 x 50 x 8 cm(회색)</v>
      </c>
      <c r="F2121" s="1" t="str">
        <f>IFERROR(__xludf.DUMMYFUNCTION("CONCATENATE(GOOGLETRANSLATE(C2121, ""en"", ""ja""))"),"Atootfusion コットン 厚手 軽量 テーブル スツール バックシートクッション ヨガチェアパッド 屋内/屋外 ホームオフィス ガーデン装飾 コットンクッション 3人掛けベンチクッション 150 x 50 x 8 cm (グレー)")</f>
        <v>Atootfusion コットン 厚手 軽量 テーブル スツール バックシートクッション ヨガチェアパッド 屋内/屋外 ホームオフィス ガーデン装飾 コットンクッション 3人掛けベンチクッション 150 x 50 x 8 cm (グレー)</v>
      </c>
    </row>
    <row r="2122" ht="15.75" customHeight="1">
      <c r="A2122" s="1">
        <v>7268.0</v>
      </c>
      <c r="B2122" s="1" t="s">
        <v>15</v>
      </c>
      <c r="C2122" s="1" t="s">
        <v>2015</v>
      </c>
      <c r="D2122" s="1" t="str">
        <f>IFERROR(__xludf.DUMMYFUNCTION("CONCATENATE(GOOGLETRANSLATE(C2122, ""en"", ""zh-cn""))"),"适用于 400A 的 Fluidmaster 385 替换阀盖")</f>
        <v>适用于 400A 的 Fluidmaster 385 替换阀盖</v>
      </c>
      <c r="E2122" s="1" t="str">
        <f>IFERROR(__xludf.DUMMYFUNCTION("CONCATENATE(GOOGLETRANSLATE(C2122, ""en"", ""ko""))"),"Fluidmaster 385 400A용 교체 밸브 캡")</f>
        <v>Fluidmaster 385 400A용 교체 밸브 캡</v>
      </c>
      <c r="F2122" s="1" t="str">
        <f>IFERROR(__xludf.DUMMYFUNCTION("CONCATENATE(GOOGLETRANSLATE(C2122, ""en"", ""ja""))"),"Fluidmaster 385 400A 用交換用バルブ キャップ")</f>
        <v>Fluidmaster 385 400A 用交換用バルブ キャップ</v>
      </c>
    </row>
    <row r="2123" ht="15.75" customHeight="1">
      <c r="A2123" s="1">
        <v>7270.0</v>
      </c>
      <c r="B2123" s="1" t="s">
        <v>15</v>
      </c>
      <c r="C2123" s="1" t="s">
        <v>2016</v>
      </c>
      <c r="D2123" s="1" t="str">
        <f>IFERROR(__xludf.DUMMYFUNCTION("CONCATENATE(GOOGLETRANSLATE(C2123, ""en"", ""zh-cn""))"),"Fluidmaster 215 带补充管的节水滚轮夹")</f>
        <v>Fluidmaster 215 带补充管的节水滚轮夹</v>
      </c>
      <c r="E2123" s="1" t="str">
        <f>IFERROR(__xludf.DUMMYFUNCTION("CONCATENATE(GOOGLETRANSLATE(C2123, ""en"", ""ko""))"),"Fluidmaster 215 절수 롤러 클램프(리필 튜브 포함)")</f>
        <v>Fluidmaster 215 절수 롤러 클램프(리필 튜브 포함)</v>
      </c>
      <c r="F2123" s="1" t="str">
        <f>IFERROR(__xludf.DUMMYFUNCTION("CONCATENATE(GOOGLETRANSLATE(C2123, ""en"", ""ja""))"),"Fluidmaster 215 節水ローラークランプ (詰め替えチューブ付き)")</f>
        <v>Fluidmaster 215 節水ローラークランプ (詰め替えチューブ付き)</v>
      </c>
    </row>
    <row r="2124" ht="15.75" customHeight="1">
      <c r="A2124" s="1">
        <v>7297.0</v>
      </c>
      <c r="B2124" s="1" t="s">
        <v>15</v>
      </c>
      <c r="C2124" s="1" t="s">
        <v>2017</v>
      </c>
      <c r="D2124" s="1" t="str">
        <f>IFERROR(__xludf.DUMMYFUNCTION("CONCATENATE(GOOGLETRANSLATE(C2124, ""en"", ""zh-cn""))"),"FLUIDMASTER 8100P8 马桶清洁系统")</f>
        <v>FLUIDMASTER 8100P8 马桶清洁系统</v>
      </c>
      <c r="E2124" s="1" t="str">
        <f>IFERROR(__xludf.DUMMYFUNCTION("CONCATENATE(GOOGLETRANSLATE(C2124, ""en"", ""ko""))"),"FLUIDMASTER 8100P8 변기 청소 시스템")</f>
        <v>FLUIDMASTER 8100P8 변기 청소 시스템</v>
      </c>
      <c r="F2124" s="1" t="str">
        <f>IFERROR(__xludf.DUMMYFUNCTION("CONCATENATE(GOOGLETRANSLATE(C2124, ""en"", ""ja""))"),"FLUIDMASTER 8100P8 便器洗浄システム")</f>
        <v>FLUIDMASTER 8100P8 便器洗浄システム</v>
      </c>
    </row>
    <row r="2125" ht="15.75" customHeight="1">
      <c r="A2125" s="1">
        <v>7298.0</v>
      </c>
      <c r="B2125" s="1" t="s">
        <v>15</v>
      </c>
      <c r="C2125" s="1" t="s">
        <v>2018</v>
      </c>
      <c r="D2125" s="1" t="str">
        <f>IFERROR(__xludf.DUMMYFUNCTION("CONCATENATE(GOOGLETRANSLATE(C2125, ""en"", ""zh-cn""))"),"Fluidmaster 400A 通用马桶进水阀")</f>
        <v>Fluidmaster 400A 通用马桶进水阀</v>
      </c>
      <c r="E2125" s="1" t="str">
        <f>IFERROR(__xludf.DUMMYFUNCTION("CONCATENATE(GOOGLETRANSLATE(C2125, ""en"", ""ko""))"),"Fluidmaster 400A 범용 변기 채우기 밸브")</f>
        <v>Fluidmaster 400A 범용 변기 채우기 밸브</v>
      </c>
      <c r="F2125" s="1" t="str">
        <f>IFERROR(__xludf.DUMMYFUNCTION("CONCATENATE(GOOGLETRANSLATE(C2125, ""en"", ""ja""))"),"Fluidmaster 400A ユニバーサルトイレ充填バルブ")</f>
        <v>Fluidmaster 400A ユニバーサルトイレ充填バルブ</v>
      </c>
    </row>
    <row r="2126" ht="15.75" customHeight="1">
      <c r="A2126" s="1">
        <v>7306.0</v>
      </c>
      <c r="B2126" s="1" t="s">
        <v>15</v>
      </c>
      <c r="C2126" s="1" t="s">
        <v>2019</v>
      </c>
      <c r="D2126" s="1" t="str">
        <f>IFERROR(__xludf.DUMMYFUNCTION("CONCATENATE(GOOGLETRANSLATE(C2126, ""en"", ""zh-cn""))"),"Home Decorators Collection 那不勒斯 60 英寸浴室梳妆台柜")</f>
        <v>Home Decorators Collection 那不勒斯 60 英寸浴室梳妆台柜</v>
      </c>
      <c r="E2126" s="1" t="str">
        <f>IFERROR(__xludf.DUMMYFUNCTION("CONCATENATE(GOOGLETRANSLATE(C2126, ""en"", ""ko""))"),"홈 데코레이터 컬렉션 나폴리 60인치 욕실 세면대 캐비닛")</f>
        <v>홈 데코레이터 컬렉션 나폴리 60인치 욕실 세면대 캐비닛</v>
      </c>
      <c r="F2126" s="1" t="str">
        <f>IFERROR(__xludf.DUMMYFUNCTION("CONCATENATE(GOOGLETRANSLATE(C2126, ""en"", ""ja""))"),"ホーム デコレーターズ コレクション ナポリ 60 インチ 洗面化粧台キャビネット")</f>
        <v>ホーム デコレーターズ コレクション ナポリ 60 インチ 洗面化粧台キャビネット</v>
      </c>
    </row>
    <row r="2127" ht="15.75" customHeight="1">
      <c r="A2127" s="1">
        <v>7308.0</v>
      </c>
      <c r="B2127" s="1" t="s">
        <v>15</v>
      </c>
      <c r="C2127" s="1" t="s">
        <v>2020</v>
      </c>
      <c r="D2127" s="1" t="str">
        <f>IFERROR(__xludf.DUMMYFUNCTION("CONCATENATE(GOOGLETRANSLATE(C2127, ""en"", ""zh-cn""))"),"VASAGLE 浴室落地储物柜")</f>
        <v>VASAGLE 浴室落地储物柜</v>
      </c>
      <c r="E2127" s="1" t="str">
        <f>IFERROR(__xludf.DUMMYFUNCTION("CONCATENATE(GOOGLETRANSLATE(C2127, ""en"", ""ko""))"),"VASAGLE 욕실 바닥 보관 캐비닛")</f>
        <v>VASAGLE 욕실 바닥 보관 캐비닛</v>
      </c>
      <c r="F2127" s="1" t="str">
        <f>IFERROR(__xludf.DUMMYFUNCTION("CONCATENATE(GOOGLETRANSLATE(C2127, ""en"", ""ja""))"),"VASAGLE バスルーム床収納キャビネット")</f>
        <v>VASAGLE バスルーム床収納キャビネット</v>
      </c>
    </row>
    <row r="2128" ht="15.75" customHeight="1">
      <c r="A2128" s="1">
        <v>7309.0</v>
      </c>
      <c r="B2128" s="1" t="s">
        <v>15</v>
      </c>
      <c r="C2128" s="1" t="s">
        <v>2021</v>
      </c>
      <c r="D2128" s="1" t="str">
        <f>IFERROR(__xludf.DUMMYFUNCTION("CONCATENATE(GOOGLETRANSLATE(C2128, ""en"", ""zh-cn""))"),"Gangolf 实木浴室梳妆柜带抽屉和门，提供充足的存储空间和时尚的外观。查尔顿主场")</f>
        <v>Gangolf 实木浴室梳妆柜带抽屉和门，提供充足的存储空间和时尚的外观。查尔顿主场</v>
      </c>
      <c r="E2128" s="1" t="str">
        <f>IFERROR(__xludf.DUMMYFUNCTION("CONCATENATE(GOOGLETRANSLATE(C2128, ""en"", ""ko""))"),"서랍과 문이 있는 Gangolf 단단한 나무 욕실 세면대 캐비닛은 충분한 저장 공간과 세련된 외관을 제공합니다. 찰튼 홈")</f>
        <v>서랍과 문이 있는 Gangolf 단단한 나무 욕실 세면대 캐비닛은 충분한 저장 공간과 세련된 외관을 제공합니다. 찰튼 홈</v>
      </c>
      <c r="F2128" s="1" t="str">
        <f>IFERROR(__xludf.DUMMYFUNCTION("CONCATENATE(GOOGLETRANSLATE(C2128, ""en"", ""ja""))"),"Gangolf 引き出しとドア付きの無垢材のバスルーム化粧台キャビネットは、十分な収納力とスタイリッシュな外観を提供します。チャールトン ホーム")</f>
        <v>Gangolf 引き出しとドア付きの無垢材のバスルーム化粧台キャビネットは、十分な収納力とスタイリッシュな外観を提供します。チャールトン ホーム</v>
      </c>
    </row>
    <row r="2129" ht="15.75" customHeight="1">
      <c r="A2129" s="1">
        <v>7312.0</v>
      </c>
      <c r="B2129" s="1" t="s">
        <v>15</v>
      </c>
      <c r="C2129" s="1" t="s">
        <v>2022</v>
      </c>
      <c r="D2129" s="1" t="str">
        <f>IFERROR(__xludf.DUMMYFUNCTION("CONCATENATE(GOOGLETRANSLATE(C2129, ""en"", ""zh-cn""))"),"Homfa 70.9 英寸白色亚麻浴室柜")</f>
        <v>Homfa 70.9 英寸白色亚麻浴室柜</v>
      </c>
      <c r="E2129" s="1" t="str">
        <f>IFERROR(__xludf.DUMMYFUNCTION("CONCATENATE(GOOGLETRANSLATE(C2129, ""en"", ""ko""))"),"Homfa 70.9'' 화이트 리넨 욕실 수납장")</f>
        <v>Homfa 70.9'' 화이트 리넨 욕실 수납장</v>
      </c>
      <c r="F2129" s="1" t="str">
        <f>IFERROR(__xludf.DUMMYFUNCTION("CONCATENATE(GOOGLETRANSLATE(C2129, ""en"", ""ja""))"),"Homfa 70.9 インチ ホワイト リネン バスルーム キャビネット")</f>
        <v>Homfa 70.9 インチ ホワイト リネン バスルーム キャビネット</v>
      </c>
    </row>
    <row r="2130" ht="15.75" customHeight="1">
      <c r="A2130" s="1">
        <v>7330.0</v>
      </c>
      <c r="B2130" s="1" t="s">
        <v>15</v>
      </c>
      <c r="C2130" s="1" t="s">
        <v>2023</v>
      </c>
      <c r="D2130" s="1" t="str">
        <f>IFERROR(__xludf.DUMMYFUNCTION("CONCATENATE(GOOGLETRANSLATE(C2130, ""en"", ""zh-cn""))"),"宜家汉尼斯高柜")</f>
        <v>宜家汉尼斯高柜</v>
      </c>
      <c r="E2130" s="1" t="str">
        <f>IFERROR(__xludf.DUMMYFUNCTION("CONCATENATE(GOOGLETRANSLATE(C2130, ""en"", ""ko""))"),"IKEA HEMNES 키큰장")</f>
        <v>IKEA HEMNES 키큰장</v>
      </c>
      <c r="F2130" s="1" t="str">
        <f>IFERROR(__xludf.DUMMYFUNCTION("CONCATENATE(GOOGLETRANSLATE(C2130, ""en"", ""ja""))"),"IKEA HEMNES ハイキャビネット")</f>
        <v>IKEA HEMNES ハイキャビネット</v>
      </c>
    </row>
    <row r="2131" ht="15.75" customHeight="1">
      <c r="A2131" s="1">
        <v>7341.0</v>
      </c>
      <c r="B2131" s="1" t="s">
        <v>15</v>
      </c>
      <c r="C2131" s="1" t="s">
        <v>2024</v>
      </c>
      <c r="D2131" s="1" t="str">
        <f>IFERROR(__xludf.DUMMYFUNCTION("CONCATENATE(GOOGLETRANSLATE(C2131, ""en"", ""zh-cn""))"),"Ariel Hamlet 60 英寸白色浴室梳妆台底柜")</f>
        <v>Ariel Hamlet 60 英寸白色浴室梳妆台底柜</v>
      </c>
      <c r="E2131" s="1" t="str">
        <f>IFERROR(__xludf.DUMMYFUNCTION("CONCATENATE(GOOGLETRANSLATE(C2131, ""en"", ""ko""))"),"Ariel Hamlet 60인치 화이트 욕실 세면대 베이스 캐비닛")</f>
        <v>Ariel Hamlet 60인치 화이트 욕실 세면대 베이스 캐비닛</v>
      </c>
      <c r="F2131" s="1" t="str">
        <f>IFERROR(__xludf.DUMMYFUNCTION("CONCATENATE(GOOGLETRANSLATE(C2131, ""en"", ""ja""))"),"Ariel Hamlet 60 インチ ホワイト バスルーム バニティ ベース キャビネット")</f>
        <v>Ariel Hamlet 60 インチ ホワイト バスルーム バニティ ベース キャビネット</v>
      </c>
    </row>
    <row r="2132" ht="15.75" customHeight="1">
      <c r="A2132" s="1">
        <v>7351.0</v>
      </c>
      <c r="B2132" s="1" t="s">
        <v>15</v>
      </c>
      <c r="C2132" s="1" t="s">
        <v>2025</v>
      </c>
      <c r="D2132" s="1" t="str">
        <f>IFERROR(__xludf.DUMMYFUNCTION("CONCATENATE(GOOGLETRANSLATE(C2132, ""en"", ""zh-cn""))"),"Ktaxon小浴室地柜")</f>
        <v>Ktaxon小浴室地柜</v>
      </c>
      <c r="E2132" s="1" t="str">
        <f>IFERROR(__xludf.DUMMYFUNCTION("CONCATENATE(GOOGLETRANSLATE(C2132, ""en"", ""ko""))"),"Ktaxon 작은 욕실 바닥 캐비닛")</f>
        <v>Ktaxon 작은 욕실 바닥 캐비닛</v>
      </c>
      <c r="F2132" s="1" t="str">
        <f>IFERROR(__xludf.DUMMYFUNCTION("CONCATENATE(GOOGLETRANSLATE(C2132, ""en"", ""ja""))"),"Ktaxon 小型バスルーム フロアキャビネット")</f>
        <v>Ktaxon 小型バスルーム フロアキャビネット</v>
      </c>
    </row>
    <row r="2133" ht="15.75" customHeight="1">
      <c r="A2133" s="1">
        <v>7354.0</v>
      </c>
      <c r="B2133" s="1" t="s">
        <v>15</v>
      </c>
      <c r="C2133" s="1" t="s">
        <v>2026</v>
      </c>
      <c r="D2133" s="1" t="str">
        <f>IFERROR(__xludf.DUMMYFUNCTION("CONCATENATE(GOOGLETRANSLATE(C2133, ""en"", ""zh-cn""))"),"Ktaxon 70 英寸独立式浴室塔储物柜")</f>
        <v>Ktaxon 70 英寸独立式浴室塔储物柜</v>
      </c>
      <c r="E2133" s="1" t="str">
        <f>IFERROR(__xludf.DUMMYFUNCTION("CONCATENATE(GOOGLETRANSLATE(C2133, ""en"", ""ko""))"),"Ktaxon 70인치 독립형 욕실 타워 보관 캐비닛")</f>
        <v>Ktaxon 70인치 독립형 욕실 타워 보관 캐비닛</v>
      </c>
      <c r="F2133" s="1" t="str">
        <f>IFERROR(__xludf.DUMMYFUNCTION("CONCATENATE(GOOGLETRANSLATE(C2133, ""en"", ""ja""))"),"Ktaxon 70 インチ自立型バスルームタワー収納キャビネット")</f>
        <v>Ktaxon 70 インチ自立型バスルームタワー収納キャビネット</v>
      </c>
    </row>
    <row r="2134" ht="15.75" customHeight="1">
      <c r="A2134" s="1">
        <v>7364.0</v>
      </c>
      <c r="B2134" s="1" t="s">
        <v>15</v>
      </c>
      <c r="C2134" s="1" t="s">
        <v>2027</v>
      </c>
      <c r="D2134" s="1" t="str">
        <f>IFERROR(__xludf.DUMMYFUNCTION("CONCATENATE(GOOGLETRANSLATE(C2134, ""en"", ""zh-cn""))"),"KTATK 36 英寸浴室柜（不带水槽）")</f>
        <v>KTATK 36 英寸浴室柜（不带水槽）</v>
      </c>
      <c r="E2134" s="1" t="str">
        <f>IFERROR(__xludf.DUMMYFUNCTION("CONCATENATE(GOOGLETRANSLATE(C2134, ""en"", ""ko""))"),"KTATK 36"" 세면대 없는 욕실 세면대")</f>
        <v>KTATK 36" 세면대 없는 욕실 세면대</v>
      </c>
      <c r="F2134" s="1" t="str">
        <f>IFERROR(__xludf.DUMMYFUNCTION("CONCATENATE(GOOGLETRANSLATE(C2134, ""en"", ""ja""))"),"KTATK 36 インチ 洗面化粧台 シンクなし")</f>
        <v>KTATK 36 インチ 洗面化粧台 シンクなし</v>
      </c>
    </row>
    <row r="2135" ht="15.75" customHeight="1">
      <c r="A2135" s="1">
        <v>7371.0</v>
      </c>
      <c r="B2135" s="1" t="s">
        <v>15</v>
      </c>
      <c r="C2135" s="1" t="s">
        <v>2028</v>
      </c>
      <c r="D2135" s="1" t="str">
        <f>IFERROR(__xludf.DUMMYFUNCTION("CONCATENATE(GOOGLETRANSLATE(C2135, ""en"", ""zh-cn""))"),"36 英寸白色浴室梳妆台")</f>
        <v>36 英寸白色浴室梳妆台</v>
      </c>
      <c r="E2135" s="1" t="str">
        <f>IFERROR(__xludf.DUMMYFUNCTION("CONCATENATE(GOOGLETRANSLATE(C2135, ""en"", ""ko""))"),"36인치 흰색 욕실 세면대 캐비닛")</f>
        <v>36인치 흰색 욕실 세면대 캐비닛</v>
      </c>
      <c r="F2135" s="1" t="str">
        <f>IFERROR(__xludf.DUMMYFUNCTION("CONCATENATE(GOOGLETRANSLATE(C2135, ""en"", ""ja""))"),"36 インチ ホワイト 洗面化粧台キャビネット")</f>
        <v>36 インチ ホワイト 洗面化粧台キャビネット</v>
      </c>
    </row>
    <row r="2136" ht="15.75" customHeight="1">
      <c r="A2136" s="1">
        <v>7388.0</v>
      </c>
      <c r="B2136" s="1" t="s">
        <v>15</v>
      </c>
      <c r="C2136" s="1" t="s">
        <v>2029</v>
      </c>
      <c r="D2136" s="1" t="str">
        <f>IFERROR(__xludf.DUMMYFUNCTION("CONCATENATE(GOOGLETRANSLATE(C2136, ""en"", ""zh-cn""))"),"Brita UltraMax 大型饮水机")</f>
        <v>Brita UltraMax 大型饮水机</v>
      </c>
      <c r="E2136" s="1" t="str">
        <f>IFERROR(__xludf.DUMMYFUNCTION("CONCATENATE(GOOGLETRANSLATE(C2136, ""en"", ""ko""))"),"브리타 울트라맥스 대형 워터 디스펜서")</f>
        <v>브리타 울트라맥스 대형 워터 디스펜서</v>
      </c>
      <c r="F2136" s="1" t="str">
        <f>IFERROR(__xludf.DUMMYFUNCTION("CONCATENATE(GOOGLETRANSLATE(C2136, ""en"", ""ja""))"),"Brita UltraMax 大型ウォーターディスペンサー")</f>
        <v>Brita UltraMax 大型ウォーターディスペンサー</v>
      </c>
    </row>
    <row r="2137" ht="15.75" customHeight="1">
      <c r="A2137" s="1">
        <v>7394.0</v>
      </c>
      <c r="B2137" s="1" t="s">
        <v>15</v>
      </c>
      <c r="C2137" s="1" t="s">
        <v>2030</v>
      </c>
      <c r="D2137" s="1" t="str">
        <f>IFERROR(__xludf.DUMMYFUNCTION("CONCATENATE(GOOGLETRANSLATE(C2137, ""en"", ""zh-cn""))"),"Brita UltraMax 18 杯饮水机")</f>
        <v>Brita UltraMax 18 杯饮水机</v>
      </c>
      <c r="E2137" s="1" t="str">
        <f>IFERROR(__xludf.DUMMYFUNCTION("CONCATENATE(GOOGLETRANSLATE(C2137, ""en"", ""ko""))"),"브리타 울트라맥스 18컵 워터 디스펜서")</f>
        <v>브리타 울트라맥스 18컵 워터 디스펜서</v>
      </c>
      <c r="F2137" s="1" t="str">
        <f>IFERROR(__xludf.DUMMYFUNCTION("CONCATENATE(GOOGLETRANSLATE(C2137, ""en"", ""ja""))"),"Brita UltraMax 18カップ ウォーターディスペンサー")</f>
        <v>Brita UltraMax 18カップ ウォーターディスペンサー</v>
      </c>
    </row>
    <row r="2138" ht="15.75" customHeight="1">
      <c r="A2138" s="1">
        <v>7396.0</v>
      </c>
      <c r="B2138" s="1" t="s">
        <v>15</v>
      </c>
      <c r="C2138" s="1" t="s">
        <v>2031</v>
      </c>
      <c r="D2138" s="1" t="str">
        <f>IFERROR(__xludf.DUMMYFUNCTION("CONCATENATE(GOOGLETRANSLATE(C2138, ""en"", ""zh-cn""))"),"布丽塔·德纳利投手")</f>
        <v>布丽塔·德纳利投手</v>
      </c>
      <c r="E2138" s="1" t="str">
        <f>IFERROR(__xludf.DUMMYFUNCTION("CONCATENATE(GOOGLETRANSLATE(C2138, ""en"", ""ko""))"),"브리타 데날리 투수")</f>
        <v>브리타 데날리 투수</v>
      </c>
      <c r="F2138" s="1" t="str">
        <f>IFERROR(__xludf.DUMMYFUNCTION("CONCATENATE(GOOGLETRANSLATE(C2138, ""en"", ""ja""))"),"ブリタ・デナリ投手")</f>
        <v>ブリタ・デナリ投手</v>
      </c>
    </row>
    <row r="2139" ht="15.75" customHeight="1">
      <c r="A2139" s="1">
        <v>7397.0</v>
      </c>
      <c r="B2139" s="1" t="s">
        <v>15</v>
      </c>
      <c r="C2139" s="1" t="s">
        <v>2032</v>
      </c>
      <c r="D2139" s="1" t="str">
        <f>IFERROR(__xludf.DUMMYFUNCTION("CONCATENATE(GOOGLETRANSLATE(C2139, ""en"", ""zh-cn""))"),"Brita 超大 Ultramax 27 杯黑色过滤饮水机，带 1 个标准过滤器")</f>
        <v>Brita 超大 Ultramax 27 杯黑色过滤饮水机，带 1 个标准过滤器</v>
      </c>
      <c r="E2139" s="1" t="str">
        <f>IFERROR(__xludf.DUMMYFUNCTION("CONCATENATE(GOOGLETRANSLATE(C2139, ""en"", ""ko""))"),"브리타 초대형 울트라맥스 27컵 블랙 정수기 워터 디스펜서(표준 필터 1개 포함)")</f>
        <v>브리타 초대형 울트라맥스 27컵 블랙 정수기 워터 디스펜서(표준 필터 1개 포함)</v>
      </c>
      <c r="F2139" s="1" t="str">
        <f>IFERROR(__xludf.DUMMYFUNCTION("CONCATENATE(GOOGLETRANSLATE(C2139, ""en"", ""ja""))"),"Brita 特大 ウルトラマックス 27 カップ ブラック フィルター付きウォーターディスペンサー (標準フィルター 1 個付き)")</f>
        <v>Brita 特大 ウルトラマックス 27 カップ ブラック フィルター付きウォーターディスペンサー (標準フィルター 1 個付き)</v>
      </c>
    </row>
    <row r="2140" ht="15.75" customHeight="1">
      <c r="A2140" s="1">
        <v>7413.0</v>
      </c>
      <c r="B2140" s="1" t="s">
        <v>15</v>
      </c>
      <c r="C2140" s="1" t="s">
        <v>2033</v>
      </c>
      <c r="D2140" s="1" t="str">
        <f>IFERROR(__xludf.DUMMYFUNCTION("CONCATENATE(GOOGLETRANSLATE(C2140, ""en"", ""zh-cn""))"),"Brita 水龙头安装水过滤系统")</f>
        <v>Brita 水龙头安装水过滤系统</v>
      </c>
      <c r="E2140" s="1" t="str">
        <f>IFERROR(__xludf.DUMMYFUNCTION("CONCATENATE(GOOGLETRANSLATE(C2140, ""en"", ""ko""))"),"브리타 수도꼭지 장착 정수 시스템")</f>
        <v>브리타 수도꼭지 장착 정수 시스템</v>
      </c>
      <c r="F2140" s="1" t="str">
        <f>IFERROR(__xludf.DUMMYFUNCTION("CONCATENATE(GOOGLETRANSLATE(C2140, ""en"", ""ja""))"),"Brita 蛇口マウント水ろ過システム")</f>
        <v>Brita 蛇口マウント水ろ過システム</v>
      </c>
    </row>
    <row r="2141" ht="15.75" customHeight="1">
      <c r="A2141" s="1">
        <v>7418.0</v>
      </c>
      <c r="B2141" s="1" t="s">
        <v>15</v>
      </c>
      <c r="C2141" s="1" t="s">
        <v>2034</v>
      </c>
      <c r="D2141" s="1" t="str">
        <f>IFERROR(__xludf.DUMMYFUNCTION("CONCATENATE(GOOGLETRANSLATE(C2141, ""en"", ""zh-cn""))"),"Brita 硬面塑料高级过滤水瓶不含 BPA")</f>
        <v>Brita 硬面塑料高级过滤水瓶不含 BPA</v>
      </c>
      <c r="E2141" s="1" t="str">
        <f>IFERROR(__xludf.DUMMYFUNCTION("CONCATENATE(GOOGLETRANSLATE(C2141, ""en"", ""ko""))"),"브리타 하드사이드 플라스틱 프리미엄 필터링 물병 BPA 프리")</f>
        <v>브리타 하드사이드 플라스틱 프리미엄 필터링 물병 BPA 프리</v>
      </c>
      <c r="F2141" s="1" t="str">
        <f>IFERROR(__xludf.DUMMYFUNCTION("CONCATENATE(GOOGLETRANSLATE(C2141, ""en"", ""ja""))"),"Brita ハードサイド プラスチック プレミアム フィルター ウォーター ボトル BPA フリー")</f>
        <v>Brita ハードサイド プラスチック プレミアム フィルター ウォーター ボトル BPA フリー</v>
      </c>
    </row>
    <row r="2142" ht="15.75" customHeight="1">
      <c r="A2142" s="1">
        <v>7437.0</v>
      </c>
      <c r="B2142" s="1" t="s">
        <v>15</v>
      </c>
      <c r="C2142" s="1" t="s">
        <v>2035</v>
      </c>
      <c r="D2142" s="1" t="str">
        <f>IFERROR(__xludf.DUMMYFUNCTION("CONCATENATE(GOOGLETRANSLATE(C2142, ""en"", ""zh-cn""))"),"PUR 7 杯滤水罐 PPT710BA")</f>
        <v>PUR 7 杯滤水罐 PPT710BA</v>
      </c>
      <c r="E2142" s="1" t="str">
        <f>IFERROR(__xludf.DUMMYFUNCTION("CONCATENATE(GOOGLETRANSLATE(C2142, ""en"", ""ko""))"),"PUR 7컵 정수필터 피처 PPT710BA")</f>
        <v>PUR 7컵 정수필터 피처 PPT710BA</v>
      </c>
      <c r="F2142" s="1" t="str">
        <f>IFERROR(__xludf.DUMMYFUNCTION("CONCATENATE(GOOGLETRANSLATE(C2142, ""en"", ""ja""))"),"PUR 7カップ浄水フィルターピッチャー PPT710BA")</f>
        <v>PUR 7カップ浄水フィルターピッチャー PPT710BA</v>
      </c>
    </row>
    <row r="2143" ht="15.75" customHeight="1">
      <c r="A2143" s="1">
        <v>7445.0</v>
      </c>
      <c r="B2143" s="1" t="s">
        <v>15</v>
      </c>
      <c r="C2143" s="1" t="s">
        <v>2036</v>
      </c>
      <c r="D2143" s="1" t="str">
        <f>IFERROR(__xludf.DUMMYFUNCTION("CONCATENATE(GOOGLETRANSLATE(C2143, ""en"", ""zh-cn""))"),"Pur RF-9999 替换 3 级水龙头过滤器")</f>
        <v>Pur RF-9999 替换 3 级水龙头过滤器</v>
      </c>
      <c r="E2143" s="1" t="str">
        <f>IFERROR(__xludf.DUMMYFUNCTION("CONCATENATE(GOOGLETRANSLATE(C2143, ""en"", ""ko""))"),"Pur RF-9999 교체용 3단 수전필터")</f>
        <v>Pur RF-9999 교체용 3단 수전필터</v>
      </c>
      <c r="F2143" s="1" t="str">
        <f>IFERROR(__xludf.DUMMYFUNCTION("CONCATENATE(GOOGLETRANSLATE(C2143, ""en"", ""ja""))"),"Pur RF-9999 交換用三段水栓フィルター")</f>
        <v>Pur RF-9999 交換用三段水栓フィルター</v>
      </c>
    </row>
    <row r="2144" ht="15.75" customHeight="1">
      <c r="A2144" s="1">
        <v>7449.0</v>
      </c>
      <c r="B2144" s="1" t="s">
        <v>15</v>
      </c>
      <c r="C2144" s="1" t="s">
        <v>2037</v>
      </c>
      <c r="D2144" s="1" t="str">
        <f>IFERROR(__xludf.DUMMYFUNCTION("CONCATENATE(GOOGLETRANSLATE(C2144, ""en"", ""zh-cn""))"),"PUR 水龙头安装式滤水器")</f>
        <v>PUR 水龙头安装式滤水器</v>
      </c>
      <c r="E2144" s="1" t="str">
        <f>IFERROR(__xludf.DUMMYFUNCTION("CONCATENATE(GOOGLETRANSLATE(C2144, ""en"", ""ko""))"),"PUR 수도꼭지 장착형 정수 필터")</f>
        <v>PUR 수도꼭지 장착형 정수 필터</v>
      </c>
      <c r="F2144" s="1" t="str">
        <f>IFERROR(__xludf.DUMMYFUNCTION("CONCATENATE(GOOGLETRANSLATE(C2144, ""en"", ""ja""))"),"PUR 蛇口取り付け浄水フィルター")</f>
        <v>PUR 蛇口取り付け浄水フィルター</v>
      </c>
    </row>
    <row r="2145" ht="15.75" customHeight="1">
      <c r="A2145" s="1">
        <v>7461.0</v>
      </c>
      <c r="B2145" s="1" t="s">
        <v>15</v>
      </c>
      <c r="C2145" s="1" t="s">
        <v>2038</v>
      </c>
      <c r="D2145" s="1" t="str">
        <f>IFERROR(__xludf.DUMMYFUNCTION("CONCATENATE(GOOGLETRANSLATE(C2145, ""en"", ""zh-cn""))"),"PUR Ultimate 7 杯水过滤壶 PPT711R")</f>
        <v>PUR Ultimate 7 杯水过滤壶 PPT711R</v>
      </c>
      <c r="E2145" s="1" t="str">
        <f>IFERROR(__xludf.DUMMYFUNCTION("CONCATENATE(GOOGLETRANSLATE(C2145, ""en"", ""ko""))"),"PUR Ultimate 7컵 정수 피처 PPT711R")</f>
        <v>PUR Ultimate 7컵 정수 피처 PPT711R</v>
      </c>
      <c r="F2145" s="1" t="str">
        <f>IFERROR(__xludf.DUMMYFUNCTION("CONCATENATE(GOOGLETRANSLATE(C2145, ""en"", ""ja""))"),"PUR 究極の 7 カップ水ろ過ピッチャー PPT711R")</f>
        <v>PUR 究極の 7 カップ水ろ過ピッチャー PPT711R</v>
      </c>
    </row>
    <row r="2146" ht="15.75" customHeight="1">
      <c r="A2146" s="1">
        <v>7469.0</v>
      </c>
      <c r="B2146" s="1" t="s">
        <v>15</v>
      </c>
      <c r="C2146" s="1" t="s">
        <v>2039</v>
      </c>
      <c r="D2146" s="1" t="str">
        <f>IFERROR(__xludf.DUMMYFUNCTION("CONCATENATE(GOOGLETRANSLATE(C2146, ""en"", ""zh-cn""))"),"Equate 女性头发再生护理泡沫 2 个月试用期 11/25")</f>
        <v>Equate 女性头发再生护理泡沫 2 个月试用期 11/25</v>
      </c>
      <c r="E2146" s="1" t="str">
        <f>IFERROR(__xludf.DUMMYFUNCTION("CONCATENATE(GOOGLETRANSLATE(C2146, ""en"", ""ko""))"),"Eequate 모발 재성장 트리트먼트 여성용 폼 2개월 유통기한 11/25")</f>
        <v>Eequate 모발 재성장 트리트먼트 여성용 폼 2개월 유통기한 11/25</v>
      </c>
      <c r="F2146" s="1" t="str">
        <f>IFERROR(__xludf.DUMMYFUNCTION("CONCATENATE(GOOGLETRANSLATE(C2146, ""en"", ""ja""))"),"エクエイト 育毛トリートメント 女性用 フォーム 2ヶ月 Exp.11/25")</f>
        <v>エクエイト 育毛トリートメント 女性用 フォーム 2ヶ月 Exp.11/25</v>
      </c>
    </row>
    <row r="2147" ht="15.75" customHeight="1">
      <c r="A2147" s="1">
        <v>7501.0</v>
      </c>
      <c r="B2147" s="1" t="s">
        <v>15</v>
      </c>
      <c r="C2147" s="1" t="s">
        <v>2040</v>
      </c>
      <c r="D2147" s="1" t="str">
        <f>IFERROR(__xludf.DUMMYFUNCTION("CONCATENATE(GOOGLETRANSLATE(C2147, ""en"", ""zh-cn""))"),"Equate 摘耳辅助工具")</f>
        <v>Equate 摘耳辅助工具</v>
      </c>
      <c r="E2147" s="1" t="str">
        <f>IFERROR(__xludf.DUMMYFUNCTION("CONCATENATE(GOOGLETRANSLATE(C2147, ""en"", ""ko""))"),"Equate 귀 제거 보조 장치")</f>
        <v>Equate 귀 제거 보조 장치</v>
      </c>
      <c r="F2147" s="1" t="str">
        <f>IFERROR(__xludf.DUMMYFUNCTION("CONCATENATE(GOOGLETRANSLATE(C2147, ""en"", ""ja""))"),"Equate 耳抜き補助具")</f>
        <v>Equate 耳抜き補助具</v>
      </c>
    </row>
    <row r="2148" ht="15.75" customHeight="1">
      <c r="A2148" s="1">
        <v>7506.0</v>
      </c>
      <c r="B2148" s="1" t="s">
        <v>15</v>
      </c>
      <c r="C2148" s="1" t="s">
        <v>2041</v>
      </c>
      <c r="D2148" s="1" t="str">
        <f>IFERROR(__xludf.DUMMYFUNCTION("CONCATENATE(GOOGLETRANSLATE(C2148, ""en"", ""zh-cn""))"),"Hi-Pro-Pac 极度受损头发修复蛋白治疗")</f>
        <v>Hi-Pro-Pac 极度受损头发修复蛋白治疗</v>
      </c>
      <c r="E2148" s="1" t="str">
        <f>IFERROR(__xludf.DUMMYFUNCTION("CONCATENATE(GOOGLETRANSLATE(C2148, ""en"", ""ko""))"),"하이프로팩 ​​익스트림 데미지 헤어 리페어 프로틴 트리트먼트")</f>
        <v>하이프로팩 ​​익스트림 데미지 헤어 리페어 프로틴 트리트먼트</v>
      </c>
      <c r="F2148" s="1" t="str">
        <f>IFERROR(__xludf.DUMMYFUNCTION("CONCATENATE(GOOGLETRANSLATE(C2148, ""en"", ""ja""))"),"Hi-Pro-Pac 極度ダメージヘアリペア プロテイン トリートメント")</f>
        <v>Hi-Pro-Pac 極度ダメージヘアリペア プロテイン トリートメント</v>
      </c>
    </row>
    <row r="2149" ht="15.75" customHeight="1">
      <c r="A2149" s="1">
        <v>7507.0</v>
      </c>
      <c r="B2149" s="1" t="s">
        <v>15</v>
      </c>
      <c r="C2149" s="1" t="s">
        <v>2042</v>
      </c>
      <c r="D2149" s="1" t="str">
        <f>IFERROR(__xludf.DUMMYFUNCTION("CONCATENATE(GOOGLETRANSLATE(C2149, ""en"", ""zh-cn""))"),"Hi Pro Pac 角蛋白无毛躁护发素")</f>
        <v>Hi Pro Pac 角蛋白无毛躁护发素</v>
      </c>
      <c r="E2149" s="1" t="str">
        <f>IFERROR(__xludf.DUMMYFUNCTION("CONCATENATE(GOOGLETRANSLATE(C2149, ""en"", ""ko""))"),"하이프로팩 ​​케라틴 프로틴 노 프리즈 헤어 트리트먼트")</f>
        <v>하이프로팩 ​​케라틴 프로틴 노 프리즈 헤어 트리트먼트</v>
      </c>
      <c r="F2149" s="1" t="str">
        <f>IFERROR(__xludf.DUMMYFUNCTION("CONCATENATE(GOOGLETRANSLATE(C2149, ""en"", ""ja""))"),"ハイプロパック ケラチンプロテイン ノー縮れヘアトリートメント")</f>
        <v>ハイプロパック ケラチンプロテイン ノー縮れヘアトリートメント</v>
      </c>
    </row>
    <row r="2150" ht="15.75" customHeight="1">
      <c r="A2150" s="1">
        <v>7518.0</v>
      </c>
      <c r="B2150" s="1" t="s">
        <v>15</v>
      </c>
      <c r="C2150" s="1" t="s">
        <v>2043</v>
      </c>
      <c r="D2150" s="1" t="str">
        <f>IFERROR(__xludf.DUMMYFUNCTION("CONCATENATE(GOOGLETRANSLATE(C2150, ""en"", ""zh-cn""))"),"Hi-pro-pac 角蛋白无毛躁头发强效蛋白质护理")</f>
        <v>Hi-pro-pac 角蛋白无毛躁头发强效蛋白质护理</v>
      </c>
      <c r="E2150" s="1" t="str">
        <f>IFERROR(__xludf.DUMMYFUNCTION("CONCATENATE(GOOGLETRANSLATE(C2150, ""en"", ""ko""))"),"하이프로팩 ​​케라틴 프로틴 곱슬거림 없는 헤어 인텐스 프로틴 트리트먼트")</f>
        <v>하이프로팩 ​​케라틴 프로틴 곱슬거림 없는 헤어 인텐스 프로틴 트리트먼트</v>
      </c>
      <c r="F2150" s="1" t="str">
        <f>IFERROR(__xludf.DUMMYFUNCTION("CONCATENATE(GOOGLETRANSLATE(C2150, ""en"", ""ja""))"),"ハイプロパック ケラチン プロテイン ノーフリッズ ヘア インテンス プロテイン トリートメント")</f>
        <v>ハイプロパック ケラチン プロテイン ノーフリッズ ヘア インテンス プロテイン トリートメント</v>
      </c>
    </row>
    <row r="2151" ht="15.75" customHeight="1">
      <c r="A2151" s="1">
        <v>7519.0</v>
      </c>
      <c r="B2151" s="1" t="s">
        <v>15</v>
      </c>
      <c r="C2151" s="1" t="s">
        <v>2044</v>
      </c>
      <c r="D2151" s="1" t="str">
        <f>IFERROR(__xludf.DUMMYFUNCTION("CONCATENATE(GOOGLETRANSLATE(C2151, ""en"", ""zh-cn""))"),"Hi Pro Pac 极度受损头发强效蛋白质护理")</f>
        <v>Hi Pro Pac 极度受损头发强效蛋白质护理</v>
      </c>
      <c r="E2151" s="1" t="str">
        <f>IFERROR(__xludf.DUMMYFUNCTION("CONCATENATE(GOOGLETRANSLATE(C2151, ""en"", ""ko""))"),"하이프로팩 ​​극손상 모발 인텐스 프로틴 트리트먼트")</f>
        <v>하이프로팩 ​​극손상 모발 인텐스 프로틴 트리트먼트</v>
      </c>
      <c r="F2151" s="1" t="str">
        <f>IFERROR(__xludf.DUMMYFUNCTION("CONCATENATE(GOOGLETRANSLATE(C2151, ""en"", ""ja""))"),"Hi Pro Pac 極度ダメージヘア インテンス プロテイン トリートメント")</f>
        <v>Hi Pro Pac 極度ダメージヘア インテンス プロテイン トリートメント</v>
      </c>
    </row>
    <row r="2152" ht="15.75" customHeight="1">
      <c r="A2152" s="1">
        <v>7520.0</v>
      </c>
      <c r="B2152" s="1" t="s">
        <v>15</v>
      </c>
      <c r="C2152" s="1" t="s">
        <v>2045</v>
      </c>
      <c r="D2152" s="1" t="str">
        <f>IFERROR(__xludf.DUMMYFUNCTION("CONCATENATE(GOOGLETRANSLATE(C2152, ""en"", ""zh-cn""))"),"Hi-Pro-Pac Pks 茶树和薄荷 1.75 盎司（12 件）")</f>
        <v>Hi-Pro-Pac Pks 茶树和薄荷 1.75 盎司（12 件）</v>
      </c>
      <c r="E2152" s="1" t="str">
        <f>IFERROR(__xludf.DUMMYFUNCTION("CONCATENATE(GOOGLETRANSLATE(C2152, ""en"", ""ko""))"),"Hi-Pro-Pac Pks 티트리 &amp; 민트 1.75온스(12개)")</f>
        <v>Hi-Pro-Pac Pks 티트리 &amp; 민트 1.75온스(12개)</v>
      </c>
      <c r="F2152" s="1" t="str">
        <f>IFERROR(__xludf.DUMMYFUNCTION("CONCATENATE(GOOGLETRANSLATE(C2152, ""en"", ""ja""))"),"Hi-Pro-Pac Pks ティーツリー &amp; ミント 1.75 オンス (12 個)")</f>
        <v>Hi-Pro-Pac Pks ティーツリー &amp; ミント 1.75 オンス (12 個)</v>
      </c>
    </row>
    <row r="2153" ht="15.75" customHeight="1">
      <c r="A2153" s="1">
        <v>7528.0</v>
      </c>
      <c r="B2153" s="1" t="s">
        <v>15</v>
      </c>
      <c r="C2153" s="1" t="s">
        <v>2046</v>
      </c>
      <c r="D2153" s="1" t="str">
        <f>IFERROR(__xludf.DUMMYFUNCTION("CONCATENATE(GOOGLETRANSLATE(C2153, ""en"", ""zh-cn""))"),"Hi-pro-pac Color Treatment 突出头发防御强化蛋白质护理")</f>
        <v>Hi-pro-pac Color Treatment 突出头发防御强化蛋白质护理</v>
      </c>
      <c r="E2153" s="1" t="str">
        <f>IFERROR(__xludf.DUMMYFUNCTION("CONCATENATE(GOOGLETRANSLATE(C2153, ""en"", ""ko""))"),"하이프로팩 ​​컬러 트리티드 하이라이티드 헤어 디펜스 인텐스 프로틴 트리트먼트")</f>
        <v>하이프로팩 ​​컬러 트리티드 하이라이티드 헤어 디펜스 인텐스 프로틴 트리트먼트</v>
      </c>
      <c r="F2153" s="1" t="str">
        <f>IFERROR(__xludf.DUMMYFUNCTION("CONCATENATE(GOOGLETRANSLATE(C2153, ""en"", ""ja""))"),"ハイプロパック カラー トリートメント ハイライト ヘア ディフェンス インテンス プロテイン トリートメント")</f>
        <v>ハイプロパック カラー トリートメント ハイライト ヘア ディフェンス インテンス プロテイン トリートメント</v>
      </c>
    </row>
    <row r="2154" ht="15.75" customHeight="1">
      <c r="A2154" s="1">
        <v>7535.0</v>
      </c>
      <c r="B2154" s="1" t="s">
        <v>15</v>
      </c>
      <c r="C2154" s="1" t="s">
        <v>2047</v>
      </c>
      <c r="D2154" s="1" t="str">
        <f>IFERROR(__xludf.DUMMYFUNCTION("CONCATENATE(GOOGLETRANSLATE(C2154, ""en"", ""zh-cn""))"),"Hi-Pro-Pac 乳木果油洗发水")</f>
        <v>Hi-Pro-Pac 乳木果油洗发水</v>
      </c>
      <c r="E2154" s="1" t="str">
        <f>IFERROR(__xludf.DUMMYFUNCTION("CONCATENATE(GOOGLETRANSLATE(C2154, ""en"", ""ko""))"),"하이프로팩 ​​시어버터 샴푸")</f>
        <v>하이프로팩 ​​시어버터 샴푸</v>
      </c>
      <c r="F2154" s="1" t="str">
        <f>IFERROR(__xludf.DUMMYFUNCTION("CONCATENATE(GOOGLETRANSLATE(C2154, ""en"", ""ja""))"),"ハイプロパック シアバター シャンプー")</f>
        <v>ハイプロパック シアバター シャンプー</v>
      </c>
    </row>
    <row r="2155" ht="15.75" customHeight="1">
      <c r="A2155" s="1">
        <v>7545.0</v>
      </c>
      <c r="B2155" s="1" t="s">
        <v>15</v>
      </c>
      <c r="C2155" s="1" t="s">
        <v>2048</v>
      </c>
      <c r="D2155" s="1" t="str">
        <f>IFERROR(__xludf.DUMMYFUNCTION("CONCATENATE(GOOGLETRANSLATE(C2155, ""en"", ""zh-cn""))"),"露得清快速清除顽固痤疮斑凝胶")</f>
        <v>露得清快速清除顽固痤疮斑凝胶</v>
      </c>
      <c r="E2155" s="1" t="str">
        <f>IFERROR(__xludf.DUMMYFUNCTION("CONCATENATE(GOOGLETRANSLATE(C2155, ""en"", ""ko""))"),"뉴트로지나 래피드 클리어 스터번 아크네 스팟 젤")</f>
        <v>뉴트로지나 래피드 클리어 스터번 아크네 스팟 젤</v>
      </c>
      <c r="F2155" s="1" t="str">
        <f>IFERROR(__xludf.DUMMYFUNCTION("CONCATENATE(GOOGLETRANSLATE(C2155, ""en"", ""ja""))"),"ニュートロジーナ ラピッド クリア 頑固なニキビスポット ジェル")</f>
        <v>ニュートロジーナ ラピッド クリア 頑固なニキビスポット ジェル</v>
      </c>
    </row>
    <row r="2156" ht="15.75" customHeight="1">
      <c r="A2156" s="1">
        <v>7552.0</v>
      </c>
      <c r="B2156" s="1" t="s">
        <v>15</v>
      </c>
      <c r="C2156" s="1" t="s">
        <v>2049</v>
      </c>
      <c r="D2156" s="1" t="str">
        <f>IFERROR(__xludf.DUMMYFUNCTION("CONCATENATE(GOOGLETRANSLATE(C2156, ""en"", ""zh-cn""))"),"露得清 (Neutrogena) 抗痘 SOS 速效凝胶")</f>
        <v>露得清 (Neutrogena) 抗痘 SOS 速效凝胶</v>
      </c>
      <c r="E2156" s="1" t="str">
        <f>IFERROR(__xludf.DUMMYFUNCTION("CONCATENATE(GOOGLETRANSLATE(C2156, ""en"", ""ko""))"),"뉴트로지나 안티 여드름 SOS 인스턴트 에이드 젤")</f>
        <v>뉴트로지나 안티 여드름 SOS 인스턴트 에이드 젤</v>
      </c>
      <c r="F2156" s="1" t="str">
        <f>IFERROR(__xludf.DUMMYFUNCTION("CONCATENATE(GOOGLETRANSLATE(C2156, ""en"", ""ja""))"),"ニュートロジーナ アンチニキビ SOS インスタント エイド ジェル")</f>
        <v>ニュートロジーナ アンチニキビ SOS インスタント エイド ジェル</v>
      </c>
    </row>
    <row r="2157" ht="15.75" customHeight="1">
      <c r="A2157" s="1">
        <v>7564.0</v>
      </c>
      <c r="B2157" s="1" t="s">
        <v>15</v>
      </c>
      <c r="C2157" s="1" t="s">
        <v>2050</v>
      </c>
      <c r="D2157" s="1" t="str">
        <f>IFERROR(__xludf.DUMMYFUNCTION("CONCATENATE(GOOGLETRANSLATE(C2157, ""en"", ""zh-cn""))"),"Neutrogena On the Spot 痤疮治疗，0.75 盎司 - 1 个 - 0.75 盎司 |卡韦尔")</f>
        <v>Neutrogena On the Spot 痤疮治疗，0.75 盎司 - 1 个 - 0.75 盎司 |卡韦尔</v>
      </c>
      <c r="E2157" s="1" t="str">
        <f>IFERROR(__xludf.DUMMYFUNCTION("CONCATENATE(GOOGLETRANSLATE(C2157, ""en"", ""ko""))"),"Neutrogena 온더 스팟 여드름 치료, 0.75온스 - 각 1개 - 0.75온스 | 케어웰")</f>
        <v>Neutrogena 온더 스팟 여드름 치료, 0.75온스 - 각 1개 - 0.75온스 | 케어웰</v>
      </c>
      <c r="F2157" s="1" t="str">
        <f>IFERROR(__xludf.DUMMYFUNCTION("CONCATENATE(GOOGLETRANSLATE(C2157, ""en"", ""ja""))"),"ニュートロジーナ オン ザ スポット アクネ トリートメント、0.75 オンス - 各 1 個 - 0.75 オンス |ケアウェル")</f>
        <v>ニュートロジーナ オン ザ スポット アクネ トリートメント、0.75 オンス - 各 1 個 - 0.75 オンス |ケアウェル</v>
      </c>
    </row>
    <row r="2158" ht="15.75" customHeight="1">
      <c r="A2158" s="1">
        <v>7573.0</v>
      </c>
      <c r="B2158" s="1" t="s">
        <v>15</v>
      </c>
      <c r="C2158" s="1" t="s">
        <v>2051</v>
      </c>
      <c r="D2158" s="1" t="str">
        <f>IFERROR(__xludf.DUMMYFUNCTION("CONCATENATE(GOOGLETRANSLATE(C2158, ""en"", ""zh-cn""))"),"露得清快速紧致胶原蛋白三重提升面部精华液")</f>
        <v>露得清快速紧致胶原蛋白三重提升面部精华液</v>
      </c>
      <c r="E2158" s="1" t="str">
        <f>IFERROR(__xludf.DUMMYFUNCTION("CONCATENATE(GOOGLETRANSLATE(C2158, ""en"", ""ko""))"),"뉴트로지나 래피드 퍼밍 콜라겐 트리플 리프트 페이스 세럼")</f>
        <v>뉴트로지나 래피드 퍼밍 콜라겐 트리플 리프트 페이스 세럼</v>
      </c>
      <c r="F2158" s="1" t="str">
        <f>IFERROR(__xludf.DUMMYFUNCTION("CONCATENATE(GOOGLETRANSLATE(C2158, ""en"", ""ja""))"),"ニュートロジーナ ラピッド ファーミング コラーゲン トリプル リフト フェイス セラム")</f>
        <v>ニュートロジーナ ラピッド ファーミング コラーゲン トリプル リフト フェイス セラム</v>
      </c>
    </row>
    <row r="2159" ht="15.75" customHeight="1">
      <c r="A2159" s="1">
        <v>7585.0</v>
      </c>
      <c r="B2159" s="1" t="s">
        <v>15</v>
      </c>
      <c r="C2159" s="1" t="s">
        <v>2052</v>
      </c>
      <c r="D2159" s="1" t="str">
        <f>IFERROR(__xludf.DUMMYFUNCTION("CONCATENATE(GOOGLETRANSLATE(C2159, ""en"", ""zh-cn""))"),"露得清 Hydro Boost 超保湿精华液")</f>
        <v>露得清 Hydro Boost 超保湿精华液</v>
      </c>
      <c r="E2159" s="1" t="str">
        <f>IFERROR(__xludf.DUMMYFUNCTION("CONCATENATE(GOOGLETRANSLATE(C2159, ""en"", ""ko""))"),"뉴트로지나 하이드로 부스트 울트라 하이드레이팅 세럼")</f>
        <v>뉴트로지나 하이드로 부스트 울트라 하이드레이팅 세럼</v>
      </c>
      <c r="F2159" s="1" t="str">
        <f>IFERROR(__xludf.DUMMYFUNCTION("CONCATENATE(GOOGLETRANSLATE(C2159, ""en"", ""ja""))"),"ニュートロジーナ ハイドロ ブースト ウルトラ ハイドレーティング セラム")</f>
        <v>ニュートロジーナ ハイドロ ブースト ウルトラ ハイドレーティング セラム</v>
      </c>
    </row>
    <row r="2160" ht="15.75" customHeight="1">
      <c r="A2160" s="1">
        <v>7598.0</v>
      </c>
      <c r="B2160" s="1" t="s">
        <v>15</v>
      </c>
      <c r="C2160" s="1" t="s">
        <v>2053</v>
      </c>
      <c r="D2160" s="1" t="str">
        <f>IFERROR(__xludf.DUMMYFUNCTION("CONCATENATE(GOOGLETRANSLATE(C2160, ""en"", ""zh-cn""))"),"露得清三重修护保湿霜 SPF 25")</f>
        <v>露得清三重修护保湿霜 SPF 25</v>
      </c>
      <c r="E2160" s="1" t="str">
        <f>IFERROR(__xludf.DUMMYFUNCTION("CONCATENATE(GOOGLETRANSLATE(C2160, ""en"", ""ko""))"),"뉴트로지나 트리플 에이지 리페어 모이스처라이저 SPF 25")</f>
        <v>뉴트로지나 트리플 에이지 리페어 모이스처라이저 SPF 25</v>
      </c>
      <c r="F2160" s="1" t="str">
        <f>IFERROR(__xludf.DUMMYFUNCTION("CONCATENATE(GOOGLETRANSLATE(C2160, ""en"", ""ja""))"),"ニュートロジーナ トリプル エイジ リペア モイスチャライザー SPF 25")</f>
        <v>ニュートロジーナ トリプル エイジ リペア モイスチャライザー SPF 25</v>
      </c>
    </row>
    <row r="2161" ht="15.75" customHeight="1">
      <c r="A2161" s="1">
        <v>7601.0</v>
      </c>
      <c r="B2161" s="1" t="s">
        <v>15</v>
      </c>
      <c r="C2161" s="1" t="s">
        <v>2054</v>
      </c>
      <c r="D2161" s="1" t="str">
        <f>IFERROR(__xludf.DUMMYFUNCTION("CONCATENATE(GOOGLETRANSLATE(C2161, ""en"", ""zh-cn""))"),"露得清 Hydro Boost 身体凝胶霜")</f>
        <v>露得清 Hydro Boost 身体凝胶霜</v>
      </c>
      <c r="E2161" s="1" t="str">
        <f>IFERROR(__xludf.DUMMYFUNCTION("CONCATENATE(GOOGLETRANSLATE(C2161, ""en"", ""ko""))"),"뉴트로지나 하이드로 부스트 바디 젤 크림")</f>
        <v>뉴트로지나 하이드로 부스트 바디 젤 크림</v>
      </c>
      <c r="F2161" s="1" t="str">
        <f>IFERROR(__xludf.DUMMYFUNCTION("CONCATENATE(GOOGLETRANSLATE(C2161, ""en"", ""ja""))"),"ニュートロジーナ ハイドロ ブースト ボディ ジェル クリーム")</f>
        <v>ニュートロジーナ ハイドロ ブースト ボディ ジェル クリーム</v>
      </c>
    </row>
    <row r="2162" ht="15.75" customHeight="1">
      <c r="A2162" s="1">
        <v>7604.0</v>
      </c>
      <c r="B2162" s="1" t="s">
        <v>15</v>
      </c>
      <c r="C2162" s="1" t="s">
        <v>2055</v>
      </c>
      <c r="D2162" s="1" t="str">
        <f>IFERROR(__xludf.DUMMYFUNCTION("CONCATENATE(GOOGLETRANSLATE(C2162, ""en"", ""zh-cn""))"),"露得清快速透明最大强度治疗垫")</f>
        <v>露得清快速透明最大强度治疗垫</v>
      </c>
      <c r="E2162" s="1" t="str">
        <f>IFERROR(__xludf.DUMMYFUNCTION("CONCATENATE(GOOGLETRANSLATE(C2162, ""en"", ""ko""))"),"뉴트로지나 래피드 클리어 맥시멈 스트렝스 트리트먼트 패드")</f>
        <v>뉴트로지나 래피드 클리어 맥시멈 스트렝스 트리트먼트 패드</v>
      </c>
      <c r="F2162" s="1" t="str">
        <f>IFERROR(__xludf.DUMMYFUNCTION("CONCATENATE(GOOGLETRANSLATE(C2162, ""en"", ""ja""))"),"ニュートロジーナ ラピッド クリア マキシマム ストレングス トリートメント パッド")</f>
        <v>ニュートロジーナ ラピッド クリア マキシマム ストレングス トリートメント パッド</v>
      </c>
    </row>
    <row r="2163" ht="15.75" customHeight="1">
      <c r="A2163" s="1">
        <v>7608.0</v>
      </c>
      <c r="B2163" s="1" t="s">
        <v>15</v>
      </c>
      <c r="C2163" s="1" t="s">
        <v>2056</v>
      </c>
      <c r="D2163" s="1" t="str">
        <f>IFERROR(__xludf.DUMMYFUNCTION("CONCATENATE(GOOGLETRANSLATE(C2163, ""en"", ""zh-cn""))"),"Neutrogena 强效修护身体乳 400 毫升")</f>
        <v>Neutrogena 强效修护身体乳 400 毫升</v>
      </c>
      <c r="E2163" s="1" t="str">
        <f>IFERROR(__xludf.DUMMYFUNCTION("CONCATENATE(GOOGLETRANSLATE(C2163, ""en"", ""ko""))"),"뉴트로지나 인텐스 리페어 바디 밀크 400 ml")</f>
        <v>뉴트로지나 인텐스 리페어 바디 밀크 400 ml</v>
      </c>
      <c r="F2163" s="1" t="str">
        <f>IFERROR(__xludf.DUMMYFUNCTION("CONCATENATE(GOOGLETRANSLATE(C2163, ""en"", ""ja""))"),"ニュートロジーナ インテンス リペア ボディミルク 400ml")</f>
        <v>ニュートロジーナ インテンス リペア ボディミルク 400ml</v>
      </c>
    </row>
    <row r="2164" ht="15.75" customHeight="1">
      <c r="A2164" s="1">
        <v>7622.0</v>
      </c>
      <c r="B2164" s="1" t="s">
        <v>15</v>
      </c>
      <c r="C2164" s="1" t="s">
        <v>2057</v>
      </c>
      <c r="D2164" s="1" t="str">
        <f>IFERROR(__xludf.DUMMYFUNCTION("CONCATENATE(GOOGLETRANSLATE(C2164, ""en"", ""zh-cn""))"),"痤疮治疗露得清 On the Spot 0.75 盎司奶油 70501001790 1 包 |嘿医药供应")</f>
        <v>痤疮治疗露得清 On the Spot 0.75 盎司奶油 70501001790 1 包 |嘿医药供应</v>
      </c>
      <c r="E2164" s="1" t="str">
        <f>IFERROR(__xludf.DUMMYFUNCTION("CONCATENATE(GOOGLETRANSLATE(C2164, ""en"", ""ko""))"),"여드름 치료 뉴트로지나 온 더 스팟 0.75 온스. 크림 70501001790 1팩 | 안녕하세요 메드 서플라이")</f>
        <v>여드름 치료 뉴트로지나 온 더 스팟 0.75 온스. 크림 70501001790 1팩 | 안녕하세요 메드 서플라이</v>
      </c>
      <c r="F2164" s="1" t="str">
        <f>IFERROR(__xludf.DUMMYFUNCTION("CONCATENATE(GOOGLETRANSLATE(C2164, ""en"", ""ja""))"),"ニキビ治療ニュートロジーナ オン ザ スポット 0.75 オンスクリーム 70501001790 1 個パック |ヘイ・メッド・サプライ")</f>
        <v>ニキビ治療ニュートロジーナ オン ザ スポット 0.75 オンスクリーム 70501001790 1 個パック |ヘイ・メッド・サプライ</v>
      </c>
    </row>
    <row r="2165" ht="15.75" customHeight="1">
      <c r="A2165" s="1">
        <v>7625.0</v>
      </c>
      <c r="B2165" s="1" t="s">
        <v>15</v>
      </c>
      <c r="C2165" s="1" t="s">
        <v>2050</v>
      </c>
      <c r="D2165" s="1" t="str">
        <f>IFERROR(__xludf.DUMMYFUNCTION("CONCATENATE(GOOGLETRANSLATE(C2165, ""en"", ""zh-cn""))"),"Neutrogena On the Spot 痤疮治疗，0.75 盎司 - 1 个 - 0.75 盎司 |卡韦尔")</f>
        <v>Neutrogena On the Spot 痤疮治疗，0.75 盎司 - 1 个 - 0.75 盎司 |卡韦尔</v>
      </c>
      <c r="E2165" s="1" t="str">
        <f>IFERROR(__xludf.DUMMYFUNCTION("CONCATENATE(GOOGLETRANSLATE(C2165, ""en"", ""ko""))"),"Neutrogena 온더 스팟 여드름 치료, 0.75온스 - 각 1개 - 0.75온스 | 케어웰")</f>
        <v>Neutrogena 온더 스팟 여드름 치료, 0.75온스 - 각 1개 - 0.75온스 | 케어웰</v>
      </c>
      <c r="F2165" s="1" t="str">
        <f>IFERROR(__xludf.DUMMYFUNCTION("CONCATENATE(GOOGLETRANSLATE(C2165, ""en"", ""ja""))"),"ニュートロジーナ オン ザ スポット アクネ トリートメント、0.75 オンス - 各 1 個 - 0.75 オンス |ケアウェル")</f>
        <v>ニュートロジーナ オン ザ スポット アクネ トリートメント、0.75 オンス - 各 1 個 - 0.75 オンス |ケアウェル</v>
      </c>
    </row>
    <row r="2166" ht="15.75" customHeight="1">
      <c r="A2166" s="1">
        <v>7640.0</v>
      </c>
      <c r="B2166" s="1" t="s">
        <v>15</v>
      </c>
      <c r="C2166" s="1" t="s">
        <v>2058</v>
      </c>
      <c r="D2166" s="1" t="str">
        <f>IFERROR(__xludf.DUMMYFUNCTION("CONCATENATE(GOOGLETRANSLATE(C2166, ""en"", ""zh-cn""))"),"Arm &amp; Hammer 6.4 公斤双重用途猫砂")</f>
        <v>Arm &amp; Hammer 6.4 公斤双重用途猫砂</v>
      </c>
      <c r="E2166" s="1" t="str">
        <f>IFERROR(__xludf.DUMMYFUNCTION("CONCATENATE(GOOGLETRANSLATE(C2166, ""en"", ""ko""))"),"암 앤 해머 6.4kg 이중 의무 고양이 모래")</f>
        <v>암 앤 해머 6.4kg 이중 의무 고양이 모래</v>
      </c>
      <c r="F2166" s="1" t="str">
        <f>IFERROR(__xludf.DUMMYFUNCTION("CONCATENATE(GOOGLETRANSLATE(C2166, ""en"", ""ja""))"),"アーム＆ハンマー 6.4kg ダブルデューティ猫砂")</f>
        <v>アーム＆ハンマー 6.4kg ダブルデューティ猫砂</v>
      </c>
    </row>
    <row r="2167" ht="15.75" customHeight="1">
      <c r="A2167" s="1">
        <v>7641.0</v>
      </c>
      <c r="B2167" s="1" t="s">
        <v>15</v>
      </c>
      <c r="C2167" s="1" t="s">
        <v>2059</v>
      </c>
      <c r="D2167" s="1" t="str">
        <f>IFERROR(__xludf.DUMMYFUNCTION("CONCATENATE(GOOGLETRANSLATE(C2167, ""en"", ""zh-cn""))"),"宠物用手臂和锤子高级护理猫用牙科水添加剂 |适合所有猫的猫牙齿清洁产品 |无臭无味猫牙齿冲洗液，8 盎司 - 24 包")</f>
        <v>宠物用手臂和锤子高级护理猫用牙科水添加剂 |适合所有猫的猫牙齿清洁产品 |无臭无味猫牙齿冲洗液，8 盎司 - 24 包</v>
      </c>
      <c r="E2167" s="1" t="str">
        <f>IFERROR(__xludf.DUMMYFUNCTION("CONCATENATE(GOOGLETRANSLATE(C2167, ""en"", ""ko""))"),"애완동물용 암 앤 해머 Advanced Care 고양이용 치과용 물 첨가제 | 모든 고양이를 위한 고양이 치아 청소 제품 | 무취 및 무향 고양이 치과 린스, 8온스 - 24팩")</f>
        <v>애완동물용 암 앤 해머 Advanced Care 고양이용 치과용 물 첨가제 | 모든 고양이를 위한 고양이 치아 청소 제품 | 무취 및 무향 고양이 치과 린스, 8온스 - 24팩</v>
      </c>
      <c r="F2167" s="1" t="str">
        <f>IFERROR(__xludf.DUMMYFUNCTION("CONCATENATE(GOOGLETRANSLATE(C2167, ""en"", ""ja""))"),"ペット用アーム＆ハンマー アドバンスケア 猫用歯科用水添加剤 |すべての猫のための猫の歯のクリーニング製品 |無臭、無味の猫用デンタルリンス、8オンス - 24パック")</f>
        <v>ペット用アーム＆ハンマー アドバンスケア 猫用歯科用水添加剤 |すべての猫のための猫の歯のクリーニング製品 |無臭、無味の猫用デンタルリンス、8オンス - 24パック</v>
      </c>
    </row>
    <row r="2168" ht="15.75" customHeight="1">
      <c r="A2168" s="1">
        <v>7648.0</v>
      </c>
      <c r="B2168" s="1" t="s">
        <v>15</v>
      </c>
      <c r="C2168" s="1" t="s">
        <v>2060</v>
      </c>
      <c r="D2168" s="1" t="str">
        <f>IFERROR(__xludf.DUMMYFUNCTION("CONCATENATE(GOOGLETRANSLATE(C2168, ""en"", ""zh-cn""))"),"ARM &amp; HAMMER Health IQ 猫砂添加剂，具有变色健康指示器，适用于大多数猫砂，10 盎司")</f>
        <v>ARM &amp; HAMMER Health IQ 猫砂添加剂，具有变色健康指示器，适用于大多数猫砂，10 盎司</v>
      </c>
      <c r="E2168" s="1" t="str">
        <f>IFERROR(__xludf.DUMMYFUNCTION("CONCATENATE(GOOGLETRANSLATE(C2168, ""en"", ""ko""))"),"ARM &amp; HAMMER Health IQ 고양이 모래 첨가제, 색상 변경 건강 표시 포함, 대부분의 모래에 사용 가능, 10온스")</f>
        <v>ARM &amp; HAMMER Health IQ 고양이 모래 첨가제, 색상 변경 건강 표시 포함, 대부분의 모래에 사용 가능, 10온스</v>
      </c>
      <c r="F2168" s="1" t="str">
        <f>IFERROR(__xludf.DUMMYFUNCTION("CONCATENATE(GOOGLETRANSLATE(C2168, ""en"", ""ja""))"),"ARM &amp; HAMMER Health IQ 猫砂添加剤、色が変化する健康インジケーター付き、ほとんどの猫砂に使用可能、10 オンス")</f>
        <v>ARM &amp; HAMMER Health IQ 猫砂添加剤、色が変化する健康インジケーター付き、ほとんどの猫砂に使用可能、10 オンス</v>
      </c>
    </row>
    <row r="2169" ht="15.75" customHeight="1">
      <c r="A2169" s="1">
        <v>7649.0</v>
      </c>
      <c r="B2169" s="1" t="s">
        <v>15</v>
      </c>
      <c r="C2169" s="1" t="s">
        <v>2061</v>
      </c>
      <c r="D2169" s="1" t="str">
        <f>IFERROR(__xludf.DUMMYFUNCTION("CONCATENATE(GOOGLETRANSLATE(C2169, ""en"", ""zh-cn""))"),"ARM &amp; HAMMER Clump &amp; Seal 气味密封轻质多猫香味结块猫砂，可 7 天控制异味，18 磅。 （包装可能有所不同）")</f>
        <v>ARM &amp; HAMMER Clump &amp; Seal 气味密封轻质多猫香味结块猫砂，可 7 天控制异味，18 磅。 （包装可能有所不同）</v>
      </c>
      <c r="E2169" s="1" t="str">
        <f>IFERROR(__xludf.DUMMYFUNCTION("CONCATENATE(GOOGLETRANSLATE(C2169, ""en"", ""ko""))"),"ARM &amp; HAMMER 클럼프 앤 씰 냄새 밀봉 7일간 냄새 제어 기능이 있는 경량 멀티캣 향기로운 클럼핑 고양이 모래, 18lbs. (포장은 다를 수 있음)")</f>
        <v>ARM &amp; HAMMER 클럼프 앤 씰 냄새 밀봉 7일간 냄새 제어 기능이 있는 경량 멀티캣 향기로운 클럼핑 고양이 모래, 18lbs. (포장은 다를 수 있음)</v>
      </c>
      <c r="F2169" s="1" t="str">
        <f>IFERROR(__xludf.DUMMYFUNCTION("CONCATENATE(GOOGLETRANSLATE(C2169, ""en"", ""ja""))"),"ARM &amp; HAMMER クランプ &amp; シール 臭気シール 軽量マルチキャット用香り付き塊状猫砂、7 日間の臭気制御機能付き、18 ポンド。 (梱包は異なる場合があります)")</f>
        <v>ARM &amp; HAMMER クランプ &amp; シール 臭気シール 軽量マルチキャット用香り付き塊状猫砂、7 日間の臭気制御機能付き、18 ポンド。 (梱包は異なる場合があります)</v>
      </c>
    </row>
    <row r="2170" ht="15.75" customHeight="1">
      <c r="A2170" s="1">
        <v>7660.0</v>
      </c>
      <c r="B2170" s="1" t="s">
        <v>15</v>
      </c>
      <c r="C2170" s="1" t="s">
        <v>2062</v>
      </c>
      <c r="D2170" s="1" t="str">
        <f>IFERROR(__xludf.DUMMYFUNCTION("CONCATENATE(GOOGLETRANSLATE(C2170, ""en"", ""zh-cn""))"),"Arm &amp; Hammer Pets 猫砂盒除臭荚 2 荚，清新微风气味 | Arm and Hammer 的 2 款猫砂盒除臭剂 |消除猫臭味 | 2 粘合装置")</f>
        <v>Arm &amp; Hammer Pets 猫砂盒除臭荚 2 荚，清新微风气味 | Arm and Hammer 的 2 款猫砂盒除臭剂 |消除猫臭味 | 2 粘合装置</v>
      </c>
      <c r="E2170" s="1" t="str">
        <f>IFERROR(__xludf.DUMMYFUNCTION("CONCATENATE(GOOGLETRANSLATE(C2170, ""en"", ""ko""))"),"암 앤 해머 애완동물 고양이 배변 상자 탈취 포드 2개, 프레쉬 브리즈 향 | 2 암 앤 해머의 고양이 쓰레기 상자 탈취제 | 고양이 냄새 퇴치 | 2 접착 장치")</f>
        <v>암 앤 해머 애완동물 고양이 배변 상자 탈취 포드 2개, 프레쉬 브리즈 향 | 2 암 앤 해머의 고양이 쓰레기 상자 탈취제 | 고양이 냄새 퇴치 | 2 접착 장치</v>
      </c>
      <c r="F2170" s="1" t="str">
        <f>IFERROR(__xludf.DUMMYFUNCTION("CONCATENATE(GOOGLETRANSLATE(C2170, ""en"", ""ja""))"),"Arm &amp; Hammer Pets 猫用トイレ 消臭ポッド 2 ポッド、フレッシュブリーズの香り | Arm &amp; Hammer Pets 2 アームアンドハンマーの猫用トイレ消臭剤 |猫の臭いと戦う | 2 接着装置")</f>
        <v>Arm &amp; Hammer Pets 猫用トイレ 消臭ポッド 2 ポッド、フレッシュブリーズの香り | Arm &amp; Hammer Pets 2 アームアンドハンマーの猫用トイレ消臭剤 |猫の臭いと戦う | 2 接着装置</v>
      </c>
    </row>
    <row r="2171" ht="15.75" customHeight="1">
      <c r="A2171" s="1">
        <v>7664.0</v>
      </c>
      <c r="B2171" s="1" t="s">
        <v>15</v>
      </c>
      <c r="C2171" s="1" t="s">
        <v>2063</v>
      </c>
      <c r="D2171" s="1" t="str">
        <f>IFERROR(__xludf.DUMMYFUNCTION("CONCATENATE(GOOGLETRANSLATE(C2171, ""en"", ""zh-cn""))"),"ARM &amp; HAMMER 云控白金结块猫砂 37 磅")</f>
        <v>ARM &amp; HAMMER 云控白金结块猫砂 37 磅</v>
      </c>
      <c r="E2171" s="1" t="str">
        <f>IFERROR(__xludf.DUMMYFUNCTION("CONCATENATE(GOOGLETRANSLATE(C2171, ""en"", ""ko""))"),"ARM &amp; HAMMER 클라우드 컨트롤 플래티넘 클럼핑 고양이 모래 37LB")</f>
        <v>ARM &amp; HAMMER 클라우드 컨트롤 플래티넘 클럼핑 고양이 모래 37LB</v>
      </c>
      <c r="F2171" s="1" t="str">
        <f>IFERROR(__xludf.DUMMYFUNCTION("CONCATENATE(GOOGLETRANSLATE(C2171, ""en"", ""ja""))"),"ARM &amp; HAMMER クラウドコントロール プラチナ クランプ猫砂 37LB")</f>
        <v>ARM &amp; HAMMER クラウドコントロール プラチナ クランプ猫砂 37LB</v>
      </c>
    </row>
    <row r="2172" ht="15.75" customHeight="1">
      <c r="A2172" s="1">
        <v>7676.0</v>
      </c>
      <c r="B2172" s="1" t="s">
        <v>15</v>
      </c>
      <c r="C2172" s="1" t="s">
        <v>2064</v>
      </c>
      <c r="D2172" s="1" t="str">
        <f>IFERROR(__xludf.DUMMYFUNCTION("CONCATENATE(GOOGLETRANSLATE(C2172, ""en"", ""zh-cn""))"),"PetSafe Drinkwell 高级替换碳过滤器，狗和猫饮水器过滤器，3 件装")</f>
        <v>PetSafe Drinkwell 高级替换碳过滤器，狗和猫饮水器过滤器，3 件装</v>
      </c>
      <c r="E2172" s="1" t="str">
        <f>IFERROR(__xludf.DUMMYFUNCTION("CONCATENATE(GOOGLETRANSLATE(C2172, ""en"", ""ko""))"),"PetSafe Drinkwell 프리미엄 교체용 탄소 필터, 개 및 고양이 분수 필터, 3팩")</f>
        <v>PetSafe Drinkwell 프리미엄 교체용 탄소 필터, 개 및 고양이 분수 필터, 3팩</v>
      </c>
      <c r="F2172" s="1" t="str">
        <f>IFERROR(__xludf.DUMMYFUNCTION("CONCATENATE(GOOGLETRANSLATE(C2172, ""en"", ""ja""))"),"PetSafe ドリンクウェル プレミアム交換用カーボンフィルター、犬と猫の噴水フィルター、3 パック")</f>
        <v>PetSafe ドリンクウェル プレミアム交換用カーボンフィルター、犬と猫の噴水フィルター、3 パック</v>
      </c>
    </row>
    <row r="2173" ht="15.75" customHeight="1">
      <c r="A2173" s="1">
        <v>7678.0</v>
      </c>
      <c r="B2173" s="1" t="s">
        <v>15</v>
      </c>
      <c r="C2173" s="1" t="s">
        <v>2065</v>
      </c>
      <c r="D2173" s="1" t="str">
        <f>IFERROR(__xludf.DUMMYFUNCTION("CONCATENATE(GOOGLETRANSLATE(C2173, ""en"", ""zh-cn""))"),"PetSafe Drinkwell 360 高级碳过滤器、狗和猫饮水器过滤器，12 件装，适合 PetSafe 不锈钢多只宠物和 360 宠物饮水器")</f>
        <v>PetSafe Drinkwell 360 高级碳过滤器、狗和猫饮水器过滤器，12 件装，适合 PetSafe 不锈钢多只宠物和 360 宠物饮水器</v>
      </c>
      <c r="E2173" s="1" t="str">
        <f>IFERROR(__xludf.DUMMYFUNCTION("CONCATENATE(GOOGLETRANSLATE(C2173, ""en"", ""ko""))"),"PetSafe Drinkwell 360 프리미엄 카본 필터, 개 및 고양이 분수 필터, 12개 팩, PetSafe 스테인리스 멀티 애완동물 및 360 애완동물 분수에 적합")</f>
        <v>PetSafe Drinkwell 360 프리미엄 카본 필터, 개 및 고양이 분수 필터, 12개 팩, PetSafe 스테인리스 멀티 애완동물 및 360 애완동물 분수에 적합</v>
      </c>
      <c r="F2173" s="1" t="str">
        <f>IFERROR(__xludf.DUMMYFUNCTION("CONCATENATE(GOOGLETRANSLATE(C2173, ""en"", ""ja""))"),"PetSafe ドリンクウェル 360 プレミアム カーボンフィルター、犬と猫の水噴水フィルター、12 個パック、PetSafe ステンレスマルチペットおよび 360 ペットファウンテンに適合")</f>
        <v>PetSafe ドリンクウェル 360 プレミアム カーボンフィルター、犬と猫の水噴水フィルター、12 個パック、PetSafe ステンレスマルチペットおよび 360 ペットファウンテンに適合</v>
      </c>
    </row>
    <row r="2174" ht="15.75" customHeight="1">
      <c r="A2174" s="1">
        <v>7685.0</v>
      </c>
      <c r="B2174" s="1" t="s">
        <v>15</v>
      </c>
      <c r="C2174" s="1" t="s">
        <v>2066</v>
      </c>
      <c r="D2174" s="1" t="str">
        <f>IFERROR(__xludf.DUMMYFUNCTION("CONCATENATE(GOOGLETRANSLATE(C2174, ""en"", ""zh-cn""))"),"PetSafe Ion-X 猫狗饮水器过滤器，4 件装，双重过滤，提供更干净、更新鲜的水，用于 PetSafe Outlast 无泵宠物和 Viva 宠物饮水器的替换饮水器过滤器")</f>
        <v>PetSafe Ion-X 猫狗饮水器过滤器，4 件装，双重过滤，提供更干净、更新鲜的水，用于 PetSafe Outlast 无泵宠物和 Viva 宠物饮水器的替换饮水器过滤器</v>
      </c>
      <c r="E2174" s="1" t="str">
        <f>IFERROR(__xludf.DUMMYFUNCTION("CONCATENATE(GOOGLETRANSLATE(C2174, ""en"", ""ko""))"),"PetSafe Ion-X 고양이 및 강아지 분수 필터, 4팩, 더 깨끗하고 신선한 물을 위한 이중 여과, PetSafe Outlast 펌프리스 애완동물 및 Viva Pet 분수용 교체 분수 필터")</f>
        <v>PetSafe Ion-X 고양이 및 강아지 분수 필터, 4팩, 더 깨끗하고 신선한 물을 위한 이중 여과, PetSafe Outlast 펌프리스 애완동물 및 Viva Pet 분수용 교체 분수 필터</v>
      </c>
      <c r="F2174" s="1" t="str">
        <f>IFERROR(__xludf.DUMMYFUNCTION("CONCATENATE(GOOGLETRANSLATE(C2174, ""en"", ""ja""))"),"PetSafe Ion-X 猫と犬の噴水フィルター、4 パック、よりきれいで新鮮な水のためのデュアル濾過、PetSafe Outlast ポンプレスペットおよび Viva ペット噴水用交換用噴水フィルター")</f>
        <v>PetSafe Ion-X 猫と犬の噴水フィルター、4 パック、よりきれいで新鮮な水のためのデュアル濾過、PetSafe Outlast ポンプレスペットおよび Viva ペット噴水用交換用噴水フィルター</v>
      </c>
    </row>
    <row r="2175" ht="15.75" customHeight="1">
      <c r="A2175" s="1">
        <v>7686.0</v>
      </c>
      <c r="B2175" s="1" t="s">
        <v>15</v>
      </c>
      <c r="C2175" s="1" t="s">
        <v>2067</v>
      </c>
      <c r="D2175" s="1" t="str">
        <f>IFERROR(__xludf.DUMMYFUNCTION("CONCATENATE(GOOGLETRANSLATE(C2175, ""en"", ""zh-cn""))"),"PetSafe 海边宠物饮水器（60 盎司/1.8 升水容量）不锈钢猫饮水器，有助于防止宠物痤疮、划伤和防锈材料")</f>
        <v>PetSafe 海边宠物饮水器（60 盎司/1.8 升水容量）不锈钢猫饮水器，有助于防止宠物痤疮、划伤和防锈材料</v>
      </c>
      <c r="E2175" s="1" t="str">
        <f>IFERROR(__xludf.DUMMYFUNCTION("CONCATENATE(GOOGLETRANSLATE(C2175, ""en"", ""ko""))"),"PetSafe 해변 애완동물 분수(60온스/1.8L 용량) 스테인레스 스틸 고양이 분수, 애완동물의 여드름, 긁힘 및 녹 방지 소재 방지에 도움")</f>
        <v>PetSafe 해변 애완동물 분수(60온스/1.8L 용량) 스테인레스 스틸 고양이 분수, 애완동물의 여드름, 긁힘 및 녹 방지 소재 방지에 도움</v>
      </c>
      <c r="F2175" s="1" t="str">
        <f>IFERROR(__xludf.DUMMYFUNCTION("CONCATENATE(GOOGLETRANSLATE(C2175, ""en"", ""ja""))"),"PetSafe シーサイド ペット ウォーター ファウンテン (60 オンス/1.8L 水容量) ステンレス鋼の猫用ウォーター ファウンテン、ペットのニキビを防ぎ、傷や錆びにくい素材を使用")</f>
        <v>PetSafe シーサイド ペット ウォーター ファウンテン (60 オンス/1.8L 水容量) ステンレス鋼の猫用ウォーター ファウンテン、ペットのニキビを防ぎ、傷や錆びにくい素材を使用</v>
      </c>
    </row>
    <row r="2176" ht="15.75" customHeight="1">
      <c r="A2176" s="1">
        <v>7701.0</v>
      </c>
      <c r="B2176" s="1" t="s">
        <v>15</v>
      </c>
      <c r="C2176" s="1" t="s">
        <v>2068</v>
      </c>
      <c r="D2176" s="1" t="str">
        <f>IFERROR(__xludf.DUMMYFUNCTION("CONCATENATE(GOOGLETRANSLATE(C2176, ""en"", ""zh-cn""))"),"MidWest Homes for Pets Quiet Time 双面板条箱锅盖 36 英寸灰色花卉/羊毛")</f>
        <v>MidWest Homes for Pets Quiet Time 双面板条箱锅盖 36 英寸灰色花卉/羊毛</v>
      </c>
      <c r="E2176" s="1" t="str">
        <f>IFERROR(__xludf.DUMMYFUNCTION("CONCATENATE(GOOGLETRANSLATE(C2176, ""en"", ""ko""))"),"애완동물을 위한 MidWest 주택 조용한 시간 양면 상자 팬 커버 36' 회색 꽃무늬/양털")</f>
        <v>애완동물을 위한 MidWest 주택 조용한 시간 양면 상자 팬 커버 36' 회색 꽃무늬/양털</v>
      </c>
      <c r="F2176" s="1" t="str">
        <f>IFERROR(__xludf.DUMMYFUNCTION("CONCATENATE(GOOGLETRANSLATE(C2176, ""en"", ""ja""))"),"MidWest Homes for Pets Quiet Time リバーシブル クレート パン カバー 36 フィート グレー フローラル/フリース")</f>
        <v>MidWest Homes for Pets Quiet Time リバーシブル クレート パン カバー 36 フィート グレー フローラル/フリース</v>
      </c>
    </row>
    <row r="2177" ht="15.75" customHeight="1">
      <c r="A2177" s="1">
        <v>7706.0</v>
      </c>
      <c r="B2177" s="1" t="s">
        <v>15</v>
      </c>
      <c r="C2177" s="1" t="s">
        <v>2069</v>
      </c>
      <c r="D2177" s="1" t="str">
        <f>IFERROR(__xludf.DUMMYFUNCTION("CONCATENATE(GOOGLETRANSLATE(C2177, ""en"", ""zh-cn""))"),"MidWest Homes for Pets 替换运动笔旋转按扣，黑色，4 件装，SNAPB-4")</f>
        <v>MidWest Homes for Pets 替换运动笔旋转按扣，黑色，4 件装，SNAPB-4</v>
      </c>
      <c r="E2177" s="1" t="str">
        <f>IFERROR(__xludf.DUMMYFUNCTION("CONCATENATE(GOOGLETRANSLATE(C2177, ""en"", ""ko""))"),"MidWest Homes for Pets 교체 운동 펜 스위블 스냅, 블랙, 4개 팩, SNAPB-4")</f>
        <v>MidWest Homes for Pets 교체 운동 펜 스위블 스냅, 블랙, 4개 팩, SNAPB-4</v>
      </c>
      <c r="F2177" s="1" t="str">
        <f>IFERROR(__xludf.DUMMYFUNCTION("CONCATENATE(GOOGLETRANSLATE(C2177, ""en"", ""ja""))"),"MidWest Homes for Pets 交換用エクササイズ ペン スイベル スナップ、ブラック、4 個パック、SNAPB-4")</f>
        <v>MidWest Homes for Pets 交換用エクササイズ ペン スイベル スナップ、ブラック、4 個パック、SNAPB-4</v>
      </c>
    </row>
    <row r="2178" ht="15.75" customHeight="1">
      <c r="A2178" s="1">
        <v>7708.0</v>
      </c>
      <c r="B2178" s="1" t="s">
        <v>15</v>
      </c>
      <c r="C2178" s="1" t="s">
        <v>2070</v>
      </c>
      <c r="D2178" s="1" t="str">
        <f>IFERROR(__xludf.DUMMYFUNCTION("CONCATENATE(GOOGLETRANSLATE(C2178, ""en"", ""zh-cn""))"),"MidWest Homes for Pets Maxx 狗床，适用于金属板条箱，36 英寸，黑色")</f>
        <v>MidWest Homes for Pets Maxx 狗床，适用于金属板条箱，36 英寸，黑色</v>
      </c>
      <c r="E2178" s="1" t="str">
        <f>IFERROR(__xludf.DUMMYFUNCTION("CONCATENATE(GOOGLETRANSLATE(C2178, ""en"", ""ko""))"),"MidWest Homes for Pets Maxx 금속 상자용 개 침대, 36인치, 블랙")</f>
        <v>MidWest Homes for Pets Maxx 금속 상자용 개 침대, 36인치, 블랙</v>
      </c>
      <c r="F2178" s="1" t="str">
        <f>IFERROR(__xludf.DUMMYFUNCTION("CONCATENATE(GOOGLETRANSLATE(C2178, ""en"", ""ja""))"),"MidWest Homes for Pets Maxx 犬用ベッド 金属箱用 36 インチ ブラック")</f>
        <v>MidWest Homes for Pets Maxx 犬用ベッド 金属箱用 36 インチ ブラック</v>
      </c>
    </row>
    <row r="2179" ht="15.75" customHeight="1">
      <c r="A2179" s="1">
        <v>7710.0</v>
      </c>
      <c r="B2179" s="1" t="s">
        <v>15</v>
      </c>
      <c r="C2179" s="1" t="s">
        <v>2071</v>
      </c>
      <c r="D2179" s="1" t="str">
        <f>IFERROR(__xludf.DUMMYFUNCTION("CONCATENATE(GOOGLETRANSLATE(C2179, ""en"", ""zh-cn""))"),"中西部宠物之家宠物背带：硬面狗背带、猫背带、绿色小动物背带 |内部尺寸 17.91 长 x 11.5 宽 x 12 高，适合小型犬种")</f>
        <v>中西部宠物之家宠物背带：硬面狗背带、猫背带、绿色小动物背带 |内部尺寸 17.91 长 x 11.5 宽 x 12 高，适合小型犬种</v>
      </c>
      <c r="E2179" s="1" t="str">
        <f>IFERROR(__xludf.DUMMYFUNCTION("CONCATENATE(GOOGLETRANSLATE(C2179, ""en"", ""ko""))"),"MidWest Homes for Pets 애완동물 캐리어: 하드형 개 캐리어, 고양이 캐리어, 소형 동물 캐리어(녹색) | 내부 치수 17.91L x 11.5W x 12H &amp; 작은 개 품종에 적합")</f>
        <v>MidWest Homes for Pets 애완동물 캐리어: 하드형 개 캐리어, 고양이 캐리어, 소형 동물 캐리어(녹색) | 내부 치수 17.91L x 11.5W x 12H &amp; 작은 개 품종에 적합</v>
      </c>
      <c r="F2179" s="1" t="str">
        <f>IFERROR(__xludf.DUMMYFUNCTION("CONCATENATE(GOOGLETRANSLATE(C2179, ""en"", ""ja""))"),"MidWest Homes for Pets ペットキャリア: ハードサイドの犬用キャリア、猫用キャリア、小動物用キャリア (グリーン) |内部寸法 17.91L x 11.5W x 12H &amp; 小型犬の品種に適しています")</f>
        <v>MidWest Homes for Pets ペットキャリア: ハードサイドの犬用キャリア、猫用キャリア、小動物用キャリア (グリーン) |内部寸法 17.91L x 11.5W x 12H &amp; 小型犬の品種に適しています</v>
      </c>
    </row>
    <row r="2180" ht="15.75" customHeight="1">
      <c r="A2180" s="1">
        <v>7712.0</v>
      </c>
      <c r="B2180" s="1" t="s">
        <v>15</v>
      </c>
      <c r="C2180" s="1" t="s">
        <v>2072</v>
      </c>
      <c r="D2180" s="1" t="str">
        <f>IFERROR(__xludf.DUMMYFUNCTION("CONCATENATE(GOOGLETRANSLATE(C2180, ""en"", ""zh-cn""))"),"MidWest Homes for Pets 狗笼罩，隐私狗笼罩适合 MidWest 狗笼，仅板条箱罩，可机洗和烘干，黑色，42 英寸")</f>
        <v>MidWest Homes for Pets 狗笼罩，隐私狗笼罩适合 MidWest 狗笼，仅板条箱罩，可机洗和烘干，黑色，42 英寸</v>
      </c>
      <c r="E2180" s="1" t="str">
        <f>IFERROR(__xludf.DUMMYFUNCTION("CONCATENATE(GOOGLETRANSLATE(C2180, ""en"", ""ko""))"),"애완동물을 위한 MidWest 주택 개 상자 커버, 개인정보 보호용 개 상자 커버는 MidWest 개 상자에 맞습니다. 상자 커버만, 기계 세탁 및 건조, 검은색, 42인치")</f>
        <v>애완동물을 위한 MidWest 주택 개 상자 커버, 개인정보 보호용 개 상자 커버는 MidWest 개 상자에 맞습니다. 상자 커버만, 기계 세탁 및 건조, 검은색, 42인치</v>
      </c>
      <c r="F2180" s="1" t="str">
        <f>IFERROR(__xludf.DUMMYFUNCTION("CONCATENATE(GOOGLETRANSLATE(C2180, ""en"", ""ja""))"),"MidWest Homes for Pets 犬用クレートカバー プライバシー犬用クレートカバー MidWest 犬用クレートに適合 クレートカバーのみ 洗濯機で洗って乾燥させます ブラック 42インチ")</f>
        <v>MidWest Homes for Pets 犬用クレートカバー プライバシー犬用クレートカバー MidWest 犬用クレートに適合 クレートカバーのみ 洗濯機で洗って乾燥させます ブラック 42インチ</v>
      </c>
    </row>
    <row r="2181" ht="15.75" customHeight="1">
      <c r="A2181" s="1">
        <v>7715.0</v>
      </c>
      <c r="B2181" s="1" t="s">
        <v>15</v>
      </c>
      <c r="C2181" s="1" t="s">
        <v>2073</v>
      </c>
      <c r="D2181" s="1" t="str">
        <f>IFERROR(__xludf.DUMMYFUNCTION("CONCATENATE(GOOGLETRANSLATE(C2181, ""en"", ""zh-cn""))"),"中西部宠物之家毛绒宠物床 | Ombr 漩涡和猫床 |灰色 17L x 11W x 1.5H - 英寸，适用于玩具狗品种，40618-SGB，18 英寸")</f>
        <v>中西部宠物之家毛绒宠物床 | Ombr 漩涡和猫床 |灰色 17L x 11W x 1.5H - 英寸，适用于玩具狗品种，40618-SGB，18 英寸</v>
      </c>
      <c r="E2181" s="1" t="str">
        <f>IFERROR(__xludf.DUMMYFUNCTION("CONCATENATE(GOOGLETRANSLATE(C2181, ""en"", ""ko""))"),"애완 동물 봉제 애완 동물 침대를위한 중서부 주택 | Ombr 소용돌이 &amp; 고양이 침대 | 회색 17L x 11W x 1.5H - 장난감 개 품종용 인치, 40618-SGB, 18인치")</f>
        <v>애완 동물 봉제 애완 동물 침대를위한 중서부 주택 | Ombr 소용돌이 &amp; 고양이 침대 | 회색 17L x 11W x 1.5H - 장난감 개 품종용 인치, 40618-SGB, 18인치</v>
      </c>
      <c r="F2181" s="1" t="str">
        <f>IFERROR(__xludf.DUMMYFUNCTION("CONCATENATE(GOOGLETRANSLATE(C2181, ""en"", ""ja""))"),"MidWest Homes for Pets ぬいぐるみペットベッド | Ombr スワール＆キャットベッド |グレー 17L x 11W x 1.5H - おもちゃの犬種用、40618-SGB、18インチ")</f>
        <v>MidWest Homes for Pets ぬいぐるみペットベッド | Ombr スワール＆キャットベッド |グレー 17L x 11W x 1.5H - おもちゃの犬種用、40618-SGB、18インチ</v>
      </c>
    </row>
    <row r="2182" ht="15.75" customHeight="1">
      <c r="A2182" s="1">
        <v>7725.0</v>
      </c>
      <c r="B2182" s="1" t="s">
        <v>15</v>
      </c>
      <c r="C2182" s="1" t="s">
        <v>2074</v>
      </c>
      <c r="D2182" s="1" t="str">
        <f>IFERROR(__xludf.DUMMYFUNCTION("CONCATENATE(GOOGLETRANSLATE(C2182, ""en"", ""zh-cn""))"),"PetSafe Pawz Away 室内无线宠物屏障，带接收项圈的狗和猫电动训练系统")</f>
        <v>PetSafe Pawz Away 室内无线宠物屏障，带接收项圈的狗和猫电动训练系统</v>
      </c>
      <c r="E2182" s="1" t="str">
        <f>IFERROR(__xludf.DUMMYFUNCTION("CONCATENATE(GOOGLETRANSLATE(C2182, ""en"", ""ko""))"),"PetSafe Pawz Away 실내 무선 애완 동물 장벽, 수신기 칼라가 있는 개 및 고양이용 전기 훈련 시스템")</f>
        <v>PetSafe Pawz Away 실내 무선 애완 동물 장벽, 수신기 칼라가 있는 개 및 고양이용 전기 훈련 시스템</v>
      </c>
      <c r="F2182" s="1" t="str">
        <f>IFERROR(__xludf.DUMMYFUNCTION("CONCATENATE(GOOGLETRANSLATE(C2182, ""en"", ""ja""))"),"PetSafe Pawz Away 屋内ワイヤレスペットバリア、犬猫用電動トレーニングシステム レシーバー首輪付き")</f>
        <v>PetSafe Pawz Away 屋内ワイヤレスペットバリア、犬猫用電動トレーニングシステム レシーバー首輪付き</v>
      </c>
    </row>
    <row r="2183" ht="15.75" customHeight="1">
      <c r="A2183" s="1">
        <v>7733.0</v>
      </c>
      <c r="B2183" s="1" t="s">
        <v>15</v>
      </c>
      <c r="C2183" s="1" t="s">
        <v>2075</v>
      </c>
      <c r="D2183" s="1" t="str">
        <f>IFERROR(__xludf.DUMMYFUNCTION("CONCATENATE(GOOGLETRANSLATE(C2183, ""en"", ""zh-cn""))"),"PetSafe Drinkwell 替换碳过滤器，狗和猫饮水器过滤器，3 件装")</f>
        <v>PetSafe Drinkwell 替换碳过滤器，狗和猫饮水器过滤器，3 件装</v>
      </c>
      <c r="E2183" s="1" t="str">
        <f>IFERROR(__xludf.DUMMYFUNCTION("CONCATENATE(GOOGLETRANSLATE(C2183, ""en"", ""ko""))"),"PetSafe Drinkwell 교체용 탄소 필터, 개 및 고양이 분수 필터, 3개 팩")</f>
        <v>PetSafe Drinkwell 교체용 탄소 필터, 개 및 고양이 분수 필터, 3개 팩</v>
      </c>
      <c r="F2183" s="1" t="str">
        <f>IFERROR(__xludf.DUMMYFUNCTION("CONCATENATE(GOOGLETRANSLATE(C2183, ""en"", ""ja""))"),"PetSafe ドリンクウェル交換用カーボンフィルター、犬と猫の噴水フィルター、3 個パック")</f>
        <v>PetSafe ドリンクウェル交換用カーボンフィルター、犬と猫の噴水フィルター、3 個パック</v>
      </c>
    </row>
    <row r="2184" ht="15.75" customHeight="1">
      <c r="A2184" s="1">
        <v>7741.0</v>
      </c>
      <c r="B2184" s="1" t="s">
        <v>15</v>
      </c>
      <c r="C2184" s="1" t="s">
        <v>2076</v>
      </c>
      <c r="D2184" s="1" t="str">
        <f>IFERROR(__xludf.DUMMYFUNCTION("CONCATENATE(GOOGLETRANSLATE(C2184, ""en"", ""zh-cn""))"),"PetSafe 尼龙狗牵引绳坚固、耐用、传统风格牵引绳，带有易于使用的螺栓按扣，适用于小型、中型和大型犬 3/8 英寸 x 6 英寸，黑色")</f>
        <v>PetSafe 尼龙狗牵引绳坚固、耐用、传统风格牵引绳，带有易于使用的螺栓按扣，适用于小型、中型和大型犬 3/8 英寸 x 6 英寸，黑色</v>
      </c>
      <c r="E2184" s="1" t="str">
        <f>IFERROR(__xludf.DUMMYFUNCTION("CONCATENATE(GOOGLETRANSLATE(C2184, ""en"", ""ko""))"),"PetSafe 나일론 개 줄 소형, 중형 및 대형견을 위한 사용하기 쉬운 볼트 스냅이 있는 강력하고 내구성이 있으며 전통적인 스타일의 줄 3/8"" x 6', 검정색")</f>
        <v>PetSafe 나일론 개 줄 소형, 중형 및 대형견을 위한 사용하기 쉬운 볼트 스냅이 있는 강력하고 내구성이 있으며 전통적인 스타일의 줄 3/8" x 6', 검정색</v>
      </c>
      <c r="F2184" s="1" t="str">
        <f>IFERROR(__xludf.DUMMYFUNCTION("CONCATENATE(GOOGLETRANSLATE(C2184, ""en"", ""ja""))"),"PetSafe ナイロン犬用リード 強力で耐久性のある伝統的なスタイルのリード 使いやすいボルトスナップ付き 小型犬、中型犬、大型犬用 3/8インチ x 6フィート、ブラック")</f>
        <v>PetSafe ナイロン犬用リード 強力で耐久性のある伝統的なスタイルのリード 使いやすいボルトスナップ付き 小型犬、中型犬、大型犬用 3/8インチ x 6フィート、ブラック</v>
      </c>
    </row>
    <row r="2185" ht="15.75" customHeight="1">
      <c r="A2185" s="1">
        <v>7744.0</v>
      </c>
      <c r="B2185" s="1" t="s">
        <v>15</v>
      </c>
      <c r="C2185" s="1" t="s">
        <v>2077</v>
      </c>
      <c r="D2185" s="1" t="str">
        <f>IFERROR(__xludf.DUMMYFUNCTION("CONCATENATE(GOOGLETRANSLATE(C2185, ""en"", ""zh-cn""))"),"Aqueon LED 水族箱套件")</f>
        <v>Aqueon LED 水族箱套件</v>
      </c>
      <c r="E2185" s="1" t="str">
        <f>IFERROR(__xludf.DUMMYFUNCTION("CONCATENATE(GOOGLETRANSLATE(C2185, ""en"", ""ko""))"),"Aqueon LED 수족관 키트")</f>
        <v>Aqueon LED 수족관 키트</v>
      </c>
      <c r="F2185" s="1" t="str">
        <f>IFERROR(__xludf.DUMMYFUNCTION("CONCATENATE(GOOGLETRANSLATE(C2185, ""en"", ""ja""))"),"Aqueon LEDアクアリウムキット")</f>
        <v>Aqueon LEDアクアリウムキット</v>
      </c>
    </row>
    <row r="2186" ht="15.75" customHeight="1">
      <c r="A2186" s="1">
        <v>7747.0</v>
      </c>
      <c r="B2186" s="1" t="s">
        <v>15</v>
      </c>
      <c r="C2186" s="1" t="s">
        <v>2078</v>
      </c>
      <c r="D2186" s="1" t="str">
        <f>IFERROR(__xludf.DUMMYFUNCTION("CONCATENATE(GOOGLETRANSLATE(C2186, ""en"", ""zh-cn""))"),"Aqueon LED MiniBow SmartClean 小型水族箱鱼缸套件")</f>
        <v>Aqueon LED MiniBow SmartClean 小型水族箱鱼缸套件</v>
      </c>
      <c r="E2186" s="1" t="str">
        <f>IFERROR(__xludf.DUMMYFUNCTION("CONCATENATE(GOOGLETRANSLATE(C2186, ""en"", ""ko""))"),"Aqueon LED MiniBow SmartClean 소형 수족관 수조 키트")</f>
        <v>Aqueon LED MiniBow SmartClean 소형 수족관 수조 키트</v>
      </c>
      <c r="F2186" s="1" t="str">
        <f>IFERROR(__xludf.DUMMYFUNCTION("CONCATENATE(GOOGLETRANSLATE(C2186, ""en"", ""ja""))"),"Aqueon LED MiniBow SmartClean 小型水族館水槽キット")</f>
        <v>Aqueon LED MiniBow SmartClean 小型水族館水槽キット</v>
      </c>
    </row>
    <row r="2187" ht="15.75" customHeight="1">
      <c r="A2187" s="1">
        <v>7749.0</v>
      </c>
      <c r="B2187" s="1" t="s">
        <v>15</v>
      </c>
      <c r="C2187" s="1" t="s">
        <v>2079</v>
      </c>
      <c r="D2187" s="1" t="str">
        <f>IFERROR(__xludf.DUMMYFUNCTION("CONCATENATE(GOOGLETRANSLATE(C2187, ""en"", ""zh-cn""))"),"Aqueon 植物和虾水族箱基质")</f>
        <v>Aqueon 植物和虾水族箱基质</v>
      </c>
      <c r="E2187" s="1" t="str">
        <f>IFERROR(__xludf.DUMMYFUNCTION("CONCATENATE(GOOGLETRANSLATE(C2187, ""en"", ""ko""))"),"Aqueon 식물 및 새우 수족관 기판")</f>
        <v>Aqueon 식물 및 새우 수족관 기판</v>
      </c>
      <c r="F2187" s="1" t="str">
        <f>IFERROR(__xludf.DUMMYFUNCTION("CONCATENATE(GOOGLETRANSLATE(C2187, ""en"", ""ja""))"),"アクアオンプラントとエビの水槽用基板")</f>
        <v>アクアオンプラントとエビの水槽用基板</v>
      </c>
    </row>
    <row r="2188" ht="15.75" customHeight="1">
      <c r="A2188" s="1">
        <v>7752.0</v>
      </c>
      <c r="B2188" s="1" t="s">
        <v>15</v>
      </c>
      <c r="C2188" s="1" t="s">
        <v>2080</v>
      </c>
      <c r="D2188" s="1" t="str">
        <f>IFERROR(__xludf.DUMMYFUNCTION("CONCATENATE(GOOGLETRANSLATE(C2188, ""en"", ""zh-cn""))"),"Aqueon BettaBow 水族箱套件")</f>
        <v>Aqueon BettaBow 水族箱套件</v>
      </c>
      <c r="E2188" s="1" t="str">
        <f>IFERROR(__xludf.DUMMYFUNCTION("CONCATENATE(GOOGLETRANSLATE(C2188, ""en"", ""ko""))"),"Aqueon BettaBow 수족관 키트")</f>
        <v>Aqueon BettaBow 수족관 키트</v>
      </c>
      <c r="F2188" s="1" t="str">
        <f>IFERROR(__xludf.DUMMYFUNCTION("CONCATENATE(GOOGLETRANSLATE(C2188, ""en"", ""ja""))"),"Aqueon BettaBow 水族館キット")</f>
        <v>Aqueon BettaBow 水族館キット</v>
      </c>
    </row>
    <row r="2189" ht="15.75" customHeight="1">
      <c r="A2189" s="1">
        <v>7769.0</v>
      </c>
      <c r="B2189" s="1" t="s">
        <v>15</v>
      </c>
      <c r="C2189" s="1" t="s">
        <v>2081</v>
      </c>
      <c r="D2189" s="1" t="str">
        <f>IFERROR(__xludf.DUMMYFUNCTION("CONCATENATE(GOOGLETRANSLATE(C2189, ""en"", ""zh-cn""))"),"AQUEON 全玻璃黑色水族箱 55 加仑")</f>
        <v>AQUEON 全玻璃黑色水族箱 55 加仑</v>
      </c>
      <c r="E2189" s="1" t="str">
        <f>IFERROR(__xludf.DUMMYFUNCTION("CONCATENATE(GOOGLETRANSLATE(C2189, ""en"", ""ko""))"),"AQUEON 올 글라스 블랙 수족관 55갤런")</f>
        <v>AQUEON 올 글라스 블랙 수족관 55갤런</v>
      </c>
      <c r="F2189" s="1" t="str">
        <f>IFERROR(__xludf.DUMMYFUNCTION("CONCATENATE(GOOGLETRANSLATE(C2189, ""en"", ""ja""))"),"アクオン オールグラスブラックアクアリウム 55ガロン")</f>
        <v>アクオン オールグラスブラックアクアリウム 55ガロン</v>
      </c>
    </row>
    <row r="2190" ht="15.75" customHeight="1">
      <c r="A2190" s="1">
        <v>7776.0</v>
      </c>
      <c r="B2190" s="1" t="s">
        <v>15</v>
      </c>
      <c r="C2190" s="1" t="s">
        <v>2082</v>
      </c>
      <c r="D2190" s="1" t="str">
        <f>IFERROR(__xludf.DUMMYFUNCTION("CONCATENATE(GOOGLETRANSLATE(C2190, ""en"", ""zh-cn""))"),"Aqueon Edgelit 立方体水族箱 6 加仑")</f>
        <v>Aqueon Edgelit 立方体水族箱 6 加仑</v>
      </c>
      <c r="E2190" s="1" t="str">
        <f>IFERROR(__xludf.DUMMYFUNCTION("CONCATENATE(GOOGLETRANSLATE(C2190, ""en"", ""ko""))"),"Aqueon Edgelit 큐브 수족관 6갤런")</f>
        <v>Aqueon Edgelit 큐브 수족관 6갤런</v>
      </c>
      <c r="F2190" s="1" t="str">
        <f>IFERROR(__xludf.DUMMYFUNCTION("CONCATENATE(GOOGLETRANSLATE(C2190, ""en"", ""ja""))"),"Aqueon Edgelit キューブ水族館 6 ガロン")</f>
        <v>Aqueon Edgelit キューブ水族館 6 ガロン</v>
      </c>
    </row>
    <row r="2191" ht="15.75" customHeight="1">
      <c r="A2191" s="1">
        <v>7785.0</v>
      </c>
      <c r="B2191" s="1" t="s">
        <v>15</v>
      </c>
      <c r="C2191" s="1" t="s">
        <v>2083</v>
      </c>
      <c r="D2191" s="1" t="str">
        <f>IFERROR(__xludf.DUMMYFUNCTION("CONCATENATE(GOOGLETRANSLATE(C2191, ""en"", ""zh-cn""))"),"Tetra ReptoClean 8.45 液量盎司（250 毫升），水生爬行动物水处理")</f>
        <v>Tetra ReptoClean 8.45 液量盎司（250 毫升），水生爬行动物水处理</v>
      </c>
      <c r="E2191" s="1" t="str">
        <f>IFERROR(__xludf.DUMMYFUNCTION("CONCATENATE(GOOGLETRANSLATE(C2191, ""en"", ""ko""))"),"Tetra ReptoClean 8.45 액량 온스(250밀리리터), 수생 파충류용 수처리 장치")</f>
        <v>Tetra ReptoClean 8.45 액량 온스(250밀리리터), 수생 파충류용 수처리 장치</v>
      </c>
      <c r="F2191" s="1" t="str">
        <f>IFERROR(__xludf.DUMMYFUNCTION("CONCATENATE(GOOGLETRANSLATE(C2191, ""en"", ""ja""))"),"Tetra ReptoClean 8.45 液量オンス (250 ミリリットル)、水生爬虫類用水処理剤")</f>
        <v>Tetra ReptoClean 8.45 液量オンス (250 ミリリットル)、水生爬虫類用水処理剤</v>
      </c>
    </row>
    <row r="2192" ht="15.75" customHeight="1">
      <c r="A2192" s="1">
        <v>7815.0</v>
      </c>
      <c r="B2192" s="1" t="s">
        <v>15</v>
      </c>
      <c r="C2192" s="1" t="s">
        <v>2084</v>
      </c>
      <c r="D2192" s="1" t="str">
        <f>IFERROR(__xludf.DUMMYFUNCTION("CONCATENATE(GOOGLETRANSLATE(C2192, ""en"", ""zh-cn""))"),"Jonti-Craft 科学活动桌 6760JC")</f>
        <v>Jonti-Craft 科学活动桌 6760JC</v>
      </c>
      <c r="E2192" s="1" t="str">
        <f>IFERROR(__xludf.DUMMYFUNCTION("CONCATENATE(GOOGLETRANSLATE(C2192, ""en"", ""ko""))"),"Jonti-Craft 과학 활동 테이블 6760JC")</f>
        <v>Jonti-Craft 과학 활동 테이블 6760JC</v>
      </c>
      <c r="F2192" s="1" t="str">
        <f>IFERROR(__xludf.DUMMYFUNCTION("CONCATENATE(GOOGLETRANSLATE(C2192, ""en"", ""ja""))"),"ジョンティクラフト サイエンスアクティビティテーブル 6760JC")</f>
        <v>ジョンティクラフト サイエンスアクティビティテーブル 6760JC</v>
      </c>
    </row>
    <row r="2193" ht="15.75" customHeight="1">
      <c r="A2193" s="1">
        <v>7816.0</v>
      </c>
      <c r="B2193" s="1" t="s">
        <v>15</v>
      </c>
      <c r="C2193" s="1" t="s">
        <v>2085</v>
      </c>
      <c r="D2193" s="1" t="str">
        <f>IFERROR(__xludf.DUMMYFUNCTION("CONCATENATE(GOOGLETRANSLATE(C2193, ""en"", ""zh-cn""))"),"Coco Village木制活动桌")</f>
        <v>Coco Village木制活动桌</v>
      </c>
      <c r="E2193" s="1" t="str">
        <f>IFERROR(__xludf.DUMMYFUNCTION("CONCATENATE(GOOGLETRANSLATE(C2193, ""en"", ""ko""))"),"코코빌리지 나무 액티비티 테이블")</f>
        <v>코코빌리지 나무 액티비티 테이블</v>
      </c>
      <c r="F2193" s="1" t="str">
        <f>IFERROR(__xludf.DUMMYFUNCTION("CONCATENATE(GOOGLETRANSLATE(C2193, ""en"", ""ja""))"),"ココヴィレッジ木製アクティビティテーブル")</f>
        <v>ココヴィレッジ木製アクティビティテーブル</v>
      </c>
    </row>
    <row r="2194" ht="15.75" customHeight="1">
      <c r="A2194" s="1">
        <v>7824.0</v>
      </c>
      <c r="B2194" s="1" t="s">
        <v>15</v>
      </c>
      <c r="C2194" s="1" t="s">
        <v>2086</v>
      </c>
      <c r="D2194" s="1" t="str">
        <f>IFERROR(__xludf.DUMMYFUNCTION("CONCATENATE(GOOGLETRANSLATE(C2194, ""en"", ""zh-cn""))"),"蜘蛛侠和朋友们儿童折叠活动桌")</f>
        <v>蜘蛛侠和朋友们儿童折叠活动桌</v>
      </c>
      <c r="E2194" s="1" t="str">
        <f>IFERROR(__xludf.DUMMYFUNCTION("CONCATENATE(GOOGLETRANSLATE(C2194, ""en"", ""ko""))"),"스파이더맨과 친구들 어린이 접이식 활동 테이블")</f>
        <v>스파이더맨과 친구들 어린이 접이식 활동 테이블</v>
      </c>
      <c r="F2194" s="1" t="str">
        <f>IFERROR(__xludf.DUMMYFUNCTION("CONCATENATE(GOOGLETRANSLATE(C2194, ""en"", ""ja""))"),"スパイディ&amp;フレンズ キッズ折りたたみアクティビティテーブル")</f>
        <v>スパイディ&amp;フレンズ キッズ折りたたみアクティビティテーブル</v>
      </c>
    </row>
    <row r="2195" ht="15.75" customHeight="1">
      <c r="A2195" s="1">
        <v>7827.0</v>
      </c>
      <c r="B2195" s="1" t="s">
        <v>15</v>
      </c>
      <c r="C2195" s="1" t="s">
        <v>2087</v>
      </c>
      <c r="D2195" s="1" t="str">
        <f>IFERROR(__xludf.DUMMYFUNCTION("CONCATENATE(GOOGLETRANSLATE(C2195, ""en"", ""zh-cn""))"),"西榆树活动桌")</f>
        <v>西榆树活动桌</v>
      </c>
      <c r="E2195" s="1" t="str">
        <f>IFERROR(__xludf.DUMMYFUNCTION("CONCATENATE(GOOGLETRANSLATE(C2195, ""en"", ""ko""))"),"West Elm 활동 표")</f>
        <v>West Elm 활동 표</v>
      </c>
      <c r="F2195" s="1" t="str">
        <f>IFERROR(__xludf.DUMMYFUNCTION("CONCATENATE(GOOGLETRANSLATE(C2195, ""en"", ""ja""))"),"ウェストエルム活動表")</f>
        <v>ウェストエルム活動表</v>
      </c>
    </row>
    <row r="2196" ht="15.75" customHeight="1">
      <c r="A2196" s="1">
        <v>7828.0</v>
      </c>
      <c r="B2196" s="1" t="s">
        <v>15</v>
      </c>
      <c r="C2196" s="1" t="s">
        <v>2088</v>
      </c>
      <c r="D2196" s="1" t="str">
        <f>IFERROR(__xludf.DUMMYFUNCTION("CONCATENATE(GOOGLETRANSLATE(C2196, ""en"", ""zh-cn""))"),"您的区域折叠儿童活动桌")</f>
        <v>您的区域折叠儿童活动桌</v>
      </c>
      <c r="E2196" s="1" t="str">
        <f>IFERROR(__xludf.DUMMYFUNCTION("CONCATENATE(GOOGLETRANSLATE(C2196, ""en"", ""ko""))"),"Your Zone 접이식 어린이 활동 테이블")</f>
        <v>Your Zone 접이식 어린이 활동 테이블</v>
      </c>
      <c r="F2196" s="1" t="str">
        <f>IFERROR(__xludf.DUMMYFUNCTION("CONCATENATE(GOOGLETRANSLATE(C2196, ""en"", ""ja""))"),"Your Zone 折りたたみ式子供用アクティビティテーブル")</f>
        <v>Your Zone 折りたたみ式子供用アクティビティテーブル</v>
      </c>
    </row>
    <row r="2197" ht="15.75" customHeight="1">
      <c r="A2197" s="1">
        <v>7829.0</v>
      </c>
      <c r="B2197" s="1" t="s">
        <v>15</v>
      </c>
      <c r="C2197" s="1" t="s">
        <v>2089</v>
      </c>
      <c r="D2197" s="1" t="str">
        <f>IFERROR(__xludf.DUMMYFUNCTION("CONCATENATE(GOOGLETRANSLATE(C2197, ""en"", ""zh-cn""))"),"Nilo 儿童活动桌套装")</f>
        <v>Nilo 儿童活动桌套装</v>
      </c>
      <c r="E2197" s="1" t="str">
        <f>IFERROR(__xludf.DUMMYFUNCTION("CONCATENATE(GOOGLETRANSLATE(C2197, ""en"", ""ko""))"),"Nilo 키즈 활동 테이블 세트")</f>
        <v>Nilo 키즈 활동 테이블 세트</v>
      </c>
      <c r="F2197" s="1" t="str">
        <f>IFERROR(__xludf.DUMMYFUNCTION("CONCATENATE(GOOGLETRANSLATE(C2197, ""en"", ""ja""))"),"Nilo キッズアクティビティテーブルセット")</f>
        <v>Nilo キッズアクティビティテーブルセット</v>
      </c>
    </row>
    <row r="2198" ht="15.75" customHeight="1">
      <c r="A2198" s="1">
        <v>7844.0</v>
      </c>
      <c r="B2198" s="1" t="s">
        <v>15</v>
      </c>
      <c r="C2198" s="1" t="s">
        <v>2090</v>
      </c>
      <c r="D2198" s="1" t="str">
        <f>IFERROR(__xludf.DUMMYFUNCTION("CONCATENATE(GOOGLETRANSLATE(C2198, ""en"", ""zh-cn""))"),"Ogears 感官桌、儿童活动桌、带垃圾箱的木制游戏桌、蒙特梭利桌、黑板和白板")</f>
        <v>Ogears 感官桌、儿童活动桌、带垃圾箱的木制游戏桌、蒙特梭利桌、黑板和白板</v>
      </c>
      <c r="E2198" s="1" t="str">
        <f>IFERROR(__xludf.DUMMYFUNCTION("CONCATENATE(GOOGLETRANSLATE(C2198, ""en"", ""ko""))"),"Ogears 감각 테이블, 어린이 활동 테이블, 쓰레기통이 있는 나무 놀이 테이블, 몬테소리 테이블, 분필판 및 화이트보드")</f>
        <v>Ogears 감각 테이블, 어린이 활동 테이블, 쓰레기통이 있는 나무 놀이 테이블, 몬테소리 테이블, 분필판 및 화이트보드</v>
      </c>
      <c r="F2198" s="1" t="str">
        <f>IFERROR(__xludf.DUMMYFUNCTION("CONCATENATE(GOOGLETRANSLATE(C2198, ""en"", ""ja""))"),"Ogears 感覚テーブル、キッズアクティビティテーブル、ゴミ箱付き木製プレイテーブル、モンテッソーリテーブル、チョークボード、ホワイトボード")</f>
        <v>Ogears 感覚テーブル、キッズアクティビティテーブル、ゴミ箱付き木製プレイテーブル、モンテッソーリテーブル、チョークボード、ホワイトボード</v>
      </c>
    </row>
    <row r="2199" ht="15.75" customHeight="1">
      <c r="A2199" s="1">
        <v>7849.0</v>
      </c>
      <c r="B2199" s="1" t="s">
        <v>15</v>
      </c>
      <c r="C2199" s="1" t="s">
        <v>2091</v>
      </c>
      <c r="D2199" s="1" t="str">
        <f>IFERROR(__xludf.DUMMYFUNCTION("CONCATENATE(GOOGLETRANSLATE(C2199, ""en"", ""zh-cn""))"),"Lifetime 4 英尺圆角桌 280560")</f>
        <v>Lifetime 4 英尺圆角桌 280560</v>
      </c>
      <c r="E2199" s="1" t="str">
        <f>IFERROR(__xludf.DUMMYFUNCTION("CONCATENATE(GOOGLETRANSLATE(C2199, ""en"", ""ko""))"),"평생 4피트 필렛 테이블 280560")</f>
        <v>평생 4피트 필렛 테이블 280560</v>
      </c>
      <c r="F2199" s="1" t="str">
        <f>IFERROR(__xludf.DUMMYFUNCTION("CONCATENATE(GOOGLETRANSLATE(C2199, ""en"", ""ja""))"),"ライフタイム 4 フィート フィレット テーブル 280560")</f>
        <v>ライフタイム 4 フィート フィレット テーブル 280560</v>
      </c>
    </row>
    <row r="2200" ht="15.75" customHeight="1">
      <c r="A2200" s="1">
        <v>7851.0</v>
      </c>
      <c r="B2200" s="1" t="s">
        <v>15</v>
      </c>
      <c r="C2200" s="1" t="s">
        <v>2092</v>
      </c>
      <c r="D2200" s="1" t="str">
        <f>IFERROR(__xludf.DUMMYFUNCTION("CONCATENATE(GOOGLETRANSLATE(C2200, ""en"", ""zh-cn""))"),"情感瓦萨奇独木舟")</f>
        <v>情感瓦萨奇独木舟</v>
      </c>
      <c r="E2200" s="1" t="str">
        <f>IFERROR(__xludf.DUMMYFUNCTION("CONCATENATE(GOOGLETRANSLATE(C2200, ""en"", ""ko""))"),"감정 와사치 카누")</f>
        <v>감정 와사치 카누</v>
      </c>
      <c r="F2200" s="1" t="str">
        <f>IFERROR(__xludf.DUMMYFUNCTION("CONCATENATE(GOOGLETRANSLATE(C2200, ""en"", ""ja""))"),"エモーションワサッチカヌー")</f>
        <v>エモーションワサッチカヌー</v>
      </c>
    </row>
    <row r="2201" ht="15.75" customHeight="1">
      <c r="A2201" s="1">
        <v>7853.0</v>
      </c>
      <c r="B2201" s="1" t="s">
        <v>15</v>
      </c>
      <c r="C2201" s="1" t="s">
        <v>2093</v>
      </c>
      <c r="D2201" s="1" t="str">
        <f>IFERROR(__xludf.DUMMYFUNCTION("CONCATENATE(GOOGLETRANSLATE(C2201, ""en"", ""zh-cn""))"),"Springbar家庭露营车")</f>
        <v>Springbar家庭露营车</v>
      </c>
      <c r="E2201" s="1" t="str">
        <f>IFERROR(__xludf.DUMMYFUNCTION("CONCATENATE(GOOGLETRANSLATE(C2201, ""en"", ""ko""))"),"스프링바 패밀리 캠핑카")</f>
        <v>스프링바 패밀리 캠핑카</v>
      </c>
      <c r="F2201" s="1" t="str">
        <f>IFERROR(__xludf.DUMMYFUNCTION("CONCATENATE(GOOGLETRANSLATE(C2201, ""en"", ""ja""))"),"スプリングバー ファミリー キャンピングカー")</f>
        <v>スプリングバー ファミリー キャンピングカー</v>
      </c>
    </row>
    <row r="2202" ht="15.75" customHeight="1">
      <c r="A2202" s="1">
        <v>7855.0</v>
      </c>
      <c r="B2202" s="1" t="s">
        <v>15</v>
      </c>
      <c r="C2202" s="1" t="s">
        <v>2094</v>
      </c>
      <c r="D2202" s="1" t="str">
        <f>IFERROR(__xludf.DUMMYFUNCTION("CONCATENATE(GOOGLETRANSLATE(C2202, ""en"", ""zh-cn""))"),"露营生活：无尽冒险的灵感和想法")</f>
        <v>露营生活：无尽冒险的灵感和想法</v>
      </c>
      <c r="E2202" s="1" t="str">
        <f>IFERROR(__xludf.DUMMYFUNCTION("CONCATENATE(GOOGLETRANSLATE(C2202, ""en"", ""ko""))"),"캠핑 라이프: 끝없는 모험을 위한 영감과 아이디어")</f>
        <v>캠핑 라이프: 끝없는 모험을 위한 영감과 아이디어</v>
      </c>
      <c r="F2202" s="1" t="str">
        <f>IFERROR(__xludf.DUMMYFUNCTION("CONCATENATE(GOOGLETRANSLATE(C2202, ""en"", ""ja""))"),"キャンプライフ: 終わりのない冒険のためのインスピレーションとアイデア")</f>
        <v>キャンプライフ: 終わりのない冒険のためのインスピレーションとアイデア</v>
      </c>
    </row>
    <row r="2203" ht="15.75" customHeight="1">
      <c r="A2203" s="1">
        <v>7867.0</v>
      </c>
      <c r="B2203" s="1" t="s">
        <v>15</v>
      </c>
      <c r="C2203" s="1" t="s">
        <v>2095</v>
      </c>
      <c r="D2203" s="1" t="str">
        <f>IFERROR(__xludf.DUMMYFUNCTION("CONCATENATE(GOOGLETRANSLATE(C2203, ""en"", ""zh-cn""))"),"死前五十个露营地")</f>
        <v>死前五十个露营地</v>
      </c>
      <c r="E2203" s="1" t="str">
        <f>IFERROR(__xludf.DUMMYFUNCTION("CONCATENATE(GOOGLETRANSLATE(C2203, ""en"", ""ko""))"),"죽기 전에 캠핑할 수 있는 50가지 장소")</f>
        <v>죽기 전에 캠핑할 수 있는 50가지 장소</v>
      </c>
      <c r="F2203" s="1" t="str">
        <f>IFERROR(__xludf.DUMMYFUNCTION("CONCATENATE(GOOGLETRANSLATE(C2203, ""en"", ""ja""))"),"死ぬまでにキャンプしたい50の場所")</f>
        <v>死ぬまでにキャンプしたい50の場所</v>
      </c>
    </row>
    <row r="2204" ht="15.75" customHeight="1">
      <c r="A2204" s="1">
        <v>7868.0</v>
      </c>
      <c r="B2204" s="1" t="s">
        <v>15</v>
      </c>
      <c r="C2204" s="1" t="s">
        <v>2096</v>
      </c>
      <c r="D2204" s="1" t="str">
        <f>IFERROR(__xludf.DUMMYFUNCTION("CONCATENATE(GOOGLETRANSLATE(C2204, ""en"", ""zh-cn""))"),"HEIMPLANET 恢复小牛队")</f>
        <v>HEIMPLANET 恢复小牛队</v>
      </c>
      <c r="E2204" s="1" t="str">
        <f>IFERROR(__xludf.DUMMYFUNCTION("CONCATENATE(GOOGLETRANSLATE(C2204, ""en"", ""ko""))"),"HEIMPLANET 리스토어드 매버릭스")</f>
        <v>HEIMPLANET 리스토어드 매버릭스</v>
      </c>
      <c r="F2204" s="1" t="str">
        <f>IFERROR(__xludf.DUMMYFUNCTION("CONCATENATE(GOOGLETRANSLATE(C2204, ""en"", ""ja""))"),"HEIMPLANET が復元したマーベリックス")</f>
        <v>HEIMPLANET が復元したマーベリックス</v>
      </c>
    </row>
    <row r="2205" ht="15.75" customHeight="1">
      <c r="A2205" s="1">
        <v>7880.0</v>
      </c>
      <c r="B2205" s="1" t="s">
        <v>15</v>
      </c>
      <c r="C2205" s="1" t="s">
        <v>2097</v>
      </c>
      <c r="D2205" s="1" t="str">
        <f>IFERROR(__xludf.DUMMYFUNCTION("CONCATENATE(GOOGLETRANSLATE(C2205, ""en"", ""zh-cn""))"),"Lifetime Flooring LLC 露营床")</f>
        <v>Lifetime Flooring LLC 露营床</v>
      </c>
      <c r="E2205" s="1" t="str">
        <f>IFERROR(__xludf.DUMMYFUNCTION("CONCATENATE(GOOGLETRANSLATE(C2205, ""en"", ""ko""))"),"평생 바닥재 LLC 캠핑 간이침대")</f>
        <v>평생 바닥재 LLC 캠핑 간이침대</v>
      </c>
      <c r="F2205" s="1" t="str">
        <f>IFERROR(__xludf.DUMMYFUNCTION("CONCATENATE(GOOGLETRANSLATE(C2205, ""en"", ""ja""))"),"ライフタイム フロアリング LLC キャンプ コット")</f>
        <v>ライフタイム フロアリング LLC キャンプ コット</v>
      </c>
    </row>
    <row r="2206" ht="15.75" customHeight="1">
      <c r="A2206" s="1">
        <v>7881.0</v>
      </c>
      <c r="B2206" s="1" t="s">
        <v>15</v>
      </c>
      <c r="C2206" s="1" t="s">
        <v>2098</v>
      </c>
      <c r="D2206" s="1" t="str">
        <f>IFERROR(__xludf.DUMMYFUNCTION("CONCATENATE(GOOGLETRANSLATE(C2206, ""en"", ""zh-cn""))"),"麦哲伦户外任务 8 人小屋帐篷")</f>
        <v>麦哲伦户外任务 8 人小屋帐篷</v>
      </c>
      <c r="E2206" s="1" t="str">
        <f>IFERROR(__xludf.DUMMYFUNCTION("CONCATENATE(GOOGLETRANSLATE(C2206, ""en"", ""ko""))"),"마젤란 아웃도어 미션 8인용 캐빈 텐트")</f>
        <v>마젤란 아웃도어 미션 8인용 캐빈 텐트</v>
      </c>
      <c r="F2206" s="1" t="str">
        <f>IFERROR(__xludf.DUMMYFUNCTION("CONCATENATE(GOOGLETRANSLATE(C2206, ""en"", ""ja""))"),"マゼラン アウトドア ミッション 8 人用キャビン テント")</f>
        <v>マゼラン アウトドア ミッション 8 人用キャビン テント</v>
      </c>
    </row>
    <row r="2207" ht="15.75" customHeight="1">
      <c r="A2207" s="1">
        <v>7887.0</v>
      </c>
      <c r="B2207" s="1" t="s">
        <v>15</v>
      </c>
      <c r="C2207" s="1" t="s">
        <v>2099</v>
      </c>
      <c r="D2207" s="1" t="str">
        <f>IFERROR(__xludf.DUMMYFUNCTION("CONCATENATE(GOOGLETRANSLATE(C2207, ""en"", ""zh-cn""))"),"Ozark Trail Hazel Creek 12 人小屋帐篷")</f>
        <v>Ozark Trail Hazel Creek 12 人小屋帐篷</v>
      </c>
      <c r="E2207" s="1" t="str">
        <f>IFERROR(__xludf.DUMMYFUNCTION("CONCATENATE(GOOGLETRANSLATE(C2207, ""en"", ""ko""))"),"오자크 트레일 헤이즐 크릭 12인용 캐빈 텐트")</f>
        <v>오자크 트레일 헤이즐 크릭 12인용 캐빈 텐트</v>
      </c>
      <c r="F2207" s="1" t="str">
        <f>IFERROR(__xludf.DUMMYFUNCTION("CONCATENATE(GOOGLETRANSLATE(C2207, ""en"", ""ja""))"),"オザーク トレイル ヘーゼル クリーク 12 人用キャビン テント")</f>
        <v>オザーク トレイル ヘーゼル クリーク 12 人用キャビン テント</v>
      </c>
    </row>
    <row r="2208" ht="15.75" customHeight="1">
      <c r="A2208" s="1">
        <v>7897.0</v>
      </c>
      <c r="B2208" s="1" t="s">
        <v>15</v>
      </c>
      <c r="C2208" s="1" t="s">
        <v>2100</v>
      </c>
      <c r="D2208" s="1" t="str">
        <f>IFERROR(__xludf.DUMMYFUNCTION("CONCATENATE(GOOGLETRANSLATE(C2208, ""en"", ""zh-cn""))"),"Ozark Trail 8 人连接带屏风门廊")</f>
        <v>Ozark Trail 8 人连接带屏风门廊</v>
      </c>
      <c r="E2208" s="1" t="str">
        <f>IFERROR(__xludf.DUMMYFUNCTION("CONCATENATE(GOOGLETRANSLATE(C2208, ""en"", ""ko""))"),"오자크 트레일 8인용 스크린 포치 연결")</f>
        <v>오자크 트레일 8인용 스크린 포치 연결</v>
      </c>
      <c r="F2208" s="1" t="str">
        <f>IFERROR(__xludf.DUMMYFUNCTION("CONCATENATE(GOOGLETRANSLATE(C2208, ""en"", ""ja""))"),"オザーク トレイル 8 人接続 スクリーン ポーチ付き")</f>
        <v>オザーク トレイル 8 人接続 スクリーン ポーチ付き</v>
      </c>
    </row>
    <row r="2209" ht="15.75" customHeight="1">
      <c r="A2209" s="1">
        <v>7898.0</v>
      </c>
      <c r="B2209" s="1" t="s">
        <v>15</v>
      </c>
      <c r="C2209" s="1" t="s">
        <v>2101</v>
      </c>
      <c r="D2209" s="1" t="str">
        <f>IFERROR(__xludf.DUMMYFUNCTION("CONCATENATE(GOOGLETRANSLATE(C2209, ""en"", ""zh-cn""))"),"奥索卡步道豪华扶手椅")</f>
        <v>奥索卡步道豪华扶手椅</v>
      </c>
      <c r="E2209" s="1" t="str">
        <f>IFERROR(__xludf.DUMMYFUNCTION("CONCATENATE(GOOGLETRANSLATE(C2209, ""en"", ""ko""))"),"Ozark Trail 디럭스 팔 의자")</f>
        <v>Ozark Trail 디럭스 팔 의자</v>
      </c>
      <c r="F2209" s="1" t="str">
        <f>IFERROR(__xludf.DUMMYFUNCTION("CONCATENATE(GOOGLETRANSLATE(C2209, ""en"", ""ja""))"),"オザーク トレイル デラックス アームチェア")</f>
        <v>オザーク トレイル デラックス アームチェア</v>
      </c>
    </row>
    <row r="2210" ht="15.75" customHeight="1">
      <c r="A2210" s="1">
        <v>7899.0</v>
      </c>
      <c r="B2210" s="1" t="s">
        <v>15</v>
      </c>
      <c r="C2210" s="1" t="s">
        <v>2102</v>
      </c>
      <c r="D2210" s="1" t="str">
        <f>IFERROR(__xludf.DUMMYFUNCTION("CONCATENATE(GOOGLETRANSLATE(C2210, ""en"", ""zh-cn""))"),"Ozark Trail 4 人露营圆顶帐篷")</f>
        <v>Ozark Trail 4 人露营圆顶帐篷</v>
      </c>
      <c r="E2210" s="1" t="str">
        <f>IFERROR(__xludf.DUMMYFUNCTION("CONCATENATE(GOOGLETRANSLATE(C2210, ""en"", ""ko""))"),"오자크 트레일 4인용 캠핑 돔 텐트")</f>
        <v>오자크 트레일 4인용 캠핑 돔 텐트</v>
      </c>
      <c r="F2210" s="1" t="str">
        <f>IFERROR(__xludf.DUMMYFUNCTION("CONCATENATE(GOOGLETRANSLATE(C2210, ""en"", ""ja""))"),"オザーク トレイル 4 人用キャンプ ドーム テント")</f>
        <v>オザーク トレイル 4 人用キャンプ ドーム テント</v>
      </c>
    </row>
    <row r="2211" ht="15.75" customHeight="1">
      <c r="A2211" s="1">
        <v>7905.0</v>
      </c>
      <c r="B2211" s="1" t="s">
        <v>15</v>
      </c>
      <c r="C2211" s="1" t="s">
        <v>2103</v>
      </c>
      <c r="D2211" s="1" t="str">
        <f>IFERROR(__xludf.DUMMYFUNCTION("CONCATENATE(GOOGLETRANSLATE(C2211, ""en"", ""zh-cn""))"),"Ozark Trail，21' x 15' x 78” 10 人家庭露营帐篷，26.4 磅_")</f>
        <v>Ozark Trail，21' x 15' x 78” 10 人家庭露营帐篷，26.4 磅_</v>
      </c>
      <c r="E2211" s="1" t="str">
        <f>IFERROR(__xludf.DUMMYFUNCTION("CONCATENATE(GOOGLETRANSLATE(C2211, ""en"", ""ko""))"),"Ozark Trail, 21' x 15' x 78"" 10인용 가족 캠핑 텐트, 26.4 lbs_")</f>
        <v>Ozark Trail, 21' x 15' x 78" 10인용 가족 캠핑 텐트, 26.4 lbs_</v>
      </c>
      <c r="F2211" s="1" t="str">
        <f>IFERROR(__xludf.DUMMYFUNCTION("CONCATENATE(GOOGLETRANSLATE(C2211, ""en"", ""ja""))"),"オザーク トレイル、21 フィート x 15 フィート x 78 インチ 10 人用ファミリー キャンプ テント、26.4 ポンド_")</f>
        <v>オザーク トレイル、21 フィート x 15 フィート x 78 インチ 10 人用ファミリー キャンプ テント、26.4 ポンド_</v>
      </c>
    </row>
    <row r="2212" ht="15.75" customHeight="1">
      <c r="A2212" s="1">
        <v>7912.0</v>
      </c>
      <c r="B2212" s="1" t="s">
        <v>15</v>
      </c>
      <c r="C2212" s="1" t="s">
        <v>2104</v>
      </c>
      <c r="D2212" s="1" t="str">
        <f>IFERROR(__xludf.DUMMYFUNCTION("CONCATENATE(GOOGLETRANSLATE(C2212, ""en"", ""zh-cn""))"),"奥索卡步道 6 人夹式营地圆顶帐篷")</f>
        <v>奥索卡步道 6 人夹式营地圆顶帐篷</v>
      </c>
      <c r="E2212" s="1" t="str">
        <f>IFERROR(__xludf.DUMMYFUNCTION("CONCATENATE(GOOGLETRANSLATE(C2212, ""en"", ""ko""))"),"오자크 트레일 6인용 클립 &amp; 캠프 돔 텐트")</f>
        <v>오자크 트레일 6인용 클립 &amp; 캠프 돔 텐트</v>
      </c>
      <c r="F2212" s="1" t="str">
        <f>IFERROR(__xludf.DUMMYFUNCTION("CONCATENATE(GOOGLETRANSLATE(C2212, ""en"", ""ja""))"),"オザーク トレイル 6 人用クリップ &amp; キャンプ ドーム テント")</f>
        <v>オザーク トレイル 6 人用クリップ &amp; キャンプ ドーム テント</v>
      </c>
    </row>
    <row r="2213" ht="15.75" customHeight="1">
      <c r="A2213" s="1">
        <v>7928.0</v>
      </c>
      <c r="B2213" s="1" t="s">
        <v>15</v>
      </c>
      <c r="C2213" s="1" t="s">
        <v>2105</v>
      </c>
      <c r="D2213" s="1" t="str">
        <f>IFERROR(__xludf.DUMMYFUNCTION("CONCATENATE(GOOGLETRANSLATE(C2213, ""en"", ""zh-cn""))"),"DRIVE AUTO 产品 Drive Auto 汽车后备箱收纳盒 可折叠多隔层汽车 SUV 汽车收纳盒，带可调节肩带")</f>
        <v>DRIVE AUTO 产品 Drive Auto 汽车后备箱收纳盒 可折叠多隔层汽车 SUV 汽车收纳盒，带可调节肩带</v>
      </c>
      <c r="E2213" s="1" t="str">
        <f>IFERROR(__xludf.DUMMYFUNCTION("CONCATENATE(GOOGLETRANSLATE(C2213, ""en"", ""ko""))"),"드라이브 자동차 제품 드라이브 자동차 자동차 트렁크 주최자 접이식 다구획 자동차 SUV 자동차 주최자(조절 가능한 스트랩 포함)")</f>
        <v>드라이브 자동차 제품 드라이브 자동차 자동차 트렁크 주최자 접이식 다구획 자동차 SUV 자동차 주최자(조절 가능한 스트랩 포함)</v>
      </c>
      <c r="F2213" s="1" t="str">
        <f>IFERROR(__xludf.DUMMYFUNCTION("CONCATENATE(GOOGLETRANSLATE(C2213, ""en"", ""ja""))"),"DRIVE AUTO PRODUCTS Drive Auto 車のトランク オーガナイザー 折りたたみ式マルチコンパートメント 自動車 SUV カー オーガナイザー 収納用 調節可能なストラップ付き")</f>
        <v>DRIVE AUTO PRODUCTS Drive Auto 車のトランク オーガナイザー 折りたたみ式マルチコンパートメント 自動車 SUV カー オーガナイザー 収納用 調節可能なストラップ付き</v>
      </c>
    </row>
    <row r="2214" ht="15.75" customHeight="1">
      <c r="A2214" s="1">
        <v>7930.0</v>
      </c>
      <c r="B2214" s="1" t="s">
        <v>15</v>
      </c>
      <c r="C2214" s="1" t="s">
        <v>2106</v>
      </c>
      <c r="D2214" s="1" t="str">
        <f>IFERROR(__xludf.DUMMYFUNCTION("CONCATENATE(GOOGLETRANSLATE(C2214, ""en"", ""zh-cn""))"),"6 件套闪亮汽车配件套装")</f>
        <v>6 件套闪亮汽车配件套装</v>
      </c>
      <c r="E2214" s="1" t="str">
        <f>IFERROR(__xludf.DUMMYFUNCTION("CONCATENATE(GOOGLETRANSLATE(C2214, ""en"", ""ko""))"),"6피스 블링 자동차 액세서리 세트")</f>
        <v>6피스 블링 자동차 액세서리 세트</v>
      </c>
      <c r="F2214" s="1" t="str">
        <f>IFERROR(__xludf.DUMMYFUNCTION("CONCATENATE(GOOGLETRANSLATE(C2214, ""en"", ""ja""))"),"キラキラ輝くオートアクセサリー6点セット")</f>
        <v>キラキラ輝くオートアクセサリー6点セット</v>
      </c>
    </row>
    <row r="2215" ht="15.75" customHeight="1">
      <c r="A2215" s="1">
        <v>7935.0</v>
      </c>
      <c r="B2215" s="1" t="s">
        <v>15</v>
      </c>
      <c r="C2215" s="1" t="s">
        <v>2107</v>
      </c>
      <c r="D2215" s="1" t="str">
        <f>IFERROR(__xludf.DUMMYFUNCTION("CONCATENATE(GOOGLETRANSLATE(C2215, ""en"", ""zh-cn""))"),"带杯架和储物空间的自动驾驶后座整理器")</f>
        <v>带杯架和储物空间的自动驾驶后座整理器</v>
      </c>
      <c r="E2215" s="1" t="str">
        <f>IFERROR(__xludf.DUMMYFUNCTION("CONCATENATE(GOOGLETRANSLATE(C2215, ""en"", ""ko""))"),"컵 홀더와 보관함을 갖춘 자동 운전 뒷좌석 정리함")</f>
        <v>컵 홀더와 보관함을 갖춘 자동 운전 뒷좌석 정리함</v>
      </c>
      <c r="F2215" s="1" t="str">
        <f>IFERROR(__xludf.DUMMYFUNCTION("CONCATENATE(GOOGLETRANSLATE(C2215, ""en"", ""ja""))"),"Auto Drive 後部座席オーガナイザー (カップホルダーと収納付き)")</f>
        <v>Auto Drive 後部座席オーガナイザー (カップホルダーと収納付き)</v>
      </c>
    </row>
    <row r="2216" ht="15.75" customHeight="1">
      <c r="A2216" s="1">
        <v>7954.0</v>
      </c>
      <c r="B2216" s="1" t="s">
        <v>15</v>
      </c>
      <c r="C2216" s="1" t="s">
        <v>2108</v>
      </c>
      <c r="D2216" s="1" t="str">
        <f>IFERROR(__xludf.DUMMYFUNCTION("CONCATENATE(GOOGLETRANSLATE(C2216, ""en"", ""zh-cn""))"),"汽车驾驶定制汽车橡胶脚垫")</f>
        <v>汽车驾驶定制汽车橡胶脚垫</v>
      </c>
      <c r="E2216" s="1" t="str">
        <f>IFERROR(__xludf.DUMMYFUNCTION("CONCATENATE(GOOGLETRANSLATE(C2216, ""en"", ""ko""))"),"자동 드라이브 맞춤형 자동차 고무 바닥 매트")</f>
        <v>자동 드라이브 맞춤형 자동차 고무 바닥 매트</v>
      </c>
      <c r="F2216" s="1" t="str">
        <f>IFERROR(__xludf.DUMMYFUNCTION("CONCATENATE(GOOGLETRANSLATE(C2216, ""en"", ""ja""))"),"オートドライブカスタムフィットカーラバーフロアマット")</f>
        <v>オートドライブカスタムフィットカーラバーフロアマット</v>
      </c>
    </row>
    <row r="2217" ht="15.75" customHeight="1">
      <c r="A2217" s="1">
        <v>7968.0</v>
      </c>
      <c r="B2217" s="1" t="s">
        <v>15</v>
      </c>
      <c r="C2217" s="1" t="s">
        <v>2109</v>
      </c>
      <c r="D2217" s="1" t="str">
        <f>IFERROR(__xludf.DUMMYFUNCTION("CONCATENATE(GOOGLETRANSLATE(C2217, ""en"", ""zh-cn""))"),"Armor All National 汽车护理套件")</f>
        <v>Armor All National 汽车护理套件</v>
      </c>
      <c r="E2217" s="1" t="str">
        <f>IFERROR(__xludf.DUMMYFUNCTION("CONCATENATE(GOOGLETRANSLATE(C2217, ""en"", ""ko""))"),"Armor All National 자동차 관리 키트")</f>
        <v>Armor All National 자동차 관리 키트</v>
      </c>
      <c r="F2217" s="1" t="str">
        <f>IFERROR(__xludf.DUMMYFUNCTION("CONCATENATE(GOOGLETRANSLATE(C2217, ""en"", ""ja""))"),"アーマーオールナショナルカーケアキット")</f>
        <v>アーマーオールナショナルカーケアキット</v>
      </c>
    </row>
    <row r="2218" ht="15.75" customHeight="1">
      <c r="A2218" s="1">
        <v>7970.0</v>
      </c>
      <c r="B2218" s="1" t="s">
        <v>15</v>
      </c>
      <c r="C2218" s="1" t="s">
        <v>2110</v>
      </c>
      <c r="D2218" s="1" t="str">
        <f>IFERROR(__xludf.DUMMYFUNCTION("CONCATENATE(GOOGLETRANSLATE(C2218, ""en"", ""zh-cn""))"),"Armor All 3 件式全覆盖脚垫")</f>
        <v>Armor All 3 件式全覆盖脚垫</v>
      </c>
      <c r="E2218" s="1" t="str">
        <f>IFERROR(__xludf.DUMMYFUNCTION("CONCATENATE(GOOGLETRANSLATE(C2218, ""en"", ""ko""))"),"Armor All 3피스 풀 커버리지 바닥 매트")</f>
        <v>Armor All 3피스 풀 커버리지 바닥 매트</v>
      </c>
      <c r="F2218" s="1" t="str">
        <f>IFERROR(__xludf.DUMMYFUNCTION("CONCATENATE(GOOGLETRANSLATE(C2218, ""en"", ""ja""))"),"Armor All 3 ピース フルカバレッジ フロア マット")</f>
        <v>Armor All 3 ピース フルカバレッジ フロア マット</v>
      </c>
    </row>
    <row r="2219" ht="15.75" customHeight="1">
      <c r="A2219" s="1">
        <v>7983.0</v>
      </c>
      <c r="B2219" s="1" t="s">
        <v>15</v>
      </c>
      <c r="C2219" s="1" t="s">
        <v>2111</v>
      </c>
      <c r="D2219" s="1" t="str">
        <f>IFERROR(__xludf.DUMMYFUNCTION("CONCATENATE(GOOGLETRANSLATE(C2219, ""en"", ""zh-cn""))"),"Armor All 空气清新防护剂冷雾")</f>
        <v>Armor All 空气清新防护剂冷雾</v>
      </c>
      <c r="E2219" s="1" t="str">
        <f>IFERROR(__xludf.DUMMYFUNCTION("CONCATENATE(GOOGLETRANSLATE(C2219, ""en"", ""ko""))"),"아머올 공기청정 프로텍턴트 쿨 미스트")</f>
        <v>아머올 공기청정 프로텍턴트 쿨 미스트</v>
      </c>
      <c r="F2219" s="1" t="str">
        <f>IFERROR(__xludf.DUMMYFUNCTION("CONCATENATE(GOOGLETRANSLATE(C2219, ""en"", ""ja""))"),"アーマーオール エアフレッシュニング プロテクタント クールミスト")</f>
        <v>アーマーオール エアフレッシュニング プロテクタント クールミスト</v>
      </c>
    </row>
    <row r="2220" ht="15.75" customHeight="1">
      <c r="A2220" s="1">
        <v>7985.0</v>
      </c>
      <c r="B2220" s="1" t="s">
        <v>15</v>
      </c>
      <c r="C2220" s="1" t="s">
        <v>2112</v>
      </c>
      <c r="D2220" s="1" t="str">
        <f>IFERROR(__xludf.DUMMYFUNCTION("CONCATENATE(GOOGLETRANSLATE(C2220, ""en"", ""zh-cn""))"),"Armor All AA07V2 0901 无绳车载吸尘器")</f>
        <v>Armor All AA07V2 0901 无绳车载吸尘器</v>
      </c>
      <c r="E2220" s="1" t="str">
        <f>IFERROR(__xludf.DUMMYFUNCTION("CONCATENATE(GOOGLETRANSLATE(C2220, ""en"", ""ko""))"),"Armor All AA07V2 0901 무선 자동차 진공청소기")</f>
        <v>Armor All AA07V2 0901 무선 자동차 진공청소기</v>
      </c>
      <c r="F2220" s="1" t="str">
        <f>IFERROR(__xludf.DUMMYFUNCTION("CONCATENATE(GOOGLETRANSLATE(C2220, ""en"", ""ja""))"),"アーマーオール コードレスカーバキューム AA07V2 0901")</f>
        <v>アーマーオール コードレスカーバキューム AA07V2 0901</v>
      </c>
    </row>
    <row r="2221" ht="15.75" customHeight="1">
      <c r="A2221" s="1">
        <v>7990.0</v>
      </c>
      <c r="B2221" s="1" t="s">
        <v>15</v>
      </c>
      <c r="C2221" s="1" t="s">
        <v>2113</v>
      </c>
      <c r="D2221" s="1" t="str">
        <f>IFERROR(__xludf.DUMMYFUNCTION("CONCATENATE(GOOGLETRANSLATE(C2221, ""en"", ""zh-cn""))"),"装甲全洗车套件")</f>
        <v>装甲全洗车套件</v>
      </c>
      <c r="E2221" s="1" t="str">
        <f>IFERROR(__xludf.DUMMYFUNCTION("CONCATENATE(GOOGLETRANSLATE(C2221, ""en"", ""ko""))"),"Armor 모든 세차 키트")</f>
        <v>Armor 모든 세차 키트</v>
      </c>
      <c r="F2221" s="1" t="str">
        <f>IFERROR(__xludf.DUMMYFUNCTION("CONCATENATE(GOOGLETRANSLATE(C2221, ""en"", ""ja""))"),"アーマーオール洗車キット")</f>
        <v>アーマーオール洗車キット</v>
      </c>
    </row>
    <row r="2222" ht="15.75" customHeight="1">
      <c r="A2222" s="1">
        <v>7991.0</v>
      </c>
      <c r="B2222" s="1" t="s">
        <v>15</v>
      </c>
      <c r="C2222" s="1" t="s">
        <v>2114</v>
      </c>
      <c r="D2222" s="1" t="str">
        <f>IFERROR(__xludf.DUMMYFUNCTION("CONCATENATE(GOOGLETRANSLATE(C2222, ""en"", ""zh-cn""))"),"Armor All Outlast 防护剂")</f>
        <v>Armor All Outlast 防护剂</v>
      </c>
      <c r="E2222" s="1" t="str">
        <f>IFERROR(__xludf.DUMMYFUNCTION("CONCATENATE(GOOGLETRANSLATE(C2222, ""en"", ""ko""))"),"방어구 모든 지속성 보호제")</f>
        <v>방어구 모든 지속성 보호제</v>
      </c>
      <c r="F2222" s="1" t="str">
        <f>IFERROR(__xludf.DUMMYFUNCTION("CONCATENATE(GOOGLETRANSLATE(C2222, ""en"", ""ja""))"),"アーマー オール アウトラスト プロテクタント")</f>
        <v>アーマー オール アウトラスト プロテクタント</v>
      </c>
    </row>
    <row r="2223" ht="15.75" customHeight="1">
      <c r="A2223" s="1">
        <v>8006.0</v>
      </c>
      <c r="B2223" s="1" t="s">
        <v>15</v>
      </c>
      <c r="C2223" s="1" t="s">
        <v>2115</v>
      </c>
      <c r="D2223" s="1" t="str">
        <f>IFERROR(__xludf.DUMMYFUNCTION("CONCATENATE(GOOGLETRANSLATE(C2223, ""en"", ""zh-cn""))"),"Armor All 3 件套汽车必需品套件")</f>
        <v>Armor All 3 件套汽车必需品套件</v>
      </c>
      <c r="E2223" s="1" t="str">
        <f>IFERROR(__xludf.DUMMYFUNCTION("CONCATENATE(GOOGLETRANSLATE(C2223, ""en"", ""ko""))"),"Armor 모든 3피스 자동차 필수품 키트")</f>
        <v>Armor 모든 3피스 자동차 필수품 키트</v>
      </c>
      <c r="F2223" s="1" t="str">
        <f>IFERROR(__xludf.DUMMYFUNCTION("CONCATENATE(GOOGLETRANSLATE(C2223, ""en"", ""ja""))"),"Armor All 3 個の車の必需品キット")</f>
        <v>Armor All 3 個の車の必需品キット</v>
      </c>
    </row>
    <row r="2224" ht="15.75" customHeight="1">
      <c r="A2224" s="1">
        <v>8025.0</v>
      </c>
      <c r="B2224" s="1" t="s">
        <v>15</v>
      </c>
      <c r="C2224" s="1" t="s">
        <v>2116</v>
      </c>
      <c r="D2224" s="1" t="str">
        <f>IFERROR(__xludf.DUMMYFUNCTION("CONCATENATE(GOOGLETRANSLATE(C2224, ""en"", ""zh-cn""))"),"佳得乐解渴运动饮料套装 QUA20162")</f>
        <v>佳得乐解渴运动饮料套装 QUA20162</v>
      </c>
      <c r="E2224" s="1" t="str">
        <f>IFERROR(__xludf.DUMMYFUNCTION("CONCATENATE(GOOGLETRANSLATE(C2224, ""en"", ""ko""))"),"게토레이 갈증 해소 스포츠 음료 버라이어티 팩 QUA20162")</f>
        <v>게토레이 갈증 해소 스포츠 음료 버라이어티 팩 QUA20162</v>
      </c>
      <c r="F2224" s="1" t="str">
        <f>IFERROR(__xludf.DUMMYFUNCTION("CONCATENATE(GOOGLETRANSLATE(C2224, ""en"", ""ja""))"),"ゲータレード サースト クエンチャー スポーツドリンク バラエティパック QUA20162")</f>
        <v>ゲータレード サースト クエンチャー スポーツドリンク バラエティパック QUA20162</v>
      </c>
    </row>
    <row r="2225" ht="15.75" customHeight="1">
      <c r="A2225" s="1">
        <v>8033.0</v>
      </c>
      <c r="B2225" s="1" t="s">
        <v>15</v>
      </c>
      <c r="C2225" s="1" t="s">
        <v>2117</v>
      </c>
      <c r="D2225" s="1" t="str">
        <f>IFERROR(__xludf.DUMMYFUNCTION("CONCATENATE(GOOGLETRANSLATE(C2225, ""en"", ""zh-cn""))"),"佳得乐 Discon 水果宾治")</f>
        <v>佳得乐 Discon 水果宾治</v>
      </c>
      <c r="E2225" s="1" t="str">
        <f>IFERROR(__xludf.DUMMYFUNCTION("CONCATENATE(GOOGLETRANSLATE(C2225, ""en"", ""ko""))"),"게토레이 디스콘 과일 펀치")</f>
        <v>게토레이 디스콘 과일 펀치</v>
      </c>
      <c r="F2225" s="1" t="str">
        <f>IFERROR(__xludf.DUMMYFUNCTION("CONCATENATE(GOOGLETRANSLATE(C2225, ""en"", ""ja""))"),"ゲータレード ディスコント フルーツポンチ")</f>
        <v>ゲータレード ディスコント フルーツポンチ</v>
      </c>
    </row>
    <row r="2226" ht="15.75" customHeight="1">
      <c r="A2226" s="1">
        <v>8040.0</v>
      </c>
      <c r="B2226" s="1" t="s">
        <v>15</v>
      </c>
      <c r="C2226" s="1" t="s">
        <v>2118</v>
      </c>
      <c r="D2226" s="1" t="str">
        <f>IFERROR(__xludf.DUMMYFUNCTION("CONCATENATE(GOOGLETRANSLATE(C2226, ""en"", ""zh-cn""))"),"佳得乐烈性葡萄")</f>
        <v>佳得乐烈性葡萄</v>
      </c>
      <c r="E2226" s="1" t="str">
        <f>IFERROR(__xludf.DUMMYFUNCTION("CONCATENATE(GOOGLETRANSLATE(C2226, ""en"", ""ko""))"),"게토레이 피어스 포도")</f>
        <v>게토레이 피어스 포도</v>
      </c>
      <c r="F2226" s="1" t="str">
        <f>IFERROR(__xludf.DUMMYFUNCTION("CONCATENATE(GOOGLETRANSLATE(C2226, ""en"", ""ja""))"),"ゲータレード フィアースグレープ")</f>
        <v>ゲータレード フィアースグレープ</v>
      </c>
    </row>
    <row r="2227" ht="15.75" customHeight="1">
      <c r="A2227" s="1">
        <v>8042.0</v>
      </c>
      <c r="B2227" s="1" t="s">
        <v>15</v>
      </c>
      <c r="C2227" s="1" t="s">
        <v>2119</v>
      </c>
      <c r="D2227" s="1" t="str">
        <f>IFERROR(__xludf.DUMMYFUNCTION("CONCATENATE(GOOGLETRANSLATE(C2227, ""en"", ""zh-cn""))"),"佳得乐 Fast Twitch 能量饮料")</f>
        <v>佳得乐 Fast Twitch 能量饮料</v>
      </c>
      <c r="E2227" s="1" t="str">
        <f>IFERROR(__xludf.DUMMYFUNCTION("CONCATENATE(GOOGLETRANSLATE(C2227, ""en"", ""ko""))"),"게토레이 패스트 트위치 에너지 드링크")</f>
        <v>게토레이 패스트 트위치 에너지 드링크</v>
      </c>
      <c r="F2227" s="1" t="str">
        <f>IFERROR(__xludf.DUMMYFUNCTION("CONCATENATE(GOOGLETRANSLATE(C2227, ""en"", ""ja""))"),"ゲータレード ファスト トゥイッチ エナジー ドリンク")</f>
        <v>ゲータレード ファスト トゥイッチ エナジー ドリンク</v>
      </c>
    </row>
    <row r="2228" ht="15.75" customHeight="1">
      <c r="A2228" s="1">
        <v>8046.0</v>
      </c>
      <c r="B2228" s="1" t="s">
        <v>15</v>
      </c>
      <c r="C2228" s="1" t="s">
        <v>2120</v>
      </c>
      <c r="D2228" s="1" t="str">
        <f>IFERROR(__xludf.DUMMYFUNCTION("CONCATENATE(GOOGLETRANSLATE(C2228, ""en"", ""zh-cn""))"),"佳得乐 20 盎司 24 件")</f>
        <v>佳得乐 20 盎司 24 件</v>
      </c>
      <c r="E2228" s="1" t="str">
        <f>IFERROR(__xludf.DUMMYFUNCTION("CONCATENATE(GOOGLETRANSLATE(C2228, ""en"", ""ko""))"),"게토레이 20온스 24개")</f>
        <v>게토레이 20온스 24개</v>
      </c>
      <c r="F2228" s="1" t="str">
        <f>IFERROR(__xludf.DUMMYFUNCTION("CONCATENATE(GOOGLETRANSLATE(C2228, ""en"", ""ja""))"),"ゲータレード 20オンス 24本")</f>
        <v>ゲータレード 20オンス 24本</v>
      </c>
    </row>
    <row r="2229" ht="15.75" customHeight="1">
      <c r="A2229" s="1">
        <v>8048.0</v>
      </c>
      <c r="B2229" s="1" t="s">
        <v>15</v>
      </c>
      <c r="C2229" s="1" t="s">
        <v>2121</v>
      </c>
      <c r="D2229" s="1" t="str">
        <f>IFERROR(__xludf.DUMMYFUNCTION("CONCATENATE(GOOGLETRANSLATE(C2229, ""en"", ""zh-cn""))"),"宴会原味炸鸡")</f>
        <v>宴会原味炸鸡</v>
      </c>
      <c r="E2229" s="1" t="str">
        <f>IFERROR(__xludf.DUMMYFUNCTION("CONCATENATE(GOOGLETRANSLATE(C2229, ""en"", ""ko""))"),"연회 오리지널 후라이드 치킨")</f>
        <v>연회 오리지널 후라이드 치킨</v>
      </c>
      <c r="F2229" s="1" t="str">
        <f>IFERROR(__xludf.DUMMYFUNCTION("CONCATENATE(GOOGLETRANSLATE(C2229, ""en"", ""ja""))"),"宴会オリジナルフライドチキン")</f>
        <v>宴会オリジナルフライドチキン</v>
      </c>
    </row>
    <row r="2230" ht="15.75" customHeight="1">
      <c r="A2230" s="1">
        <v>8049.0</v>
      </c>
      <c r="B2230" s="1" t="s">
        <v>15</v>
      </c>
      <c r="C2230" s="1" t="s">
        <v>2122</v>
      </c>
      <c r="D2230" s="1" t="str">
        <f>IFERROR(__xludf.DUMMYFUNCTION("CONCATENATE(GOOGLETRANSLATE(C2230, ""en"", ""zh-cn""))"),"宴会电视餐盒 1960 年代火鸡豌豆复古冷冻食品不完整")</f>
        <v>宴会电视餐盒 1960 年代火鸡豌豆复古冷冻食品不完整</v>
      </c>
      <c r="E2230" s="1" t="str">
        <f>IFERROR(__xludf.DUMMYFUNCTION("CONCATENATE(GOOGLETRANSLATE(C2230, ""en"", ""ko""))"),"연회용 TV 저녁 식사 상자 1960년대 칠면조 완두콩 빈티지 냉동 식품 미완성")</f>
        <v>연회용 TV 저녁 식사 상자 1960년대 칠면조 완두콩 빈티지 냉동 식품 미완성</v>
      </c>
      <c r="F2230" s="1" t="str">
        <f>IFERROR(__xludf.DUMMYFUNCTION("CONCATENATE(GOOGLETRANSLATE(C2230, ""en"", ""ja""))"),"バンケット テレビ ディナー ボックス 1960 年代 七面鳥 エンドウ豆 ヴィンテージ 冷凍食品 未完成")</f>
        <v>バンケット テレビ ディナー ボックス 1960 年代 七面鳥 エンドウ豆 ヴィンテージ 冷凍食品 未完成</v>
      </c>
    </row>
    <row r="2231" ht="15.75" customHeight="1">
      <c r="A2231" s="1">
        <v>8052.0</v>
      </c>
      <c r="B2231" s="1" t="s">
        <v>15</v>
      </c>
      <c r="C2231" s="1" t="s">
        <v>2123</v>
      </c>
      <c r="D2231" s="1" t="str">
        <f>IFERROR(__xludf.DUMMYFUNCTION("CONCATENATE(GOOGLETRANSLATE(C2231, ""en"", ""zh-cn""))"),"宴会经典索尔兹伯里牛排餐")</f>
        <v>宴会经典索尔兹伯里牛排餐</v>
      </c>
      <c r="E2231" s="1" t="str">
        <f>IFERROR(__xludf.DUMMYFUNCTION("CONCATENATE(GOOGLETRANSLATE(C2231, ""en"", ""ko""))"),"연회 클래식 솔즈베리 스테이크 식사")</f>
        <v>연회 클래식 솔즈베리 스테이크 식사</v>
      </c>
      <c r="F2231" s="1" t="str">
        <f>IFERROR(__xludf.DUMMYFUNCTION("CONCATENATE(GOOGLETRANSLATE(C2231, ""en"", ""ja""))"),"バンケットクラシックソールズベリーステーキミール")</f>
        <v>バンケットクラシックソールズベリーステーキミール</v>
      </c>
    </row>
    <row r="2232" ht="15.75" customHeight="1">
      <c r="A2232" s="1">
        <v>8055.0</v>
      </c>
      <c r="B2232" s="1" t="s">
        <v>15</v>
      </c>
      <c r="C2232" s="1" t="s">
        <v>2124</v>
      </c>
      <c r="D2232" s="1" t="str">
        <f>IFERROR(__xludf.DUMMYFUNCTION("CONCATENATE(GOOGLETRANSLATE(C2232, ""en"", ""zh-cn""))"),"宴会索尔兹伯里牛排深盘")</f>
        <v>宴会索尔兹伯里牛排深盘</v>
      </c>
      <c r="E2232" s="1" t="str">
        <f>IFERROR(__xludf.DUMMYFUNCTION("CONCATENATE(GOOGLETRANSLATE(C2232, ""en"", ""ko""))"),"연회 솔즈베리 스테이크 딥 디쉬")</f>
        <v>연회 솔즈베리 스테이크 딥 디쉬</v>
      </c>
      <c r="F2232" s="1" t="str">
        <f>IFERROR(__xludf.DUMMYFUNCTION("CONCATENATE(GOOGLETRANSLATE(C2232, ""en"", ""ja""))"),"バンケットソールズベリーステーキディープディッシュ")</f>
        <v>バンケットソールズベリーステーキディープディッシュ</v>
      </c>
    </row>
    <row r="2233" ht="15.75" customHeight="1">
      <c r="A2233" s="1">
        <v>8063.0</v>
      </c>
      <c r="B2233" s="1" t="s">
        <v>15</v>
      </c>
      <c r="C2233" s="1" t="s">
        <v>2125</v>
      </c>
      <c r="D2233" s="1" t="str">
        <f>IFERROR(__xludf.DUMMYFUNCTION("CONCATENATE(GOOGLETRANSLATE(C2233, ""en"", ""zh-cn""))"),"Conagra 宴会牛肉锅派，7 盎司 - 每箱 24 个。")</f>
        <v>Conagra 宴会牛肉锅派，7 盎司 - 每箱 24 个。</v>
      </c>
      <c r="E2233" s="1" t="str">
        <f>IFERROR(__xludf.DUMMYFUNCTION("CONCATENATE(GOOGLETRANSLATE(C2233, ""en"", ""ko""))"),"Conagra 연회용 쇠고기 냄비 파이, 7온스 -- 케이스당 24개.")</f>
        <v>Conagra 연회용 쇠고기 냄비 파이, 7온스 -- 케이스당 24개.</v>
      </c>
      <c r="F2233" s="1" t="str">
        <f>IFERROR(__xludf.DUMMYFUNCTION("CONCATENATE(GOOGLETRANSLATE(C2233, ""en"", ""ja""))"),"コナグラ バンケット ビーフ ポットパイ、7 オンス -- 1 ケースあたり 24 個。")</f>
        <v>コナグラ バンケット ビーフ ポットパイ、7 オンス -- 1 ケースあたり 24 個。</v>
      </c>
    </row>
    <row r="2234" ht="15.75" customHeight="1">
      <c r="A2234" s="1">
        <v>8078.0</v>
      </c>
      <c r="B2234" s="1" t="s">
        <v>15</v>
      </c>
      <c r="C2234" s="1" t="s">
        <v>2126</v>
      </c>
      <c r="D2234" s="1" t="str">
        <f>IFERROR(__xludf.DUMMYFUNCTION("CONCATENATE(GOOGLETRANSLATE(C2234, ""en"", ""zh-cn""))"),"宴会索尔兹伯里牛排餐，11.88 盎司（337 克）")</f>
        <v>宴会索尔兹伯里牛排餐，11.88 盎司（337 克）</v>
      </c>
      <c r="E2234" s="1" t="str">
        <f>IFERROR(__xludf.DUMMYFUNCTION("CONCATENATE(GOOGLETRANSLATE(C2234, ""en"", ""ko""))"),"연회용 솔즈베리 스테이크 식사, 337g(11.88oz)")</f>
        <v>연회용 솔즈베리 스테이크 식사, 337g(11.88oz)</v>
      </c>
      <c r="F2234" s="1" t="str">
        <f>IFERROR(__xludf.DUMMYFUNCTION("CONCATENATE(GOOGLETRANSLATE(C2234, ""en"", ""ja""))"),"バンケットソールズベリーステーキミール、11.88オンス (337 g)")</f>
        <v>バンケットソールズベリーステーキミール、11.88オンス (337 g)</v>
      </c>
    </row>
    <row r="2235" ht="15.75" customHeight="1">
      <c r="A2235" s="1">
        <v>8096.0</v>
      </c>
      <c r="B2235" s="1" t="s">
        <v>15</v>
      </c>
      <c r="C2235" s="1" t="s">
        <v>2127</v>
      </c>
      <c r="D2235" s="1" t="str">
        <f>IFERROR(__xludf.DUMMYFUNCTION("CONCATENATE(GOOGLETRANSLATE(C2235, ""en"", ""zh-cn""))"),"宴会原味炸鸡，29 盎司 - 每箱 12 块。")</f>
        <v>宴会原味炸鸡，29 盎司 - 每箱 12 块。</v>
      </c>
      <c r="E2235" s="1" t="str">
        <f>IFERROR(__xludf.DUMMYFUNCTION("CONCATENATE(GOOGLETRANSLATE(C2235, ""en"", ""ko""))"),"연회 오리지널 프라이드 치킨, 29온스 - 케이스당 12개.")</f>
        <v>연회 오리지널 프라이드 치킨, 29온스 - 케이스당 12개.</v>
      </c>
      <c r="F2235" s="1" t="str">
        <f>IFERROR(__xludf.DUMMYFUNCTION("CONCATENATE(GOOGLETRANSLATE(C2235, ""en"", ""ja""))"),"バンケット オリジナル フライド チキン、29 オンス -- 1 ケース 12 個。")</f>
        <v>バンケット オリジナル フライド チキン、29 オンス -- 1 ケース 12 個。</v>
      </c>
    </row>
    <row r="2236" ht="15.75" customHeight="1">
      <c r="A2236" s="1">
        <v>8098.0</v>
      </c>
      <c r="B2236" s="1" t="s">
        <v>15</v>
      </c>
      <c r="C2236" s="1" t="s">
        <v>2128</v>
      </c>
      <c r="D2236" s="1" t="str">
        <f>IFERROR(__xludf.DUMMYFUNCTION("CONCATENATE(GOOGLETRANSLATE(C2236, ""en"", ""zh-cn""))"),"宴会脆皮炸鸡什锦片")</f>
        <v>宴会脆皮炸鸡什锦片</v>
      </c>
      <c r="E2236" s="1" t="str">
        <f>IFERROR(__xludf.DUMMYFUNCTION("CONCATENATE(GOOGLETRANSLATE(C2236, ""en"", ""ko""))"),"연회 크리스피 치킨 모둠조각")</f>
        <v>연회 크리스피 치킨 모둠조각</v>
      </c>
      <c r="F2236" s="1" t="str">
        <f>IFERROR(__xludf.DUMMYFUNCTION("CONCATENATE(GOOGLETRANSLATE(C2236, ""en"", ""ja""))"),"宴会用クリスピーチキン盛り合わせ")</f>
        <v>宴会用クリスピーチキン盛り合わせ</v>
      </c>
    </row>
    <row r="2237" ht="15.75" customHeight="1">
      <c r="A2237" s="1">
        <v>8105.0</v>
      </c>
      <c r="B2237" s="1" t="s">
        <v>15</v>
      </c>
      <c r="C2237" s="1" t="s">
        <v>2129</v>
      </c>
      <c r="D2237" s="1" t="str">
        <f>IFERROR(__xludf.DUMMYFUNCTION("CONCATENATE(GOOGLETRANSLATE(C2237, ""en"", ""zh-cn""))"),"宴会南方脆皮鸡")</f>
        <v>宴会南方脆皮鸡</v>
      </c>
      <c r="E2237" s="1" t="str">
        <f>IFERROR(__xludf.DUMMYFUNCTION("CONCATENATE(GOOGLETRANSLATE(C2237, ""en"", ""ko""))"),"연회 남부 크리스피 치킨")</f>
        <v>연회 남부 크리스피 치킨</v>
      </c>
      <c r="F2237" s="1" t="str">
        <f>IFERROR(__xludf.DUMMYFUNCTION("CONCATENATE(GOOGLETRANSLATE(C2237, ""en"", ""ja""))"),"宴会サザンクリスピーチキン")</f>
        <v>宴会サザンクリスピーチキン</v>
      </c>
    </row>
    <row r="2238" ht="15.75" customHeight="1">
      <c r="A2238" s="1">
        <v>8127.0</v>
      </c>
      <c r="B2238" s="1" t="s">
        <v>15</v>
      </c>
      <c r="C2238" s="1" t="s">
        <v>2130</v>
      </c>
      <c r="D2238" s="1" t="str">
        <f>IFERROR(__xludf.DUMMYFUNCTION("CONCATENATE(GOOGLETRANSLATE(C2238, ""en"", ""zh-cn""))"),"超值大块鸡胸肉")</f>
        <v>超值大块鸡胸肉</v>
      </c>
      <c r="E2238" s="1" t="str">
        <f>IFERROR(__xludf.DUMMYFUNCTION("CONCATENATE(GOOGLETRANSLATE(C2238, ""en"", ""ko""))"),"훌륭한 가치의 청크 닭 가슴살")</f>
        <v>훌륭한 가치의 청크 닭 가슴살</v>
      </c>
      <c r="F2238" s="1" t="str">
        <f>IFERROR(__xludf.DUMMYFUNCTION("CONCATENATE(GOOGLETRANSLATE(C2238, ""en"", ""ja""))"),"お得な鶏胸肉チャンク")</f>
        <v>お得な鶏胸肉チャンク</v>
      </c>
    </row>
    <row r="2239" ht="15.75" customHeight="1">
      <c r="A2239" s="1">
        <v>8131.0</v>
      </c>
      <c r="B2239" s="1" t="s">
        <v>15</v>
      </c>
      <c r="C2239" s="1" t="s">
        <v>2131</v>
      </c>
      <c r="D2239" s="1" t="str">
        <f>IFERROR(__xludf.DUMMYFUNCTION("CONCATENATE(GOOGLETRANSLATE(C2239, ""en"", ""zh-cn""))"),"Wild Fork Foods 海鲜肉类组合各不相同")</f>
        <v>Wild Fork Foods 海鲜肉类组合各不相同</v>
      </c>
      <c r="E2239" s="1" t="str">
        <f>IFERROR(__xludf.DUMMYFUNCTION("CONCATENATE(GOOGLETRANSLATE(C2239, ""en"", ""ko""))"),"야생 포크 식품 해산물 고기 믹스는 다양합니다.")</f>
        <v>야생 포크 식품 해산물 고기 믹스는 다양합니다.</v>
      </c>
      <c r="F2239" s="1" t="str">
        <f>IFERROR(__xludf.DUMMYFUNCTION("CONCATENATE(GOOGLETRANSLATE(C2239, ""en"", ""ja""))"),"ワイルドフォークフーズ シーフード・ミートミックス各種")</f>
        <v>ワイルドフォークフーズ シーフード・ミートミックス各種</v>
      </c>
    </row>
    <row r="2240" ht="15.75" customHeight="1">
      <c r="A2240" s="1">
        <v>8135.0</v>
      </c>
      <c r="B2240" s="1" t="s">
        <v>15</v>
      </c>
      <c r="C2240" s="1" t="s">
        <v>2132</v>
      </c>
      <c r="D2240" s="1" t="str">
        <f>IFERROR(__xludf.DUMMYFUNCTION("CONCATENATE(GOOGLETRANSLATE(C2240, ""en"", ""zh-cn""))"),"仅限肉类和鱼类 - 整份")</f>
        <v>仅限肉类和鱼类 - 整份</v>
      </c>
      <c r="E2240" s="1" t="str">
        <f>IFERROR(__xludf.DUMMYFUNCTION("CONCATENATE(GOOGLETRANSLATE(C2240, ""en"", ""ko""))"),"고기 및 생선만 - 전체 공유")</f>
        <v>고기 및 생선만 - 전체 공유</v>
      </c>
      <c r="F2240" s="1" t="str">
        <f>IFERROR(__xludf.DUMMYFUNCTION("CONCATENATE(GOOGLETRANSLATE(C2240, ""en"", ""ja""))"),"肉と魚のみ - ホールシェア")</f>
        <v>肉と魚のみ - ホールシェア</v>
      </c>
    </row>
    <row r="2241" ht="15.75" customHeight="1">
      <c r="A2241" s="1">
        <v>8142.0</v>
      </c>
      <c r="B2241" s="1" t="s">
        <v>15</v>
      </c>
      <c r="C2241" s="1" t="s">
        <v>2133</v>
      </c>
      <c r="D2241" s="1" t="str">
        <f>IFERROR(__xludf.DUMMYFUNCTION("CONCATENATE(GOOGLETRANSLATE(C2241, ""en"", ""zh-cn""))"),"（2 包）超值大块鸡胸肉，水煮肋骨，完全煮熟，12.5 盎司罐装，12 片")</f>
        <v>（2 包）超值大块鸡胸肉，水煮肋骨，完全煮熟，12.5 盎司罐装，12 片</v>
      </c>
      <c r="E2241" s="1" t="str">
        <f>IFERROR(__xludf.DUMMYFUNCTION("CONCATENATE(GOOGLETRANSLATE(C2241, ""en"", ""ko""))"),"(2팩) 가성비 좋은 청크 닭가슴살, 물에 갈비살 포함, 완전 조리, 12.5온스 캔, 12개")</f>
        <v>(2팩) 가성비 좋은 청크 닭가슴살, 물에 갈비살 포함, 완전 조리, 12.5온스 캔, 12개</v>
      </c>
      <c r="F2241" s="1" t="str">
        <f>IFERROR(__xludf.DUMMYFUNCTION("CONCATENATE(GOOGLETRANSLATE(C2241, ""en"", ""ja""))"),"(2 パック) お買い得な鶏胸肉チャンク、水に漬けたリブ肉入り、完全調理済み、12.5 オンス缶、12 個")</f>
        <v>(2 パック) お買い得な鶏胸肉チャンク、水に漬けたリブ肉入り、完全調理済み、12.5 オンス缶、12 個</v>
      </c>
    </row>
    <row r="2242" ht="15.75" customHeight="1">
      <c r="A2242" s="1">
        <v>8144.0</v>
      </c>
      <c r="B2242" s="1" t="s">
        <v>15</v>
      </c>
      <c r="C2242" s="1" t="s">
        <v>2134</v>
      </c>
      <c r="D2242" s="1" t="str">
        <f>IFERROR(__xludf.DUMMYFUNCTION("CONCATENATE(GOOGLETRANSLATE(C2242, ""en"", ""zh-cn""))"),"三文鱼块")</f>
        <v>三文鱼块</v>
      </c>
      <c r="E2242" s="1" t="str">
        <f>IFERROR(__xludf.DUMMYFUNCTION("CONCATENATE(GOOGLETRANSLATE(C2242, ""en"", ""ko""))"),"연어 덩어리")</f>
        <v>연어 덩어리</v>
      </c>
      <c r="F2242" s="1" t="str">
        <f>IFERROR(__xludf.DUMMYFUNCTION("CONCATENATE(GOOGLETRANSLATE(C2242, ""en"", ""ja""))"),"サーモンチャンク")</f>
        <v>サーモンチャンク</v>
      </c>
    </row>
    <row r="2243" ht="15.75" customHeight="1">
      <c r="A2243" s="1">
        <v>8149.0</v>
      </c>
      <c r="B2243" s="1" t="s">
        <v>15</v>
      </c>
      <c r="C2243" s="1" t="s">
        <v>2135</v>
      </c>
      <c r="D2243" s="1" t="str">
        <f>IFERROR(__xludf.DUMMYFUNCTION("CONCATENATE(GOOGLETRANSLATE(C2243, ""en"", ""zh-cn""))"),"龙虾肉 Lobster Market House 加拿大 预煮")</f>
        <v>龙虾肉 Lobster Market House 加拿大 预煮</v>
      </c>
      <c r="E2243" s="1" t="str">
        <f>IFERROR(__xludf.DUMMYFUNCTION("CONCATENATE(GOOGLETRANSLATE(C2243, ""en"", ""ko""))"),"랍스터 고기 Lobster Market House 캐나다 사전 조리됨")</f>
        <v>랍스터 고기 Lobster Market House 캐나다 사전 조리됨</v>
      </c>
      <c r="F2243" s="1" t="str">
        <f>IFERROR(__xludf.DUMMYFUNCTION("CONCATENATE(GOOGLETRANSLATE(C2243, ""en"", ""ja""))"),"ロブスター肉 ロブスター マーケットハウス カナダ 調理済み")</f>
        <v>ロブスター肉 ロブスター マーケットハウス カナダ 調理済み</v>
      </c>
    </row>
    <row r="2244" ht="15.75" customHeight="1">
      <c r="A2244" s="1">
        <v>8150.0</v>
      </c>
      <c r="B2244" s="1" t="s">
        <v>15</v>
      </c>
      <c r="C2244" s="1" t="s">
        <v>2136</v>
      </c>
      <c r="D2244" s="1" t="str">
        <f>IFERROR(__xludf.DUMMYFUNCTION("CONCATENATE(GOOGLETRANSLATE(C2244, ""en"", ""zh-cn""))"),"普通牛肉切块|新鲜优质肉 5 磅")</f>
        <v>普通牛肉切块|新鲜优质肉 5 磅</v>
      </c>
      <c r="E2244" s="1" t="str">
        <f>IFERROR(__xludf.DUMMYFUNCTION("CONCATENATE(GOOGLETRANSLATE(C2244, ""en"", ""ko""))"),"일반 쇠고기 컷 | 신선하고 프리미엄 품질의 고기 5lbs")</f>
        <v>일반 쇠고기 컷 | 신선하고 프리미엄 품질의 고기 5lbs</v>
      </c>
      <c r="F2244" s="1" t="str">
        <f>IFERROR(__xludf.DUMMYFUNCTION("CONCATENATE(GOOGLETRANSLATE(C2244, ""en"", ""ja""))"),"レギュラーカットビーフ |新鮮で最高品質の肉 5ポンド")</f>
        <v>レギュラーカットビーフ |新鮮で最高品質の肉 5ポンド</v>
      </c>
    </row>
    <row r="2245" ht="15.75" customHeight="1">
      <c r="A2245" s="1">
        <v>8159.0</v>
      </c>
      <c r="B2245" s="1" t="s">
        <v>15</v>
      </c>
      <c r="C2245" s="1" t="s">
        <v>2137</v>
      </c>
      <c r="D2245" s="1" t="str">
        <f>IFERROR(__xludf.DUMMYFUNCTION("CONCATENATE(GOOGLETRANSLATE(C2245, ""en"", ""zh-cn""))"),"海鲜喜悦王鱼排")</f>
        <v>海鲜喜悦王鱼排</v>
      </c>
      <c r="E2245" s="1" t="str">
        <f>IFERROR(__xludf.DUMMYFUNCTION("CONCATENATE(GOOGLETRANSLATE(C2245, ""en"", ""ko""))"),"해산물 딜라이트 킹 피시 스테이크")</f>
        <v>해산물 딜라이트 킹 피시 스테이크</v>
      </c>
      <c r="F2245" s="1" t="str">
        <f>IFERROR(__xludf.DUMMYFUNCTION("CONCATENATE(GOOGLETRANSLATE(C2245, ""en"", ""ja""))"),"シーフードディライトキングフィッシュステーキ")</f>
        <v>シーフードディライトキングフィッシュステーキ</v>
      </c>
    </row>
    <row r="2246" ht="15.75" customHeight="1">
      <c r="A2246" s="1">
        <v>8175.0</v>
      </c>
      <c r="B2246" s="1" t="s">
        <v>15</v>
      </c>
      <c r="C2246" s="1" t="s">
        <v>2138</v>
      </c>
      <c r="D2246" s="1" t="str">
        <f>IFERROR(__xludf.DUMMYFUNCTION("CONCATENATE(GOOGLETRANSLATE(C2246, ""en"", ""zh-cn""))"),"Dowinx 布质游戏椅（带袋装弹簧垫）、符合人体工程学的电脑椅（带脚踏板）、布质游戏椅（带按摩腰部支撑）和")</f>
        <v>Dowinx 布质游戏椅（带袋装弹簧垫）、符合人体工程学的电脑椅（带脚踏板）、布质游戏椅（带按摩腰部支撑）和</v>
      </c>
      <c r="E2246" s="1" t="str">
        <f>IFERROR(__xludf.DUMMYFUNCTION("CONCATENATE(GOOGLETRANSLATE(C2246, ""en"", ""ko""))"),"포켓 스프링 쿠션이 있는 Dowinx 패브릭 게임 의자, 발판이 있는 인체공학적 컴퓨터 의자, 마사지 요추 지지대가 있는 천 게이머 의자 및")</f>
        <v>포켓 스프링 쿠션이 있는 Dowinx 패브릭 게임 의자, 발판이 있는 인체공학적 컴퓨터 의자, 마사지 요추 지지대가 있는 천 게이머 의자 및</v>
      </c>
      <c r="F2246" s="1" t="str">
        <f>IFERROR(__xludf.DUMMYFUNCTION("CONCATENATE(GOOGLETRANSLATE(C2246, ""en"", ""ja""))"),"Dowinx ファブリック ゲーミング チェア (ポケット スプリング クッション付き)、人間工学に基づいたコンピューター チェア (フットレスト付き)、布製ゲーマー チェア (マッサージ ランバー サポート付き)")</f>
        <v>Dowinx ファブリック ゲーミング チェア (ポケット スプリング クッション付き)、人間工学に基づいたコンピューター チェア (フットレスト付き)、布製ゲーマー チェア (マッサージ ランバー サポート付き)</v>
      </c>
    </row>
    <row r="2247" ht="15.75" customHeight="1">
      <c r="A2247" s="1">
        <v>8190.0</v>
      </c>
      <c r="B2247" s="1" t="s">
        <v>15</v>
      </c>
      <c r="C2247" s="1" t="s">
        <v>2139</v>
      </c>
      <c r="D2247" s="1" t="str">
        <f>IFERROR(__xludf.DUMMYFUNCTION("CONCATENATE(GOOGLETRANSLATE(C2247, ""en"", ""zh-cn""))"),"Dowinx 游戏椅带袋装弹簧垫，人体工学电脑椅高背，斜倚游戏椅 PU 皮革 350 磅，紫色")</f>
        <v>Dowinx 游戏椅带袋装弹簧垫，人体工学电脑椅高背，斜倚游戏椅 PU 皮革 350 磅，紫色</v>
      </c>
      <c r="E2247" s="1" t="str">
        <f>IFERROR(__xludf.DUMMYFUNCTION("CONCATENATE(GOOGLETRANSLATE(C2247, ""en"", ""ko""))"),"포켓 스프링 쿠션이 있는 Dowinx 게임 의자, 인체공학적 컴퓨터 의자 하이 백, 리클라이닝 게임 의자 Pu 가죽 350lbs, 보라색")</f>
        <v>포켓 스프링 쿠션이 있는 Dowinx 게임 의자, 인체공학적 컴퓨터 의자 하이 백, 리클라이닝 게임 의자 Pu 가죽 350lbs, 보라색</v>
      </c>
      <c r="F2247" s="1" t="str">
        <f>IFERROR(__xludf.DUMMYFUNCTION("CONCATENATE(GOOGLETRANSLATE(C2247, ""en"", ""ja""))"),"Dowinx ゲーミングチェア ポケットスプリングクッション付き 人間工学に基づいたコンピュータチェア ハイバック リクライニングゲームチェア PUレザー 350ポンド パープル")</f>
        <v>Dowinx ゲーミングチェア ポケットスプリングクッション付き 人間工学に基づいたコンピュータチェア ハイバック リクライニングゲームチェア PUレザー 350ポンド パープル</v>
      </c>
    </row>
    <row r="2248" ht="15.75" customHeight="1">
      <c r="A2248" s="1">
        <v>8201.0</v>
      </c>
      <c r="B2248" s="1" t="s">
        <v>15</v>
      </c>
      <c r="C2248" s="1" t="s">
        <v>2140</v>
      </c>
      <c r="D2248" s="1" t="str">
        <f>IFERROR(__xludf.DUMMYFUNCTION("CONCATENATE(GOOGLETRANSLATE(C2248, ""en"", ""zh-cn""))"),"Dowinx 游戏椅透气布艺电脑椅带袋装弹簧坐垫，舒适办公")</f>
        <v>Dowinx 游戏椅透气布艺电脑椅带袋装弹簧坐垫，舒适办公</v>
      </c>
      <c r="E2248" s="1" t="str">
        <f>IFERROR(__xludf.DUMMYFUNCTION("CONCATENATE(GOOGLETRANSLATE(C2248, ""en"", ""ko""))"),"Dowinx 게이밍 의자 통기성 패브릭 컴퓨터 의자, 포켓 스프링 쿠션, 편안한 사무실")</f>
        <v>Dowinx 게이밍 의자 통기성 패브릭 컴퓨터 의자, 포켓 스프링 쿠션, 편안한 사무실</v>
      </c>
      <c r="F2248" s="1" t="str">
        <f>IFERROR(__xludf.DUMMYFUNCTION("CONCATENATE(GOOGLETRANSLATE(C2248, ""en"", ""ja""))"),"Dowinx ゲーミングチェア通気性のある生地のコンピュータチェア、ポケットスプリングクッション付き、快適なオフィス")</f>
        <v>Dowinx ゲーミングチェア通気性のある生地のコンピュータチェア、ポケットスプリングクッション付き、快適なオフィス</v>
      </c>
    </row>
    <row r="2249" ht="15.75" customHeight="1">
      <c r="A2249" s="1">
        <v>8215.0</v>
      </c>
      <c r="B2249" s="1" t="s">
        <v>15</v>
      </c>
      <c r="C2249" s="1" t="s">
        <v>2141</v>
      </c>
      <c r="D2249" s="1" t="str">
        <f>IFERROR(__xludf.DUMMYFUNCTION("CONCATENATE(GOOGLETRANSLATE(C2249, ""en"", ""zh-cn""))"),"TRX GO 悬吊训练器系统")</f>
        <v>TRX GO 悬吊训练器系统</v>
      </c>
      <c r="E2249" s="1" t="str">
        <f>IFERROR(__xludf.DUMMYFUNCTION("CONCATENATE(GOOGLETRANSLATE(C2249, ""en"", ""ko""))"),"TRX GO 서스펜션 트레이너 시스템")</f>
        <v>TRX GO 서스펜션 트레이너 시스템</v>
      </c>
      <c r="F2249" s="1" t="str">
        <f>IFERROR(__xludf.DUMMYFUNCTION("CONCATENATE(GOOGLETRANSLATE(C2249, ""en"", ""ja""))"),"TRX GO サスペンション トレーナー システム")</f>
        <v>TRX GO サスペンション トレーナー システム</v>
      </c>
    </row>
    <row r="2250" ht="15.75" customHeight="1">
      <c r="A2250" s="1">
        <v>8229.0</v>
      </c>
      <c r="B2250" s="1" t="s">
        <v>15</v>
      </c>
      <c r="C2250" s="1" t="s">
        <v>2142</v>
      </c>
      <c r="D2250" s="1" t="str">
        <f>IFERROR(__xludf.DUMMYFUNCTION("CONCATENATE(GOOGLETRANSLATE(C2250, ""en"", ""zh-cn""))"),"Fitkicks 女式简约柔软赤足鞋")</f>
        <v>Fitkicks 女式简约柔软赤足鞋</v>
      </c>
      <c r="E2250" s="1" t="str">
        <f>IFERROR(__xludf.DUMMYFUNCTION("CONCATENATE(GOOGLETRANSLATE(C2250, ""en"", ""ko""))"),"Fitkicks 여성 미니멀리스트 소프트 맨발 신발")</f>
        <v>Fitkicks 여성 미니멀리스트 소프트 맨발 신발</v>
      </c>
      <c r="F2250" s="1" t="str">
        <f>IFERROR(__xludf.DUMMYFUNCTION("CONCATENATE(GOOGLETRANSLATE(C2250, ""en"", ""ja""))"),"Fitkicks レディース ミニマリスト ソフト ベアフット シューズ")</f>
        <v>Fitkicks レディース ミニマリスト ソフト ベアフット シューズ</v>
      </c>
    </row>
    <row r="2251" ht="15.75" customHeight="1">
      <c r="A2251" s="1">
        <v>8232.0</v>
      </c>
      <c r="B2251" s="1" t="s">
        <v>15</v>
      </c>
      <c r="C2251" s="1" t="s">
        <v>2143</v>
      </c>
      <c r="D2251" s="1" t="str">
        <f>IFERROR(__xludf.DUMMYFUNCTION("CONCATENATE(GOOGLETRANSLATE(C2251, ""en"", ""zh-cn""))"),"Fitrx 无绳指压按摩器")</f>
        <v>Fitrx 无绳指压按摩器</v>
      </c>
      <c r="E2251" s="1" t="str">
        <f>IFERROR(__xludf.DUMMYFUNCTION("CONCATENATE(GOOGLETRANSLATE(C2251, ""en"", ""ko""))"),"Fitrx 무선 지압 마사지기")</f>
        <v>Fitrx 무선 지압 마사지기</v>
      </c>
      <c r="F2251" s="1" t="str">
        <f>IFERROR(__xludf.DUMMYFUNCTION("CONCATENATE(GOOGLETRANSLATE(C2251, ""en"", ""ja""))"),"Fitrx コードレス指圧マッサージャー")</f>
        <v>Fitrx コードレス指圧マッサージャー</v>
      </c>
    </row>
    <row r="2252" ht="15.75" customHeight="1">
      <c r="A2252" s="1">
        <v>8236.0</v>
      </c>
      <c r="B2252" s="1" t="s">
        <v>15</v>
      </c>
      <c r="C2252" s="1" t="s">
        <v>2144</v>
      </c>
      <c r="D2252" s="1" t="str">
        <f>IFERROR(__xludf.DUMMYFUNCTION("CONCATENATE(GOOGLETRANSLATE(C2252, ""en"", ""zh-cn""))"),"FitOn Core 双面网状滑块")</f>
        <v>FitOn Core 双面网状滑块</v>
      </c>
      <c r="E2252" s="1" t="str">
        <f>IFERROR(__xludf.DUMMYFUNCTION("CONCATENATE(GOOGLETRANSLATE(C2252, ""en"", ""ko""))"),"FitOn 코어 양면 메쉬 슬라이더")</f>
        <v>FitOn 코어 양면 메쉬 슬라이더</v>
      </c>
      <c r="F2252" s="1" t="str">
        <f>IFERROR(__xludf.DUMMYFUNCTION("CONCATENATE(GOOGLETRANSLATE(C2252, ""en"", ""ja""))"),"FitOn コア両面メッシュスライダー")</f>
        <v>FitOn コア両面メッシュスライダー</v>
      </c>
    </row>
    <row r="2253" ht="15.75" customHeight="1">
      <c r="A2253" s="1">
        <v>8244.0</v>
      </c>
      <c r="B2253" s="1" t="s">
        <v>15</v>
      </c>
      <c r="C2253" s="1" t="s">
        <v>2145</v>
      </c>
      <c r="D2253" s="1" t="str">
        <f>IFERROR(__xludf.DUMMYFUNCTION("CONCATENATE(GOOGLETRANSLATE(C2253, ""en"", ""zh-cn""))"),"Ritkeep 健身器材史密斯机带配重片 PMAX-5600 训练系统功能性肌肉锻炼家用健身机")</f>
        <v>Ritkeep 健身器材史密斯机带配重片 PMAX-5600 训练系统功能性肌肉锻炼家用健身机</v>
      </c>
      <c r="E2253" s="1" t="str">
        <f>IFERROR(__xludf.DUMMYFUNCTION("CONCATENATE(GOOGLETRANSLATE(C2253, ""en"", ""ko""))"),"Ritkeep 피트니스 장비 스미스 머신(웨이트 스택 포함) PMAX-5600 훈련 시스템 기능성 근육 스트라이크 홈 체육관 머신")</f>
        <v>Ritkeep 피트니스 장비 스미스 머신(웨이트 스택 포함) PMAX-5600 훈련 시스템 기능성 근육 스트라이크 홈 체육관 머신</v>
      </c>
      <c r="F2253" s="1" t="str">
        <f>IFERROR(__xludf.DUMMYFUNCTION("CONCATENATE(GOOGLETRANSLATE(C2253, ""en"", ""ja""))"),"Ritkeep フィットネス機器スミスマシンウェイトスタック PMAX-5600 トレーニングシステム機能的筋肉ストライクホームジムマシン")</f>
        <v>Ritkeep フィットネス機器スミスマシンウェイトスタック PMAX-5600 トレーニングシステム機能的筋肉ストライクホームジムマシン</v>
      </c>
    </row>
    <row r="2254" ht="15.75" customHeight="1">
      <c r="A2254" s="1">
        <v>8249.0</v>
      </c>
      <c r="B2254" s="1" t="s">
        <v>15</v>
      </c>
      <c r="C2254" s="1" t="s">
        <v>2146</v>
      </c>
      <c r="D2254" s="1" t="str">
        <f>IFERROR(__xludf.DUMMYFUNCTION("CONCATENATE(GOOGLETRANSLATE(C2254, ""en"", ""zh-cn""))"),"Fitvids 多功能全身家用健身器材")</f>
        <v>Fitvids 多功能全身家用健身器材</v>
      </c>
      <c r="E2254" s="1" t="str">
        <f>IFERROR(__xludf.DUMMYFUNCTION("CONCATENATE(GOOGLETRANSLATE(C2254, ""en"", ""ko""))"),"Fitvids 다기능 전신 홈 체육관 장비")</f>
        <v>Fitvids 다기능 전신 홈 체육관 장비</v>
      </c>
      <c r="F2254" s="1" t="str">
        <f>IFERROR(__xludf.DUMMYFUNCTION("CONCATENATE(GOOGLETRANSLATE(C2254, ""en"", ""ja""))"),"Fitvids 多機能全身ホームジム機器")</f>
        <v>Fitvids 多機能全身ホームジム機器</v>
      </c>
    </row>
    <row r="2255" ht="15.75" customHeight="1">
      <c r="A2255" s="1">
        <v>8260.0</v>
      </c>
      <c r="B2255" s="1" t="s">
        <v>15</v>
      </c>
      <c r="C2255" s="1" t="s">
        <v>2147</v>
      </c>
      <c r="D2255" s="1" t="str">
        <f>IFERROR(__xludf.DUMMYFUNCTION("CONCATENATE(GOOGLETRANSLATE(C2255, ""en"", ""zh-cn""))"),"Teeter FitForm 家用健身房力量训练器")</f>
        <v>Teeter FitForm 家用健身房力量训练器</v>
      </c>
      <c r="E2255" s="1" t="str">
        <f>IFERROR(__xludf.DUMMYFUNCTION("CONCATENATE(GOOGLETRANSLATE(C2255, ""en"", ""ko""))"),"Teeter FitForm 홈 체육관 근력 트레이너")</f>
        <v>Teeter FitForm 홈 체육관 근력 트레이너</v>
      </c>
      <c r="F2255" s="1" t="str">
        <f>IFERROR(__xludf.DUMMYFUNCTION("CONCATENATE(GOOGLETRANSLATE(C2255, ""en"", ""ja""))"),"Teeter FitForm ホームジム筋力トレーナー")</f>
        <v>Teeter FitForm ホームジム筋力トレーナー</v>
      </c>
    </row>
    <row r="2256" ht="15.75" customHeight="1">
      <c r="A2256" s="1">
        <v>8265.0</v>
      </c>
      <c r="B2256" s="1" t="s">
        <v>15</v>
      </c>
      <c r="C2256" s="1" t="s">
        <v>2148</v>
      </c>
      <c r="D2256" s="1" t="str">
        <f>IFERROR(__xludf.DUMMYFUNCTION("CONCATENATE(GOOGLETRANSLATE(C2256, ""en"", ""zh-cn""))"),"Gymshark Glute Boost 无缝紧身裤")</f>
        <v>Gymshark Glute Boost 无缝紧身裤</v>
      </c>
      <c r="E2256" s="1" t="str">
        <f>IFERROR(__xludf.DUMMYFUNCTION("CONCATENATE(GOOGLETRANSLATE(C2256, ""en"", ""ko""))"),"Gymshark Glute Boost 심리스 레깅스")</f>
        <v>Gymshark Glute Boost 심리스 레깅스</v>
      </c>
      <c r="F2256" s="1" t="str">
        <f>IFERROR(__xludf.DUMMYFUNCTION("CONCATENATE(GOOGLETRANSLATE(C2256, ""en"", ""ja""))"),"Gymshark グルート ブースト シームレス レギンス")</f>
        <v>Gymshark グルート ブースト シームレス レギンス</v>
      </c>
    </row>
    <row r="2257" ht="15.75" customHeight="1">
      <c r="A2257" s="1">
        <v>8288.0</v>
      </c>
      <c r="B2257" s="1" t="s">
        <v>15</v>
      </c>
      <c r="C2257" s="1" t="s">
        <v>2149</v>
      </c>
      <c r="D2257" s="1" t="str">
        <f>IFERROR(__xludf.DUMMYFUNCTION("CONCATENATE(GOOGLETRANSLATE(C2257, ""en"", ""zh-cn""))"),"受挑战的花园喜欢开花的中国流苏树")</f>
        <v>受挑战的花园喜欢开花的中国流苏树</v>
      </c>
      <c r="E2257" s="1" t="str">
        <f>IFERROR(__xludf.DUMMYFUNCTION("CONCATENATE(GOOGLETRANSLATE(C2257, ""en"", ""ko""))"),"도전적인 정원은 꽃이 만발한 중국 프린지 나무를 좋아합니다.")</f>
        <v>도전적인 정원은 꽃이 만발한 중국 프린지 나무를 좋아합니다.</v>
      </c>
      <c r="F2257" s="1" t="str">
        <f>IFERROR(__xludf.DUMMYFUNCTION("CONCATENATE(GOOGLETRANSLATE(C2257, ""en"", ""ja""))"),"チャレンジド・ガーデンズは花が咲くチャイニーズ・フリンジ・ツリーが大好き")</f>
        <v>チャレンジド・ガーデンズは花が咲くチャイニーズ・フリンジ・ツリーが大好き</v>
      </c>
    </row>
    <row r="2258" ht="15.75" customHeight="1">
      <c r="A2258" s="1">
        <v>8296.0</v>
      </c>
      <c r="B2258" s="1" t="s">
        <v>15</v>
      </c>
      <c r="C2258" s="1" t="s">
        <v>2150</v>
      </c>
      <c r="D2258" s="1" t="str">
        <f>IFERROR(__xludf.DUMMYFUNCTION("CONCATENATE(GOOGLETRANSLATE(C2258, ""en"", ""zh-cn""))"),"便利食品储藏室有机小黑麦谷物发芽种子")</f>
        <v>便利食品储藏室有机小黑麦谷物发芽种子</v>
      </c>
      <c r="E2258" s="1" t="str">
        <f>IFERROR(__xludf.DUMMYFUNCTION("CONCATENATE(GOOGLETRANSLATE(C2258, ""en"", ""ko""))"),"Handy Pantry 유기농 라이밀 곡물 싹이 트는 씨앗")</f>
        <v>Handy Pantry 유기농 라이밀 곡물 싹이 트는 씨앗</v>
      </c>
      <c r="F2258" s="1" t="str">
        <f>IFERROR(__xludf.DUMMYFUNCTION("CONCATENATE(GOOGLETRANSLATE(C2258, ""en"", ""ja""))"),"ハンディパントリー有機ライコムギ発芽種子")</f>
        <v>ハンディパントリー有機ライコムギ発芽種子</v>
      </c>
    </row>
    <row r="2259" ht="15.75" customHeight="1">
      <c r="A2259" s="1">
        <v>8309.0</v>
      </c>
      <c r="B2259" s="1" t="s">
        <v>15</v>
      </c>
      <c r="C2259" s="1" t="s">
        <v>2151</v>
      </c>
      <c r="D2259" s="1" t="str">
        <f>IFERROR(__xludf.DUMMYFUNCTION("CONCATENATE(GOOGLETRANSLATE(C2259, ""en"", ""zh-cn""))"),"纯椰壳纤维网状种子起始颗粒")</f>
        <v>纯椰壳纤维网状种子起始颗粒</v>
      </c>
      <c r="E2259" s="1" t="str">
        <f>IFERROR(__xludf.DUMMYFUNCTION("CONCATENATE(GOOGLETRANSLATE(C2259, ""en"", ""ko""))"),"순수 코이어 그물 씨앗 시작 펠렛")</f>
        <v>순수 코이어 그물 씨앗 시작 펠렛</v>
      </c>
      <c r="F2259" s="1" t="str">
        <f>IFERROR(__xludf.DUMMYFUNCTION("CONCATENATE(GOOGLETRANSLATE(C2259, ""en"", ""ja""))"),"純粋なコイアの網状シードスターターペレット")</f>
        <v>純粋なコイアの網状シードスターターペレット</v>
      </c>
    </row>
    <row r="2260" ht="15.75" customHeight="1">
      <c r="A2260" s="1">
        <v>8314.0</v>
      </c>
      <c r="B2260" s="1" t="s">
        <v>15</v>
      </c>
      <c r="C2260" s="1" t="s">
        <v>2152</v>
      </c>
      <c r="D2260" s="1" t="str">
        <f>IFERROR(__xludf.DUMMYFUNCTION("CONCATENATE(GOOGLETRANSLATE(C2260, ""en"", ""zh-cn""))"),"绿色孟加拉树种子")</f>
        <v>绿色孟加拉树种子</v>
      </c>
      <c r="E2260" s="1" t="str">
        <f>IFERROR(__xludf.DUMMYFUNCTION("CONCATENATE(GOOGLETRANSLATE(C2260, ""en"", ""ko""))"),"녹색 Bengalensis 나무 씨앗")</f>
        <v>녹색 Bengalensis 나무 씨앗</v>
      </c>
      <c r="F2260" s="1" t="str">
        <f>IFERROR(__xludf.DUMMYFUNCTION("CONCATENATE(GOOGLETRANSLATE(C2260, ""en"", ""ja""))"),"グリーンベンガレンシスの木の種")</f>
        <v>グリーンベンガレンシスの木の種</v>
      </c>
    </row>
    <row r="2261" ht="15.75" customHeight="1">
      <c r="A2261" s="1">
        <v>3154.0</v>
      </c>
      <c r="B2261" s="1" t="s">
        <v>381</v>
      </c>
      <c r="C2261" s="1" t="s">
        <v>2153</v>
      </c>
      <c r="D2261" s="1" t="str">
        <f>IFERROR(__xludf.DUMMYFUNCTION("CONCATENATE(GOOGLETRANSLATE(C2261, ""en"", ""zh-cn""))"),"8 件套脑力拼图九系列套装学生玩具可拆卸玩具英文版")</f>
        <v>8 件套脑力拼图九系列套装学生玩具可拆卸玩具英文版</v>
      </c>
      <c r="E2261" s="1" t="str">
        <f>IFERROR(__xludf.DUMMYFUNCTION("CONCATENATE(GOOGLETRANSLATE(C2261, ""en"", ""ko""))"),"8Pcs 두뇌 퍼즐 세트 9 시리즈 세트 학생 장난감 분리형 장난감 영어 버전")</f>
        <v>8Pcs 두뇌 퍼즐 세트 9 시리즈 세트 학생 장난감 분리형 장난감 영어 버전</v>
      </c>
      <c r="F2261" s="1" t="str">
        <f>IFERROR(__xludf.DUMMYFUNCTION("CONCATENATE(GOOGLETRANSLATE(C2261, ""en"", ""ja""))"),"8 個の脳パズルセット 9 シリーズセット学生のおもちゃ取り外し可能なおもちゃ英語版")</f>
        <v>8 個の脳パズルセット 9 シリーズセット学生のおもちゃ取り外し可能なおもちゃ英語版</v>
      </c>
    </row>
    <row r="2262" ht="15.75" customHeight="1">
      <c r="A2262" s="1">
        <v>3161.0</v>
      </c>
      <c r="B2262" s="1" t="s">
        <v>381</v>
      </c>
      <c r="C2262" s="1" t="s">
        <v>2154</v>
      </c>
      <c r="D2262" s="1" t="str">
        <f>IFERROR(__xludf.DUMMYFUNCTION("CONCATENATE(GOOGLETRANSLATE(C2262, ""en"", ""zh-cn""))"),"1 件推泡泡感官玩具草莓形抗压坐立不安玩具缓解器教育益智玩具成人儿童创意礼物")</f>
        <v>1 件推泡泡感官玩具草莓形抗压坐立不安玩具缓解器教育益智玩具成人儿童创意礼物</v>
      </c>
      <c r="E2262" s="1" t="str">
        <f>IFERROR(__xludf.DUMMYFUNCTION("CONCATENATE(GOOGLETRANSLATE(C2262, ""en"", ""ko""))"),"1pc 푸시 버블 감각 장난감 딸기 모양의 안티 스트레스 Fidget 장난감 성인을위한 릴리버 교육 퍼즐 장난감 어린이 크리 에이 티브 선물")</f>
        <v>1pc 푸시 버블 감각 장난감 딸기 모양의 안티 스트레스 Fidget 장난감 성인을위한 릴리버 교육 퍼즐 장난감 어린이 크리 에이 티브 선물</v>
      </c>
      <c r="F2262" s="1" t="str">
        <f>IFERROR(__xludf.DUMMYFUNCTION("CONCATENATE(GOOGLETRANSLATE(C2262, ""en"", ""ja""))"),"1pc プッシュバブル感覚おもちゃイチゴ形の抗ストレスフィジェットおもちゃ緩和教育パズルおもちゃ大人子供のためのクリエイティブギフト")</f>
        <v>1pc プッシュバブル感覚おもちゃイチゴ形の抗ストレスフィジェットおもちゃ緩和教育パズルおもちゃ大人子供のためのクリエイティブギフト</v>
      </c>
    </row>
    <row r="2263" ht="15.75" customHeight="1">
      <c r="A2263" s="1">
        <v>3173.0</v>
      </c>
      <c r="B2263" s="1" t="s">
        <v>381</v>
      </c>
      <c r="C2263" s="1" t="s">
        <v>688</v>
      </c>
      <c r="D2263" s="1" t="str">
        <f>IFERROR(__xludf.DUMMYFUNCTION("CONCATENATE(GOOGLETRANSLATE(C2263, ""en"", ""zh-cn""))"),"男式民族部落图案拼布灯芯绒连帽衬衫夹克")</f>
        <v>男式民族部落图案拼布灯芯绒连帽衬衫夹克</v>
      </c>
      <c r="E2263" s="1" t="str">
        <f>IFERROR(__xludf.DUMMYFUNCTION("CONCATENATE(GOOGLETRANSLATE(C2263, ""en"", ""ko""))"),"남성용 에스닉 트라이벌 패턴 패치워크 코듀로이 후드 셔츠 재킷")</f>
        <v>남성용 에스닉 트라이벌 패턴 패치워크 코듀로이 후드 셔츠 재킷</v>
      </c>
      <c r="F2263" s="1" t="str">
        <f>IFERROR(__xludf.DUMMYFUNCTION("CONCATENATE(GOOGLETRANSLATE(C2263, ""en"", ""ja""))"),"メンズエスニックトライバルパターンパッチワークコーデュロイフード付きシャツジャケット")</f>
        <v>メンズエスニックトライバルパターンパッチワークコーデュロイフード付きシャツジャケット</v>
      </c>
    </row>
    <row r="2264" ht="15.75" customHeight="1">
      <c r="A2264" s="1">
        <v>3203.0</v>
      </c>
      <c r="B2264" s="1" t="s">
        <v>15</v>
      </c>
      <c r="C2264" s="1" t="s">
        <v>2155</v>
      </c>
      <c r="D2264" s="1" t="str">
        <f>IFERROR(__xludf.DUMMYFUNCTION("CONCATENATE(GOOGLETRANSLATE(C2264, ""en"", ""zh-cn""))"),"Jura Z10 铝白色")</f>
        <v>Jura Z10 铝白色</v>
      </c>
      <c r="E2264" s="1" t="str">
        <f>IFERROR(__xludf.DUMMYFUNCTION("CONCATENATE(GOOGLETRANSLATE(C2264, ""en"", ""ko""))"),"Jura Z10 알루미늄 화이트")</f>
        <v>Jura Z10 알루미늄 화이트</v>
      </c>
      <c r="F2264" s="1" t="str">
        <f>IFERROR(__xludf.DUMMYFUNCTION("CONCATENATE(GOOGLETRANSLATE(C2264, ""en"", ""ja""))"),"ジュラ Z10 アルミニウム ホワイト")</f>
        <v>ジュラ Z10 アルミニウム ホワイト</v>
      </c>
    </row>
    <row r="2265" ht="15.75" customHeight="1">
      <c r="A2265" s="1">
        <v>3225.0</v>
      </c>
      <c r="B2265" s="1" t="s">
        <v>15</v>
      </c>
      <c r="C2265" s="1" t="s">
        <v>2156</v>
      </c>
      <c r="D2265" s="1" t="str">
        <f>IFERROR(__xludf.DUMMYFUNCTION("CONCATENATE(GOOGLETRANSLATE(C2265, ""en"", ""zh-cn""))"),"Meridian Furniture 毛绒系列现代羽绒云状舒适填充天鹅绒软垫组合沙发，4 人座，奶油色")</f>
        <v>Meridian Furniture 毛绒系列现代羽绒云状舒适填充天鹅绒软垫组合沙发，4 人座，奶油色</v>
      </c>
      <c r="E2265" s="1" t="str">
        <f>IFERROR(__xludf.DUMMYFUNCTION("CONCATENATE(GOOGLETRANSLATE(C2265, ""en"", ""ko""))"),"Meridian 가구 플러시 컬렉션 현대적인 다운으로 채워진 구름 같은 편안함 푹신한 벨벳 덮개를 씌운 모듈형 소파, 4인용, 크림색")</f>
        <v>Meridian 가구 플러시 컬렉션 현대적인 다운으로 채워진 구름 같은 편안함 푹신한 벨벳 덮개를 씌운 모듈형 소파, 4인용, 크림색</v>
      </c>
      <c r="F2265" s="1" t="str">
        <f>IFERROR(__xludf.DUMMYFUNCTION("CONCATENATE(GOOGLETRANSLATE(C2265, ""en"", ""ja""))"),"Meridian Furniture Plush Collection 現代的なダウン充填雲のような快適さ詰め込みベルベット布張りモジュラーソファ、4人掛け、クリーム")</f>
        <v>Meridian Furniture Plush Collection 現代的なダウン充填雲のような快適さ詰め込みベルベット布張りモジュラーソファ、4人掛け、クリーム</v>
      </c>
    </row>
    <row r="2266" ht="15.75" customHeight="1">
      <c r="A2266" s="1">
        <v>3230.0</v>
      </c>
      <c r="B2266" s="1" t="s">
        <v>15</v>
      </c>
      <c r="C2266" s="1" t="s">
        <v>2157</v>
      </c>
      <c r="D2266" s="1" t="str">
        <f>IFERROR(__xludf.DUMMYFUNCTION("CONCATENATE(GOOGLETRANSLATE(C2266, ""en"", ""zh-cn""))"),"Seatcraft Anthem 家庭影院座椅 - 顶级粒面皮革 - 电动斜倚沙发 - 折叠桌 - 电动头枕 - 手臂储物空间 - AC/USB 和无线充电 - 杯架，黑色")</f>
        <v>Seatcraft Anthem 家庭影院座椅 - 顶级粒面皮革 - 电动斜倚沙发 - 折叠桌 - 电动头枕 - 手臂储物空间 - AC/USB 和无线充电 - 杯架，黑色</v>
      </c>
      <c r="E2266" s="1" t="str">
        <f>IFERROR(__xludf.DUMMYFUNCTION("CONCATENATE(GOOGLETRANSLATE(C2266, ""en"", ""ko""))"),"Seatcraft Anthem 홈 시어터 좌석 - 탑 그레인 가죽 - 전동 리클라이닝 소파 - 접이식 테이블 - 전동 머리받침대 - 암 보관함 - AC/USB 및 무선 충전 - 컵 홀더, 블랙")</f>
        <v>Seatcraft Anthem 홈 시어터 좌석 - 탑 그레인 가죽 - 전동 리클라이닝 소파 - 접이식 테이블 - 전동 머리받침대 - 암 보관함 - AC/USB 및 무선 충전 - 컵 홀더, 블랙</v>
      </c>
      <c r="F2266" s="1" t="str">
        <f>IFERROR(__xludf.DUMMYFUNCTION("CONCATENATE(GOOGLETRANSLATE(C2266, ""en"", ""ja""))"),"Seatcraft Anthem ホームシアターシート - トップグレインレザー - パワーリクライニングソファ - 折りたたみテーブル - パワードヘッドレスト - アームストレージ - AC/USB およびワイヤレス充電 - カップホルダー、ブラック")</f>
        <v>Seatcraft Anthem ホームシアターシート - トップグレインレザー - パワーリクライニングソファ - 折りたたみテーブル - パワードヘッドレスト - アームストレージ - AC/USB およびワイヤレス充電 - カップホルダー、ブラック</v>
      </c>
    </row>
    <row r="2267" ht="15.75" customHeight="1">
      <c r="A2267" s="1">
        <v>3233.0</v>
      </c>
      <c r="B2267" s="1" t="s">
        <v>15</v>
      </c>
      <c r="C2267" s="1" t="s">
        <v>2158</v>
      </c>
      <c r="D2267" s="1" t="str">
        <f>IFERROR(__xludf.DUMMYFUNCTION("CONCATENATE(GOOGLETRANSLATE(C2267, ""en"", ""zh-cn""))"),"Jura 15145 自动咖啡机 WE8，镀铬")</f>
        <v>Jura 15145 自动咖啡机 WE8，镀铬</v>
      </c>
      <c r="E2267" s="1" t="str">
        <f>IFERROR(__xludf.DUMMYFUNCTION("CONCATENATE(GOOGLETRANSLATE(C2267, ""en"", ""ko""))"),"Jura 15145 자동 커피 머신 WE8, 크롬")</f>
        <v>Jura 15145 자동 커피 머신 WE8, 크롬</v>
      </c>
      <c r="F2267" s="1" t="str">
        <f>IFERROR(__xludf.DUMMYFUNCTION("CONCATENATE(GOOGLETRANSLATE(C2267, ""en"", ""ja""))"),"Jura 15145 自動コーヒーマシン WE8、クローム")</f>
        <v>Jura 15145 自動コーヒーマシン WE8、クローム</v>
      </c>
    </row>
    <row r="2268" ht="15.75" customHeight="1">
      <c r="A2268" s="1">
        <v>3247.0</v>
      </c>
      <c r="B2268" s="1" t="s">
        <v>15</v>
      </c>
      <c r="C2268" s="1" t="s">
        <v>2159</v>
      </c>
      <c r="D2268" s="1" t="str">
        <f>IFERROR(__xludf.DUMMYFUNCTION("CONCATENATE(GOOGLETRANSLATE(C2268, ""en"", ""zh-cn""))"),"ACME FURNITURE 布兰卡斯特办公桌 - 92190 - 铝")</f>
        <v>ACME FURNITURE 布兰卡斯特办公桌 - 92190 - 铝</v>
      </c>
      <c r="E2268" s="1" t="str">
        <f>IFERROR(__xludf.DUMMYFUNCTION("CONCATENATE(GOOGLETRANSLATE(C2268, ""en"", ""ko""))"),"ACME FURNITURE Bracaster 데스크 - 92190 - 알루미늄")</f>
        <v>ACME FURNITURE Bracaster 데스크 - 92190 - 알루미늄</v>
      </c>
      <c r="F2268" s="1" t="str">
        <f>IFERROR(__xludf.DUMMYFUNCTION("CONCATENATE(GOOGLETRANSLATE(C2268, ""en"", ""ja""))"),"ACME FURNITURE ブランカスター デスク - 92190 - アルミニウム")</f>
        <v>ACME FURNITURE ブランカスター デスク - 92190 - アルミニウム</v>
      </c>
    </row>
    <row r="2269" ht="15.75" customHeight="1">
      <c r="A2269" s="1">
        <v>3252.0</v>
      </c>
      <c r="B2269" s="1" t="s">
        <v>15</v>
      </c>
      <c r="C2269" s="1" t="s">
        <v>2160</v>
      </c>
      <c r="D2269" s="1" t="str">
        <f>IFERROR(__xludf.DUMMYFUNCTION("CONCATENATE(GOOGLETRANSLATE(C2269, ""en"", ""zh-cn""))"),"POLY &amp; BARK Sorrento 沙发采用全粒面纯苯胺意大利皮革（干邑棕褐色）")</f>
        <v>POLY &amp; BARK Sorrento 沙发采用全粒面纯苯胺意大利皮革（干邑棕褐色）</v>
      </c>
      <c r="E2269" s="1" t="str">
        <f>IFERROR(__xludf.DUMMYFUNCTION("CONCATENATE(GOOGLETRANSLATE(C2269, ""en"", ""ko""))"),"풀 그레인 퓨어 아닐린 이탈리아 가죽 소재의 POLY &amp; BARK 소렌토 소파(코냑 탄)")</f>
        <v>풀 그레인 퓨어 아닐린 이탈리아 가죽 소재의 POLY &amp; BARK 소렌토 소파(코냑 탄)</v>
      </c>
      <c r="F2269" s="1" t="str">
        <f>IFERROR(__xludf.DUMMYFUNCTION("CONCATENATE(GOOGLETRANSLATE(C2269, ""en"", ""ja""))"),"POLY &amp; BARK ソレント ソファ フルグレイン ピュアアニリン イタリアン レザー (コニャック タン)")</f>
        <v>POLY &amp; BARK ソレント ソファ フルグレイン ピュアアニリン イタリアン レザー (コニャック タン)</v>
      </c>
    </row>
    <row r="2270" ht="15.75" customHeight="1">
      <c r="A2270" s="1">
        <v>3258.0</v>
      </c>
      <c r="B2270" s="1" t="s">
        <v>15</v>
      </c>
      <c r="C2270" s="1" t="s">
        <v>2161</v>
      </c>
      <c r="D2270" s="1" t="str">
        <f>IFERROR(__xludf.DUMMYFUNCTION("CONCATENATE(GOOGLETRANSLATE(C2270, ""en"", ""zh-cn""))"),"Acme Furniture 德累斯顿古玩柜，复古骨白色")</f>
        <v>Acme Furniture 德累斯顿古玩柜，复古骨白色</v>
      </c>
      <c r="E2270" s="1" t="str">
        <f>IFERROR(__xludf.DUMMYFUNCTION("CONCATENATE(GOOGLETRANSLATE(C2270, ""en"", ""ko""))"),"Acme 가구 드레스덴 골동품 캐비닛, 빈티지 본 화이트")</f>
        <v>Acme 가구 드레스덴 골동품 캐비닛, 빈티지 본 화이트</v>
      </c>
      <c r="F2270" s="1" t="str">
        <f>IFERROR(__xludf.DUMMYFUNCTION("CONCATENATE(GOOGLETRANSLATE(C2270, ""en"", ""ja""))"),"Acme Furniture ドレスデン キュリオ キャビネット、ヴィンテージ ボーン ホワイト")</f>
        <v>Acme Furniture ドレスデン キュリオ キャビネット、ヴィンテージ ボーン ホワイト</v>
      </c>
    </row>
    <row r="2271" ht="15.75" customHeight="1">
      <c r="A2271" s="1">
        <v>3263.0</v>
      </c>
      <c r="B2271" s="1" t="s">
        <v>15</v>
      </c>
      <c r="C2271" s="1" t="s">
        <v>2162</v>
      </c>
      <c r="D2271" s="1" t="str">
        <f>IFERROR(__xludf.DUMMYFUNCTION("CONCATENATE(GOOGLETRANSLATE(C2271, ""en"", ""zh-cn""))"),"Breville Dynamic Duo 双锅炉浓缩咖啡机和智能研磨机 Pro 套装，不锈钢 - BEP920BSS")</f>
        <v>Breville Dynamic Duo 双锅炉浓缩咖啡机和智能研磨机 Pro 套装，不锈钢 - BEP920BSS</v>
      </c>
      <c r="E2271" s="1" t="str">
        <f>IFERROR(__xludf.DUMMYFUNCTION("CONCATENATE(GOOGLETRANSLATE(C2271, ""en"", ""ko""))"),"브레빌 다이나믹 듀오 듀얼 보일러 에스프레소 머신 및 스마트 그라인더 프로 패키지, 스테인리스 스틸 - BEP920BSS")</f>
        <v>브레빌 다이나믹 듀오 듀얼 보일러 에스프레소 머신 및 스마트 그라인더 프로 패키지, 스테인리스 스틸 - BEP920BSS</v>
      </c>
      <c r="F2271" s="1" t="str">
        <f>IFERROR(__xludf.DUMMYFUNCTION("CONCATENATE(GOOGLETRANSLATE(C2271, ""en"", ""ja""))"),"Breville Dynamic Duo デュアル ボイラー エスプレッソ マシンとスマート グラインダー プロ パッケージ、ステンレススチール - BEP920BSS")</f>
        <v>Breville Dynamic Duo デュアル ボイラー エスプレッソ マシンとスマート グラインダー プロ パッケージ、ステンレススチール - BEP920BSS</v>
      </c>
    </row>
    <row r="2272" ht="15.75" customHeight="1">
      <c r="A2272" s="1">
        <v>3266.0</v>
      </c>
      <c r="B2272" s="1" t="s">
        <v>15</v>
      </c>
      <c r="C2272" s="1" t="s">
        <v>2163</v>
      </c>
      <c r="D2272" s="1" t="str">
        <f>IFERROR(__xludf.DUMMYFUNCTION("CONCATENATE(GOOGLETRANSLATE(C2272, ""en"", ""zh-cn""))"),"Jura E6 Platinum 自动咖啡机套装，带智能滤水器、牛奶系统清洁剂和牛奶容器")</f>
        <v>Jura E6 Platinum 自动咖啡机套装，带智能滤水器、牛奶系统清洁剂和牛奶容器</v>
      </c>
      <c r="E2272" s="1" t="str">
        <f>IFERROR(__xludf.DUMMYFUNCTION("CONCATENATE(GOOGLETRANSLATE(C2272, ""en"", ""ko""))"),"스마트 워터 필터, 우유 시스템 클리너 및 우유 용기가 포함된 Jura E6 Platinum 자동 커피 머신 세트")</f>
        <v>스마트 워터 필터, 우유 시스템 클리너 및 우유 용기가 포함된 Jura E6 Platinum 자동 커피 머신 세트</v>
      </c>
      <c r="F2272" s="1" t="str">
        <f>IFERROR(__xludf.DUMMYFUNCTION("CONCATENATE(GOOGLETRANSLATE(C2272, ""en"", ""ja""))"),"Jura E6 プラチナ自動コーヒーマシンセット、スマートウォーターフィルター、ミルクシステムクリーナー、ミルクコンテナ付き")</f>
        <v>Jura E6 プラチナ自動コーヒーマシンセット、スマートウォーターフィルター、ミルクシステムクリーナー、ミルクコンテナ付き</v>
      </c>
    </row>
    <row r="2273" ht="15.75" customHeight="1">
      <c r="A2273" s="1">
        <v>3268.0</v>
      </c>
      <c r="B2273" s="1" t="s">
        <v>15</v>
      </c>
      <c r="C2273" s="1" t="s">
        <v>2164</v>
      </c>
      <c r="D2273" s="1" t="str">
        <f>IFERROR(__xludf.DUMMYFUNCTION("CONCATENATE(GOOGLETRANSLATE(C2273, ""en"", ""zh-cn""))"),"Miele 新 CM 5510 静音自动咖啡机和浓缩咖啡机组合，1.3 升，铝银金属表面处理 - 研磨机，奶泡机")</f>
        <v>Miele 新 CM 5510 静音自动咖啡机和浓缩咖啡机组合，1.3 升，铝银金属表面处理 - 研磨机，奶泡机</v>
      </c>
      <c r="E2273" s="1" t="str">
        <f>IFERROR(__xludf.DUMMYFUNCTION("CONCATENATE(GOOGLETRANSLATE(C2273, ""en"", ""ko""))"),"밀레 신제품 CM 5510 사일런스 자동 커피 메이커 및 에스프레소 머신 콤보, 1.3리터, AluSilver 금속 마감 - 그라인더, 우유 거품기")</f>
        <v>밀레 신제품 CM 5510 사일런스 자동 커피 메이커 및 에스프레소 머신 콤보, 1.3리터, AluSilver 금속 마감 - 그라인더, 우유 거품기</v>
      </c>
      <c r="F2273" s="1" t="str">
        <f>IFERROR(__xludf.DUMMYFUNCTION("CONCATENATE(GOOGLETRANSLATE(C2273, ""en"", ""ja""))"),"Miele NEW CM 5510 Silence 自動コーヒーメーカー &amp; エスプレッソマシン コンボ、1.3 リットル、AluSilver メタリック仕上げ - グラインダー、ミルク泡立て器")</f>
        <v>Miele NEW CM 5510 Silence 自動コーヒーメーカー &amp; エスプレッソマシン コンボ、1.3 リットル、AluSilver メタリック仕上げ - グラインダー、ミルク泡立て器</v>
      </c>
    </row>
    <row r="2274" ht="15.75" customHeight="1">
      <c r="A2274" s="1">
        <v>3269.0</v>
      </c>
      <c r="B2274" s="1" t="s">
        <v>15</v>
      </c>
      <c r="C2274" s="1" t="s">
        <v>2165</v>
      </c>
      <c r="D2274" s="1" t="str">
        <f>IFERROR(__xludf.DUMMYFUNCTION("CONCATENATE(GOOGLETRANSLATE(C2274, ""en"", ""zh-cn""))"),"Jura S8 自动咖啡机月光银套装带智能滤水器、牛奶系统清洁剂和牛奶容器")</f>
        <v>Jura S8 自动咖啡机月光银套装带智能滤水器、牛奶系统清洁剂和牛奶容器</v>
      </c>
      <c r="E2274" s="1" t="str">
        <f>IFERROR(__xludf.DUMMYFUNCTION("CONCATENATE(GOOGLETRANSLATE(C2274, ""en"", ""ko""))"),"Jura S8 자동 커피 머신 Moonlight Silver 세트, 스마트 워터 필터, 우유 시스템 클리너 및 우유 용기 포함")</f>
        <v>Jura S8 자동 커피 머신 Moonlight Silver 세트, 스마트 워터 필터, 우유 시스템 클리너 및 우유 용기 포함</v>
      </c>
      <c r="F2274" s="1" t="str">
        <f>IFERROR(__xludf.DUMMYFUNCTION("CONCATENATE(GOOGLETRANSLATE(C2274, ""en"", ""ja""))"),"Jura S8 自動コーヒーマシン ムーンライト シルバー セット、スマートウォーターフィルター、ミルクシステムクリーナー、ミルクコンテナ付き")</f>
        <v>Jura S8 自動コーヒーマシン ムーンライト シルバー セット、スマートウォーターフィルター、ミルクシステムクリーナー、ミルクコンテナ付き</v>
      </c>
    </row>
    <row r="2275" ht="15.75" customHeight="1">
      <c r="A2275" s="1">
        <v>3270.0</v>
      </c>
      <c r="B2275" s="1" t="s">
        <v>15</v>
      </c>
      <c r="C2275" s="1" t="s">
        <v>2166</v>
      </c>
      <c r="D2275" s="1" t="str">
        <f>IFERROR(__xludf.DUMMYFUNCTION("CONCATENATE(GOOGLETRANSLATE(C2275, ""en"", ""zh-cn""))"),"Meridian 家具 Julian 系列 现代 |现代天鹅绒软垫沙发，带不锈钢底座，富金色饰面，粉色，91.5 宽 x 36 深 x 28 高")</f>
        <v>Meridian 家具 Julian 系列 现代 |现代天鹅绒软垫沙发，带不锈钢底座，富金色饰面，粉色，91.5 宽 x 36 深 x 28 高</v>
      </c>
      <c r="E2275" s="1" t="str">
        <f>IFERROR(__xludf.DUMMYFUNCTION("CONCATENATE(GOOGLETRANSLATE(C2275, ""en"", ""ko""))"),"자오선 가구 줄리안 컬렉션 현대 | 현대적인 벨벳 커버 소파, 스테인리스 스틸 베이스, 풍부한 골드 마감, 핑크, 91.5 W x 36 D x 28 H")</f>
        <v>자오선 가구 줄리안 컬렉션 현대 | 현대적인 벨벳 커버 소파, 스테인리스 스틸 베이스, 풍부한 골드 마감, 핑크, 91.5 W x 36 D x 28 H</v>
      </c>
      <c r="F2275" s="1" t="str">
        <f>IFERROR(__xludf.DUMMYFUNCTION("CONCATENATE(GOOGLETRANSLATE(C2275, ""en"", ""ja""))"),"メリディアン家具 ジュリアン コレクション モダン |リッチゴールド仕上げのステンレススチールベースの現代的なベルベット布張りソファ、ピンク、幅91.5 x 奥行き36 x 高さ28")</f>
        <v>メリディアン家具 ジュリアン コレクション モダン |リッチゴールド仕上げのステンレススチールベースの現代的なベルベット布張りソファ、ピンク、幅91.5 x 奥行き36 x 高さ28</v>
      </c>
    </row>
    <row r="2276" ht="15.75" customHeight="1">
      <c r="A2276" s="1">
        <v>3276.0</v>
      </c>
      <c r="B2276" s="1" t="s">
        <v>15</v>
      </c>
      <c r="C2276" s="1" t="s">
        <v>2167</v>
      </c>
      <c r="D2276" s="1" t="str">
        <f>IFERROR(__xludf.DUMMYFUNCTION("CONCATENATE(GOOGLETRANSLATE(C2276, ""en"", ""zh-cn""))"),"Breville|PolyScience 控制怪人温控商用电磁炉")</f>
        <v>Breville|PolyScience 控制怪人温控商用电磁炉</v>
      </c>
      <c r="E2276" s="1" t="str">
        <f>IFERROR(__xludf.DUMMYFUNCTION("CONCATENATE(GOOGLETRANSLATE(C2276, ""en"", ""ko""))"),"Breville|PolyScience Control Freak 온도 조절 상업용 유도 요리 시스템")</f>
        <v>Breville|PolyScience Control Freak 온도 조절 상업용 유도 요리 시스템</v>
      </c>
      <c r="F2276" s="1" t="str">
        <f>IFERROR(__xludf.DUMMYFUNCTION("CONCATENATE(GOOGLETRANSLATE(C2276, ""en"", ""ja""))"),"Breville|PolyScience the Control Freak 温度制御業務用 IH 調理システム")</f>
        <v>Breville|PolyScience the Control Freak 温度制御業務用 IH 調理システム</v>
      </c>
    </row>
    <row r="2277" ht="15.75" customHeight="1">
      <c r="A2277" s="1">
        <v>3283.0</v>
      </c>
      <c r="B2277" s="1" t="s">
        <v>15</v>
      </c>
      <c r="C2277" s="1" t="s">
        <v>2168</v>
      </c>
      <c r="D2277" s="1" t="str">
        <f>IFERROR(__xludf.DUMMYFUNCTION("CONCATENATE(GOOGLETRANSLATE(C2277, ""en"", ""zh-cn""))"),"kevinplus 94 英寸云形弧形沙发客厅沙发，米色现代中世纪弧形靠背软垫沙发，家庭公寓办公室工作室用 3 座沙发沙发，3 个枕头，米色")</f>
        <v>kevinplus 94 英寸云形弧形沙发客厅沙发，米色现代中世纪弧形靠背软垫沙发，家庭公寓办公室工作室用 3 座沙发沙发，3 个枕头，米色</v>
      </c>
      <c r="E2277" s="1" t="str">
        <f>IFERROR(__xludf.DUMMYFUNCTION("CONCATENATE(GOOGLETRANSLATE(C2277, ""en"", ""ko""))"),"kevinplus 94'' 거실용 클라우드 곡선 소파 부클 소파, 베이지 모던한 세기 중반 곡선 등받이 덮개가 있는 소파, 홈 아파트 오피스 스튜디오용 3인용 소파 소파, 베개 3개, 베이지")</f>
        <v>kevinplus 94'' 거실용 클라우드 곡선 소파 부클 소파, 베이지 모던한 세기 중반 곡선 등받이 덮개가 있는 소파, 홈 아파트 오피스 스튜디오용 3인용 소파 소파, 베개 3개, 베이지</v>
      </c>
      <c r="F2277" s="1" t="str">
        <f>IFERROR(__xludf.DUMMYFUNCTION("CONCATENATE(GOOGLETRANSLATE(C2277, ""en"", ""ja""))"),"kevinplus 94インチ クラウドカーブソファ ブークレカウチ リビングルーム用 ベージュ モダンミッドセンチュリー カーブバックレスト布張りソファ 3人掛けソファ カウチ ホームアパート オフィススタジオ用 枕3個 ベージュ")</f>
        <v>kevinplus 94インチ クラウドカーブソファ ブークレカウチ リビングルーム用 ベージュ モダンミッドセンチュリー カーブバックレスト布張りソファ 3人掛けソファ カウチ ホームアパート オフィススタジオ用 枕3個 ベージュ</v>
      </c>
    </row>
    <row r="2278" ht="15.75" customHeight="1">
      <c r="A2278" s="1">
        <v>3289.0</v>
      </c>
      <c r="B2278" s="1" t="s">
        <v>15</v>
      </c>
      <c r="C2278" s="1" t="s">
        <v>2169</v>
      </c>
      <c r="D2278" s="1" t="str">
        <f>IFERROR(__xludf.DUMMYFUNCTION("CONCATENATE(GOOGLETRANSLATE(C2278, ""en"", ""zh-cn""))"),"HONBAY 现代组合沙发床客厅 U 形沙发床带脚凳套装，全尺寸组合沙发床，适合小空间，蓝灰色")</f>
        <v>HONBAY 现代组合沙发床客厅 U 形沙发床带脚凳套装，全尺寸组合沙发床，适合小空间，蓝灰色</v>
      </c>
      <c r="E2278" s="1" t="str">
        <f>IFERROR(__xludf.DUMMYFUNCTION("CONCATENATE(GOOGLETRANSLATE(C2278, ""en"", ""ko""))"),"HONBAY 현대 모듈형 단면 소파 슬리퍼 소파 거실 U자형 소파 소파(오스만 세트 포함), 작은 공간을 위한 전체 크기 단면 소파 침대, 청회색")</f>
        <v>HONBAY 현대 모듈형 단면 소파 슬리퍼 소파 거실 U자형 소파 소파(오스만 세트 포함), 작은 공간을 위한 전체 크기 단면 소파 침대, 청회색</v>
      </c>
      <c r="F2278" s="1" t="str">
        <f>IFERROR(__xludf.DUMMYFUNCTION("CONCATENATE(GOOGLETRANSLATE(C2278, ""en"", ""ja""))"),"HONBAY モダンモジュール式セクショナルソファ スリーパーカウチ リビングルーム U字型ソファカウチ オットマンセット付き 小さなスペース用のフルサイズセクショナルソファベッド ブルーイッシュグレー")</f>
        <v>HONBAY モダンモジュール式セクショナルソファ スリーパーカウチ リビングルーム U字型ソファカウチ オットマンセット付き 小さなスペース用のフルサイズセクショナルソファベッド ブルーイッシュグレー</v>
      </c>
    </row>
    <row r="2279" ht="15.75" customHeight="1">
      <c r="A2279" s="1">
        <v>3290.0</v>
      </c>
      <c r="B2279" s="1" t="s">
        <v>15</v>
      </c>
      <c r="C2279" s="1" t="s">
        <v>2170</v>
      </c>
      <c r="D2279" s="1" t="str">
        <f>IFERROR(__xludf.DUMMYFUNCTION("CONCATENATE(GOOGLETRANSLATE(C2279, ""en"", ""zh-cn""))"),"3 件套客厅套装，天鹅绒切斯特菲尔德沙发双人沙发椅，带卷轴扶手和钉头，适用于客厅、办公室（灰色）")</f>
        <v>3 件套客厅套装，天鹅绒切斯特菲尔德沙发双人沙发椅，带卷轴扶手和钉头，适用于客厅、办公室（灰色）</v>
      </c>
      <c r="E2279" s="1" t="str">
        <f>IFERROR(__xludf.DUMMYFUNCTION("CONCATENATE(GOOGLETRANSLATE(C2279, ""en"", ""ko""))"),"3피스 거실 세트, 벨벳 체스터필드 소파 러브시트 소파 의자, 스크롤 암 및 네일헤드가 있는 거실용, 사무실(회색)")</f>
        <v>3피스 거실 세트, 벨벳 체스터필드 소파 러브시트 소파 의자, 스크롤 암 및 네일헤드가 있는 거실용, 사무실(회색)</v>
      </c>
      <c r="F2279" s="1" t="str">
        <f>IFERROR(__xludf.DUMMYFUNCTION("CONCATENATE(GOOGLETRANSLATE(C2279, ""en"", ""ja""))"),"リビングルーム3点セット ベルベットチェスターフィールドソファ 二人掛けカウチチェア スクロールアームとネイルヘッド付き リビングルーム、オフィス用 (グレー)")</f>
        <v>リビングルーム3点セット ベルベットチェスターフィールドソファ 二人掛けカウチチェア スクロールアームとネイルヘッド付き リビングルーム、オフィス用 (グレー)</v>
      </c>
    </row>
    <row r="2280" ht="15.75" customHeight="1">
      <c r="A2280" s="1">
        <v>3305.0</v>
      </c>
      <c r="B2280" s="1" t="s">
        <v>15</v>
      </c>
      <c r="C2280" s="1" t="s">
        <v>2171</v>
      </c>
      <c r="D2280" s="1" t="str">
        <f>IFERROR(__xludf.DUMMYFUNCTION("CONCATENATE(GOOGLETRANSLATE(C2280, ""en"", ""zh-cn""))"),"Belffin 模块化组合沙发 带双面躺椅天鹅绒 L 形沙发带储物 4 座可转换组合沙发 蓝色")</f>
        <v>Belffin 模块化组合沙发 带双面躺椅天鹅绒 L 形沙发带储物 4 座可转换组合沙发 蓝色</v>
      </c>
      <c r="E2280" s="1" t="str">
        <f>IFERROR(__xludf.DUMMYFUNCTION("CONCATENATE(GOOGLETRANSLATE(C2280, ""en"", ""ko""))"),"Belffin 모듈형 단면 소파 소파 양면 긴 의자 벨벳 L자형 소파 소파 4인용 컨버터블 단면 소파 블루")</f>
        <v>Belffin 모듈형 단면 소파 소파 양면 긴 의자 벨벳 L자형 소파 소파 4인용 컨버터블 단면 소파 블루</v>
      </c>
      <c r="F2280" s="1" t="str">
        <f>IFERROR(__xludf.DUMMYFUNCTION("CONCATENATE(GOOGLETRANSLATE(C2280, ""en"", ""ja""))"),"Belffin モジュール式セクショナルソファ カウチ リバーシブル長椅子付き ベルベット L 字型カウチソファ 収納付き 4人掛けコンバーチブルセクショナルソファ ブルー")</f>
        <v>Belffin モジュール式セクショナルソファ カウチ リバーシブル長椅子付き ベルベット L 字型カウチソファ 収納付き 4人掛けコンバーチブルセクショナルソファ ブルー</v>
      </c>
    </row>
    <row r="2281" ht="15.75" customHeight="1">
      <c r="A2281" s="1">
        <v>3312.0</v>
      </c>
      <c r="B2281" s="1" t="s">
        <v>15</v>
      </c>
      <c r="C2281" s="1" t="s">
        <v>2172</v>
      </c>
      <c r="D2281" s="1" t="str">
        <f>IFERROR(__xludf.DUMMYFUNCTION("CONCATENATE(GOOGLETRANSLATE(C2281, ""en"", ""zh-cn""))"),"ACME Furniture Ireland 床，带储物，大号床，浓缩咖啡")</f>
        <v>ACME Furniture Ireland 床，带储物，大号床，浓缩咖啡</v>
      </c>
      <c r="E2281" s="1" t="str">
        <f>IFERROR(__xludf.DUMMYFUNCTION("CONCATENATE(GOOGLETRANSLATE(C2281, ""en"", ""ko""))"),"ACME 가구 아일랜드 침대(수납함 포함), 퀸, 에스프레소")</f>
        <v>ACME 가구 아일랜드 침대(수납함 포함), 퀸, 에스프레소</v>
      </c>
      <c r="F2281" s="1" t="str">
        <f>IFERROR(__xludf.DUMMYFUNCTION("CONCATENATE(GOOGLETRANSLATE(C2281, ""en"", ""ja""))"),"ACME Furniture Ireland 収納付きベッド、クイーン、エスプレッソ")</f>
        <v>ACME Furniture Ireland 収納付きベッド、クイーン、エスプレッソ</v>
      </c>
    </row>
    <row r="2282" ht="15.75" customHeight="1">
      <c r="A2282" s="1">
        <v>3313.0</v>
      </c>
      <c r="B2282" s="1" t="s">
        <v>15</v>
      </c>
      <c r="C2282" s="1" t="s">
        <v>2173</v>
      </c>
      <c r="D2282" s="1" t="str">
        <f>IFERROR(__xludf.DUMMYFUNCTION("CONCATENATE(GOOGLETRANSLATE(C2282, ""en"", ""zh-cn""))"),"ACME Dresden 梳妆台/服务器 - - Gold Patina &amp; Bone")</f>
        <v>ACME Dresden 梳妆台/服务器 - - Gold Patina &amp; Bone</v>
      </c>
      <c r="E2282" s="1" t="str">
        <f>IFERROR(__xludf.DUMMYFUNCTION("CONCATENATE(GOOGLETRANSLATE(C2282, ""en"", ""ko""))"),"ACME 드레스덴 드레서/서버 - - 골드 파티나 &amp; 본")</f>
        <v>ACME 드레스덴 드레서/서버 - - 골드 파티나 &amp; 본</v>
      </c>
      <c r="F2282" s="1" t="str">
        <f>IFERROR(__xludf.DUMMYFUNCTION("CONCATENATE(GOOGLETRANSLATE(C2282, ""en"", ""ja""))"),"ACME ドレスデン ドレッサー/サーバー - - ゴールド パティナ &amp; ボーン")</f>
        <v>ACME ドレスデン ドレッサー/サーバー - - ゴールド パティナ &amp; ボーン</v>
      </c>
    </row>
    <row r="2283" ht="15.75" customHeight="1">
      <c r="A2283" s="1">
        <v>3314.0</v>
      </c>
      <c r="B2283" s="1" t="s">
        <v>15</v>
      </c>
      <c r="C2283" s="1" t="s">
        <v>2174</v>
      </c>
      <c r="D2283" s="1" t="str">
        <f>IFERROR(__xludf.DUMMYFUNCTION("CONCATENATE(GOOGLETRANSLATE(C2283, ""en"", ""zh-cn""))"),"Acme 家具 5 抽屉木柜，42 长 x 21 宽 x 56 高，仿古白色")</f>
        <v>Acme 家具 5 抽屉木柜，42 长 x 21 宽 x 56 高，仿古白色</v>
      </c>
      <c r="E2283" s="1" t="str">
        <f>IFERROR(__xludf.DUMMYFUNCTION("CONCATENATE(GOOGLETRANSLATE(C2283, ""en"", ""ko""))"),"Acme 가구 5 서랍 나무 상자, 42 L x 21 W x 56 H, 골동품 흰색")</f>
        <v>Acme 가구 5 서랍 나무 상자, 42 L x 21 W x 56 H, 골동품 흰색</v>
      </c>
      <c r="F2283" s="1" t="str">
        <f>IFERROR(__xludf.DUMMYFUNCTION("CONCATENATE(GOOGLETRANSLATE(C2283, ""en"", ""ja""))"),"Acme Furniture 5 引き出し木製チェスト、長さ 42 x 幅 21 x 高さ 56、アンティークホワイト")</f>
        <v>Acme Furniture 5 引き出し木製チェスト、長さ 42 x 幅 21 x 高さ 56、アンティークホワイト</v>
      </c>
    </row>
    <row r="2284" ht="15.75" customHeight="1">
      <c r="A2284" s="1">
        <v>3331.0</v>
      </c>
      <c r="B2284" s="1" t="s">
        <v>15</v>
      </c>
      <c r="C2284" s="1" t="s">
        <v>2175</v>
      </c>
      <c r="D2284" s="1" t="str">
        <f>IFERROR(__xludf.DUMMYFUNCTION("CONCATENATE(GOOGLETRANSLATE(C2284, ""en"", ""zh-cn""))"),"ACME 家具路易菲利普三世大号床带储物，黑色")</f>
        <v>ACME 家具路易菲利普三世大号床带储物，黑色</v>
      </c>
      <c r="E2284" s="1" t="str">
        <f>IFERROR(__xludf.DUMMYFUNCTION("CONCATENATE(GOOGLETRANSLATE(C2284, ""en"", ""ko""))"),"ACME 가구 루이 필립 3세 퀸 사이즈 침대(수납함 포함), 블랙")</f>
        <v>ACME 가구 루이 필립 3세 퀸 사이즈 침대(수납함 포함), 블랙</v>
      </c>
      <c r="F2284" s="1" t="str">
        <f>IFERROR(__xludf.DUMMYFUNCTION("CONCATENATE(GOOGLETRANSLATE(C2284, ""en"", ""ja""))"),"ACME Furniture ルイ フィリップ 3 世 クイーンベッド 収納付き ブラック")</f>
        <v>ACME Furniture ルイ フィリップ 3 世 クイーンベッド 収納付き ブラック</v>
      </c>
    </row>
    <row r="2285" ht="15.75" customHeight="1">
      <c r="A2285" s="1">
        <v>3333.0</v>
      </c>
      <c r="B2285" s="1" t="s">
        <v>15</v>
      </c>
      <c r="C2285" s="1" t="s">
        <v>2176</v>
      </c>
      <c r="D2285" s="1" t="str">
        <f>IFERROR(__xludf.DUMMYFUNCTION("CONCATENATE(GOOGLETRANSLATE(C2285, ""en"", ""zh-cn""))"),"飞利浦 4300 系列全自动浓缩咖啡机 - LatteGo 奶泡机，8 种咖啡品种，直观触摸显示屏，黑色，(EP4347/94)")</f>
        <v>飞利浦 4300 系列全自动浓缩咖啡机 - LatteGo 奶泡机，8 种咖啡品种，直观触摸显示屏，黑色，(EP4347/94)</v>
      </c>
      <c r="E2285" s="1" t="str">
        <f>IFERROR(__xludf.DUMMYFUNCTION("CONCATENATE(GOOGLETRANSLATE(C2285, ""en"", ""ko""))"),"PHILIPS 4300 시리즈 전자동 에스프레소 머신 - LatteGo 우유 거품기, 8가지 커피 품종, 직관적인 터치 디스플레이, 블랙, (EP4347/94)")</f>
        <v>PHILIPS 4300 시리즈 전자동 에스프레소 머신 - LatteGo 우유 거품기, 8가지 커피 품종, 직관적인 터치 디스플레이, 블랙, (EP4347/94)</v>
      </c>
      <c r="F2285" s="1" t="str">
        <f>IFERROR(__xludf.DUMMYFUNCTION("CONCATENATE(GOOGLETRANSLATE(C2285, ""en"", ""ja""))"),"PHILIPS 4300 シリーズ全自動エスプレッソマシン - LatteGo ミルク泡立て器、8種類のコーヒー、直感的なタッチディスプレイ、ブラック、(EP4347/94)")</f>
        <v>PHILIPS 4300 シリーズ全自動エスプレッソマシン - LatteGo ミルク泡立て器、8種類のコーヒー、直感的なタッチディスプレイ、ブラック、(EP4347/94)</v>
      </c>
    </row>
    <row r="2286" ht="15.75" customHeight="1">
      <c r="A2286" s="1">
        <v>3378.0</v>
      </c>
      <c r="B2286" s="1" t="s">
        <v>15</v>
      </c>
      <c r="C2286" s="1" t="s">
        <v>2177</v>
      </c>
      <c r="D2286" s="1" t="str">
        <f>IFERROR(__xludf.DUMMYFUNCTION("CONCATENATE(GOOGLETRANSLATE(C2286, ""en"", ""zh-cn""))"),"Casa Andrea Milano 现代大型天鹅绒布艺组合沙发，L 形沙发，带超宽躺椅，黑色")</f>
        <v>Casa Andrea Milano 现代大型天鹅绒布艺组合沙发，L 形沙发，带超宽躺椅，黑色</v>
      </c>
      <c r="E2286" s="1" t="str">
        <f>IFERROR(__xludf.DUMMYFUNCTION("CONCATENATE(GOOGLETRANSLATE(C2286, ""en"", ""ko""))"),"Casa Andrea Milano 현대적인 대형 벨벳 패브릭 단면 소파, 매우 넓은 긴 의자 라운지가 있는 L자형 소파, 블랙")</f>
        <v>Casa Andrea Milano 현대적인 대형 벨벳 패브릭 단면 소파, 매우 넓은 긴 의자 라운지가 있는 L자형 소파, 블랙</v>
      </c>
      <c r="F2286" s="1" t="str">
        <f>IFERROR(__xludf.DUMMYFUNCTION("CONCATENATE(GOOGLETRANSLATE(C2286, ""en"", ""ja""))"),"Casa Andrea Milano モダンな大型ベルベット生地セクショナルソファ、L字型ソファ、幅広の長椅子付き、ブラック")</f>
        <v>Casa Andrea Milano モダンな大型ベルベット生地セクショナルソファ、L字型ソファ、幅広の長椅子付き、ブラック</v>
      </c>
    </row>
    <row r="2287" ht="15.75" customHeight="1">
      <c r="A2287" s="1">
        <v>3379.0</v>
      </c>
      <c r="B2287" s="1" t="s">
        <v>15</v>
      </c>
      <c r="C2287" s="1" t="s">
        <v>2178</v>
      </c>
      <c r="D2287" s="1" t="str">
        <f>IFERROR(__xludf.DUMMYFUNCTION("CONCATENATE(GOOGLETRANSLATE(C2287, ""en"", ""zh-cn""))"),"FQQWEE 旋转口音沙发桶椅，现代休闲椅 42.9 英寸桶椅带 3 个枕头天鹅绒圆椅 360° 旋转轮客厅酒店 (黑色)")</f>
        <v>FQQWEE 旋转口音沙发桶椅，现代休闲椅 42.9 英寸桶椅带 3 个枕头天鹅绒圆椅 360° 旋转轮客厅酒店 (黑色)</v>
      </c>
      <c r="E2287" s="1" t="str">
        <f>IFERROR(__xludf.DUMMYFUNCTION("CONCATENATE(GOOGLETRANSLATE(C2287, ""en"", ""ko""))"),"FQQWEE 회전 악센트 소파 배럴 의자, 현대식 레저 의자 42.9인치 배럴 의자(베개 3개 포함) 벨벳 원형 의자 360° 회전 바퀴(거실 호텔용)(검은색)")</f>
        <v>FQQWEE 회전 악센트 소파 배럴 의자, 현대식 레저 의자 42.9인치 배럴 의자(베개 3개 포함) 벨벳 원형 의자 360° 회전 바퀴(거실 호텔용)(검은색)</v>
      </c>
      <c r="F2287" s="1" t="str">
        <f>IFERROR(__xludf.DUMMYFUNCTION("CONCATENATE(GOOGLETRANSLATE(C2287, ""en"", ""ja""))"),"FQQWEE 回転アクセントソファ バレルチェア モダンレジャーチェア 42.9インチ バレルチェア 枕3個付き ベルベットラウンドチェア 360度回転ホイール リビングルーム ホテル用 (ブラック)")</f>
        <v>FQQWEE 回転アクセントソファ バレルチェア モダンレジャーチェア 42.9インチ バレルチェア 枕3個付き ベルベットラウンドチェア 360度回転ホイール リビングルーム ホテル用 (ブラック)</v>
      </c>
    </row>
    <row r="2288" ht="15.75" customHeight="1">
      <c r="A2288" s="1">
        <v>3384.0</v>
      </c>
      <c r="B2288" s="1" t="s">
        <v>15</v>
      </c>
      <c r="C2288" s="1" t="s">
        <v>2179</v>
      </c>
      <c r="D2288" s="1" t="str">
        <f>IFERROR(__xludf.DUMMYFUNCTION("CONCATENATE(GOOGLETRANSLATE(C2288, ""en"", ""zh-cn""))"),"Melpomene 可转换模块化组合沙发，现代简约 94.5 DIY L 形双面夏尔巴布艺沙发，适用于客厅、公寓、办公室（橙色）")</f>
        <v>Melpomene 可转换模块化组合沙发，现代简约 94.5 DIY L 形双面夏尔巴布艺沙发，适用于客厅、公寓、办公室（橙色）</v>
      </c>
      <c r="E2288" s="1" t="str">
        <f>IFERROR(__xludf.DUMMYFUNCTION("CONCATENATE(GOOGLETRANSLATE(C2288, ""en"", ""ko""))"),"Melpomene 컨버터블 모듈식 단면 소파, 현대적인 미니멀리스트 94.5 DIY L 모양의 가역 셰르파 패브릭 소파 소파, 거실, 아파트, 사무실(오렌지)")</f>
        <v>Melpomene 컨버터블 모듈식 단면 소파, 현대적인 미니멀리스트 94.5 DIY L 모양의 가역 셰르파 패브릭 소파 소파, 거실, 아파트, 사무실(오렌지)</v>
      </c>
      <c r="F2288" s="1" t="str">
        <f>IFERROR(__xludf.DUMMYFUNCTION("CONCATENATE(GOOGLETRANSLATE(C2288, ""en"", ""ja""))"),"Melpomene コンバーチブルモジュール式セクショナルソファ、モダンなミニマリスト 94.5 DIY L 字型リバーシブルシェルパ生地ソファソファ、リビングルーム、アパート、オフィス用 (オレンジ)")</f>
        <v>Melpomene コンバーチブルモジュール式セクショナルソファ、モダンなミニマリスト 94.5 DIY L 字型リバーシブルシェルパ生地ソファソファ、リビングルーム、アパート、オフィス用 (オレンジ)</v>
      </c>
    </row>
    <row r="2289" ht="15.75" customHeight="1">
      <c r="A2289" s="1">
        <v>3387.0</v>
      </c>
      <c r="B2289" s="1" t="s">
        <v>15</v>
      </c>
      <c r="C2289" s="1" t="s">
        <v>2180</v>
      </c>
      <c r="D2289" s="1" t="str">
        <f>IFERROR(__xludf.DUMMYFUNCTION("CONCATENATE(GOOGLETRANSLATE(C2289, ""en"", ""zh-cn""))"),"UBGO 3 件套现代纽扣簇绒软垫，客厅家具，3 座扶手，双人沙发套装，单人沙发，办公室沙发和沙发，组合（浅灰色）")</f>
        <v>UBGO 3 件套现代纽扣簇绒软垫，客厅家具，3 座扶手，双人沙发套装，单人沙发，办公室沙发和沙发，组合（浅灰色）</v>
      </c>
      <c r="E2289" s="1" t="str">
        <f>IFERROR(__xludf.DUMMYFUNCTION("CONCATENATE(GOOGLETRANSLATE(C2289, ""en"", ""ko""))"),"UBGO 3피스 모던 버튼 장식 덮개, 거실 가구, 3인용 팔걸이, 2인용 의자 세트, 싱글 소파, 사무실용 소파 및 소파, 단면(밝은 회색)")</f>
        <v>UBGO 3피스 모던 버튼 장식 덮개, 거실 가구, 3인용 팔걸이, 2인용 의자 세트, 싱글 소파, 사무실용 소파 및 소파, 단면(밝은 회색)</v>
      </c>
      <c r="F2289" s="1" t="str">
        <f>IFERROR(__xludf.DUMMYFUNCTION("CONCATENATE(GOOGLETRANSLATE(C2289, ""en"", ""ja""))"),"UBGO 3ピース モダンボタンタフテッド布張り、リビングルーム家具、3人掛けアームレスト、二人掛けセット、シングルソファ、オフィス用ソファ&amp;ソファ、組立式(ライトグレー)")</f>
        <v>UBGO 3ピース モダンボタンタフテッド布張り、リビングルーム家具、3人掛けアームレスト、二人掛けセット、シングルソファ、オフィス用ソファ&amp;ソファ、組立式(ライトグレー)</v>
      </c>
    </row>
    <row r="2290" ht="15.75" customHeight="1">
      <c r="A2290" s="1">
        <v>3406.0</v>
      </c>
      <c r="B2290" s="1" t="s">
        <v>15</v>
      </c>
      <c r="C2290" s="1" t="s">
        <v>2181</v>
      </c>
      <c r="D2290" s="1" t="str">
        <f>IFERROR(__xludf.DUMMYFUNCTION("CONCATENATE(GOOGLETRANSLATE(C2290, ""en"", ""zh-cn""))"),"Casa Andrea Milano 现代大型天鹅绒面料 U 形组合沙发，双人超宽躺椅沙发，灰色")</f>
        <v>Casa Andrea Milano 现代大型天鹅绒面料 U 形组合沙发，双人超宽躺椅沙发，灰色</v>
      </c>
      <c r="E2290" s="1" t="str">
        <f>IFERROR(__xludf.DUMMYFUNCTION("CONCATENATE(GOOGLETRANSLATE(C2290, ""en"", ""ko""))"),"Casa Andrea Milano 현대적인 대형 벨벳 패브릭 U자형 단면 소파, 더블 엑스트라 와이드 긴 의자 라운지 소파, 그레이")</f>
        <v>Casa Andrea Milano 현대적인 대형 벨벳 패브릭 U자형 단면 소파, 더블 엑스트라 와이드 긴 의자 라운지 소파, 그레이</v>
      </c>
      <c r="F2290" s="1" t="str">
        <f>IFERROR(__xludf.DUMMYFUNCTION("CONCATENATE(GOOGLETRANSLATE(C2290, ""en"", ""ja""))"),"Casa Andrea Milano モダンな大型ベルベット生地 U 字型セクショナルソファ、ダブルエクストラワイド長椅子、グレー")</f>
        <v>Casa Andrea Milano モダンな大型ベルベット生地 U 字型セクショナルソファ、ダブルエクストラワイド長椅子、グレー</v>
      </c>
    </row>
    <row r="2291" ht="15.75" customHeight="1">
      <c r="A2291" s="1">
        <v>3412.0</v>
      </c>
      <c r="B2291" s="1" t="s">
        <v>15</v>
      </c>
      <c r="C2291" s="1" t="s">
        <v>2182</v>
      </c>
      <c r="D2291" s="1" t="str">
        <f>IFERROR(__xludf.DUMMYFUNCTION("CONCATENATE(GOOGLETRANSLATE(C2291, ""en"", ""zh-cn""))"),"YESHOMY 铆钉中世纪软垫现代沙发无需组装双人沙发，配有坚固的木脚，77 W，深灰色，无阴影天鹅绒")</f>
        <v>YESHOMY 铆钉中世纪软垫现代沙发无需组装双人沙发，配有坚固的木脚，77 W，深灰色，无阴影天鹅绒</v>
      </c>
      <c r="E2291" s="1" t="str">
        <f>IFERROR(__xludf.DUMMYFUNCTION("CONCATENATE(GOOGLETRANSLATE(C2291, ""en"", ""ko""))"),"YESHOMY 리벳 덮개를 씌운 현대식 소파 소파 조립이 필요하지 않습니다. 튼튼한 나무 발이 있는 이인용 의자, 77W, 음영 처리된 벨벳이 없는 짙은 회색")</f>
        <v>YESHOMY 리벳 덮개를 씌운 현대식 소파 소파 조립이 필요하지 않습니다. 튼튼한 나무 발이 있는 이인용 의자, 77W, 음영 처리된 벨벳이 없는 짙은 회색</v>
      </c>
      <c r="F2291" s="1" t="str">
        <f>IFERROR(__xludf.DUMMYFUNCTION("CONCATENATE(GOOGLETRANSLATE(C2291, ""en"", ""ja""))"),"YESHOMY リベットミッドセンチュリー布張りモダンソファカウチ組立不要二人掛け丈夫な木製脚付き、77 W、ダークグレー、シェードベルベットなし")</f>
        <v>YESHOMY リベットミッドセンチュリー布張りモダンソファカウチ組立不要二人掛け丈夫な木製脚付き、77 W、ダークグレー、シェードベルベットなし</v>
      </c>
    </row>
    <row r="2292" ht="15.75" customHeight="1">
      <c r="A2292" s="1">
        <v>3417.0</v>
      </c>
      <c r="B2292" s="1" t="s">
        <v>15</v>
      </c>
      <c r="C2292" s="1" t="s">
        <v>2183</v>
      </c>
      <c r="D2292" s="1" t="str">
        <f>IFERROR(__xludf.DUMMYFUNCTION("CONCATENATE(GOOGLETRANSLATE(C2292, ""en"", ""zh-cn""))"),"CHITA 中世纪现代沙发，客厅布艺沙发，带实木腿，免工具组装，72.8 英寸宽，亚麻")</f>
        <v>CHITA 中世纪现代沙发，客厅布艺沙发，带实木腿，免工具组装，72.8 英寸宽，亚麻</v>
      </c>
      <c r="E2292" s="1" t="str">
        <f>IFERROR(__xludf.DUMMYFUNCTION("CONCATENATE(GOOGLETRANSLATE(C2292, ""en"", ""ko""))"),"CHITA 세기 중반 모던 소파, 원목 다리가 있는 거실용 패브릭 소파, 도구가 필요 없는 조립, 72.8''W, 리넨")</f>
        <v>CHITA 세기 중반 모던 소파, 원목 다리가 있는 거실용 패브릭 소파, 도구가 필요 없는 조립, 72.8''W, 리넨</v>
      </c>
      <c r="F2292" s="1" t="str">
        <f>IFERROR(__xludf.DUMMYFUNCTION("CONCATENATE(GOOGLETRANSLATE(C2292, ""en"", ""ja""))"),"CHITA ミッドセンチュリーモダンソファ、リビングルーム用ファブリックソファ、無垢材脚付き、工具不要組み立て、幅72.8インチ、リネン")</f>
        <v>CHITA ミッドセンチュリーモダンソファ、リビングルーム用ファブリックソファ、無垢材脚付き、工具不要組み立て、幅72.8インチ、リネン</v>
      </c>
    </row>
    <row r="2293" ht="15.75" customHeight="1">
      <c r="A2293" s="1">
        <v>3433.0</v>
      </c>
      <c r="B2293" s="1" t="s">
        <v>15</v>
      </c>
      <c r="C2293" s="1" t="s">
        <v>2184</v>
      </c>
      <c r="D2293" s="1" t="str">
        <f>IFERROR(__xludf.DUMMYFUNCTION("CONCATENATE(GOOGLETRANSLATE(C2293, ""en"", ""zh-cn""))"),"Merluxy沙发，深座沙发-现代雪尼尔沙发，客厅3座沙发-97宽超大沙发，米色舒适沙发")</f>
        <v>Merluxy沙发，深座沙发-现代雪尼尔沙发，客厅3座沙发-97宽超大沙发，米色舒适沙发</v>
      </c>
      <c r="E2293" s="1" t="str">
        <f>IFERROR(__xludf.DUMMYFUNCTION("CONCATENATE(GOOGLETRANSLATE(C2293, ""en"", ""ko""))"),"멀럭시 소파, 딥 시트 소파 - 컨템포러리 셔닐 소파 소파, 거실용 3인용 소파 - 97 와이드 오버사이즈 소파, 베이지 편안한 소파")</f>
        <v>멀럭시 소파, 딥 시트 소파 - 컨템포러리 셔닐 소파 소파, 거실용 3인용 소파 - 97 와이드 오버사이즈 소파, 베이지 편안한 소파</v>
      </c>
      <c r="F2293" s="1" t="str">
        <f>IFERROR(__xludf.DUMMYFUNCTION("CONCATENATE(GOOGLETRANSLATE(C2293, ""en"", ""ja""))"),"Merluxy ソファ、ディープシートソファ - 現代的なシェニールソファカウチ、リビングルーム用 3 人掛けソファ - 97 幅の特大ソファ、ベージュの快適なソファ")</f>
        <v>Merluxy ソファ、ディープシートソファ - 現代的なシェニールソファカウチ、リビングルーム用 3 人掛けソファ - 97 幅の特大ソファ、ベージュの快適なソファ</v>
      </c>
    </row>
    <row r="2294" ht="15.75" customHeight="1">
      <c r="A2294" s="1">
        <v>3452.0</v>
      </c>
      <c r="B2294" s="1" t="s">
        <v>15</v>
      </c>
      <c r="C2294" s="1" t="s">
        <v>1798</v>
      </c>
      <c r="D2294" s="1" t="str">
        <f>IFERROR(__xludf.DUMMYFUNCTION("CONCATENATE(GOOGLETRANSLATE(C2294, ""en"", ""zh-cn""))"),"Devion Furniture 现代双面组合卧铺组合沙发，带储物躺椅，深灰色面料")</f>
        <v>Devion Furniture 现代双面组合卧铺组合沙发，带储物躺椅，深灰色面料</v>
      </c>
      <c r="E2294" s="1" t="str">
        <f>IFERROR(__xludf.DUMMYFUNCTION("CONCATENATE(GOOGLETRANSLATE(C2294, ""en"", ""ko""))"),"Devion Furniture 다크 그레이 패브릭 소재의 수납용 의자가 있는 현대식 양면 슬리퍼 단면 소파")</f>
        <v>Devion Furniture 다크 그레이 패브릭 소재의 수납용 의자가 있는 현대식 양면 슬리퍼 단면 소파</v>
      </c>
      <c r="F2294" s="1" t="str">
        <f>IFERROR(__xludf.DUMMYFUNCTION("CONCATENATE(GOOGLETRANSLATE(C2294, ""en"", ""ja""))"),"Devion Furniture コンテンポラリー リバーシブル セクショナル スリーパー セクショナル ソファ 収納長椅子付き ダークグレー ファブリック")</f>
        <v>Devion Furniture コンテンポラリー リバーシブル セクショナル スリーパー セクショナル ソファ 収納長椅子付き ダークグレー ファブリック</v>
      </c>
    </row>
    <row r="2295" ht="15.75" customHeight="1">
      <c r="A2295" s="1">
        <v>3481.0</v>
      </c>
      <c r="B2295" s="1" t="s">
        <v>15</v>
      </c>
      <c r="C2295" s="1" t="s">
        <v>2185</v>
      </c>
      <c r="D2295" s="1" t="str">
        <f>IFERROR(__xludf.DUMMYFUNCTION("CONCATENATE(GOOGLETRANSLATE(C2295, ""en"", ""zh-cn""))"),"Tripp Lite SmartOnline 3kVA 2.7kW 双转换 UPS，208/240V，延长运行，网卡插槽，LCD，USB，DB9，2U 机架式，能源之星，2 年保修和 250,000 美元保险 (SU3000LCD2UHV)")</f>
        <v>Tripp Lite SmartOnline 3kVA 2.7kW 双转换 UPS，208/240V，延长运行，网卡插槽，LCD，USB，DB9，2U 机架式，能源之星，2 年保修和 250,000 美元保险 (SU3000LCD2UHV)</v>
      </c>
      <c r="E2295" s="1" t="str">
        <f>IFERROR(__xludf.DUMMYFUNCTION("CONCATENATE(GOOGLETRANSLATE(C2295, ""en"", ""ko""))"),"Tripp Lite SmartOnline 3kVA 2.7kW 이중 변환 UPS, 208/240V, 확장 실행, 네트워크 카드 슬롯, LCD, USB, DB9, 2U 랙 마운트, 에너지 스타, 2년 보증 및 $250,000 보험(SU3000LCD2UHV)")</f>
        <v>Tripp Lite SmartOnline 3kVA 2.7kW 이중 변환 UPS, 208/240V, 확장 실행, 네트워크 카드 슬롯, LCD, USB, DB9, 2U 랙 마운트, 에너지 스타, 2년 보증 및 $250,000 보험(SU3000LCD2UHV)</v>
      </c>
      <c r="F2295" s="1" t="str">
        <f>IFERROR(__xludf.DUMMYFUNCTION("CONCATENATE(GOOGLETRANSLATE(C2295, ""en"", ""ja""))"),"Tripp Lite SmartOnline 3kVA 2.7kW ダブルコンバージョン UPS、208/240V、拡張実行、ネットワーク カード スロット、LCD、USB、DB9、2U ラックマウント、Energy Star、2 年保証 &amp; 250,000 ドルの保険 (SU3000LCD2UHV)")</f>
        <v>Tripp Lite SmartOnline 3kVA 2.7kW ダブルコンバージョン UPS、208/240V、拡張実行、ネットワーク カード スロット、LCD、USB、DB9、2U ラックマウント、Energy Star、2 年保証 &amp; 250,000 ドルの保険 (SU3000LCD2UHV)</v>
      </c>
    </row>
    <row r="2296" ht="15.75" customHeight="1">
      <c r="A2296" s="1">
        <v>3494.0</v>
      </c>
      <c r="B2296" s="1" t="s">
        <v>15</v>
      </c>
      <c r="C2296" s="1" t="s">
        <v>2186</v>
      </c>
      <c r="D2296" s="1" t="str">
        <f>IFERROR(__xludf.DUMMYFUNCTION("CONCATENATE(GOOGLETRANSLATE(C2296, ""en"", ""zh-cn""))"),"Lenovo Legion Tower 7i - 2022 - 游戏台式机 - NVIDIA GeForce RTX 3070 - Intel i7-12900K - RTX 3070-16GB RAM - 1TB SSD - Win 11 - 黑色 - 鼠标和键盘 - 免费 3 个月 Xbox GamePass")</f>
        <v>Lenovo Legion Tower 7i - 2022 - 游戏台式机 - NVIDIA GeForce RTX 3070 - Intel i7-12900K - RTX 3070-16GB RAM - 1TB SSD - Win 11 - 黑色 - 鼠标和键盘 - 免费 3 个月 Xbox GamePass</v>
      </c>
      <c r="E2296" s="1" t="str">
        <f>IFERROR(__xludf.DUMMYFUNCTION("CONCATENATE(GOOGLETRANSLATE(C2296, ""en"", ""ko""))"),"Lenovo Legion Tower 7i - 2022 - 게임용 데스크탑 - NVIDIA GeForce RTX 3070 - Intel i7-12900K - RTX 3070-16GB RAM - 1TB SSD - Win 11 - 블랙 - 마우스 및 키보드 - Xbox GamePass 3개월 무료")</f>
        <v>Lenovo Legion Tower 7i - 2022 - 게임용 데스크탑 - NVIDIA GeForce RTX 3070 - Intel i7-12900K - RTX 3070-16GB RAM - 1TB SSD - Win 11 - 블랙 - 마우스 및 키보드 - Xbox GamePass 3개월 무료</v>
      </c>
      <c r="F2296" s="1" t="str">
        <f>IFERROR(__xludf.DUMMYFUNCTION("CONCATENATE(GOOGLETRANSLATE(C2296, ""en"", ""ja""))"),"Lenovo Legion Tower 7i - 2022 - ゲーミング デスクトップ - NVIDIA GeForce RTX 3070 - Intel i7-12900K - RTX 3070-16GB RAM - 1TB SSD - Win 11 - ブラック - マウス &amp; キーボード - 無料の 3 か月 Xbox GamePass")</f>
        <v>Lenovo Legion Tower 7i - 2022 - ゲーミング デスクトップ - NVIDIA GeForce RTX 3070 - Intel i7-12900K - RTX 3070-16GB RAM - 1TB SSD - Win 11 - ブラック - マウス &amp; キーボード - 無料の 3 か月 Xbox GamePass</v>
      </c>
    </row>
    <row r="2297" ht="15.75" customHeight="1">
      <c r="A2297" s="1">
        <v>3521.0</v>
      </c>
      <c r="B2297" s="1" t="s">
        <v>15</v>
      </c>
      <c r="C2297" s="1" t="s">
        <v>2187</v>
      </c>
      <c r="D2297" s="1" t="str">
        <f>IFERROR(__xludf.DUMMYFUNCTION("CONCATENATE(GOOGLETRANSLATE(C2297, ""en"", ""zh-cn""))"),"联想 ThinkPad E15 G2 15.6 FHD IPS 商务笔记本电脑（Intel i7-1165G7 4 核，32GB RAM，2TB PCIe SSD，Intel Iris Xe，背光 KYB，指纹识别，WiFi 6，蓝牙 5.2，高清网络摄像头，Win10P）带集线器")</f>
        <v>联想 ThinkPad E15 G2 15.6 FHD IPS 商务笔记本电脑（Intel i7-1165G7 4 核，32GB RAM，2TB PCIe SSD，Intel Iris Xe，背光 KYB，指纹识别，WiFi 6，蓝牙 5.2，高清网络摄像头，Win10P）带集线器</v>
      </c>
      <c r="E2297" s="1" t="str">
        <f>IFERROR(__xludf.DUMMYFUNCTION("CONCATENATE(GOOGLETRANSLATE(C2297, ""en"", ""ko""))"),"레노버 씽크패드 E15 G2 15.6 FHD IPS 비즈니스 노트북(인텔 i7-1165G7 4코어, 32GB RAM, 2TB PCIe SSD, 인텔 Iris Xe, 백라이트 KYB, 지문 인식, WiFi 6, 블루투스 5.2, HD 웹캠, Win10P) 허브 포함")</f>
        <v>레노버 씽크패드 E15 G2 15.6 FHD IPS 비즈니스 노트북(인텔 i7-1165G7 4코어, 32GB RAM, 2TB PCIe SSD, 인텔 Iris Xe, 백라이트 KYB, 지문 인식, WiFi 6, 블루투스 5.2, HD 웹캠, Win10P) 허브 포함</v>
      </c>
      <c r="F2297" s="1" t="str">
        <f>IFERROR(__xludf.DUMMYFUNCTION("CONCATENATE(GOOGLETRANSLATE(C2297, ""en"", ""ja""))"),"Lenovo ThinkPad E15 G2 15.6 FHD IPS ビジネス ノートパソコン (Intel i7-1165G7 4 コア、32GB RAM、2TB PCIe SSD、Intel Iris Xe、バックライト付き KYB、指紋認証、WiFi 6、Bluetooth 5.2、HD Web カメラ、Win10P) ハブ付き")</f>
        <v>Lenovo ThinkPad E15 G2 15.6 FHD IPS ビジネス ノートパソコン (Intel i7-1165G7 4 コア、32GB RAM、2TB PCIe SSD、Intel Iris Xe、バックライト付き KYB、指紋認証、WiFi 6、Bluetooth 5.2、HD Web カメラ、Win10P) ハブ付き</v>
      </c>
    </row>
    <row r="2298" ht="15.75" customHeight="1">
      <c r="A2298" s="1">
        <v>3522.0</v>
      </c>
      <c r="B2298" s="1" t="s">
        <v>15</v>
      </c>
      <c r="C2298" s="1" t="s">
        <v>2188</v>
      </c>
      <c r="D2298" s="1" t="str">
        <f>IFERROR(__xludf.DUMMYFUNCTION("CONCATENATE(GOOGLETRANSLATE(C2298, ""en"", ""zh-cn""))"),"Lenovo ThinkPad X1 Carbon 第 9 代 Intel Core i7-1165G7，FHD 非触摸屏，16GB RAM，512GB NVMe SSD，背光 KYB 指纹识别器，Windows Pro")</f>
        <v>Lenovo ThinkPad X1 Carbon 第 9 代 Intel Core i7-1165G7，FHD 非触摸屏，16GB RAM，512GB NVMe SSD，背光 KYB 指纹识别器，Windows Pro</v>
      </c>
      <c r="E2298" s="1" t="str">
        <f>IFERROR(__xludf.DUMMYFUNCTION("CONCATENATE(GOOGLETRANSLATE(C2298, ""en"", ""ko""))"),"레노버 씽크패드 X1 카본 9세대 9 인텔 코어 i7-1165G7, FHD 비터치 스크린, 16GB RAM, 512GB NVMe SSD, 백라이트 KYB 지문 인식기, 윈도우 프로")</f>
        <v>레노버 씽크패드 X1 카본 9세대 9 인텔 코어 i7-1165G7, FHD 비터치 스크린, 16GB RAM, 512GB NVMe SSD, 백라이트 KYB 지문 인식기, 윈도우 프로</v>
      </c>
      <c r="F2298" s="1" t="str">
        <f>IFERROR(__xludf.DUMMYFUNCTION("CONCATENATE(GOOGLETRANSLATE(C2298, ""en"", ""ja""))"),"Lenovo ThinkPad X1 Carbon 第 9 世代 9 Intel Core i7-1165G7、FHD 非タッチ スクリーン、16GB RAM、512GB NVMe SSD、バックライト付き KYB 指紋リーダー、Windows Pro")</f>
        <v>Lenovo ThinkPad X1 Carbon 第 9 世代 9 Intel Core i7-1165G7、FHD 非タッチ スクリーン、16GB RAM、512GB NVMe SSD、バックライト付き KYB 指紋リーダー、Windows Pro</v>
      </c>
    </row>
    <row r="2299" ht="15.75" customHeight="1">
      <c r="A2299" s="1">
        <v>3542.0</v>
      </c>
      <c r="B2299" s="1" t="s">
        <v>15</v>
      </c>
      <c r="C2299" s="1" t="s">
        <v>2189</v>
      </c>
      <c r="D2299" s="1" t="str">
        <f>IFERROR(__xludf.DUMMYFUNCTION("CONCATENATE(GOOGLETRANSLATE(C2299, ""en"", ""zh-cn""))"),"MojoDesk - Mojo Gamer Pro - 适用于电子竞技 PC 游戏的电动站立式办公桌，捆绑 5 个配件 - 显示器臂、CPU 吊架、电缆托盘、电缆链、电源条")</f>
        <v>MojoDesk - Mojo Gamer Pro - 适用于电子竞技 PC 游戏的电动站立式办公桌，捆绑 5 个配件 - 显示器臂、CPU 吊架、电缆托盘、电缆链、电源条</v>
      </c>
      <c r="E2299" s="1" t="str">
        <f>IFERROR(__xludf.DUMMYFUNCTION("CONCATENATE(GOOGLETRANSLATE(C2299, ""en"", ""ko""))"),"MojoDesk - Mojo Gamer Pro - e스포츠 PC 게이밍을 위한 전기 스탠딩 스탠딩 데스크, 모니터 암, CPU 걸이, 케이블 트레이, 케이블 체인, 파워바 등 5가지 액세서리가 번들로 제공됨")</f>
        <v>MojoDesk - Mojo Gamer Pro - e스포츠 PC 게이밍을 위한 전기 스탠딩 스탠딩 데스크, 모니터 암, CPU 걸이, 케이블 트레이, 케이블 체인, 파워바 등 5가지 액세서리가 번들로 제공됨</v>
      </c>
      <c r="F2299" s="1" t="str">
        <f>IFERROR(__xludf.DUMMYFUNCTION("CONCATENATE(GOOGLETRANSLATE(C2299, ""en"", ""ja""))"),"MojoDesk - Mojo Gamer Pro - Esports PC ゲーム用電動スタンディングスタンディングデスク 5 つのアクセサリがバンドル - モニターアーム、CPU ハンガー、ケーブルトレイ、ケーブルチェーン、パワーバー")</f>
        <v>MojoDesk - Mojo Gamer Pro - Esports PC ゲーム用電動スタンディングスタンディングデスク 5 つのアクセサリがバンドル - モニターアーム、CPU ハンガー、ケーブルトレイ、ケーブルチェーン、パワーバー</v>
      </c>
    </row>
    <row r="2300" ht="15.75" customHeight="1">
      <c r="A2300" s="1">
        <v>3549.0</v>
      </c>
      <c r="B2300" s="1" t="s">
        <v>15</v>
      </c>
      <c r="C2300" s="1" t="s">
        <v>2190</v>
      </c>
      <c r="D2300" s="1" t="str">
        <f>IFERROR(__xludf.DUMMYFUNCTION("CONCATENATE(GOOGLETRANSLATE(C2300, ""en"", ""zh-cn""))"),"戴尔 Inspiron 灵越 13 5310，13.3 英寸 QHD（四倍高清）笔记本电脑 - 轻薄英特尔酷睿 i7-11370H，16GB DDR4 RAM，512GB SSD，NVIDIA GeForce MX450，服务 - Windows 10 主页")</f>
        <v>戴尔 Inspiron 灵越 13 5310，13.3 英寸 QHD（四倍高清）笔记本电脑 - 轻薄英特尔酷睿 i7-11370H，16GB DDR4 RAM，512GB SSD，NVIDIA GeForce MX450，服务 - Windows 10 主页</v>
      </c>
      <c r="E2300" s="1" t="str">
        <f>IFERROR(__xludf.DUMMYFUNCTION("CONCATENATE(GOOGLETRANSLATE(C2300, ""en"", ""ko""))"),"Dell Inspiron 13 5310, 13.3인치 QHD(쿼드 고화질) 노트북 - 얇고 가벼운 Intel Core i7-11370H, 16GB DDR4 RAM, 512GB SSD, NVIDIA GeForce MX450, 서비스 - Windows 10 Home")</f>
        <v>Dell Inspiron 13 5310, 13.3인치 QHD(쿼드 고화질) 노트북 - 얇고 가벼운 Intel Core i7-11370H, 16GB DDR4 RAM, 512GB SSD, NVIDIA GeForce MX450, 서비스 - Windows 10 Home</v>
      </c>
      <c r="F2300" s="1" t="str">
        <f>IFERROR(__xludf.DUMMYFUNCTION("CONCATENATE(GOOGLETRANSLATE(C2300, ""en"", ""ja""))"),"Dell Inspiron 13 5310、13.3 インチ QHD (クアッド ハイ デフィニション) ノートパソコン - 薄型軽量 Intel Core i7-11370H、16GB DDR4 RAM、512GB SSD、NVIDIA GeForce MX450、サービス - Windows 10 Home")</f>
        <v>Dell Inspiron 13 5310、13.3 インチ QHD (クアッド ハイ デフィニション) ノートパソコン - 薄型軽量 Intel Core i7-11370H、16GB DDR4 RAM、512GB SSD、NVIDIA GeForce MX450、サービス - Windows 10 Home</v>
      </c>
    </row>
    <row r="2301" ht="15.75" customHeight="1">
      <c r="A2301" s="1">
        <v>3551.0</v>
      </c>
      <c r="B2301" s="1" t="s">
        <v>15</v>
      </c>
      <c r="C2301" s="1" t="s">
        <v>2191</v>
      </c>
      <c r="D2301" s="1" t="str">
        <f>IFERROR(__xludf.DUMMYFUNCTION("CONCATENATE(GOOGLETRANSLATE(C2301, ""en"", ""zh-cn""))"),"Tripp Lite 21 端口交流移动充电车存储站适用于 Chromebook、iPad、笔记本电脑、平板电脑，黑色 (CSC21AC)")</f>
        <v>Tripp Lite 21 端口交流移动充电车存储站适用于 Chromebook、iPad、笔记本电脑、平板电脑，黑色 (CSC21AC)</v>
      </c>
      <c r="E2301" s="1" t="str">
        <f>IFERROR(__xludf.DUMMYFUNCTION("CONCATENATE(GOOGLETRANSLATE(C2301, ""en"", ""ko""))"),"Chromebook, iPad, 노트북, 태블릿, 블랙(CSC21AC)용 Tripp Lite 21포트 AC 모바일 충전 카트 보관 스테이션")</f>
        <v>Chromebook, iPad, 노트북, 태블릿, 블랙(CSC21AC)용 Tripp Lite 21포트 AC 모바일 충전 카트 보관 스테이션</v>
      </c>
      <c r="F2301" s="1" t="str">
        <f>IFERROR(__xludf.DUMMYFUNCTION("CONCATENATE(GOOGLETRANSLATE(C2301, ""en"", ""ja""))"),"Tripp Lite 21 ポート AC モバイル充電カート ストレージ ステーション Chromebook、iPad、ラップトップ、タブレット用、ブラック (CSC21AC)")</f>
        <v>Tripp Lite 21 ポート AC モバイル充電カート ストレージ ステーション Chromebook、iPad、ラップトップ、タブレット用、ブラック (CSC21AC)</v>
      </c>
    </row>
    <row r="2302" ht="15.75" customHeight="1">
      <c r="A2302" s="1">
        <v>3554.0</v>
      </c>
      <c r="B2302" s="1" t="s">
        <v>15</v>
      </c>
      <c r="C2302" s="1" t="s">
        <v>2192</v>
      </c>
      <c r="D2302" s="1" t="str">
        <f>IFERROR(__xludf.DUMMYFUNCTION("CONCATENATE(GOOGLETRANSLATE(C2302, ""en"", ""zh-cn""))"),"戴尔 Inspiron 灵越 16 5620 笔记本电脑 - 16.0 英寸 16:10 FHD+ (1920 x 1200) 显示屏，英特尔酷睿 i7-1255U，16GB 内存，512GB SSD，NVIDIA GeForce MX570，英特尔 Wi-Fi 6E，Windows 11 Home - 白金银")</f>
        <v>戴尔 Inspiron 灵越 16 5620 笔记本电脑 - 16.0 英寸 16:10 FHD+ (1920 x 1200) 显示屏，英特尔酷睿 i7-1255U，16GB 内存，512GB SSD，NVIDIA GeForce MX570，英特尔 Wi-Fi 6E，Windows 11 Home - 白金银</v>
      </c>
      <c r="E2302" s="1" t="str">
        <f>IFERROR(__xludf.DUMMYFUNCTION("CONCATENATE(GOOGLETRANSLATE(C2302, ""en"", ""ko""))"),"Dell Inspiron 16 5620 노트북 - 16.0인치 16:10 FHD+(1920 x 1200) 디스플레이, Intel Core i7-1255U, 16GB 메모리, 512GB SSD, NVIDIA GeForce MX570, Intel Wi-Fi 6E, Windows 11 Home - 플래티넘 실버")</f>
        <v>Dell Inspiron 16 5620 노트북 - 16.0인치 16:10 FHD+(1920 x 1200) 디스플레이, Intel Core i7-1255U, 16GB 메모리, 512GB SSD, NVIDIA GeForce MX570, Intel Wi-Fi 6E, Windows 11 Home - 플래티넘 실버</v>
      </c>
      <c r="F2302" s="1" t="str">
        <f>IFERROR(__xludf.DUMMYFUNCTION("CONCATENATE(GOOGLETRANSLATE(C2302, ""en"", ""ja""))"),"Dell Inspiron 16 5620 ラップトップ - 16.0 インチ 16:10 FHD+ (1920 x 1200) ディスプレイ、Intel Core i7-1255U、16GB メモリ、512GB SSD、NVIDIA GeForce MX570、Intel Wi-Fi 6E、Windows 11 Home - プラチナ シルバー")</f>
        <v>Dell Inspiron 16 5620 ラップトップ - 16.0 インチ 16:10 FHD+ (1920 x 1200) ディスプレイ、Intel Core i7-1255U、16GB メモリ、512GB SSD、NVIDIA GeForce MX570、Intel Wi-Fi 6E、Windows 11 Home - プラチナ シルバー</v>
      </c>
    </row>
    <row r="2303" ht="15.75" customHeight="1">
      <c r="A2303" s="1">
        <v>3556.0</v>
      </c>
      <c r="B2303" s="1" t="s">
        <v>15</v>
      </c>
      <c r="C2303" s="1" t="s">
        <v>2193</v>
      </c>
      <c r="D2303" s="1" t="str">
        <f>IFERROR(__xludf.DUMMYFUNCTION("CONCATENATE(GOOGLETRANSLATE(C2303, ""en"", ""zh-cn""))"),"HP Envy 17T 2021，i7-1165G7 第 11 代四核，16GB RAM，512GB NVMe SSD，17.3 FHD 1080p Touch，Thunderbolt 4，Win 11 PRO，WiFi 6，B&amp;O 扬声器，USB-A，Intel Xe ，4 Cell，64GB Tech Warehouse 闪存盘")</f>
        <v>HP Envy 17T 2021，i7-1165G7 第 11 代四核，16GB RAM，512GB NVMe SSD，17.3 FHD 1080p Touch，Thunderbolt 4，Win 11 PRO，WiFi 6，B&amp;O 扬声器，USB-A，Intel Xe ，4 Cell，64GB Tech Warehouse 闪存盘</v>
      </c>
      <c r="E2303" s="1" t="str">
        <f>IFERROR(__xludf.DUMMYFUNCTION("CONCATENATE(GOOGLETRANSLATE(C2303, ""en"", ""ko""))"),"HP Envy 17T 2021,i7-1165G7 11세대 쿼드 코어,16GB RAM,512GB NVMe SSD, 17.3 FHD 1080p 터치,Thunderbolt 4,Win 11 PRO,WiFi 6,B&amp;O 스피커,USB-A,Intel Xe,4셀,64GB Tech Warehouse 플래시 드라이브")</f>
        <v>HP Envy 17T 2021,i7-1165G7 11세대 쿼드 코어,16GB RAM,512GB NVMe SSD, 17.3 FHD 1080p 터치,Thunderbolt 4,Win 11 PRO,WiFi 6,B&amp;O 스피커,USB-A,Intel Xe,4셀,64GB Tech Warehouse 플래시 드라이브</v>
      </c>
      <c r="F2303" s="1" t="str">
        <f>IFERROR(__xludf.DUMMYFUNCTION("CONCATENATE(GOOGLETRANSLATE(C2303, ""en"", ""ja""))"),"HP Envy 17T 2021、i7-1165G7 第 11 世代クアッドコア、16GB RAM、512GB NVMe SSD、17.3 FHD 1080p タッチ、Thunderbolt 4、Win 11 PRO、WiFi 6、B&amp;O スピーカー、USB-A、Intel Xe、4 セル、64GB Tech Warehouse フラッシュ ドライブ")</f>
        <v>HP Envy 17T 2021、i7-1165G7 第 11 世代クアッドコア、16GB RAM、512GB NVMe SSD、17.3 FHD 1080p タッチ、Thunderbolt 4、Win 11 PRO、WiFi 6、B&amp;O スピーカー、USB-A、Intel Xe、4 セル、64GB Tech Warehouse フラッシュ ドライブ</v>
      </c>
    </row>
    <row r="2304" ht="15.75" customHeight="1">
      <c r="A2304" s="1">
        <v>3559.0</v>
      </c>
      <c r="B2304" s="1" t="s">
        <v>15</v>
      </c>
      <c r="C2304" s="1" t="s">
        <v>2194</v>
      </c>
      <c r="D2304" s="1" t="str">
        <f>IFERROR(__xludf.DUMMYFUNCTION("CONCATENATE(GOOGLETRANSLATE(C2304, ""en"", ""zh-cn""))"),"华硕 ZenBook 14 超薄笔记本电脑 14 英寸 FHD 显示屏，AMD Ryzen 7 5800H CPU，Radeon Vega 7 显卡，16GB RAM，1TB PCIe SSD，NumberPad，Windows 11 Pro，松灰，UM425QA-EH74")</f>
        <v>华硕 ZenBook 14 超薄笔记本电脑 14 英寸 FHD 显示屏，AMD Ryzen 7 5800H CPU，Radeon Vega 7 显卡，16GB RAM，1TB PCIe SSD，NumberPad，Windows 11 Pro，松灰，UM425QA-EH74</v>
      </c>
      <c r="E2304" s="1" t="str">
        <f>IFERROR(__xludf.DUMMYFUNCTION("CONCATENATE(GOOGLETRANSLATE(C2304, ""en"", ""ko""))"),"ASUS ZenBook 14 울트라슬림 노트북 14인치 FHD 디스플레이, AMD Ryzen 7 5800H CPU, Radeon Vega 7 그래픽, 16GB RAM, 1TB PCIe SSD, NumberPad, Windows 11 Pro, Pine Grey, UM425QA-EH74")</f>
        <v>ASUS ZenBook 14 울트라슬림 노트북 14인치 FHD 디스플레이, AMD Ryzen 7 5800H CPU, Radeon Vega 7 그래픽, 16GB RAM, 1TB PCIe SSD, NumberPad, Windows 11 Pro, Pine Grey, UM425QA-EH74</v>
      </c>
      <c r="F2304" s="1" t="str">
        <f>IFERROR(__xludf.DUMMYFUNCTION("CONCATENATE(GOOGLETRANSLATE(C2304, ""en"", ""ja""))"),"ASUS ZenBook 14 ウルトラスリム ラップトップ 14 インチ FHD ディスプレイ、AMD Ryzen 7 5800H CPU、Radeon Vega 7 グラフィックス、16GB RAM、1TB PCIe SSD、NumberPad、Windows 11 Pro、パイン グレー、UM425QA-EH74")</f>
        <v>ASUS ZenBook 14 ウルトラスリム ラップトップ 14 インチ FHD ディスプレイ、AMD Ryzen 7 5800H CPU、Radeon Vega 7 グラフィックス、16GB RAM、1TB PCIe SSD、NumberPad、Windows 11 Pro、パイン グレー、UM425QA-EH74</v>
      </c>
    </row>
    <row r="2305" ht="15.75" customHeight="1">
      <c r="A2305" s="1">
        <v>3565.0</v>
      </c>
      <c r="B2305" s="1" t="s">
        <v>15</v>
      </c>
      <c r="C2305" s="1" t="s">
        <v>2195</v>
      </c>
      <c r="D2305" s="1" t="str">
        <f>IFERROR(__xludf.DUMMYFUNCTION("CONCATENATE(GOOGLETRANSLATE(C2305, ""en"", ""zh-cn""))"),"AudioQuest - Niagara 1200 电源调节器，带 NRG-Y3 电源线（15A，2m）")</f>
        <v>AudioQuest - Niagara 1200 电源调节器，带 NRG-Y3 电源线（15A，2m）</v>
      </c>
      <c r="E2305" s="1" t="str">
        <f>IFERROR(__xludf.DUMMYFUNCTION("CONCATENATE(GOOGLETRANSLATE(C2305, ""en"", ""ko""))"),"AudioQuest - NRG-Y3 전원 케이블(15A, 2m)이 포함된 Niagara 1200 전원 컨디셔너")</f>
        <v>AudioQuest - NRG-Y3 전원 케이블(15A, 2m)이 포함된 Niagara 1200 전원 컨디셔너</v>
      </c>
      <c r="F2305" s="1" t="str">
        <f>IFERROR(__xludf.DUMMYFUNCTION("CONCATENATE(GOOGLETRANSLATE(C2305, ""en"", ""ja""))"),"AudioQuest - Niagara 1200 パワーコンディショナー、NRG-Y3 電源ケーブル (15A、2m) 付き")</f>
        <v>AudioQuest - Niagara 1200 パワーコンディショナー、NRG-Y3 電源ケーブル (15A、2m) 付き</v>
      </c>
    </row>
    <row r="2306" ht="15.75" customHeight="1">
      <c r="A2306" s="1">
        <v>3570.0</v>
      </c>
      <c r="B2306" s="1" t="s">
        <v>15</v>
      </c>
      <c r="C2306" s="1" t="s">
        <v>2196</v>
      </c>
      <c r="D2306" s="1" t="str">
        <f>IFERROR(__xludf.DUMMYFUNCTION("CONCATENATE(GOOGLETRANSLATE(C2306, ""en"", ""zh-cn""))"),"BUFFALO TeraStation 5410DN 桌面 NAS 32TB (4x8TB)，带 HDD NAS 硬盘 包含 10GbE / 4 盘位/RAID/iSCSI/NAS/存储服务器/NAS 服务器/NAS 存储/网络存储/文件服务器")</f>
        <v>BUFFALO TeraStation 5410DN 桌面 NAS 32TB (4x8TB)，带 HDD NAS 硬盘 包含 10GbE / 4 盘位/RAID/iSCSI/NAS/存储服务器/NAS 服务器/NAS 存储/网络存储/文件服务器</v>
      </c>
      <c r="E2306" s="1" t="str">
        <f>IFERROR(__xludf.DUMMYFUNCTION("CONCATENATE(GOOGLETRANSLATE(C2306, ""en"", ""ko""))"),"BUFFALO TeraStation 5410DN 데스크톱 NAS 32TB(4x8TB)(HDD 포함) NAS 하드 드라이브 포함 10GbE/4베이/RAID/iSCSI/NAS/스토리지 서버/NAS 서버/NAS 스토리지/네트워크 스토리지/파일 서버")</f>
        <v>BUFFALO TeraStation 5410DN 데스크톱 NAS 32TB(4x8TB)(HDD 포함) NAS 하드 드라이브 포함 10GbE/4베이/RAID/iSCSI/NAS/스토리지 서버/NAS 서버/NAS 스토리지/네트워크 스토리지/파일 서버</v>
      </c>
      <c r="F2306" s="1" t="str">
        <f>IFERROR(__xludf.DUMMYFUNCTION("CONCATENATE(GOOGLETRANSLATE(C2306, ""en"", ""ja""))"),"BUFFALO TeraStation 5410DN デスクトップNAS 32TB(4x8TB) HDD搭載 NASハードドライブ付属 10GbE/4ベイ/RAID/iSCSI/NAS/ストレージサーバー/NASサーバー/NASストレージ/ネットワークストレージ/ファイルサーバー")</f>
        <v>BUFFALO TeraStation 5410DN デスクトップNAS 32TB(4x8TB) HDD搭載 NASハードドライブ付属 10GbE/4ベイ/RAID/iSCSI/NAS/ストレージサーバー/NASサーバー/NASストレージ/ネットワークストレージ/ファイルサーバー</v>
      </c>
    </row>
    <row r="2307" ht="15.75" customHeight="1">
      <c r="A2307" s="1">
        <v>3579.0</v>
      </c>
      <c r="B2307" s="1" t="s">
        <v>15</v>
      </c>
      <c r="C2307" s="1" t="s">
        <v>2197</v>
      </c>
      <c r="D2307" s="1" t="str">
        <f>IFERROR(__xludf.DUMMYFUNCTION("CONCATENATE(GOOGLETRANSLATE(C2307, ""en"", ""zh-cn""))"),"Microsoft Surface Laptop 5 (2022)，13.5 英寸触摸屏，轻薄，电池寿命长，用于多任务处理的快速 Intel i5 处理器，256GB 存储，Windows 11，白金级")</f>
        <v>Microsoft Surface Laptop 5 (2022)，13.5 英寸触摸屏，轻薄，电池寿命长，用于多任务处理的快速 Intel i5 处理器，256GB 存储，Windows 11，白金级</v>
      </c>
      <c r="E2307" s="1" t="str">
        <f>IFERROR(__xludf.DUMMYFUNCTION("CONCATENATE(GOOGLETRANSLATE(C2307, ""en"", ""ko""))"),"Microsoft Surface Laptop 5(2022), 13.5 터치 스크린, 얇고 가벼운 제품, 긴 배터리 수명, 멀티태스킹을 위한 빠른 Intel i5 프로세서, Windows 11 탑재 256GB 스토리지, Platinum")</f>
        <v>Microsoft Surface Laptop 5(2022), 13.5 터치 스크린, 얇고 가벼운 제품, 긴 배터리 수명, 멀티태스킹을 위한 빠른 Intel i5 프로세서, Windows 11 탑재 256GB 스토리지, Platinum</v>
      </c>
      <c r="F2307" s="1" t="str">
        <f>IFERROR(__xludf.DUMMYFUNCTION("CONCATENATE(GOOGLETRANSLATE(C2307, ""en"", ""ja""))"),"Microsoft Surface Laptop 5 (2022)、13.5 タッチ スクリーン、薄型軽量、長いバッテリー寿命、マルチタスク用の高速 Intel i5 プロセッサー、Windows 11 搭載 256GB ストレージ、プラチナ")</f>
        <v>Microsoft Surface Laptop 5 (2022)、13.5 タッチ スクリーン、薄型軽量、長いバッテリー寿命、マルチタスク用の高速 Intel i5 プロセッサー、Windows 11 搭載 256GB ストレージ、プラチナ</v>
      </c>
    </row>
    <row r="2308" ht="15.75" customHeight="1">
      <c r="A2308" s="1">
        <v>3583.0</v>
      </c>
      <c r="B2308" s="1" t="s">
        <v>15</v>
      </c>
      <c r="C2308" s="1" t="s">
        <v>2198</v>
      </c>
      <c r="D2308" s="1" t="str">
        <f>IFERROR(__xludf.DUMMYFUNCTION("CONCATENATE(GOOGLETRANSLATE(C2308, ""en"", ""zh-cn""))"),"联想最新 IdeaPad 3 17.3 高清商务笔记本电脑，第 10 代英特尔酷睿 i5-1035G1 (Beat i7-8550U)，20GB RAM 1TB SSD，适合商务和学生，网络摄像头 Windows 10 Pro | 32GB Tela USB 卡")</f>
        <v>联想最新 IdeaPad 3 17.3 高清商务笔记本电脑，第 10 代英特尔酷睿 i5-1035G1 (Beat i7-8550U)，20GB RAM 1TB SSD，适合商务和学生，网络摄像头 Windows 10 Pro | 32GB Tela USB 卡</v>
      </c>
      <c r="E2308" s="1" t="str">
        <f>IFERROR(__xludf.DUMMYFUNCTION("CONCATENATE(GOOGLETRANSLATE(C2308, ""en"", ""ko""))"),"Lenovo 최신 IdeaPad 3 17.3 HD 비즈니스 노트북, 10세대 Intel Core i5-1035G1(Beat i7-8550U), 20GB RAM 1TB SSD, 비즈니스 및 학생용, 웹캠 Windows 10 Pro | 32GB Tela USB 카드")</f>
        <v>Lenovo 최신 IdeaPad 3 17.3 HD 비즈니스 노트북, 10세대 Intel Core i5-1035G1(Beat i7-8550U), 20GB RAM 1TB SSD, 비즈니스 및 학생용, 웹캠 Windows 10 Pro | 32GB Tela USB 카드</v>
      </c>
      <c r="F2308" s="1" t="str">
        <f>IFERROR(__xludf.DUMMYFUNCTION("CONCATENATE(GOOGLETRANSLATE(C2308, ""en"", ""ja""))"),"Lenovo 最新 IdeaPad 3 17.3 HD ビジネス ラップトップ、第 10 世代 Intel Core i5-1035G1 (Beat i7-8550U)、20GB RAM 1TB SSD、ビジネスおよび学生向け、ウェブカメラ Windows 10 Pro | 32GB テラ USB カード")</f>
        <v>Lenovo 最新 IdeaPad 3 17.3 HD ビジネス ラップトップ、第 10 世代 Intel Core i5-1035G1 (Beat i7-8550U)、20GB RAM 1TB SSD、ビジネスおよび学生向け、ウェブカメラ Windows 10 Pro | 32GB テラ USB カード</v>
      </c>
    </row>
    <row r="2309" ht="15.75" customHeight="1">
      <c r="A2309" s="1">
        <v>3600.0</v>
      </c>
      <c r="B2309" s="1" t="s">
        <v>15</v>
      </c>
      <c r="C2309" s="1" t="s">
        <v>2199</v>
      </c>
      <c r="D2309" s="1" t="str">
        <f>IFERROR(__xludf.DUMMYFUNCTION("CONCATENATE(GOOGLETRANSLATE(C2309, ""en"", ""zh-cn""))"),"联想 V15 G2 商务笔记本电脑，15.6 FHD 显示屏，英特尔酷睿 i7-1165G7，16GB RAM，1TB PCIe SSD，网络摄像头，HDMI，Type-C，RJ-45，Wi-Fi，Windows 11 Pro，黑色")</f>
        <v>联想 V15 G2 商务笔记本电脑，15.6 FHD 显示屏，英特尔酷睿 i7-1165G7，16GB RAM，1TB PCIe SSD，网络摄像头，HDMI，Type-C，RJ-45，Wi-Fi，Windows 11 Pro，黑色</v>
      </c>
      <c r="E2309" s="1" t="str">
        <f>IFERROR(__xludf.DUMMYFUNCTION("CONCATENATE(GOOGLETRANSLATE(C2309, ""en"", ""ko""))"),"Lenovo V15 G2 비즈니스 노트북, 15.6 FHD 디스플레이, Intel Core i7-1165G7, 16GB RAM, 1TB PCIe SSD, 웹캠, HDMI, Type-C, RJ-45, Wi-Fi, Windows 11 Pro, 블랙")</f>
        <v>Lenovo V15 G2 비즈니스 노트북, 15.6 FHD 디스플레이, Intel Core i7-1165G7, 16GB RAM, 1TB PCIe SSD, 웹캠, HDMI, Type-C, RJ-45, Wi-Fi, Windows 11 Pro, 블랙</v>
      </c>
      <c r="F2309" s="1" t="str">
        <f>IFERROR(__xludf.DUMMYFUNCTION("CONCATENATE(GOOGLETRANSLATE(C2309, ""en"", ""ja""))"),"Lenovo V15 G2 ビジネス ノートパソコン、15.6 FHD ディスプレイ、Intel Core i7-1165G7、16GB RAM、1TB PCIe SSD、ウェブカメラ、HDMI、Type-C、RJ-45、Wi-Fi、Windows 11 Pro、ブラック")</f>
        <v>Lenovo V15 G2 ビジネス ノートパソコン、15.6 FHD ディスプレイ、Intel Core i7-1165G7、16GB RAM、1TB PCIe SSD、ウェブカメラ、HDMI、Type-C、RJ-45、Wi-Fi、Windows 11 Pro、ブラック</v>
      </c>
    </row>
    <row r="2310" ht="15.75" customHeight="1">
      <c r="A2310" s="1">
        <v>3602.0</v>
      </c>
      <c r="B2310" s="1" t="s">
        <v>15</v>
      </c>
      <c r="C2310" s="1" t="s">
        <v>2200</v>
      </c>
      <c r="D2310" s="1" t="str">
        <f>IFERROR(__xludf.DUMMYFUNCTION("CONCATENATE(GOOGLETRANSLATE(C2310, ""en"", ""zh-cn""))"),"HP Color LaserJet Pro 多功能 M479fdw 无线激光打印机，一年下一工作日现场保修 (W1A80A)，白色")</f>
        <v>HP Color LaserJet Pro 多功能 M479fdw 无线激光打印机，一年下一工作日现场保修 (W1A80A)，白色</v>
      </c>
      <c r="E2310" s="1" t="str">
        <f>IFERROR(__xludf.DUMMYFUNCTION("CONCATENATE(GOOGLETRANSLATE(C2310, ""en"", ""ko""))"),"HP Color LaserJet Pro 다기능 M479fdw 무선 레이저 프린터, 1년, 익일 영업일, 현장 보증(W1A80A), 흰색")</f>
        <v>HP Color LaserJet Pro 다기능 M479fdw 무선 레이저 프린터, 1년, 익일 영업일, 현장 보증(W1A80A), 흰색</v>
      </c>
      <c r="F2310" s="1" t="str">
        <f>IFERROR(__xludf.DUMMYFUNCTION("CONCATENATE(GOOGLETRANSLATE(C2310, ""en"", ""ja""))"),"HP Color LaserJet Pro 多機能 M479fdw ワイヤレス レーザー プリンター、1 年間、翌営業日、オンサイト保証付き (W1A80A)、ホワイト")</f>
        <v>HP Color LaserJet Pro 多機能 M479fdw ワイヤレス レーザー プリンター、1 年間、翌営業日、オンサイト保証付き (W1A80A)、ホワイト</v>
      </c>
    </row>
    <row r="2311" ht="15.75" customHeight="1">
      <c r="A2311" s="1">
        <v>3612.0</v>
      </c>
      <c r="B2311" s="1" t="s">
        <v>15</v>
      </c>
      <c r="C2311" s="1" t="s">
        <v>2201</v>
      </c>
      <c r="D2311" s="1" t="str">
        <f>IFERROR(__xludf.DUMMYFUNCTION("CONCATENATE(GOOGLETRANSLATE(C2311, ""en"", ""zh-cn""))"),"StarTech.com 22U 服务器机架柜，带安全锁门和 com 16 插座水平 1U 机架安装 PDU 电源板，适用于网络服务器机架 - 浪涌保护 - 120V/15A - 6 英尺电源线")</f>
        <v>StarTech.com 22U 服务器机架柜，带安全锁门和 com 16 插座水平 1U 机架安装 PDU 电源板，适用于网络服务器机架 - 浪涌保护 - 120V/15A - 6 英尺电源线</v>
      </c>
      <c r="E2311" s="1" t="str">
        <f>IFERROR(__xludf.DUMMYFUNCTION("CONCATENATE(GOOGLETRANSLATE(C2311, ""en"", ""ko""))"),"StarTech.com 보안 잠금 도어가 있는 22U 서버 랙 캐비닛 및 com 16 콘센트 네트워크 서버 랙용 수평 1U 랙 마운트 PDU 전원 스트립 - 서지 보호 - 120V/15A - 6피트 전원 코드")</f>
        <v>StarTech.com 보안 잠금 도어가 있는 22U 서버 랙 캐비닛 및 com 16 콘센트 네트워크 서버 랙용 수평 1U 랙 마운트 PDU 전원 스트립 - 서지 보호 - 120V/15A - 6피트 전원 코드</v>
      </c>
      <c r="F2311" s="1" t="str">
        <f>IFERROR(__xludf.DUMMYFUNCTION("CONCATENATE(GOOGLETRANSLATE(C2311, ""en"", ""ja""))"),"StarTech.com 22U サーバー ラック キャビネット 安全ロック ドア &amp; com 16 コンセント 水平 1U ラックマウント PDU 電源タップ ネットワーク サーバー ラック用 - サージ保護 - 120V/15A - 6フィート電源コード")</f>
        <v>StarTech.com 22U サーバー ラック キャビネット 安全ロック ドア &amp; com 16 コンセント 水平 1U ラックマウント PDU 電源タップ ネットワーク サーバー ラック用 - サージ保護 - 120V/15A - 6フィート電源コード</v>
      </c>
    </row>
    <row r="2312" ht="15.75" customHeight="1">
      <c r="A2312" s="1">
        <v>3620.0</v>
      </c>
      <c r="B2312" s="1" t="s">
        <v>15</v>
      </c>
      <c r="C2312" s="1" t="s">
        <v>2202</v>
      </c>
      <c r="D2312" s="1" t="str">
        <f>IFERROR(__xludf.DUMMYFUNCTION("CONCATENATE(GOOGLETRANSLATE(C2312, ""en"", ""zh-cn""))"),"StarTech.com 18U 19 服务器机架机柜 - 4 柱可调深度 (6-32) 锁定拆卸式网络/计算机设备机柜 - 移动式，带玻璃门/脚轮 - HP ProLiant ThinkServer (RK1836BKF)")</f>
        <v>StarTech.com 18U 19 服务器机架机柜 - 4 柱可调深度 (6-32) 锁定拆卸式网络/计算机设备机柜 - 移动式，带玻璃门/脚轮 - HP ProLiant ThinkServer (RK1836BKF)</v>
      </c>
      <c r="E2312" s="1" t="str">
        <f>IFERROR(__xludf.DUMMYFUNCTION("CONCATENATE(GOOGLETRANSLATE(C2312, ""en"", ""ko""))"),"StarTech.com 18U 19 서버 랙 캐비닛 - 4 포스트 조절 가능 깊이(6-32) 잠금 녹다운 네트워크/컴퓨터 장비 인클로저 - 유리 도어/캐스터 포함 모바일 - HP 프로라이언트 ThinkServer(RK1836BKF)")</f>
        <v>StarTech.com 18U 19 서버 랙 캐비닛 - 4 포스트 조절 가능 깊이(6-32) 잠금 녹다운 네트워크/컴퓨터 장비 인클로저 - 유리 도어/캐스터 포함 모바일 - HP 프로라이언트 ThinkServer(RK1836BKF)</v>
      </c>
      <c r="F2312" s="1" t="str">
        <f>IFERROR(__xludf.DUMMYFUNCTION("CONCATENATE(GOOGLETRANSLATE(C2312, ""en"", ""ja""))"),"StarTech.com 18U 19 サーバー ラック キャビネット - 4 ポスト 奥行き調整可能 (6-32) ロック ノックダウン ネットワーク/コンピュータ機器エンクロージャ - モバイル ガラス ドア/キャスター付き - HP ProLiant ThinkServer (RK1836BKF)")</f>
        <v>StarTech.com 18U 19 サーバー ラック キャビネット - 4 ポスト 奥行き調整可能 (6-32) ロック ノックダウン ネットワーク/コンピュータ機器エンクロージャ - モバイル ガラス ドア/キャスター付き - HP ProLiant ThinkServer (RK1836BKF)</v>
      </c>
    </row>
    <row r="2313" ht="15.75" customHeight="1">
      <c r="A2313" s="1">
        <v>3643.0</v>
      </c>
      <c r="B2313" s="1" t="s">
        <v>15</v>
      </c>
      <c r="C2313" s="1" t="s">
        <v>2203</v>
      </c>
      <c r="D2313" s="1" t="str">
        <f>IFERROR(__xludf.DUMMYFUNCTION("CONCATENATE(GOOGLETRANSLATE(C2313, ""en"", ""zh-cn""))"),"惠普最新 Pavilion 笔记本电脑， 15.6 FHD 屏幕，英特尔酷睿 i5-1135G7 处理器（高达 4.2 GHz），32GB 内存，1TB SSD，Type-C，HDMI，蓝牙，Windows 11 Home，银色，JVQ MP")</f>
        <v>惠普最新 Pavilion 笔记本电脑， 15.6 FHD 屏幕，英特尔酷睿 i5-1135G7 处理器（高达 4.2 GHz），32GB 内存，1TB SSD，Type-C，HDMI，蓝牙，Windows 11 Home，银色，JVQ MP</v>
      </c>
      <c r="E2313" s="1" t="str">
        <f>IFERROR(__xludf.DUMMYFUNCTION("CONCATENATE(GOOGLETRANSLATE(C2313, ""en"", ""ko""))"),"HP 최신 Pavilion 노트북, 15.6 FHD 화면, Intel Core i5-1135G7 프로세서(최대 4.2GHz), 32GB 메모리, 1TB SSD, Type-C, HDMI, Bluetooth, Windows 11 Home, 실버, JVQ MP")</f>
        <v>HP 최신 Pavilion 노트북, 15.6 FHD 화면, Intel Core i5-1135G7 프로세서(최대 4.2GHz), 32GB 메모리, 1TB SSD, Type-C, HDMI, Bluetooth, Windows 11 Home, 실버, JVQ MP</v>
      </c>
      <c r="F2313" s="1" t="str">
        <f>IFERROR(__xludf.DUMMYFUNCTION("CONCATENATE(GOOGLETRANSLATE(C2313, ""en"", ""ja""))"),"HP 最新パビリオン ラップトップ、15.6 FHD スクリーン、Intel Core i5-1135G7 プロセッサー (最大 4.2 GHz)、32GB メモリ、1TB SSD、Type-C、HDMI、Bluetooth、Windows 11 Home、シルバー、JVQ MP")</f>
        <v>HP 最新パビリオン ラップトップ、15.6 FHD スクリーン、Intel Core i5-1135G7 プロセッサー (最大 4.2 GHz)、32GB メモリ、1TB SSD、Type-C、HDMI、Bluetooth、Windows 11 Home、シルバー、JVQ MP</v>
      </c>
    </row>
    <row r="2314" ht="15.75" customHeight="1">
      <c r="A2314" s="1">
        <v>3657.0</v>
      </c>
      <c r="B2314" s="1" t="s">
        <v>15</v>
      </c>
      <c r="C2314" s="1" t="s">
        <v>2204</v>
      </c>
      <c r="D2314" s="1" t="str">
        <f>IFERROR(__xludf.DUMMYFUNCTION("CONCATENATE(GOOGLETRANSLATE(C2314, ""en"", ""zh-cn""))"),"A 级海关 TPO 房车橡胶屋顶套件 | 9.5 英尺宽 X 45 英尺长 |房车橡胶车顶膜套件|房车露营拖车橡胶屋顶修复")</f>
        <v>A 级海关 TPO 房车橡胶屋顶套件 | 9.5 英尺宽 X 45 英尺长 |房车橡胶车顶膜套件|房车露营拖车橡胶屋顶修复</v>
      </c>
      <c r="E2314" s="1" t="str">
        <f>IFERROR(__xludf.DUMMYFUNCTION("CONCATENATE(GOOGLETRANSLATE(C2314, ""en"", ""ko""))"),"클래스 A 세관 TPO RV 고무 지붕 키트 | 9.5피트 너비 X 45피트 길이 | RV 고무 지붕 멤브레인 키트 | RV 캠핑카 트레일러 고무 지붕 수리")</f>
        <v>클래스 A 세관 TPO RV 고무 지붕 키트 | 9.5피트 너비 X 45피트 길이 | RV 고무 지붕 멤브레인 키트 | RV 캠핑카 트레일러 고무 지붕 수리</v>
      </c>
      <c r="F2314" s="1" t="str">
        <f>IFERROR(__xludf.DUMMYFUNCTION("CONCATENATE(GOOGLETRANSLATE(C2314, ""en"", ""ja""))"),"クラス A カスタム TPO RV ラバー ルーフ キット |幅9.5フィート×長さ45フィート | RV ラバー ルーフ メンブレン キット | RV キャンピングカー トレーラーのゴム屋根の修理")</f>
        <v>クラス A カスタム TPO RV ラバー ルーフ キット |幅9.5フィート×長さ45フィート | RV ラバー ルーフ メンブレン キット | RV キャンピングカー トレーラーのゴム屋根の修理</v>
      </c>
    </row>
    <row r="2315" ht="15.75" customHeight="1">
      <c r="A2315" s="1">
        <v>3666.0</v>
      </c>
      <c r="B2315" s="1" t="s">
        <v>15</v>
      </c>
      <c r="C2315" s="1" t="s">
        <v>2205</v>
      </c>
      <c r="D2315" s="1" t="str">
        <f>IFERROR(__xludf.DUMMYFUNCTION("CONCATENATE(GOOGLETRANSLATE(C2315, ""en"", ""zh-cn""))"),"华硕 VivoBook S15 S533 轻薄笔记本电脑， 15.6 英寸 FHD 显示屏， Intel Core i5-1135G7， 8GB DDR4 RAM， 512GB PCIe SSD， Wi-Fi 6， Windows 10 Home， AI 降噪， 梦幻白， S533EA-DH51-WH")</f>
        <v>华硕 VivoBook S15 S533 轻薄笔记本电脑， 15.6 英寸 FHD 显示屏， Intel Core i5-1135G7， 8GB DDR4 RAM， 512GB PCIe SSD， Wi-Fi 6， Windows 10 Home， AI 降噪， 梦幻白， S533EA-DH51-WH</v>
      </c>
      <c r="E2315" s="1" t="str">
        <f>IFERROR(__xludf.DUMMYFUNCTION("CONCATENATE(GOOGLETRANSLATE(C2315, ""en"", ""ko""))"),"ASUS VivoBook S15 S533 얇고 가벼운 노트북, 15.6인치 FHD 디스플레이, Intel Core i5-1135G7, 8GB DDR4 RAM, 512GB PCIe SSD, Wi-Fi 6, Windows 10 Home, AI 소음 제거, Dreamy White, S533EA-DH51-WH")</f>
        <v>ASUS VivoBook S15 S533 얇고 가벼운 노트북, 15.6인치 FHD 디스플레이, Intel Core i5-1135G7, 8GB DDR4 RAM, 512GB PCIe SSD, Wi-Fi 6, Windows 10 Home, AI 소음 제거, Dreamy White, S533EA-DH51-WH</v>
      </c>
      <c r="F2315" s="1" t="str">
        <f>IFERROR(__xludf.DUMMYFUNCTION("CONCATENATE(GOOGLETRANSLATE(C2315, ""en"", ""ja""))"),"ASUS VivoBook S15 S533 薄型軽量ノートパソコン、15.6 インチ FHD ディスプレイ、Intel Core i5-1135G7、8GB DDR4 RAM、512GB PCIe SSD、Wi-Fi 6、Windows 10 Home、AI ノイズキャンセリング、ドリーミー ホワイト、S533EA-DH51-WH")</f>
        <v>ASUS VivoBook S15 S533 薄型軽量ノートパソコン、15.6 インチ FHD ディスプレイ、Intel Core i5-1135G7、8GB DDR4 RAM、512GB PCIe SSD、Wi-Fi 6、Windows 10 Home、AI ノイズキャンセリング、ドリーミー ホワイト、S533EA-DH51-WH</v>
      </c>
    </row>
    <row r="2316" ht="15.75" customHeight="1">
      <c r="A2316" s="1">
        <v>3671.0</v>
      </c>
      <c r="B2316" s="1" t="s">
        <v>15</v>
      </c>
      <c r="C2316" s="1" t="s">
        <v>2206</v>
      </c>
      <c r="D2316" s="1" t="str">
        <f>IFERROR(__xludf.DUMMYFUNCTION("CONCATENATE(GOOGLETRANSLATE(C2316, ""en"", ""zh-cn""))"),"戴尔 OptiPlex 3000 Micro（最新型号）英特尔第 12 代酷睿 i5-12500T 16GB DDR4 512GB PCIe SSD WiFi + BT Windows 10 Professional")</f>
        <v>戴尔 OptiPlex 3000 Micro（最新型号）英特尔第 12 代酷睿 i5-12500T 16GB DDR4 512GB PCIe SSD WiFi + BT Windows 10 Professional</v>
      </c>
      <c r="E2316" s="1" t="str">
        <f>IFERROR(__xludf.DUMMYFUNCTION("CONCATENATE(GOOGLETRANSLATE(C2316, ""en"", ""ko""))"),"Dell OptiPlex 3000 마이크로(최신 모델) 인텔 12세대 코어 i5-12500T 16GB DDR4 512GB PCIe SSD WiFi + BT Windows 10 Professional")</f>
        <v>Dell OptiPlex 3000 마이크로(최신 모델) 인텔 12세대 코어 i5-12500T 16GB DDR4 512GB PCIe SSD WiFi + BT Windows 10 Professional</v>
      </c>
      <c r="F2316" s="1" t="str">
        <f>IFERROR(__xludf.DUMMYFUNCTION("CONCATENATE(GOOGLETRANSLATE(C2316, ""en"", ""ja""))"),"Dell OptiPlex 3000 マイクロ (最新モデル) Intel 第 12 世代 Core i5-12500T 16GB DDR4 512GB PCIe SSD WiFi + BT Windows 10 Professional")</f>
        <v>Dell OptiPlex 3000 マイクロ (最新モデル) Intel 第 12 世代 Core i5-12500T 16GB DDR4 512GB PCIe SSD WiFi + BT Windows 10 Professional</v>
      </c>
    </row>
    <row r="2317" ht="15.75" customHeight="1">
      <c r="A2317" s="1">
        <v>3673.0</v>
      </c>
      <c r="B2317" s="1" t="s">
        <v>15</v>
      </c>
      <c r="C2317" s="1" t="s">
        <v>2207</v>
      </c>
      <c r="D2317" s="1" t="str">
        <f>IFERROR(__xludf.DUMMYFUNCTION("CONCATENATE(GOOGLETRANSLATE(C2317, ""en"", ""zh-cn""))"),"Apple iPad Pro 12.9 英寸平板电脑 (256GB Wi-Fi，金色)(续订)")</f>
        <v>Apple iPad Pro 12.9 英寸平板电脑 (256GB Wi-Fi，金色)(续订)</v>
      </c>
      <c r="E2317" s="1" t="str">
        <f>IFERROR(__xludf.DUMMYFUNCTION("CONCATENATE(GOOGLETRANSLATE(C2317, ""en"", ""ko""))"),"Apple iPad Pro 12.9인치 태블릿(256GB Wi-FI, 골드)(리뉴얼)")</f>
        <v>Apple iPad Pro 12.9인치 태블릿(256GB Wi-FI, 골드)(리뉴얼)</v>
      </c>
      <c r="F2317" s="1" t="str">
        <f>IFERROR(__xludf.DUMMYFUNCTION("CONCATENATE(GOOGLETRANSLATE(C2317, ""en"", ""ja""))"),"Apple iPad Pro 12.9インチ タブレット (256GB Wi-Fi、ゴールド)(新品)")</f>
        <v>Apple iPad Pro 12.9インチ タブレット (256GB Wi-Fi、ゴールド)(新品)</v>
      </c>
    </row>
    <row r="2318" ht="15.75" customHeight="1">
      <c r="A2318" s="1">
        <v>3676.0</v>
      </c>
      <c r="B2318" s="1" t="s">
        <v>15</v>
      </c>
      <c r="C2318" s="1" t="s">
        <v>2208</v>
      </c>
      <c r="D2318" s="1" t="str">
        <f>IFERROR(__xludf.DUMMYFUNCTION("CONCATENATE(GOOGLETRANSLATE(C2318, ""en"", ""zh-cn""))"),"惠普最新旗舰 15.6 英寸高清触摸屏 IPS 笔记本电脑，4 核 i5-1135G7（高达 4.2GHz，击败 i7-1060G7），16GB RAM，512GB PCIe SSD，Iris Xe 显卡，蓝牙，WiFi，Windows 11 Home S，带 GM 游戏鼠标")</f>
        <v>惠普最新旗舰 15.6 英寸高清触摸屏 IPS 笔记本电脑，4 核 i5-1135G7（高达 4.2GHz，击败 i7-1060G7），16GB RAM，512GB PCIe SSD，Iris Xe 显卡，蓝牙，WiFi，Windows 11 Home S，带 GM 游戏鼠标</v>
      </c>
      <c r="E2318" s="1" t="str">
        <f>IFERROR(__xludf.DUMMYFUNCTION("CONCATENATE(GOOGLETRANSLATE(C2318, ""en"", ""ko""))"),"HP 최신 플래그십 15.6 HD 터치스크린 IPS 노트북, 4코어 i5-1135G7(최대 4.2GHz, Beat i7-1060G7), 16GB RAM, 512GB PCIe SSD, Iris Xe 그래픽, Bluetooth, WiFi, Windows 11 Home S, GM 게이밍 마우스 포함")</f>
        <v>HP 최신 플래그십 15.6 HD 터치스크린 IPS 노트북, 4코어 i5-1135G7(최대 4.2GHz, Beat i7-1060G7), 16GB RAM, 512GB PCIe SSD, Iris Xe 그래픽, Bluetooth, WiFi, Windows 11 Home S, GM 게이밍 마우스 포함</v>
      </c>
      <c r="F2318" s="1" t="str">
        <f>IFERROR(__xludf.DUMMYFUNCTION("CONCATENATE(GOOGLETRANSLATE(C2318, ""en"", ""ja""))"),"HP 最新フラッグシップ 15.6 HD タッチスクリーン IPS ラップトップ、4 コア i5-1135G7 (最大 4.2 GHz、Beat i7-1060G7)、16 GB RAM、512 GB PCIe SSD、Iris Xe グラフィックス、Bluetooth、WiFi、Windows 11 Home S、GM ゲーミング マウス付き")</f>
        <v>HP 最新フラッグシップ 15.6 HD タッチスクリーン IPS ラップトップ、4 コア i5-1135G7 (最大 4.2 GHz、Beat i7-1060G7)、16 GB RAM、512 GB PCIe SSD、Iris Xe グラフィックス、Bluetooth、WiFi、Windows 11 Home S、GM ゲーミング マウス付き</v>
      </c>
    </row>
    <row r="2319" ht="15.75" customHeight="1">
      <c r="A2319" s="1">
        <v>3683.0</v>
      </c>
      <c r="B2319" s="1" t="s">
        <v>15</v>
      </c>
      <c r="C2319" s="1" t="s">
        <v>2209</v>
      </c>
      <c r="D2319" s="1" t="str">
        <f>IFERROR(__xludf.DUMMYFUNCTION("CONCATENATE(GOOGLETRANSLATE(C2319, ""en"", ""zh-cn""))"),"适用于 15-17 英寸笔记本电脑的 LIMINK S19 便携式三重显示器 | 14 英寸 FHD 1080P IPS 双屏扩展器，带支架 | 72% NTSC | HDR |兼容Mac，Windows |由 USB-C 和 HDMI 供电")</f>
        <v>适用于 15-17 英寸笔记本电脑的 LIMINK S19 便携式三重显示器 | 14 英寸 FHD 1080P IPS 双屏扩展器，带支架 | 72% NTSC | HDR |兼容Mac，Windows |由 USB-C 和 HDMI 供电</v>
      </c>
      <c r="E2319" s="1" t="str">
        <f>IFERROR(__xludf.DUMMYFUNCTION("CONCATENATE(GOOGLETRANSLATE(C2319, ""en"", ""ko""))"),"15-17인치 노트북용 LIMINK S19 휴대용 트리플 모니터 | 14'' FHD 1080P IPS 듀얼 스크린 확장기(킥스탠드 포함) | 72% NTSC | HDR | Mac, Windows와 호환 가능 | USB-C 및 HDMI로 구동")</f>
        <v>15-17인치 노트북용 LIMINK S19 휴대용 트리플 모니터 | 14'' FHD 1080P IPS 듀얼 스크린 확장기(킥스탠드 포함) | 72% NTSC | HDR | Mac, Windows와 호환 가능 | USB-C 및 HDMI로 구동</v>
      </c>
      <c r="F2319" s="1" t="str">
        <f>IFERROR(__xludf.DUMMYFUNCTION("CONCATENATE(GOOGLETRANSLATE(C2319, ""en"", ""ja""))"),"LIMINK S19 ポータブル トリプル モニター 15 ～ 17 インチ ノートパソコン用 | 14 インチ FHD 1080P IPS デュアル スクリーン エクステンダー (キックスタンド付き) | 72% NTSC | HDR | Mac、Windowsに対応 | USB-C と HDMI を搭載")</f>
        <v>LIMINK S19 ポータブル トリプル モニター 15 ～ 17 インチ ノートパソコン用 | 14 インチ FHD 1080P IPS デュアル スクリーン エクステンダー (キックスタンド付き) | 72% NTSC | HDR | Mac、Windowsに対応 | USB-C と HDMI を搭載</v>
      </c>
    </row>
    <row r="2320" ht="15.75" customHeight="1">
      <c r="A2320" s="1">
        <v>3686.0</v>
      </c>
      <c r="B2320" s="1" t="s">
        <v>15</v>
      </c>
      <c r="C2320" s="1" t="s">
        <v>2210</v>
      </c>
      <c r="D2320" s="1" t="str">
        <f>IFERROR(__xludf.DUMMYFUNCTION("CONCATENATE(GOOGLETRANSLATE(C2320, ""en"", ""zh-cn""))"),"Playseat Trophy - 罗技 G 版模拟赛车驾驶舱 |完全可调|支持所有直接驱动方向盘 |轻量且坚固 |绝对舒适 ActiFit")</f>
        <v>Playseat Trophy - 罗技 G 版模拟赛车驾驶舱 |完全可调|支持所有直接驱动方向盘 |轻量且坚固 |绝对舒适 ActiFit</v>
      </c>
      <c r="E2320" s="1" t="str">
        <f>IFERROR(__xludf.DUMMYFUNCTION("CONCATENATE(GOOGLETRANSLATE(C2320, ""en"", ""ko""))"),"Playseat 트로피 - Logitech G Edition Sim Racing 조종석 | 완전 조절 가능 | 모든 다이렉트 드라이브 스티어링 휠 지원 | 가볍고 견고함 | 절대적인 편안함 ActiFit")</f>
        <v>Playseat 트로피 - Logitech G Edition Sim Racing 조종석 | 완전 조절 가능 | 모든 다이렉트 드라이브 스티어링 휠 지원 | 가볍고 견고함 | 절대적인 편안함 ActiFit</v>
      </c>
      <c r="F2320" s="1" t="str">
        <f>IFERROR(__xludf.DUMMYFUNCTION("CONCATENATE(GOOGLETRANSLATE(C2320, ""en"", ""ja""))"),"Playseat Trophy - Logitech G Edition Sim Racing Cockpit |完全に調整可能 |すべてのダイレクト ドライブ ステアリング ホイールをサポート |軽量かつ堅牢 |絶対的な快適性 ActiFit")</f>
        <v>Playseat Trophy - Logitech G Edition Sim Racing Cockpit |完全に調整可能 |すべてのダイレクト ドライブ ステアリング ホイールをサポート |軽量かつ堅牢 |絶対的な快適性 ActiFit</v>
      </c>
    </row>
    <row r="2321" ht="15.75" customHeight="1">
      <c r="A2321" s="1">
        <v>3690.0</v>
      </c>
      <c r="B2321" s="1" t="s">
        <v>15</v>
      </c>
      <c r="C2321" s="1" t="s">
        <v>2211</v>
      </c>
      <c r="D2321" s="1" t="str">
        <f>IFERROR(__xludf.DUMMYFUNCTION("CONCATENATE(GOOGLETRANSLATE(C2321, ""en"", ""zh-cn""))"),"Apple 2021 10.2 英寸 iPad（Wi-Fi + 蜂窝网络，256GB）- 银色，含 AppleCare+（2 年）")</f>
        <v>Apple 2021 10.2 英寸 iPad（Wi-Fi + 蜂窝网络，256GB）- 银色，含 AppleCare+（2 年）</v>
      </c>
      <c r="E2321" s="1" t="str">
        <f>IFERROR(__xludf.DUMMYFUNCTION("CONCATENATE(GOOGLETRANSLATE(C2321, ""en"", ""ko""))"),"Apple 2021 10.2인치 iPad(Wi-Fi + Cellular, 256GB) - AppleCare+ 실버(2년)")</f>
        <v>Apple 2021 10.2인치 iPad(Wi-Fi + Cellular, 256GB) - AppleCare+ 실버(2년)</v>
      </c>
      <c r="F2321" s="1" t="str">
        <f>IFERROR(__xludf.DUMMYFUNCTION("CONCATENATE(GOOGLETRANSLATE(C2321, ""en"", ""ja""))"),"Apple 2021 10.2 インチ iPad (Wi-Fi + Cellular、256GB) - AppleCare+ 付きシルバー (2 年間)")</f>
        <v>Apple 2021 10.2 インチ iPad (Wi-Fi + Cellular、256GB) - AppleCare+ 付きシルバー (2 年間)</v>
      </c>
    </row>
    <row r="2322" ht="15.75" customHeight="1">
      <c r="A2322" s="1">
        <v>3692.0</v>
      </c>
      <c r="B2322" s="1" t="s">
        <v>15</v>
      </c>
      <c r="C2322" s="1" t="s">
        <v>2212</v>
      </c>
      <c r="D2322" s="1" t="str">
        <f>IFERROR(__xludf.DUMMYFUNCTION("CONCATENATE(GOOGLETRANSLATE(C2322, ""en"", ""zh-cn""))"),"戴尔 Inspiron 灵越 15 3000 系列 3511 笔记本电脑，15.6 FHD 触摸屏，英特尔酷睿 i5-1135G7，32GB DDR4 RAM，1TB PCIe SSD，SD 读卡器，网络摄像头，HDMI，Wi-Fi，Windows 11 Home，黑色")</f>
        <v>戴尔 Inspiron 灵越 15 3000 系列 3511 笔记本电脑，15.6 FHD 触摸屏，英特尔酷睿 i5-1135G7，32GB DDR4 RAM，1TB PCIe SSD，SD 读卡器，网络摄像头，HDMI，Wi-Fi，Windows 11 Home，黑色</v>
      </c>
      <c r="E2322" s="1" t="str">
        <f>IFERROR(__xludf.DUMMYFUNCTION("CONCATENATE(GOOGLETRANSLATE(C2322, ""en"", ""ko""))"),"Dell Inspiron 15 3000 시리즈 3511 노트북, 15.6 FHD 터치스크린, Intel Core i5-1135G7, 32GB DDR4 RAM, 1TB PCIe SSD, SD 카드 리더기, 웹캠, HDMI, Wi-Fi, Windows 11 Home, 블랙")</f>
        <v>Dell Inspiron 15 3000 시리즈 3511 노트북, 15.6 FHD 터치스크린, Intel Core i5-1135G7, 32GB DDR4 RAM, 1TB PCIe SSD, SD 카드 리더기, 웹캠, HDMI, Wi-Fi, Windows 11 Home, 블랙</v>
      </c>
      <c r="F2322" s="1" t="str">
        <f>IFERROR(__xludf.DUMMYFUNCTION("CONCATENATE(GOOGLETRANSLATE(C2322, ""en"", ""ja""))"),"Dell Inspiron 15 3000 シリーズ 3511 ラップトップ、15.6 FHD タッチスクリーン、Intel Core i5-1135G7、32GB DDR4 RAM、1TB PCIe SSD、SD カード リーダー、ウェブカメラ、HDMI、Wi-Fi、Windows 11 Home、ブラック")</f>
        <v>Dell Inspiron 15 3000 シリーズ 3511 ラップトップ、15.6 FHD タッチスクリーン、Intel Core i5-1135G7、32GB DDR4 RAM、1TB PCIe SSD、SD カード リーダー、ウェブカメラ、HDMI、Wi-Fi、Windows 11 Home、ブラック</v>
      </c>
    </row>
    <row r="2323" ht="15.75" customHeight="1">
      <c r="A2323" s="1">
        <v>3693.0</v>
      </c>
      <c r="B2323" s="1" t="s">
        <v>15</v>
      </c>
      <c r="C2323" s="1" t="s">
        <v>2213</v>
      </c>
      <c r="D2323" s="1" t="str">
        <f>IFERROR(__xludf.DUMMYFUNCTION("CONCATENATE(GOOGLETRANSLATE(C2323, ""en"", ""zh-cn""))"),"Ryzen 经济型游戏电脑和台式电脑 - Centurion A1 [Z3N]")</f>
        <v>Ryzen 经济型游戏电脑和台式电脑 - Centurion A1 [Z3N]</v>
      </c>
      <c r="E2323" s="1" t="str">
        <f>IFERROR(__xludf.DUMMYFUNCTION("CONCATENATE(GOOGLETRANSLATE(C2323, ""en"", ""ko""))"),"Ryzen Budget 게이밍 PC 및 데스크탑 컴퓨터 - Centurion A1 [Z3N]")</f>
        <v>Ryzen Budget 게이밍 PC 및 데스크탑 컴퓨터 - Centurion A1 [Z3N]</v>
      </c>
      <c r="F2323" s="1" t="str">
        <f>IFERROR(__xludf.DUMMYFUNCTION("CONCATENATE(GOOGLETRANSLATE(C2323, ""en"", ""ja""))"),"Ryzen バジェット ゲーミング PC およびデスクトップ コンピューター - Centurion A1 [Z3N]")</f>
        <v>Ryzen バジェット ゲーミング PC およびデスクトップ コンピューター - Centurion A1 [Z3N]</v>
      </c>
    </row>
    <row r="2324" ht="15.75" customHeight="1">
      <c r="A2324" s="1">
        <v>3704.0</v>
      </c>
      <c r="B2324" s="1" t="s">
        <v>15</v>
      </c>
      <c r="C2324" s="1" t="s">
        <v>2214</v>
      </c>
      <c r="D2324" s="1" t="str">
        <f>IFERROR(__xludf.DUMMYFUNCTION("CONCATENATE(GOOGLETRANSLATE(C2324, ""en"", ""zh-cn""))"),"MSI GF63 Thin 2021 旗舰 15 游戏笔记本电脑 15.6 FHD IPS 显示屏第 10 代英特尔四核 i5-10300H (Beats i7-8750H) 8GB RAM 256GB SSD GeForce GTX 1650 4GB 背光 Win10 黑色 + HDMI 电缆")</f>
        <v>MSI GF63 Thin 2021 旗舰 15 游戏笔记本电脑 15.6 FHD IPS 显示屏第 10 代英特尔四核 i5-10300H (Beats i7-8750H) 8GB RAM 256GB SSD GeForce GTX 1650 4GB 背光 Win10 黑色 + HDMI 电缆</v>
      </c>
      <c r="E2324" s="1" t="str">
        <f>IFERROR(__xludf.DUMMYFUNCTION("CONCATENATE(GOOGLETRANSLATE(C2324, ""en"", ""ko""))"),"MSI GF63 Thin 2021 플래그십 15 게이밍 노트북 15.6 FHD IPS 디스플레이 10세대 인텔 쿼드 코어 i5-10300H(i7-8750H 이상) 8GB RAM 256GB SSD GeForce GTX 1650 4GB 백라이트 Win10 블랙 + HDMI 케이블")</f>
        <v>MSI GF63 Thin 2021 플래그십 15 게이밍 노트북 15.6 FHD IPS 디스플레이 10세대 인텔 쿼드 코어 i5-10300H(i7-8750H 이상) 8GB RAM 256GB SSD GeForce GTX 1650 4GB 백라이트 Win10 블랙 + HDMI 케이블</v>
      </c>
      <c r="F2324" s="1" t="str">
        <f>IFERROR(__xludf.DUMMYFUNCTION("CONCATENATE(GOOGLETRANSLATE(C2324, ""en"", ""ja""))"),"MSI GF63 薄型 2021 フラッグシップ 15 ゲーミング ノートパソコン 15.6 FHD IPS ディスプレイ 第 10 世代インテル クアッドコア i5-10300H (Beats i7-8750H) 8GB RAM 256GB SSD GeForce GTX 1650 4GB バックライト付き Win10 ブラック + HDMI ケーブル")</f>
        <v>MSI GF63 薄型 2021 フラッグシップ 15 ゲーミング ノートパソコン 15.6 FHD IPS ディスプレイ 第 10 世代インテル クアッドコア i5-10300H (Beats i7-8750H) 8GB RAM 256GB SSD GeForce GTX 1650 4GB バックライト付き Win10 ブラック + HDMI ケーブル</v>
      </c>
    </row>
    <row r="2325" ht="15.75" customHeight="1">
      <c r="A2325" s="1">
        <v>3711.0</v>
      </c>
      <c r="B2325" s="1" t="s">
        <v>15</v>
      </c>
      <c r="C2325" s="1" t="s">
        <v>2215</v>
      </c>
      <c r="D2325" s="1" t="str">
        <f>IFERROR(__xludf.DUMMYFUNCTION("CONCATENATE(GOOGLETRANSLATE(C2325, ""en"", ""zh-cn""))"),"AVMATRIX HVS0402U 带外壳 多格式视频混合器切换器 4 x HDMI 输入 USB C 输出 实时直播多摄像机制作")</f>
        <v>AVMATRIX HVS0402U 带外壳 多格式视频混合器切换器 4 x HDMI 输入 USB C 输出 实时直播多摄像机制作</v>
      </c>
      <c r="E2325" s="1" t="str">
        <f>IFERROR(__xludf.DUMMYFUNCTION("CONCATENATE(GOOGLETRANSLATE(C2325, ""en"", ""ko""))"),"AVMATRIX HVS0402U 케이스 포함 멀티 포맷 비디오 믹서 스위처 4 x HDMI 입력 USB C 출력 실시간 라이브 스트리밍 멀티 카메라 제작")</f>
        <v>AVMATRIX HVS0402U 케이스 포함 멀티 포맷 비디오 믹서 스위처 4 x HDMI 입력 USB C 출력 실시간 라이브 스트리밍 멀티 카메라 제작</v>
      </c>
      <c r="F2325" s="1" t="str">
        <f>IFERROR(__xludf.DUMMYFUNCTION("CONCATENATE(GOOGLETRANSLATE(C2325, ""en"", ""ja""))"),"AVMATRIX HVS0402U ケース付き マルチフォーマット ビデオ ミキサー スイッチャー 4 x HDMI 入力 USB C 出力 リアルタイム ライブ ストリーミング マルチカメラ プロダクション")</f>
        <v>AVMATRIX HVS0402U ケース付き マルチフォーマット ビデオ ミキサー スイッチャー 4 x HDMI 入力 USB C 出力 リアルタイム ライブ ストリーミング マルチカメラ プロダクション</v>
      </c>
    </row>
    <row r="2326" ht="15.75" customHeight="1">
      <c r="A2326" s="1">
        <v>3723.0</v>
      </c>
      <c r="B2326" s="1" t="s">
        <v>15</v>
      </c>
      <c r="C2326" s="1" t="s">
        <v>2216</v>
      </c>
      <c r="D2326" s="1" t="str">
        <f>IFERROR(__xludf.DUMMYFUNCTION("CONCATENATE(GOOGLETRANSLATE(C2326, ""en"", ""zh-cn""))"),"戴尔 2023 年最新 Inspiron 灵越 3000 15.6 FHD 触摸屏笔记本电脑，英特尔 i5-1135G7 高达 4.2GHz，击败 i7-1060G7，16GB DDR4 RAM，512GB PCIe SSD，SD 读卡器，网络摄像头，HDMI，Windows 11 Home，黑色")</f>
        <v>戴尔 2023 年最新 Inspiron 灵越 3000 15.6 FHD 触摸屏笔记本电脑，英特尔 i5-1135G7 高达 4.2GHz，击败 i7-1060G7，16GB DDR4 RAM，512GB PCIe SSD，SD 读卡器，网络摄像头，HDMI，Windows 11 Home，黑色</v>
      </c>
      <c r="E2326" s="1" t="str">
        <f>IFERROR(__xludf.DUMMYFUNCTION("CONCATENATE(GOOGLETRANSLATE(C2326, ""en"", ""ko""))"),"Dell 2023 최신 Inspiron 3000 15.6 FHD 터치스크린 노트북, Intel i5-1135G7 최대 4.2GHz, Beat i7-1060G7, 16GB DDR4 RAM, 512GB PCIe SSD, SD 카드 리더기, 웹캠, HDMI, Windows 11 Home, 블랙")</f>
        <v>Dell 2023 최신 Inspiron 3000 15.6 FHD 터치스크린 노트북, Intel i5-1135G7 최대 4.2GHz, Beat i7-1060G7, 16GB DDR4 RAM, 512GB PCIe SSD, SD 카드 리더기, 웹캠, HDMI, Windows 11 Home, 블랙</v>
      </c>
      <c r="F2326" s="1" t="str">
        <f>IFERROR(__xludf.DUMMYFUNCTION("CONCATENATE(GOOGLETRANSLATE(C2326, ""en"", ""ja""))"),"Dell 2023 最新 Inspiron 3000 15.6 FHD タッチスクリーン ノートパソコン、Intel i5-1135G7 最大 4.2 GHz、Beat i7-1060G7、16 GB DDR4 RAM、512 GB PCIe SSD、SD カード リーダー、ウェブカメラ、HDMI、Windows 11 Home、ブラック")</f>
        <v>Dell 2023 最新 Inspiron 3000 15.6 FHD タッチスクリーン ノートパソコン、Intel i5-1135G7 最大 4.2 GHz、Beat i7-1060G7、16 GB DDR4 RAM、512 GB PCIe SSD、SD カード リーダー、ウェブカメラ、HDMI、Windows 11 Home、ブラック</v>
      </c>
    </row>
    <row r="2327" ht="15.75" customHeight="1">
      <c r="A2327" s="1">
        <v>3725.0</v>
      </c>
      <c r="B2327" s="1" t="s">
        <v>15</v>
      </c>
      <c r="C2327" s="1" t="s">
        <v>2217</v>
      </c>
      <c r="D2327" s="1" t="str">
        <f>IFERROR(__xludf.DUMMYFUNCTION("CONCATENATE(GOOGLETRANSLATE(C2327, ""en"", ""zh-cn""))"),"宏碁 Aspire 15.6 英寸笔记本电脑，带指纹识别器和背光键盘（最新型号），全高清 IPS 显示屏，AMD Ryzen 3 四核处理器，20GB RAM，1TB SSD，RJ-45，USB-C，HDMI，NLY MP，Windows 11")</f>
        <v>宏碁 Aspire 15.6 英寸笔记本电脑，带指纹识别器和背光键盘（最新型号），全高清 IPS 显示屏，AMD Ryzen 3 四核处理器，20GB RAM，1TB SSD，RJ-45，USB-C，HDMI，NLY MP，Windows 11</v>
      </c>
      <c r="E2327" s="1" t="str">
        <f>IFERROR(__xludf.DUMMYFUNCTION("CONCATENATE(GOOGLETRANSLATE(C2327, ""en"", ""ko""))"),"지문 인식기 및 백라이트 키보드를 갖춘 Acer Aspire 15.6인치 노트북(최신 모델), 풀 HD IPS 디스플레이, AMD Ryzen 3 쿼드 코어 프로세서, 20GB RAM, 1TB SSD, RJ-45, USB-C, HDMI, NLY MP, Windows 11")</f>
        <v>지문 인식기 및 백라이트 키보드를 갖춘 Acer Aspire 15.6인치 노트북(최신 모델), 풀 HD IPS 디스플레이, AMD Ryzen 3 쿼드 코어 프로세서, 20GB RAM, 1TB SSD, RJ-45, USB-C, HDMI, NLY MP, Windows 11</v>
      </c>
      <c r="F2327" s="1" t="str">
        <f>IFERROR(__xludf.DUMMYFUNCTION("CONCATENATE(GOOGLETRANSLATE(C2327, ""en"", ""ja""))"),"Acer Aspire 15.6 インチ ノートパソコン (指紋認証リーダーおよびバックライト付きキーボード付き) (最新モデル)、フル HD IPS ディスプレイ、AMD Ryzen 3 クアッドコア プロセッサー、20GB RAM、1TB SSD、RJ-45、USB-C、HDMI、NLY MP、Windows 11")</f>
        <v>Acer Aspire 15.6 インチ ノートパソコン (指紋認証リーダーおよびバックライト付きキーボード付き) (最新モデル)、フル HD IPS ディスプレイ、AMD Ryzen 3 クアッドコア プロセッサー、20GB RAM、1TB SSD、RJ-45、USB-C、HDMI、NLY MP、Windows 11</v>
      </c>
    </row>
    <row r="2328" ht="15.75" customHeight="1">
      <c r="A2328" s="1">
        <v>3728.0</v>
      </c>
      <c r="B2328" s="1" t="s">
        <v>15</v>
      </c>
      <c r="C2328" s="1" t="s">
        <v>2218</v>
      </c>
      <c r="D2328" s="1" t="str">
        <f>IFERROR(__xludf.DUMMYFUNCTION("CONCATENATE(GOOGLETRANSLATE(C2328, ""en"", ""zh-cn""))"),"三星 Galaxy Tab S7 FE 12.4 英寸 256GB WiFi Android 平板电脑，带大屏幕，持久电池，含 S Pen，多设备连接，美国版，2021 年，神秘粉色")</f>
        <v>三星 Galaxy Tab S7 FE 12.4 英寸 256GB WiFi Android 平板电脑，带大屏幕，持久电池，含 S Pen，多设备连接，美国版，2021 年，神秘粉色</v>
      </c>
      <c r="E2328" s="1" t="str">
        <f>IFERROR(__xludf.DUMMYFUNCTION("CONCATENATE(GOOGLETRANSLATE(C2328, ""en"", ""ko""))"),"SAMSUNG 갤럭시 탭 S7 FE 12.4인치 256GB WiFi 안드로이드 태블릿 대형 화면, 오래 지속되는 배터리, S펜 포함, 다중 장치 연결, 미국 버전, 2021, 미스틱 핑크")</f>
        <v>SAMSUNG 갤럭시 탭 S7 FE 12.4인치 256GB WiFi 안드로이드 태블릿 대형 화면, 오래 지속되는 배터리, S펜 포함, 다중 장치 연결, 미국 버전, 2021, 미스틱 핑크</v>
      </c>
      <c r="F2328" s="1" t="str">
        <f>IFERROR(__xludf.DUMMYFUNCTION("CONCATENATE(GOOGLETRANSLATE(C2328, ""en"", ""ja""))"),"SAMSUNG Galaxy Tab S7 FE 12.4 インチ 256GB WiFi Android タブレット、大画面、長持ちバッテリー、S ペン付属、マルチデバイス接続、US バージョン、2021、ミスティック ピンク")</f>
        <v>SAMSUNG Galaxy Tab S7 FE 12.4 インチ 256GB WiFi Android タブレット、大画面、長持ちバッテリー、S ペン付属、マルチデバイス接続、US バージョン、2021、ミスティック ピンク</v>
      </c>
    </row>
    <row r="2329" ht="15.75" customHeight="1">
      <c r="A2329" s="1">
        <v>3734.0</v>
      </c>
      <c r="B2329" s="1" t="s">
        <v>15</v>
      </c>
      <c r="C2329" s="1" t="s">
        <v>2219</v>
      </c>
      <c r="D2329" s="1" t="str">
        <f>IFERROR(__xludf.DUMMYFUNCTION("CONCATENATE(GOOGLETRANSLATE(C2329, ""en"", ""zh-cn""))"),"Lenovo ThinkVision T24i-2L 23.8 60Hz 液晶显示器 Raven Black - 1920 x 1080 全高清显示屏和 StarTech.com USB-C 和 USB-A 坞站 - 双显示器 4K 60Hz 坞站 DisplayPort + HDMI")</f>
        <v>Lenovo ThinkVision T24i-2L 23.8 60Hz 液晶显示器 Raven Black - 1920 x 1080 全高清显示屏和 StarTech.com USB-C 和 USB-A 坞站 - 双显示器 4K 60Hz 坞站 DisplayPort + HDMI</v>
      </c>
      <c r="E2329" s="1" t="str">
        <f>IFERROR(__xludf.DUMMYFUNCTION("CONCATENATE(GOOGLETRANSLATE(C2329, ""en"", ""ko""))"),"Lenovo ThinkVision T24i-2L 23.8 60Hz LCD 모니터 레이븐 블랙 - 1920 x 1080 풀 HD 디스플레이 및 StarTech.com USB-C 및 USB-A 독 - 듀얼 모니터 4K 60Hz 독 DisplayPort + HDMI")</f>
        <v>Lenovo ThinkVision T24i-2L 23.8 60Hz LCD 모니터 레이븐 블랙 - 1920 x 1080 풀 HD 디스플레이 및 StarTech.com USB-C 및 USB-A 독 - 듀얼 모니터 4K 60Hz 독 DisplayPort + HDMI</v>
      </c>
      <c r="F2329" s="1" t="str">
        <f>IFERROR(__xludf.DUMMYFUNCTION("CONCATENATE(GOOGLETRANSLATE(C2329, ""en"", ""ja""))"),"Lenovo ThinkVision T24i-2L 23.8 60Hz LCD モニター レイブン ブラック - 1920 x 1080 フル HD ディスプレイ &amp; StarTech.com USB-C &amp; USB-A ドック - デュアル モニター 4K 60Hz ドック DisplayPort + HDMI")</f>
        <v>Lenovo ThinkVision T24i-2L 23.8 60Hz LCD モニター レイブン ブラック - 1920 x 1080 フル HD ディスプレイ &amp; StarTech.com USB-C &amp; USB-A ドック - デュアル モニター 4K 60Hz ドック DisplayPort + HDMI</v>
      </c>
    </row>
    <row r="2330" ht="15.75" customHeight="1">
      <c r="A2330" s="1">
        <v>3735.0</v>
      </c>
      <c r="B2330" s="1" t="s">
        <v>15</v>
      </c>
      <c r="C2330" s="1" t="s">
        <v>2220</v>
      </c>
      <c r="D2330" s="1" t="str">
        <f>IFERROR(__xludf.DUMMYFUNCTION("CONCATENATE(GOOGLETRANSLATE(C2330, ""en"", ""zh-cn""))"),"戴尔最新 Inspiron 15 3511 笔记本电脑，15.6 FHD 触摸屏，Intel Core i5-1035G1，16GB RAM，512GB PCIe NVMe M.2 SSD，SD 读卡器，网络摄像头，HDMI，WiFi，Windows 11 Home，黑色")</f>
        <v>戴尔最新 Inspiron 15 3511 笔记本电脑，15.6 FHD 触摸屏，Intel Core i5-1035G1，16GB RAM，512GB PCIe NVMe M.2 SSD，SD 读卡器，网络摄像头，HDMI，WiFi，Windows 11 Home，黑色</v>
      </c>
      <c r="E2330" s="1" t="str">
        <f>IFERROR(__xludf.DUMMYFUNCTION("CONCATENATE(GOOGLETRANSLATE(C2330, ""en"", ""ko""))"),"Dell 최신 Inspiron 15 3511 노트북, 15.6 FHD 터치스크린, Intel Core i5-1035G1, 16GB RAM, 512GB PCIe NVMe M.2 SSD, SD 카드 리더기, 웹캠, HDMI, WiFi, Windows 11 Home, 블랙")</f>
        <v>Dell 최신 Inspiron 15 3511 노트북, 15.6 FHD 터치스크린, Intel Core i5-1035G1, 16GB RAM, 512GB PCIe NVMe M.2 SSD, SD 카드 리더기, 웹캠, HDMI, WiFi, Windows 11 Home, 블랙</v>
      </c>
      <c r="F2330" s="1" t="str">
        <f>IFERROR(__xludf.DUMMYFUNCTION("CONCATENATE(GOOGLETRANSLATE(C2330, ""en"", ""ja""))"),"Dell 最新の Inspiron 15 3511 ラップトップ、15.6 FHD タッチスクリーン、Intel Core i5-1035G1、16GB RAM、512GB PCIe NVMe M.2 SSD、SD カード リーダー、ウェブカメラ、HDMI、WiFi、Windows 11 Home、ブラック")</f>
        <v>Dell 最新の Inspiron 15 3511 ラップトップ、15.6 FHD タッチスクリーン、Intel Core i5-1035G1、16GB RAM、512GB PCIe NVMe M.2 SSD、SD カード リーダー、ウェブカメラ、HDMI、WiFi、Windows 11 Home、ブラック</v>
      </c>
    </row>
    <row r="2331" ht="15.75" customHeight="1">
      <c r="A2331" s="1">
        <v>3737.0</v>
      </c>
      <c r="B2331" s="1" t="s">
        <v>15</v>
      </c>
      <c r="C2331" s="1" t="s">
        <v>2221</v>
      </c>
      <c r="D2331" s="1" t="str">
        <f>IFERROR(__xludf.DUMMYFUNCTION("CONCATENATE(GOOGLETRANSLATE(C2331, ""en"", ""zh-cn""))"),"联想 ThinkPad T480s 笔记本电脑， 14 IPS FHD (1920x1080) 磨砂显示屏， Intel Core i7-8650U 4.20 GHz， 24GB RAM， 512GB SSD， 指纹识别器， 支持 Windows 10 Pro， 黑色， 更新")</f>
        <v>联想 ThinkPad T480s 笔记本电脑， 14 IPS FHD (1920x1080) 磨砂显示屏， Intel Core i7-8650U 4.20 GHz， 24GB RAM， 512GB SSD， 指纹识别器， 支持 Windows 10 Pro， 黑色， 更新</v>
      </c>
      <c r="E2331" s="1" t="str">
        <f>IFERROR(__xludf.DUMMYFUNCTION("CONCATENATE(GOOGLETRANSLATE(C2331, ""en"", ""ko""))"),"Lenovo ThinkPad T480s 노트북, 14 IPS FHD (1920x1080) 무광택 디스플레이, Intel Core i7-8650U 4.20 GHz, 24GB RAM, 512GB SSD, 지문 인식기, Windows 10 Pro 지원, 블랙 컬러, 갱신됨")</f>
        <v>Lenovo ThinkPad T480s 노트북, 14 IPS FHD (1920x1080) 무광택 디스플레이, Intel Core i7-8650U 4.20 GHz, 24GB RAM, 512GB SSD, 지문 인식기, Windows 10 Pro 지원, 블랙 컬러, 갱신됨</v>
      </c>
      <c r="F2331" s="1" t="str">
        <f>IFERROR(__xludf.DUMMYFUNCTION("CONCATENATE(GOOGLETRANSLATE(C2331, ""en"", ""ja""))"),"Lenovo ThinkPad T480s ラップトップ、14 IPS FHD (1920x1080) マットディスプレイ、Intel Core i7-8650U 4.20 GHz、24GB RAM、512GB SSD、指紋認証リーダー、Windows 10 Pro 対応、ブラックカラー、リニューアル")</f>
        <v>Lenovo ThinkPad T480s ラップトップ、14 IPS FHD (1920x1080) マットディスプレイ、Intel Core i7-8650U 4.20 GHz、24GB RAM、512GB SSD、指紋認証リーダー、Windows 10 Pro 対応、ブラックカラー、リニューアル</v>
      </c>
    </row>
    <row r="2332" ht="15.75" customHeight="1">
      <c r="A2332" s="1">
        <v>3748.0</v>
      </c>
      <c r="B2332" s="1" t="s">
        <v>15</v>
      </c>
      <c r="C2332" s="1" t="s">
        <v>2222</v>
      </c>
      <c r="D2332" s="1" t="str">
        <f>IFERROR(__xludf.DUMMYFUNCTION("CONCATENATE(GOOGLETRANSLATE(C2332, ""en"", ""zh-cn""))"),"HP Pavalion 笔记本电脑， 14 高清触摸屏， Intel Core i3-1115G4 处理器， Micro-Edge， 轻薄便携， Micro-Edge 防眩光屏幕， 长电池寿命， Windows 11 (16GB RAM | 1TB SSD)")</f>
        <v>HP Pavalion 笔记本电脑， 14 高清触摸屏， Intel Core i3-1115G4 处理器， Micro-Edge， 轻薄便携， Micro-Edge 防眩光屏幕， 长电池寿命， Windows 11 (16GB RAM | 1TB SSD)</v>
      </c>
      <c r="E2332" s="1" t="str">
        <f>IFERROR(__xludf.DUMMYFUNCTION("CONCATENATE(GOOGLETRANSLATE(C2332, ""en"", ""ko""))"),"HP Pavalion 노트북, 14 HD 터치스크린, Intel Core i3-1115G4 프로세서, 마이크로 에지, 얇고 휴대성이 뛰어난 마이크로 에지 및 눈부심 방지 스크린, 긴 배터리 수명, Windows 11(16GB RAM | 1TB SSD)")</f>
        <v>HP Pavalion 노트북, 14 HD 터치스크린, Intel Core i3-1115G4 프로세서, 마이크로 에지, 얇고 휴대성이 뛰어난 마이크로 에지 및 눈부심 방지 스크린, 긴 배터리 수명, Windows 11(16GB RAM | 1TB SSD)</v>
      </c>
      <c r="F2332" s="1" t="str">
        <f>IFERROR(__xludf.DUMMYFUNCTION("CONCATENATE(GOOGLETRANSLATE(C2332, ""en"", ""ja""))"),"HP Pavalion ラップトップ、14 HD タッチスクリーン、Intel Core i3-1115G4 プロセッサー、マイクロエッジ、薄型ポータブル、マイクロエッジ &amp; アンチグレア スクリーン、長いバッテリー寿命、Windows 11 (16GB RAM | 1TB SSD)")</f>
        <v>HP Pavalion ラップトップ、14 HD タッチスクリーン、Intel Core i3-1115G4 プロセッサー、マイクロエッジ、薄型ポータブル、マイクロエッジ &amp; アンチグレア スクリーン、長いバッテリー寿命、Windows 11 (16GB RAM | 1TB SSD)</v>
      </c>
    </row>
    <row r="2333" ht="15.75" customHeight="1">
      <c r="A2333" s="1">
        <v>3750.0</v>
      </c>
      <c r="B2333" s="1" t="s">
        <v>15</v>
      </c>
      <c r="C2333" s="1" t="s">
        <v>2223</v>
      </c>
      <c r="D2333" s="1" t="str">
        <f>IFERROR(__xludf.DUMMYFUNCTION("CONCATENATE(GOOGLETRANSLATE(C2333, ""en"", ""zh-cn""))"),"Apple iPad Pro 2nd 12.9 带（Wi-Fi + 蜂窝网络）2017 型号，256GB，金色（续订）")</f>
        <v>Apple iPad Pro 2nd 12.9 带（Wi-Fi + 蜂窝网络）2017 型号，256GB，金色（续订）</v>
      </c>
      <c r="E2333" s="1" t="str">
        <f>IFERROR(__xludf.DUMMYFUNCTION("CONCATENATE(GOOGLETRANSLATE(C2333, ""en"", ""ko""))"),"애플 아이패드 프로 2세대 12.9 (와이파이 + 셀룰러) 2017 모델, 256GB, 골드(리뉴얼)")</f>
        <v>애플 아이패드 프로 2세대 12.9 (와이파이 + 셀룰러) 2017 모델, 256GB, 골드(리뉴얼)</v>
      </c>
      <c r="F2333" s="1" t="str">
        <f>IFERROR(__xludf.DUMMYFUNCTION("CONCATENATE(GOOGLETRANSLATE(C2333, ""en"", ""ja""))"),"Apple iPad Pro 2nd 12.9 (Wi-Fi + Cellular) 2017 モデル、256GB、ゴールド (リニューアル)")</f>
        <v>Apple iPad Pro 2nd 12.9 (Wi-Fi + Cellular) 2017 モデル、256GB、ゴールド (リニューアル)</v>
      </c>
    </row>
    <row r="2334" ht="15.75" customHeight="1">
      <c r="A2334" s="1">
        <v>3753.0</v>
      </c>
      <c r="B2334" s="1" t="s">
        <v>15</v>
      </c>
      <c r="C2334" s="1" t="s">
        <v>2224</v>
      </c>
      <c r="D2334" s="1" t="str">
        <f>IFERROR(__xludf.DUMMYFUNCTION("CONCATENATE(GOOGLETRANSLATE(C2334, ""en"", ""zh-cn""))"),"佳能 DR-M160II 文档扫描仪（更新）")</f>
        <v>佳能 DR-M160II 文档扫描仪（更新）</v>
      </c>
      <c r="E2334" s="1" t="str">
        <f>IFERROR(__xludf.DUMMYFUNCTION("CONCATENATE(GOOGLETRANSLATE(C2334, ""en"", ""ko""))"),"Canon DR-M160II 문서 스캐너(리뉴얼)")</f>
        <v>Canon DR-M160II 문서 스캐너(리뉴얼)</v>
      </c>
      <c r="F2334" s="1" t="str">
        <f>IFERROR(__xludf.DUMMYFUNCTION("CONCATENATE(GOOGLETRANSLATE(C2334, ""en"", ""ja""))"),"キヤノン DR-M160II ドキュメントスキャナー（リニューアル）")</f>
        <v>キヤノン DR-M160II ドキュメントスキャナー（リニューアル）</v>
      </c>
    </row>
    <row r="2335" ht="15.75" customHeight="1">
      <c r="A2335" s="1">
        <v>3767.0</v>
      </c>
      <c r="B2335" s="1" t="s">
        <v>15</v>
      </c>
      <c r="C2335" s="1" t="s">
        <v>2225</v>
      </c>
      <c r="D2335" s="1" t="str">
        <f>IFERROR(__xludf.DUMMYFUNCTION("CONCATENATE(GOOGLETRANSLATE(C2335, ""en"", ""zh-cn""))"),"联想 - Chromebook Duet 5 - 13.3 OLED 触摸屏平板电脑 - 8GB 内存 - 128GB SSD - 带键盘 - 深渊蓝")</f>
        <v>联想 - Chromebook Duet 5 - 13.3 OLED 触摸屏平板电脑 - 8GB 内存 - 128GB SSD - 带键盘 - 深渊蓝</v>
      </c>
      <c r="E2335" s="1" t="str">
        <f>IFERROR(__xludf.DUMMYFUNCTION("CONCATENATE(GOOGLETRANSLATE(C2335, ""en"", ""ko""))"),"Lenovo - 크롬북 Duet 5 - 13.3 OLED 터치스크린 태블릿 - 8GB 메모리 - 128GB SSD - 키보드 포함 - 어비스 블루")</f>
        <v>Lenovo - 크롬북 Duet 5 - 13.3 OLED 터치스크린 태블릿 - 8GB 메모리 - 128GB SSD - 키보드 포함 - 어비스 블루</v>
      </c>
      <c r="F2335" s="1" t="str">
        <f>IFERROR(__xludf.DUMMYFUNCTION("CONCATENATE(GOOGLETRANSLATE(C2335, ""en"", ""ja""))"),"Lenovo - Chromebook Duet 5 - 13.3 OLED タッチ スクリーン タブレット - 8GB メモリ - 128GB SSD - キーボード付き - アビス ブルー")</f>
        <v>Lenovo - Chromebook Duet 5 - 13.3 OLED タッチ スクリーン タブレット - 8GB メモリ - 128GB SSD - キーボード付き - アビス ブルー</v>
      </c>
    </row>
    <row r="2336" ht="15.75" customHeight="1">
      <c r="A2336" s="1">
        <v>3776.0</v>
      </c>
      <c r="B2336" s="1" t="s">
        <v>15</v>
      </c>
      <c r="C2336" s="1" t="s">
        <v>2226</v>
      </c>
      <c r="D2336" s="1" t="str">
        <f>IFERROR(__xludf.DUMMYFUNCTION("CONCATENATE(GOOGLETRANSLATE(C2336, ""en"", ""zh-cn""))"),"HP 最新 14 高清轻薄笔记本电脑，AMD 双核 3000 系列（高达 2.6GHz），8GB RAM，128GB SSD + 64GB eMMC，1 年 Office 365，WiFi，蓝牙 5，USB Type-A&amp;C，HDMI，网络摄像头（带 GM 配件）")</f>
        <v>HP 最新 14 高清轻薄笔记本电脑，AMD 双核 3000 系列（高达 2.6GHz），8GB RAM，128GB SSD + 64GB eMMC，1 年 Office 365，WiFi，蓝牙 5，USB Type-A&amp;C，HDMI，网络摄像头（带 GM 配件）</v>
      </c>
      <c r="E2336" s="1" t="str">
        <f>IFERROR(__xludf.DUMMYFUNCTION("CONCATENATE(GOOGLETRANSLATE(C2336, ""en"", ""ko""))"),"HP 최신 14 HD 노트북 경량, AMD 듀얼 코어 3000 시리즈(최대 2.6GHz), 8GB RAM, 128GB SSD + 64GB eMMC, 1년 Office 365, WiFi, Bluetooth 5, USB Type-A&amp;C, HDMI, 웹캠 및 GM 액세서리")</f>
        <v>HP 최신 14 HD 노트북 경량, AMD 듀얼 코어 3000 시리즈(최대 2.6GHz), 8GB RAM, 128GB SSD + 64GB eMMC, 1년 Office 365, WiFi, Bluetooth 5, USB Type-A&amp;C, HDMI, 웹캠 및 GM 액세서리</v>
      </c>
      <c r="F2336" s="1" t="str">
        <f>IFERROR(__xludf.DUMMYFUNCTION("CONCATENATE(GOOGLETRANSLATE(C2336, ""en"", ""ja""))"),"HP 最新 14 HD ノートパソコン軽量、AMD デュアルコア 3000 シリーズ (最大 2.6 GHz)、8GB RAM、128GB SSD + 64GB eMMC、1 年間の Office 365、WiFi、Bluetooth 5、USB Type-A&amp;C、HDMI、Web カメラ (GM アクセサリ付き)")</f>
        <v>HP 最新 14 HD ノートパソコン軽量、AMD デュアルコア 3000 シリーズ (最大 2.6 GHz)、8GB RAM、128GB SSD + 64GB eMMC、1 年間の Office 365、WiFi、Bluetooth 5、USB Type-A&amp;C、HDMI、Web カメラ (GM アクセサリ付き)</v>
      </c>
    </row>
    <row r="2337" ht="15.75" customHeight="1">
      <c r="A2337" s="1">
        <v>3791.0</v>
      </c>
      <c r="B2337" s="1" t="s">
        <v>15</v>
      </c>
      <c r="C2337" s="1" t="s">
        <v>2227</v>
      </c>
      <c r="D2337" s="1" t="str">
        <f>IFERROR(__xludf.DUMMYFUNCTION("CONCATENATE(GOOGLETRANSLATE(C2337, ""en"", ""zh-cn""))"),"HUION Kamvas Pro 13 2.5K QHD 图形显示器绘图板带屏幕 QLED 全层压无电池手写笔 PW517 适用于 Windows PC、Mac、Android、13.3 英寸数字绘图板笔显示屏")</f>
        <v>HUION Kamvas Pro 13 2.5K QHD 图形显示器绘图板带屏幕 QLED 全层压无电池手写笔 PW517 适用于 Windows PC、Mac、Android、13.3 英寸数字绘图板笔显示屏</v>
      </c>
      <c r="E2337" s="1" t="str">
        <f>IFERROR(__xludf.DUMMYFUNCTION("CONCATENATE(GOOGLETRANSLATE(C2337, ""en"", ""ko""))"),"HUION Kamvas Pro 13 2.5K QHD 그래픽 모니터 드로잉 태블릿(스크린 포함) QLED 풀 라미네이션 배터리 프리 스타일러스 PW517(Windows PC, Mac, Android, 13.3인치 디지털 드로잉 태블릿 펜 디스플레이용)")</f>
        <v>HUION Kamvas Pro 13 2.5K QHD 그래픽 모니터 드로잉 태블릿(스크린 포함) QLED 풀 라미네이션 배터리 프리 스타일러스 PW517(Windows PC, Mac, Android, 13.3인치 디지털 드로잉 태블릿 펜 디스플레이용)</v>
      </c>
      <c r="F2337" s="1" t="str">
        <f>IFERROR(__xludf.DUMMYFUNCTION("CONCATENATE(GOOGLETRANSLATE(C2337, ""en"", ""ja""))"),"HUION Kamvas Pro 13 2.5K QHD グラフィックスモニター 描画タブレット スクリーン QLED フルラミネーション バッテリーフリー スタイラス PW517 Windows PC、Mac、Android、13.3 インチデジタル描画タブレット ペンディスプレイ用")</f>
        <v>HUION Kamvas Pro 13 2.5K QHD グラフィックスモニター 描画タブレット スクリーン QLED フルラミネーション バッテリーフリー スタイラス PW517 Windows PC、Mac、Android、13.3 インチデジタル描画タブレット ペンディスプレイ用</v>
      </c>
    </row>
    <row r="2338" ht="15.75" customHeight="1">
      <c r="A2338" s="1">
        <v>3797.0</v>
      </c>
      <c r="B2338" s="1" t="s">
        <v>15</v>
      </c>
      <c r="C2338" s="1" t="s">
        <v>2228</v>
      </c>
      <c r="D2338" s="1" t="str">
        <f>IFERROR(__xludf.DUMMYFUNCTION("CONCATENATE(GOOGLETRANSLATE(C2338, ""en"", ""zh-cn""))"),"索尼 CEA-G160T 160GB CFexpress A 型存储卡（Tough CEAG160T）捆绑索尼 LCSU21 相机保护套 - 黑色 + 装饰齿轮配件 超细纤维电子布，屏幕保护膜套件")</f>
        <v>索尼 CEA-G160T 160GB CFexpress A 型存储卡（Tough CEAG160T）捆绑索尼 LCSU21 相机保护套 - 黑色 + 装饰齿轮配件 超细纤维电子布，屏幕保护膜套件</v>
      </c>
      <c r="E2338" s="1" t="str">
        <f>IFERROR(__xludf.DUMMYFUNCTION("CONCATENATE(GOOGLETRANSLATE(C2338, ""en"", ""ko""))"),"소니 CEA-G160T 160GB CFexpress Type A 메모리 카드(터프 CEAG160T) 소니 LCSU21 보호 카메라 케이스 번들 - 블랙 + 데코 기어 액세서리 마이크로파이버 전자 천, 화면 보호기 키트")</f>
        <v>소니 CEA-G160T 160GB CFexpress Type A 메모리 카드(터프 CEAG160T) 소니 LCSU21 보호 카메라 케이스 번들 - 블랙 + 데코 기어 액세서리 마이크로파이버 전자 천, 화면 보호기 키트</v>
      </c>
      <c r="F2338" s="1" t="str">
        <f>IFERROR(__xludf.DUMMYFUNCTION("CONCATENATE(GOOGLETRANSLATE(C2338, ""en"", ""ja""))"),"Sony CEA-G160T 160GB CFexpress タイプ A メモリ カード (タフ CEAG160T) Sony LCSU21 保護カメラ ケース付きバンドル - ブラック + デコ ギア アクセサリー マイクロファイバー エレクトロニクス クロス、スクリーン プロテクター キット")</f>
        <v>Sony CEA-G160T 160GB CFexpress タイプ A メモリ カード (タフ CEAG160T) Sony LCSU21 保護カメラ ケース付きバンドル - ブラック + デコ ギア アクセサリー マイクロファイバー エレクトロニクス クロス、スクリーン プロテクター キット</v>
      </c>
    </row>
    <row r="2339" ht="15.75" customHeight="1">
      <c r="A2339" s="1">
        <v>3882.0</v>
      </c>
      <c r="B2339" s="1" t="s">
        <v>15</v>
      </c>
      <c r="C2339" s="1" t="s">
        <v>1828</v>
      </c>
      <c r="D2339" s="1" t="str">
        <f>IFERROR(__xludf.DUMMYFUNCTION("CONCATENATE(GOOGLETRANSLATE(C2339, ""en"", ""zh-cn""))"),"三星 Galaxy Z Fold 3 5G 手机，工厂解锁二合一 Android 智能手机平板电脑，256GB，120Hz，可折叠双屏，屏下摄像头，美国版，幻影黑")</f>
        <v>三星 Galaxy Z Fold 3 5G 手机，工厂解锁二合一 Android 智能手机平板电脑，256GB，120Hz，可折叠双屏，屏下摄像头，美国版，幻影黑</v>
      </c>
      <c r="E2339" s="1" t="str">
        <f>IFERROR(__xludf.DUMMYFUNCTION("CONCATENATE(GOOGLETRANSLATE(C2339, ""en"", ""ko""))"),"SAMSUNG 갤럭시 Z 폴드 3 5G 휴대폰, 공장 잠금 해제 2-in-1 안드로이드 스마트폰 태블릿, 256GB, 120Hz, 폴더블 듀얼 스크린, 언더 디스플레이 카메라, 미국 버전, 팬텀 블랙")</f>
        <v>SAMSUNG 갤럭시 Z 폴드 3 5G 휴대폰, 공장 잠금 해제 2-in-1 안드로이드 스마트폰 태블릿, 256GB, 120Hz, 폴더블 듀얼 스크린, 언더 디스플레이 카메라, 미국 버전, 팬텀 블랙</v>
      </c>
      <c r="F2339" s="1" t="str">
        <f>IFERROR(__xludf.DUMMYFUNCTION("CONCATENATE(GOOGLETRANSLATE(C2339, ""en"", ""ja""))"),"SAMSUNG Galaxy Z Fold 3 5G 携帯電話、工場出荷時のロック解除済み 2-in-1 Android スマートフォン タブレット、256GB、120Hz、折りたたみ式デュアル スクリーン、ディスプレイカメラ下、US バージョン、ファントム ブラック")</f>
        <v>SAMSUNG Galaxy Z Fold 3 5G 携帯電話、工場出荷時のロック解除済み 2-in-1 Android スマートフォン タブレット、256GB、120Hz、折りたたみ式デュアル スクリーン、ディスプレイカメラ下、US バージョン、ファントム ブラック</v>
      </c>
    </row>
    <row r="2340" ht="15.75" customHeight="1">
      <c r="A2340" s="1">
        <v>3889.0</v>
      </c>
      <c r="B2340" s="1" t="s">
        <v>15</v>
      </c>
      <c r="C2340" s="1" t="s">
        <v>2229</v>
      </c>
      <c r="D2340" s="1" t="str">
        <f>IFERROR(__xludf.DUMMYFUNCTION("CONCATENATE(GOOGLETRANSLATE(C2340, ""en"", ""zh-cn""))"),"一加 11 5G | 16GB内存+256GB |泰坦黑|美国工厂解锁 Android 智能手机 | 5000mAh电池| 80W快充|哈苏相机 | 120Hz 流体显示 | 4纳米处理器")</f>
        <v>一加 11 5G | 16GB内存+256GB |泰坦黑|美国工厂解锁 Android 智能手机 | 5000mAh电池| 80W快充|哈苏相机 | 120Hz 流体显示 | 4纳米处理器</v>
      </c>
      <c r="E2340" s="1" t="str">
        <f>IFERROR(__xludf.DUMMYFUNCTION("CONCATENATE(GOOGLETRANSLATE(C2340, ""en"", ""ko""))"),"원플러스 11 5G | 16GB RAM+256GB | 타이탄 블랙 | 미국 공장 언락 안드로이드 스마트폰 | 5000mAh 배터리 | 80W 고속 충전 | 핫셀블라드 카메라 | 120Hz 유체 디스플레이 | 4nm 프로세서")</f>
        <v>원플러스 11 5G | 16GB RAM+256GB | 타이탄 블랙 | 미국 공장 언락 안드로이드 스마트폰 | 5000mAh 배터리 | 80W 고속 충전 | 핫셀블라드 카메라 | 120Hz 유체 디스플레이 | 4nm 프로세서</v>
      </c>
      <c r="F2340" s="1" t="str">
        <f>IFERROR(__xludf.DUMMYFUNCTION("CONCATENATE(GOOGLETRANSLATE(C2340, ""en"", ""ja""))"),"OnePlus 11 5G | 16GB RAM+256GB |タイタンブラック |米国工場でロック解除された Android スマートフォン | 5000 mAh バッテリー | 80W 急速充電 |ハッセルブラッドカメラ | 120Hz 流体ディスプレイ | 4nmプロセッサ")</f>
        <v>OnePlus 11 5G | 16GB RAM+256GB |タイタンブラック |米国工場でロック解除された Android スマートフォン | 5000 mAh バッテリー | 80W 急速充電 |ハッセルブラッドカメラ | 120Hz 流体ディスプレイ | 4nmプロセッサ</v>
      </c>
    </row>
    <row r="2341" ht="15.75" customHeight="1">
      <c r="A2341" s="1">
        <v>3892.0</v>
      </c>
      <c r="B2341" s="1" t="s">
        <v>15</v>
      </c>
      <c r="C2341" s="1" t="s">
        <v>2230</v>
      </c>
      <c r="D2341" s="1" t="str">
        <f>IFERROR(__xludf.DUMMYFUNCTION("CONCATENATE(GOOGLETRANSLATE(C2341, ""en"", ""zh-cn""))"),"Apple iPhone 13 Pro Max，128GB，阿尔卑斯绿 - T-Mobile（续订）")</f>
        <v>Apple iPhone 13 Pro Max，128GB，阿尔卑斯绿 - T-Mobile（续订）</v>
      </c>
      <c r="E2341" s="1" t="str">
        <f>IFERROR(__xludf.DUMMYFUNCTION("CONCATENATE(GOOGLETRANSLATE(C2341, ""en"", ""ko""))"),"Apple iPhone 13 Pro Max, 128GB, 알파인 그린 - T-Mobile(리뉴얼)")</f>
        <v>Apple iPhone 13 Pro Max, 128GB, 알파인 그린 - T-Mobile(리뉴얼)</v>
      </c>
      <c r="F2341" s="1" t="str">
        <f>IFERROR(__xludf.DUMMYFUNCTION("CONCATENATE(GOOGLETRANSLATE(C2341, ""en"", ""ja""))"),"Apple iPhone 13 Pro Max、128GB、アルパイングリーン - T-Mobile (リニューアル)")</f>
        <v>Apple iPhone 13 Pro Max、128GB、アルパイングリーン - T-Mobile (リニューアル)</v>
      </c>
    </row>
    <row r="2342" ht="15.75" customHeight="1">
      <c r="A2342" s="1">
        <v>3904.0</v>
      </c>
      <c r="B2342" s="1" t="s">
        <v>15</v>
      </c>
      <c r="C2342" s="1" t="s">
        <v>2231</v>
      </c>
      <c r="D2342" s="1" t="str">
        <f>IFERROR(__xludf.DUMMYFUNCTION("CONCATENATE(GOOGLETRANSLATE(C2342, ""en"", ""zh-cn""))"),"iPhone 13， 128GB，星光 - 解锁（续订高级版）")</f>
        <v>iPhone 13， 128GB，星光 - 解锁（续订高级版）</v>
      </c>
      <c r="E2342" s="1" t="str">
        <f>IFERROR(__xludf.DUMMYFUNCTION("CONCATENATE(GOOGLETRANSLATE(C2342, ""en"", ""ko""))"),"iPhone 13, 128GB, Starlight - 언락(리뉴얼 프리미엄)")</f>
        <v>iPhone 13, 128GB, Starlight - 언락(리뉴얼 프리미엄)</v>
      </c>
      <c r="F2342" s="1" t="str">
        <f>IFERROR(__xludf.DUMMYFUNCTION("CONCATENATE(GOOGLETRANSLATE(C2342, ""en"", ""ja""))"),"iPhone 13、128GB、スターライト - ロック解除済み (更新プレミアム)")</f>
        <v>iPhone 13、128GB、スターライト - ロック解除済み (更新プレミアム)</v>
      </c>
    </row>
    <row r="2343" ht="15.75" customHeight="1">
      <c r="A2343" s="1">
        <v>3925.0</v>
      </c>
      <c r="B2343" s="1" t="s">
        <v>15</v>
      </c>
      <c r="C2343" s="1" t="s">
        <v>2232</v>
      </c>
      <c r="D2343" s="1" t="str">
        <f>IFERROR(__xludf.DUMMYFUNCTION("CONCATENATE(GOOGLETRANSLATE(C2343, ""en"", ""zh-cn""))"),"三星 Galaxy S21 5G，美国版，128GB，幻影灰 - 已解锁（续订）")</f>
        <v>三星 Galaxy S21 5G，美国版，128GB，幻影灰 - 已解锁（续订）</v>
      </c>
      <c r="E2343" s="1" t="str">
        <f>IFERROR(__xludf.DUMMYFUNCTION("CONCATENATE(GOOGLETRANSLATE(C2343, ""en"", ""ko""))"),"삼성 갤럭시 S21 5G, 미국 버전, 128GB, 팬텀 그레이 - 공기계(리뉴얼)")</f>
        <v>삼성 갤럭시 S21 5G, 미국 버전, 128GB, 팬텀 그레이 - 공기계(리뉴얼)</v>
      </c>
      <c r="F2343" s="1" t="str">
        <f>IFERROR(__xludf.DUMMYFUNCTION("CONCATENATE(GOOGLETRANSLATE(C2343, ""en"", ""ja""))"),"Samsung Galaxy S21 5G、US バージョン、128GB、ファントム グレー - ロック解除 (更新)")</f>
        <v>Samsung Galaxy S21 5G、US バージョン、128GB、ファントム グレー - ロック解除 (更新)</v>
      </c>
    </row>
    <row r="2344" ht="15.75" customHeight="1">
      <c r="A2344" s="1">
        <v>3942.0</v>
      </c>
      <c r="B2344" s="1" t="s">
        <v>15</v>
      </c>
      <c r="C2344" s="1" t="s">
        <v>2233</v>
      </c>
      <c r="D2344" s="1" t="str">
        <f>IFERROR(__xludf.DUMMYFUNCTION("CONCATENATE(GOOGLETRANSLATE(C2344, ""en"", ""zh-cn""))"),"欧米茄超霸月球表同轴计时码表月之暗面漆黑男士手表 311.92.44.51.01.004")</f>
        <v>欧米茄超霸月球表同轴计时码表月之暗面漆黑男士手表 311.92.44.51.01.004</v>
      </c>
      <c r="E2344" s="1" t="str">
        <f>IFERROR(__xludf.DUMMYFUNCTION("CONCATENATE(GOOGLETRANSLATE(C2344, ""en"", ""ko""))"),"오메가 스피드마스터 문워치 코-액시얼 크로노그래프 다크 사이드 오브 더 문 피치 블랙 남성용 시계 311.92.44.51.01.004")</f>
        <v>오메가 스피드마스터 문워치 코-액시얼 크로노그래프 다크 사이드 오브 더 문 피치 블랙 남성용 시계 311.92.44.51.01.004</v>
      </c>
      <c r="F2344" s="1" t="str">
        <f>IFERROR(__xludf.DUMMYFUNCTION("CONCATENATE(GOOGLETRANSLATE(C2344, ""en"", ""ja""))"),"オメガ スピードマスター ムーンウォッチ コーアクシャル クロノグラフ ダークサイド オブ ザ ムーン ピッチブラック メンズ腕時計 311.92.44.51.01.004")</f>
        <v>オメガ スピードマスター ムーンウォッチ コーアクシャル クロノグラフ ダークサイド オブ ザ ムーン ピッチブラック メンズ腕時計 311.92.44.51.01.004</v>
      </c>
    </row>
    <row r="2345" ht="15.75" customHeight="1">
      <c r="A2345" s="1">
        <v>3953.0</v>
      </c>
      <c r="B2345" s="1" t="s">
        <v>15</v>
      </c>
      <c r="C2345" s="1" t="s">
        <v>2234</v>
      </c>
      <c r="D2345" s="1" t="str">
        <f>IFERROR(__xludf.DUMMYFUNCTION("CONCATENATE(GOOGLETRANSLATE(C2345, ""en"", ""zh-cn""))"),"欧米茄超霸月球表自动机芯黑色表盘男士手表 31133423001001")</f>
        <v>欧米茄超霸月球表自动机芯黑色表盘男士手表 31133423001001</v>
      </c>
      <c r="E2345" s="1" t="str">
        <f>IFERROR(__xludf.DUMMYFUNCTION("CONCATENATE(GOOGLETRANSLATE(C2345, ""en"", ""ko""))"),"오메가 스피드마스터 문워치 오토매틱 무브먼트 블랙 다이얼 남성용 시계 31133423001001")</f>
        <v>오메가 스피드마스터 문워치 오토매틱 무브먼트 블랙 다이얼 남성용 시계 31133423001001</v>
      </c>
      <c r="F2345" s="1" t="str">
        <f>IFERROR(__xludf.DUMMYFUNCTION("CONCATENATE(GOOGLETRANSLATE(C2345, ""en"", ""ja""))"),"オメガ スピードマスター ムーンウォッチ 自動巻き ブラック ダイヤル メンズ腕時計 31133423001001")</f>
        <v>オメガ スピードマスター ムーンウォッチ 自動巻き ブラック ダイヤル メンズ腕時計 31133423001001</v>
      </c>
    </row>
    <row r="2346" ht="15.75" customHeight="1">
      <c r="A2346" s="1">
        <v>3975.0</v>
      </c>
      <c r="B2346" s="1" t="s">
        <v>15</v>
      </c>
      <c r="C2346" s="1" t="s">
        <v>2235</v>
      </c>
      <c r="D2346" s="1" t="str">
        <f>IFERROR(__xludf.DUMMYFUNCTION("CONCATENATE(GOOGLETRANSLATE(C2346, ""en"", ""zh-cn""))"),"欧米茄 DeVille 424.13.40.20.02.001 不锈钢自动男士手表")</f>
        <v>欧米茄 DeVille 424.13.40.20.02.001 不锈钢自动男士手表</v>
      </c>
      <c r="E2346" s="1" t="str">
        <f>IFERROR(__xludf.DUMMYFUNCTION("CONCATENATE(GOOGLETRANSLATE(C2346, ""en"", ""ko""))"),"Omega DeVille 424.13.40.20.02.001 스테인레스 스틸 자동 남성용 시계")</f>
        <v>Omega DeVille 424.13.40.20.02.001 스테인레스 스틸 자동 남성용 시계</v>
      </c>
      <c r="F2346" s="1" t="str">
        <f>IFERROR(__xludf.DUMMYFUNCTION("CONCATENATE(GOOGLETRANSLATE(C2346, ""en"", ""ja""))"),"オメガ デビル 424.13.40.20.02.001 ステンレススチール自動巻きメンズ腕時計")</f>
        <v>オメガ デビル 424.13.40.20.02.001 ステンレススチール自動巻きメンズ腕時計</v>
      </c>
    </row>
    <row r="2347" ht="15.75" customHeight="1">
      <c r="A2347" s="1">
        <v>3985.0</v>
      </c>
      <c r="B2347" s="1" t="s">
        <v>15</v>
      </c>
      <c r="C2347" s="1" t="s">
        <v>2236</v>
      </c>
      <c r="D2347" s="1" t="str">
        <f>IFERROR(__xludf.DUMMYFUNCTION("CONCATENATE(GOOGLETRANSLATE(C2347, ""en"", ""zh-cn""))"),"卡西欧 GMW-B5000TVB-1JR [G-Shock GMWB5000 系列] 手表 日本发货 2022 年 6 月发售")</f>
        <v>卡西欧 GMW-B5000TVB-1JR [G-Shock GMWB5000 系列] 手表 日本发货 2022 年 6 月发售</v>
      </c>
      <c r="E2347" s="1" t="str">
        <f>IFERROR(__xludf.DUMMYFUNCTION("CONCATENATE(GOOGLETRANSLATE(C2347, ""en"", ""ko""))"),"Casio GMW-B5000TVB-1JR [G-Shock GMWB5000 시리즈] 시계 일본에서 출하, 2022년 6월 출시")</f>
        <v>Casio GMW-B5000TVB-1JR [G-Shock GMWB5000 시리즈] 시계 일본에서 출하, 2022년 6월 출시</v>
      </c>
      <c r="F2347" s="1" t="str">
        <f>IFERROR(__xludf.DUMMYFUNCTION("CONCATENATE(GOOGLETRANSLATE(C2347, ""en"", ""ja""))"),"カシオ GMW-B5000TVB-1JR [G-Shock GMWB5000シリーズ] 腕時計 日本発送 2022年6月発売")</f>
        <v>カシオ GMW-B5000TVB-1JR [G-Shock GMWB5000シリーズ] 腕時計 日本発送 2022年6月発売</v>
      </c>
    </row>
    <row r="2348" ht="15.75" customHeight="1">
      <c r="A2348" s="1">
        <v>3988.0</v>
      </c>
      <c r="B2348" s="1" t="s">
        <v>15</v>
      </c>
      <c r="C2348" s="1" t="s">
        <v>2237</v>
      </c>
      <c r="D2348" s="1" t="str">
        <f>IFERROR(__xludf.DUMMYFUNCTION("CONCATENATE(GOOGLETRANSLATE(C2348, ""en"", ""zh-cn""))"),"百老汇自动计时码表")</f>
        <v>百老汇自动计时码表</v>
      </c>
      <c r="E2348" s="1" t="str">
        <f>IFERROR(__xludf.DUMMYFUNCTION("CONCATENATE(GOOGLETRANSLATE(C2348, ""en"", ""ko""))"),"브로드웨이 오토 크로노")</f>
        <v>브로드웨이 오토 크로노</v>
      </c>
      <c r="F2348" s="1" t="str">
        <f>IFERROR(__xludf.DUMMYFUNCTION("CONCATENATE(GOOGLETRANSLATE(C2348, ""en"", ""ja""))"),"ブロードウェイ オート クロノ")</f>
        <v>ブロードウェイ オート クロノ</v>
      </c>
    </row>
    <row r="2349" ht="15.75" customHeight="1">
      <c r="A2349" s="1">
        <v>3993.0</v>
      </c>
      <c r="B2349" s="1" t="s">
        <v>15</v>
      </c>
      <c r="C2349" s="1" t="s">
        <v>2238</v>
      </c>
      <c r="D2349" s="1" t="str">
        <f>IFERROR(__xludf.DUMMYFUNCTION("CONCATENATE(GOOGLETRANSLATE(C2349, ""en"", ""zh-cn""))"),"SEIKO Prospex Reissue First Diver 橡胶表带 SPB147J1")</f>
        <v>SEIKO Prospex Reissue First Diver 橡胶表带 SPB147J1</v>
      </c>
      <c r="E2349" s="1" t="str">
        <f>IFERROR(__xludf.DUMMYFUNCTION("CONCATENATE(GOOGLETRANSLATE(C2349, ""en"", ""ko""))"),"SEIKO 프로스펙스 리이슈 퍼스트 다이버 고무밴드 SPB147J1")</f>
        <v>SEIKO 프로스펙스 리이슈 퍼스트 다이버 고무밴드 SPB147J1</v>
      </c>
      <c r="F2349" s="1" t="str">
        <f>IFERROR(__xludf.DUMMYFUNCTION("CONCATENATE(GOOGLETRANSLATE(C2349, ""en"", ""ja""))"),"セイコー プロスペックス 復刻ファーストダイバーラバーバンド SPB147J1")</f>
        <v>セイコー プロスペックス 復刻ファーストダイバーラバーバンド SPB147J1</v>
      </c>
    </row>
    <row r="2350" ht="15.75" customHeight="1">
      <c r="A2350" s="1">
        <v>4005.0</v>
      </c>
      <c r="B2350" s="1" t="s">
        <v>15</v>
      </c>
      <c r="C2350" s="1" t="s">
        <v>2239</v>
      </c>
      <c r="D2350" s="1" t="str">
        <f>IFERROR(__xludf.DUMMYFUNCTION("CONCATENATE(GOOGLETRANSLATE(C2350, ""en"", ""zh-cn""))"),"CIGA 设计机械自动手表蓝色星球 U 系列不锈钢/钛/陶瓷表壳蓝宝石水晶氟橡胶/陶瓷表带男女手表")</f>
        <v>CIGA 设计机械自动手表蓝色星球 U 系列不锈钢/钛/陶瓷表壳蓝宝石水晶氟橡胶/陶瓷表带男女手表</v>
      </c>
      <c r="E2350" s="1" t="str">
        <f>IFERROR(__xludf.DUMMYFUNCTION("CONCATENATE(GOOGLETRANSLATE(C2350, ""en"", ""ko""))"),"CIGA 디자인 기계식 자동 시계 블루 플래닛 U 시리즈 스테인레스 스틸/티타늄/도자기 케이스 사파이어 크리스탈 불소고무/도자기 스트랩 시계 남성용 및 여성용")</f>
        <v>CIGA 디자인 기계식 자동 시계 블루 플래닛 U 시리즈 스테인레스 스틸/티타늄/도자기 케이스 사파이어 크리스탈 불소고무/도자기 스트랩 시계 남성용 및 여성용</v>
      </c>
      <c r="F2350" s="1" t="str">
        <f>IFERROR(__xludf.DUMMYFUNCTION("CONCATENATE(GOOGLETRANSLATE(C2350, ""en"", ""ja""))"),"CIGA デザイン機械式自動巻き時計ブループラネット U シリーズステンレススチール/チタン/セラミックケースサファイアクリスタルフッ素ゴム/セラミックストラップ腕時計男性と女性のための")</f>
        <v>CIGA デザイン機械式自動巻き時計ブループラネット U シリーズステンレススチール/チタン/セラミックケースサファイアクリスタルフッ素ゴム/セラミックストラップ腕時計男性と女性のための</v>
      </c>
    </row>
    <row r="2351" ht="15.75" customHeight="1">
      <c r="A2351" s="1">
        <v>4022.0</v>
      </c>
      <c r="B2351" s="1" t="s">
        <v>15</v>
      </c>
      <c r="C2351" s="1" t="s">
        <v>2240</v>
      </c>
      <c r="D2351" s="1" t="str">
        <f>IFERROR(__xludf.DUMMYFUNCTION("CONCATENATE(GOOGLETRANSLATE(C2351, ""en"", ""zh-cn""))"),"Alpina 男士 Startimer 飞行员计时大日期手表，瑞士石英机芯，蓝宝石水晶 44 毫米")</f>
        <v>Alpina 男士 Startimer 飞行员计时大日期手表，瑞士石英机芯，蓝宝石水晶 44 毫米</v>
      </c>
      <c r="E2351" s="1" t="str">
        <f>IFERROR(__xludf.DUMMYFUNCTION("CONCATENATE(GOOGLETRANSLATE(C2351, ""en"", ""ko""))"),"알피나 남성용 스타타이머 파일럿 크로노그래프 빅 데이트 시계, 스위스 쿼츠 무브먼트, 사파이어 크리스탈 44mm")</f>
        <v>알피나 남성용 스타타이머 파일럿 크로노그래프 빅 데이트 시계, 스위스 쿼츠 무브먼트, 사파이어 크리스탈 44mm</v>
      </c>
      <c r="F2351" s="1" t="str">
        <f>IFERROR(__xludf.DUMMYFUNCTION("CONCATENATE(GOOGLETRANSLATE(C2351, ""en"", ""ja""))"),"アルピナ メンズ スタータイマー パイロット クロノグラフ ビッグデイト ウォッチ、スイス製クォーツムーブメント、サファイアクリスタル 44mm")</f>
        <v>アルピナ メンズ スタータイマー パイロット クロノグラフ ビッグデイト ウォッチ、スイス製クォーツムーブメント、サファイアクリスタル 44mm</v>
      </c>
    </row>
    <row r="2352" ht="15.75" customHeight="1">
      <c r="A2352" s="1">
        <v>4026.0</v>
      </c>
      <c r="B2352" s="1" t="s">
        <v>15</v>
      </c>
      <c r="C2352" s="1" t="s">
        <v>2241</v>
      </c>
      <c r="D2352" s="1" t="str">
        <f>IFERROR(__xludf.DUMMYFUNCTION("CONCATENATE(GOOGLETRANSLATE(C2352, ""en"", ""zh-cn""))"),"SEIKO SRPE35 Prospex 男士手表银色 44 毫米不锈钢")</f>
        <v>SEIKO SRPE35 Prospex 男士手表银色 44 毫米不锈钢</v>
      </c>
      <c r="E2352" s="1" t="str">
        <f>IFERROR(__xludf.DUMMYFUNCTION("CONCATENATE(GOOGLETRANSLATE(C2352, ""en"", ""ko""))"),"SEIKO SRPE35 Prospex 남성용 시계 실버톤 44mm 스테인리스 스틸")</f>
        <v>SEIKO SRPE35 Prospex 남성용 시계 실버톤 44mm 스테인리스 스틸</v>
      </c>
      <c r="F2352" s="1" t="str">
        <f>IFERROR(__xludf.DUMMYFUNCTION("CONCATENATE(GOOGLETRANSLATE(C2352, ""en"", ""ja""))"),"セイコー SRPE35 プロスペックス メンズ 腕時計 シルバートーン 44mm ステンレススチール")</f>
        <v>セイコー SRPE35 プロスペックス メンズ 腕時計 シルバートーン 44mm ステンレススチール</v>
      </c>
    </row>
    <row r="2353" ht="15.75" customHeight="1">
      <c r="A2353" s="1">
        <v>4040.0</v>
      </c>
      <c r="B2353" s="1" t="s">
        <v>15</v>
      </c>
      <c r="C2353" s="1" t="s">
        <v>2242</v>
      </c>
      <c r="D2353" s="1" t="str">
        <f>IFERROR(__xludf.DUMMYFUNCTION("CONCATENATE(GOOGLETRANSLATE(C2353, ""en"", ""zh-cn""))"),"LUXURMAN Iced Out 男士钻石自由手表 1.25 克拉镀黄金")</f>
        <v>LUXURMAN Iced Out 男士钻石自由手表 1.25 克拉镀黄金</v>
      </c>
      <c r="E2353" s="1" t="str">
        <f>IFERROR(__xludf.DUMMYFUNCTION("CONCATENATE(GOOGLETRANSLATE(C2353, ""en"", ""ko""))"),"LUXURMAN 아이스 아웃 남성용 다이아몬드 리버티 시계 1.25ct 옐로우 골드 도금")</f>
        <v>LUXURMAN 아이스 아웃 남성용 다이아몬드 리버티 시계 1.25ct 옐로우 골드 도금</v>
      </c>
      <c r="F2353" s="1" t="str">
        <f>IFERROR(__xludf.DUMMYFUNCTION("CONCATENATE(GOOGLETRANSLATE(C2353, ""en"", ""ja""))"),"LUXURMAN アイスアウト メンズ ダイヤモンド リバティ ウォッ​​チ 1.25ct イエロー ゴールド メッキ")</f>
        <v>LUXURMAN アイスアウト メンズ ダイヤモンド リバティ ウォッ​​チ 1.25ct イエロー ゴールド メッキ</v>
      </c>
    </row>
    <row r="2354" ht="15.75" customHeight="1">
      <c r="A2354" s="1">
        <v>4054.0</v>
      </c>
      <c r="B2354" s="1" t="s">
        <v>15</v>
      </c>
      <c r="C2354" s="1" t="s">
        <v>2243</v>
      </c>
      <c r="D2354" s="1" t="str">
        <f>IFERROR(__xludf.DUMMYFUNCTION("CONCATENATE(GOOGLETRANSLATE(C2354, ""en"", ""zh-cn""))"),"JSeiko Prospex SSC757J1 Chrono Diver 200m Solar")</f>
        <v>JSeiko Prospex SSC757J1 Chrono Diver 200m Solar</v>
      </c>
      <c r="E2354" s="1" t="str">
        <f>IFERROR(__xludf.DUMMYFUNCTION("CONCATENATE(GOOGLETRANSLATE(C2354, ""en"", ""ko""))"),"JSeiko Prospex SSC757J1 크로노 다이버의 200m 태양광")</f>
        <v>JSeiko Prospex SSC757J1 크로노 다이버의 200m 태양광</v>
      </c>
      <c r="F2354" s="1" t="str">
        <f>IFERROR(__xludf.DUMMYFUNCTION("CONCATENATE(GOOGLETRANSLATE(C2354, ""en"", ""ja""))"),"Jセイコー プロスペックス SSC757J1 クロノダイバーズ 200m ソーラー")</f>
        <v>Jセイコー プロスペックス SSC757J1 クロノダイバーズ 200m ソーラー</v>
      </c>
    </row>
    <row r="2355" ht="15.75" customHeight="1">
      <c r="A2355" s="1">
        <v>4056.0</v>
      </c>
      <c r="B2355" s="1" t="s">
        <v>15</v>
      </c>
      <c r="C2355" s="1" t="s">
        <v>2244</v>
      </c>
      <c r="D2355" s="1" t="str">
        <f>IFERROR(__xludf.DUMMYFUNCTION("CONCATENATE(GOOGLETRANSLATE(C2355, ""en"", ""zh-cn""))"),"SEIKO Prospex 太阳能模拟数字潜水表限量版 40 周年 SNJ037，黑色")</f>
        <v>SEIKO Prospex 太阳能模拟数字潜水表限量版 40 周年 SNJ037，黑色</v>
      </c>
      <c r="E2355" s="1" t="str">
        <f>IFERROR(__xludf.DUMMYFUNCTION("CONCATENATE(GOOGLETRANSLATE(C2355, ""en"", ""ko""))"),"세이코 프로스펙스 솔라 아날로그-디지털 다이버 시계 한정판 40주년 SNJ037, 블랙")</f>
        <v>세이코 프로스펙스 솔라 아날로그-디지털 다이버 시계 한정판 40주년 SNJ037, 블랙</v>
      </c>
      <c r="F2355" s="1" t="str">
        <f>IFERROR(__xludf.DUMMYFUNCTION("CONCATENATE(GOOGLETRANSLATE(C2355, ""en"", ""ja""))"),"セイコー プロスペックス ソーラーアナデジ ダイバーズウォッチ 40周年記念限定モデル SNJ037 ブラック")</f>
        <v>セイコー プロスペックス ソーラーアナデジ ダイバーズウォッチ 40周年記念限定モデル SNJ037 ブラック</v>
      </c>
    </row>
    <row r="2356" ht="15.75" customHeight="1">
      <c r="A2356" s="1">
        <v>4087.0</v>
      </c>
      <c r="B2356" s="1" t="s">
        <v>15</v>
      </c>
      <c r="C2356" s="1" t="s">
        <v>2245</v>
      </c>
      <c r="D2356" s="1" t="str">
        <f>IFERROR(__xludf.DUMMYFUNCTION("CONCATENATE(GOOGLETRANSLATE(C2356, ""en"", ""zh-cn""))"),"精工Prospex")</f>
        <v>精工Prospex</v>
      </c>
      <c r="E2356" s="1" t="str">
        <f>IFERROR(__xludf.DUMMYFUNCTION("CONCATENATE(GOOGLETRANSLATE(C2356, ""en"", ""ko""))"),"세이코 프로스펙스")</f>
        <v>세이코 프로스펙스</v>
      </c>
      <c r="F2356" s="1" t="str">
        <f>IFERROR(__xludf.DUMMYFUNCTION("CONCATENATE(GOOGLETRANSLATE(C2356, ""en"", ""ja""))"),"セイコー プロスペックス")</f>
        <v>セイコー プロスペックス</v>
      </c>
    </row>
    <row r="2357" ht="15.75" customHeight="1">
      <c r="A2357" s="1">
        <v>4096.0</v>
      </c>
      <c r="B2357" s="1" t="s">
        <v>15</v>
      </c>
      <c r="C2357" s="1" t="s">
        <v>2246</v>
      </c>
      <c r="D2357" s="1" t="str">
        <f>IFERROR(__xludf.DUMMYFUNCTION("CONCATENATE(GOOGLETRANSLATE(C2357, ""en"", ""zh-cn""))"),"KUOE Old Smith 90-002 无日期，自动 NH38 机芯，象牙色，含替换皮带，35 毫米表壳")</f>
        <v>KUOE Old Smith 90-002 无日期，自动 NH38 机芯，象牙色，含替换皮带，35 毫米表壳</v>
      </c>
      <c r="E2357" s="1" t="str">
        <f>IFERROR(__xludf.DUMMYFUNCTION("CONCATENATE(GOOGLETRANSLATE(C2357, ""en"", ""ko""))"),"KUOE Old Smith 90-002 날짜 없음, 자동 NH38 무브먼트, 아이보리, 교체용 벨트 포함, 35mm 케이스")</f>
        <v>KUOE Old Smith 90-002 날짜 없음, 자동 NH38 무브먼트, 아이보리, 교체용 벨트 포함, 35mm 케이스</v>
      </c>
      <c r="F2357" s="1" t="str">
        <f>IFERROR(__xludf.DUMMYFUNCTION("CONCATENATE(GOOGLETRANSLATE(C2357, ""en"", ""ja""))"),"KUOE オールドスミス 90-002 ノーデイト、自動巻きNH38ムーブメント、アイボリー、替えベルト付属、35mmケース")</f>
        <v>KUOE オールドスミス 90-002 ノーデイト、自動巻きNH38ムーブメント、アイボリー、替えベルト付属、35mmケース</v>
      </c>
    </row>
    <row r="2358" ht="15.75" customHeight="1">
      <c r="A2358" s="1">
        <v>4106.0</v>
      </c>
      <c r="B2358" s="1" t="s">
        <v>15</v>
      </c>
      <c r="C2358" s="1" t="s">
        <v>2247</v>
      </c>
      <c r="D2358" s="1" t="str">
        <f>IFERROR(__xludf.DUMMYFUNCTION("CONCATENATE(GOOGLETRANSLATE(C2358, ""en"", ""zh-cn""))"),"精工海龟王 SRPD43")</f>
        <v>精工海龟王 SRPD43</v>
      </c>
      <c r="E2358" s="1" t="str">
        <f>IFERROR(__xludf.DUMMYFUNCTION("CONCATENATE(GOOGLETRANSLATE(C2358, ""en"", ""ko""))"),"세이코 킹 터틀 SRPD43")</f>
        <v>세이코 킹 터틀 SRPD43</v>
      </c>
      <c r="F2358" s="1" t="str">
        <f>IFERROR(__xludf.DUMMYFUNCTION("CONCATENATE(GOOGLETRANSLATE(C2358, ""en"", ""ja""))"),"セイコー キングタートル SRPD43")</f>
        <v>セイコー キングタートル SRPD43</v>
      </c>
    </row>
    <row r="2359" ht="15.75" customHeight="1">
      <c r="A2359" s="1">
        <v>4108.0</v>
      </c>
      <c r="B2359" s="1" t="s">
        <v>15</v>
      </c>
      <c r="C2359" s="1" t="s">
        <v>2248</v>
      </c>
      <c r="D2359" s="1" t="str">
        <f>IFERROR(__xludf.DUMMYFUNCTION("CONCATENATE(GOOGLETRANSLATE(C2359, ""en"", ""zh-cn""))"),"卡西欧 G-Shock GST-B300WLP-1AJR Love The Sea and The Earth (日本国内正品)")</f>
        <v>卡西欧 G-Shock GST-B300WLP-1AJR Love The Sea and The Earth (日本国内正品)</v>
      </c>
      <c r="E2359" s="1" t="str">
        <f>IFERROR(__xludf.DUMMYFUNCTION("CONCATENATE(GOOGLETRANSLATE(C2359, ""en"", ""ko""))"),"카시오 G-Shock GST-B300WLP-1AJR Love The Sea and The Earth (일본 국내 정품 제품)")</f>
        <v>카시오 G-Shock GST-B300WLP-1AJR Love The Sea and The Earth (일본 국내 정품 제품)</v>
      </c>
      <c r="F2359" s="1" t="str">
        <f>IFERROR(__xludf.DUMMYFUNCTION("CONCATENATE(GOOGLETRANSLATE(C2359, ""en"", ""ja""))"),"カシオ G-SHOCK GST-B300WLP-1AJR 海と大地を愛して (日本国内正規品)")</f>
        <v>カシオ G-SHOCK GST-B300WLP-1AJR 海と大地を愛して (日本国内正規品)</v>
      </c>
    </row>
    <row r="2360" ht="15.75" customHeight="1">
      <c r="A2360" s="1">
        <v>4110.0</v>
      </c>
      <c r="B2360" s="1" t="s">
        <v>15</v>
      </c>
      <c r="C2360" s="1" t="s">
        <v>2249</v>
      </c>
      <c r="D2360" s="1" t="str">
        <f>IFERROR(__xludf.DUMMYFUNCTION("CONCATENATE(GOOGLETRANSLATE(C2360, ""en"", ""zh-cn""))"),"施华洛世奇蝙蝠侠")</f>
        <v>施华洛世奇蝙蝠侠</v>
      </c>
      <c r="E2360" s="1" t="str">
        <f>IFERROR(__xludf.DUMMYFUNCTION("CONCATENATE(GOOGLETRANSLATE(C2360, ""en"", ""ko""))"),"스와로브스키 배트맨")</f>
        <v>스와로브스키 배트맨</v>
      </c>
      <c r="F2360" s="1" t="str">
        <f>IFERROR(__xludf.DUMMYFUNCTION("CONCATENATE(GOOGLETRANSLATE(C2360, ""en"", ""ja""))"),"スワロフスキー バットマン")</f>
        <v>スワロフスキー バットマン</v>
      </c>
    </row>
    <row r="2361" ht="15.75" customHeight="1">
      <c r="A2361" s="1">
        <v>4114.0</v>
      </c>
      <c r="B2361" s="1" t="s">
        <v>15</v>
      </c>
      <c r="C2361" s="1" t="s">
        <v>2250</v>
      </c>
      <c r="D2361" s="1" t="str">
        <f>IFERROR(__xludf.DUMMYFUNCTION("CONCATENATE(GOOGLETRANSLATE(C2361, ""en"", ""zh-cn""))"),"Luminox 海军海豹突击队 3502.L 腕表 | 45毫米")</f>
        <v>Luminox 海军海豹突击队 3502.L 腕表 | 45毫米</v>
      </c>
      <c r="E2361" s="1" t="str">
        <f>IFERROR(__xludf.DUMMYFUNCTION("CONCATENATE(GOOGLETRANSLATE(C2361, ""en"", ""ko""))"),"Luminox Navy Seal 3502.L 손목시계 | 45mm")</f>
        <v>Luminox Navy Seal 3502.L 손목시계 | 45mm</v>
      </c>
      <c r="F2361" s="1" t="str">
        <f>IFERROR(__xludf.DUMMYFUNCTION("CONCATENATE(GOOGLETRANSLATE(C2361, ""en"", ""ja""))"),"ルミノックス ネイビー シール 3502.L 腕時計 | 45mm")</f>
        <v>ルミノックス ネイビー シール 3502.L 腕時計 | 45mm</v>
      </c>
    </row>
    <row r="2362" ht="15.75" customHeight="1">
      <c r="A2362" s="1">
        <v>4121.0</v>
      </c>
      <c r="B2362" s="1" t="s">
        <v>15</v>
      </c>
      <c r="C2362" s="1" t="s">
        <v>2251</v>
      </c>
      <c r="D2362" s="1" t="str">
        <f>IFERROR(__xludf.DUMMYFUNCTION("CONCATENATE(GOOGLETRANSLATE(C2362, ""en"", ""zh-cn""))"),"Luminox G 海狮男士手表 - 军用手表日期功能 100 米防水 - 不同款式")</f>
        <v>Luminox G 海狮男士手表 - 军用手表日期功能 100 米防水 - 不同款式</v>
      </c>
      <c r="E2362" s="1" t="str">
        <f>IFERROR(__xludf.DUMMYFUNCTION("CONCATENATE(GOOGLETRANSLATE(C2362, ""en"", ""ko""))"),"Luminox G Sea Lion 남성용 시계 - 군용 시계 날짜 기능 100m 방수 - 다양한 변형")</f>
        <v>Luminox G Sea Lion 남성용 시계 - 군용 시계 날짜 기능 100m 방수 - 다양한 변형</v>
      </c>
      <c r="F2362" s="1" t="str">
        <f>IFERROR(__xludf.DUMMYFUNCTION("CONCATENATE(GOOGLETRANSLATE(C2362, ""en"", ""ja""))"),"ルミノックス G シーライオン メンズ ウォッチ - ミリタリーウォッチ 日付機能 100m 防水 - さまざまなバリエーション")</f>
        <v>ルミノックス G シーライオン メンズ ウォッチ - ミリタリーウォッチ 日付機能 100m 防水 - さまざまなバリエーション</v>
      </c>
    </row>
    <row r="2363" ht="15.75" customHeight="1">
      <c r="A2363" s="1">
        <v>4134.0</v>
      </c>
      <c r="B2363" s="1" t="s">
        <v>15</v>
      </c>
      <c r="C2363" s="1" t="s">
        <v>2252</v>
      </c>
      <c r="D2363" s="1" t="str">
        <f>IFERROR(__xludf.DUMMYFUNCTION("CONCATENATE(GOOGLETRANSLATE(C2363, ""en"", ""zh-cn""))"),"Luminox Bear Grylls Survival XB.3723 男士手表 42 毫米 - 黑色军用手表日期功能 200m 防水")</f>
        <v>Luminox Bear Grylls Survival XB.3723 男士手表 42 毫米 - 黑色军用手表日期功能 200m 防水</v>
      </c>
      <c r="E2363" s="1" t="str">
        <f>IFERROR(__xludf.DUMMYFUNCTION("CONCATENATE(GOOGLETRANSLATE(C2363, ""en"", ""ko""))"),"Luminox Bear Grylls Survival XB.3723 남성용 시계 42mm - 블랙 날짜 기능 200m 방수 군용 시계")</f>
        <v>Luminox Bear Grylls Survival XB.3723 남성용 시계 42mm - 블랙 날짜 기능 200m 방수 군용 시계</v>
      </c>
      <c r="F2363" s="1" t="str">
        <f>IFERROR(__xludf.DUMMYFUNCTION("CONCATENATE(GOOGLETRANSLATE(C2363, ""en"", ""ja""))"),"ルミノックス ベア グリルズ サバイバル XB.3723 メンズ ウォッチ 42mm - ミリタリー ウォッチ ブラック 日付機能 200m 防水")</f>
        <v>ルミノックス ベア グリルズ サバイバル XB.3723 メンズ ウォッチ 42mm - ミリタリー ウォッチ ブラック 日付機能 200m 防水</v>
      </c>
    </row>
    <row r="2364" ht="15.75" customHeight="1">
      <c r="A2364" s="1">
        <v>4135.0</v>
      </c>
      <c r="B2364" s="1" t="s">
        <v>15</v>
      </c>
      <c r="C2364" s="1" t="s">
        <v>2253</v>
      </c>
      <c r="D2364" s="1" t="str">
        <f>IFERROR(__xludf.DUMMYFUNCTION("CONCATENATE(GOOGLETRANSLATE(C2364, ""en"", ""zh-cn""))"),"SEIKO 男士 SSG010 COUTURA 模拟显示日本石英两音手表")</f>
        <v>SEIKO 男士 SSG010 COUTURA 模拟显示日本石英两音手表</v>
      </c>
      <c r="E2364" s="1" t="str">
        <f>IFERROR(__xludf.DUMMYFUNCTION("CONCATENATE(GOOGLETRANSLATE(C2364, ""en"", ""ko""))"),"SEIKO 남성용 SSG010 COUTURA 아날로그 디스플레이 일본 쿼츠 투톤 시계")</f>
        <v>SEIKO 남성용 SSG010 COUTURA 아날로그 디스플레이 일본 쿼츠 투톤 시계</v>
      </c>
      <c r="F2364" s="1" t="str">
        <f>IFERROR(__xludf.DUMMYFUNCTION("CONCATENATE(GOOGLETRANSLATE(C2364, ""en"", ""ja""))"),"セイコー メンズ SSG010 COUTURA アナログディスプレイ 日本製クォーツ ツートンウォッチ")</f>
        <v>セイコー メンズ SSG010 COUTURA アナログディスプレイ 日本製クォーツ ツートンウォッチ</v>
      </c>
    </row>
    <row r="2365" ht="15.75" customHeight="1">
      <c r="A2365" s="1">
        <v>4152.0</v>
      </c>
      <c r="B2365" s="1" t="s">
        <v>15</v>
      </c>
      <c r="C2365" s="1" t="s">
        <v>2254</v>
      </c>
      <c r="D2365" s="1" t="str">
        <f>IFERROR(__xludf.DUMMYFUNCTION("CONCATENATE(GOOGLETRANSLATE(C2365, ""en"", ""zh-cn""))"),"BOSS 男士石英手表，带不锈钢表带，两色，22（型号：1513767）")</f>
        <v>BOSS 男士石英手表，带不锈钢表带，两色，22（型号：1513767）</v>
      </c>
      <c r="E2365" s="1" t="str">
        <f>IFERROR(__xludf.DUMMYFUNCTION("CONCATENATE(GOOGLETRANSLATE(C2365, ""en"", ""ko""))"),"BOSS 남성용 쿼츠 시계, 스테인리스 스틸 스트랩, 투톤, 22(모델: 1513767)")</f>
        <v>BOSS 남성용 쿼츠 시계, 스테인리스 스틸 스트랩, 투톤, 22(모델: 1513767)</v>
      </c>
      <c r="F2365" s="1" t="str">
        <f>IFERROR(__xludf.DUMMYFUNCTION("CONCATENATE(GOOGLETRANSLATE(C2365, ""en"", ""ja""))"),"BOSS メンズ クォーツ時計 ステンレススチールストラップ付き ツートーン 22 (モデル: 1513767)")</f>
        <v>BOSS メンズ クォーツ時計 ステンレススチールストラップ付き ツートーン 22 (モデル: 1513767)</v>
      </c>
    </row>
    <row r="2366" ht="15.75" customHeight="1">
      <c r="A2366" s="1">
        <v>4161.0</v>
      </c>
      <c r="B2366" s="1" t="s">
        <v>15</v>
      </c>
      <c r="C2366" s="1" t="s">
        <v>2255</v>
      </c>
      <c r="D2366" s="1" t="str">
        <f>IFERROR(__xludf.DUMMYFUNCTION("CONCATENATE(GOOGLETRANSLATE(C2366, ""en"", ""zh-cn""))"),"LUMINOX 黑色 OPS 8880 系列 8895 男士手表")</f>
        <v>LUMINOX 黑色 OPS 8880 系列 8895 男士手表</v>
      </c>
      <c r="E2366" s="1" t="str">
        <f>IFERROR(__xludf.DUMMYFUNCTION("CONCATENATE(GOOGLETRANSLATE(C2366, ""en"", ""ko""))"),"LUMINOX 블랙 OPS 8880 시리즈 8895 남성용 시계")</f>
        <v>LUMINOX 블랙 OPS 8880 시리즈 8895 남성용 시계</v>
      </c>
      <c r="F2366" s="1" t="str">
        <f>IFERROR(__xludf.DUMMYFUNCTION("CONCATENATE(GOOGLETRANSLATE(C2366, ""en"", ""ja""))"),"LUMINOX ブラック OPS 8880 シリーズ 8895 メンズ腕時計")</f>
        <v>LUMINOX ブラック OPS 8880 シリーズ 8895 メンズ腕時計</v>
      </c>
    </row>
    <row r="2367" ht="15.75" customHeight="1">
      <c r="A2367" s="1">
        <v>4173.0</v>
      </c>
      <c r="B2367" s="1" t="s">
        <v>15</v>
      </c>
      <c r="C2367" s="1" t="s">
        <v>2256</v>
      </c>
      <c r="D2367" s="1" t="str">
        <f>IFERROR(__xludf.DUMMYFUNCTION("CONCATENATE(GOOGLETRANSLATE(C2367, ""en"", ""zh-cn""))"),"FEICE 男士手表包豪斯自动手表不锈钢机械手表腕表男士休闲正装手表带皮革表带日期 -FM121")</f>
        <v>FEICE 男士手表包豪斯自动手表不锈钢机械手表腕表男士休闲正装手表带皮革表带日期 -FM121</v>
      </c>
      <c r="E2367" s="1" t="str">
        <f>IFERROR(__xludf.DUMMYFUNCTION("CONCATENATE(GOOGLETRANSLATE(C2367, ""en"", ""ko""))"),"FEICE 남성용 시계 바우하우스 자동 시계 스테인레스 스틸 기계식 시계 손목 시계 가죽 밴드가 있는 남성용 캐주얼 드레스 시계 날짜 -FM121")</f>
        <v>FEICE 남성용 시계 바우하우스 자동 시계 스테인레스 스틸 기계식 시계 손목 시계 가죽 밴드가 있는 남성용 캐주얼 드레스 시계 날짜 -FM121</v>
      </c>
      <c r="F2367" s="1" t="str">
        <f>IFERROR(__xludf.DUMMYFUNCTION("CONCATENATE(GOOGLETRANSLATE(C2367, ""en"", ""ja""))"),"FEICE メンズ腕時計 バウハウス 自動巻き ステンレススチール 機械式腕時計 腕時計 カジュアル ドレスウォッチ メンズ レザーバンド付き 日付付き -FM121")</f>
        <v>FEICE メンズ腕時計 バウハウス 自動巻き ステンレススチール 機械式腕時計 腕時計 カジュアル ドレスウォッチ メンズ レザーバンド付き 日付付き -FM121</v>
      </c>
    </row>
    <row r="2368" ht="15.75" customHeight="1">
      <c r="A2368" s="1">
        <v>4180.0</v>
      </c>
      <c r="B2368" s="1" t="s">
        <v>15</v>
      </c>
      <c r="C2368" s="1" t="s">
        <v>2257</v>
      </c>
      <c r="D2368" s="1" t="str">
        <f>IFERROR(__xludf.DUMMYFUNCTION("CONCATENATE(GOOGLETRANSLATE(C2368, ""en"", ""zh-cn""))"),"Apple Watch SE（第 2 代）（GPS + 蜂窝网络，40 毫米）- 星光铝制表壳搭配星光运动表带（更新）")</f>
        <v>Apple Watch SE（第 2 代）（GPS + 蜂窝网络，40 毫米）- 星光铝制表壳搭配星光运动表带（更新）</v>
      </c>
      <c r="E2368" s="1" t="str">
        <f>IFERROR(__xludf.DUMMYFUNCTION("CONCATENATE(GOOGLETRANSLATE(C2368, ""en"", ""ko""))"),"Apple Watch SE(2세대)(GPS + Cellular, 40MM) - Starlight 스포츠 밴드가 포함된 Starlight 알루미늄 케이스(리뉴얼)")</f>
        <v>Apple Watch SE(2세대)(GPS + Cellular, 40MM) - Starlight 스포츠 밴드가 포함된 Starlight 알루미늄 케이스(리뉴얼)</v>
      </c>
      <c r="F2368" s="1" t="str">
        <f>IFERROR(__xludf.DUMMYFUNCTION("CONCATENATE(GOOGLETRANSLATE(C2368, ""en"", ""ja""))"),"Apple Watch SE (第 2 世代) (GPS + Cellular、40MM) - スターライトアルミニウムケースとスターライトスポーツバンド (リニューアル)")</f>
        <v>Apple Watch SE (第 2 世代) (GPS + Cellular、40MM) - スターライトアルミニウムケースとスターライトスポーツバンド (リニューアル)</v>
      </c>
    </row>
    <row r="2369" ht="15.75" customHeight="1">
      <c r="A2369" s="1">
        <v>4181.0</v>
      </c>
      <c r="B2369" s="1" t="s">
        <v>15</v>
      </c>
      <c r="C2369" s="1" t="s">
        <v>2258</v>
      </c>
      <c r="D2369" s="1" t="str">
        <f>IFERROR(__xludf.DUMMYFUNCTION("CONCATENATE(GOOGLETRANSLATE(C2369, ""en"", ""zh-cn""))"),"Luminox 海豹突击队系列模拟石英男士手表 (3003)")</f>
        <v>Luminox 海豹突击队系列模拟石英男士手表 (3003)</v>
      </c>
      <c r="E2369" s="1" t="str">
        <f>IFERROR(__xludf.DUMMYFUNCTION("CONCATENATE(GOOGLETRANSLATE(C2369, ""en"", ""ko""))"),"Luminox Navy Seal 시리즈 아날로그 쿼츠 남성용 시계 (3003)")</f>
        <v>Luminox Navy Seal 시리즈 아날로그 쿼츠 남성용 시계 (3003)</v>
      </c>
      <c r="F2369" s="1" t="str">
        <f>IFERROR(__xludf.DUMMYFUNCTION("CONCATENATE(GOOGLETRANSLATE(C2369, ""en"", ""ja""))"),"ルミノックス ネイビー シール シリーズ アナログ クォーツ メンズ ウォッチ (3003)")</f>
        <v>ルミノックス ネイビー シール シリーズ アナログ クォーツ メンズ ウォッチ (3003)</v>
      </c>
    </row>
    <row r="2370" ht="15.75" customHeight="1">
      <c r="A2370" s="1">
        <v>4189.0</v>
      </c>
      <c r="B2370" s="1" t="s">
        <v>15</v>
      </c>
      <c r="C2370" s="1" t="s">
        <v>2259</v>
      </c>
      <c r="D2370" s="1" t="str">
        <f>IFERROR(__xludf.DUMMYFUNCTION("CONCATENATE(GOOGLETRANSLATE(C2370, ""en"", ""zh-cn""))"),"Luminox 男女海军海豹腕表黑色（XS.0301/0300 系列）：100 米防水 + 轻质表壳 + 硬化矿物玻璃")</f>
        <v>Luminox 男女海军海豹腕表黑色（XS.0301/0300 系列）：100 米防水 + 轻质表壳 + 硬化矿物玻璃</v>
      </c>
      <c r="E2370" s="1" t="str">
        <f>IFERROR(__xludf.DUMMYFUNCTION("CONCATENATE(GOOGLETRANSLATE(C2370, ""en"", ""ko""))"),"Luminox Navy Seal 시계 남성용 및 여성용 블랙(XS.0301/0300 시리즈): 100미터 방수 + 경량 케이스 + 경화 미네랄 유리")</f>
        <v>Luminox Navy Seal 시계 남성용 및 여성용 블랙(XS.0301/0300 시리즈): 100미터 방수 + 경량 케이스 + 경화 미네랄 유리</v>
      </c>
      <c r="F2370" s="1" t="str">
        <f>IFERROR(__xludf.DUMMYFUNCTION("CONCATENATE(GOOGLETRANSLATE(C2370, ""en"", ""ja""))"),"ルミノックス ネイビー シール ウォッチ メンズ レディース ブラック (XS.0301/0300 シリーズ): 100 メートル防水 + 軽量ケース + 硬化ミネラルガラス")</f>
        <v>ルミノックス ネイビー シール ウォッチ メンズ レディース ブラック (XS.0301/0300 シリーズ): 100 メートル防水 + 軽量ケース + 硬化ミネラルガラス</v>
      </c>
    </row>
    <row r="2371" ht="15.75" customHeight="1">
      <c r="A2371" s="1">
        <v>4194.0</v>
      </c>
      <c r="B2371" s="1" t="s">
        <v>15</v>
      </c>
      <c r="C2371" s="1" t="s">
        <v>2260</v>
      </c>
      <c r="D2371" s="1" t="str">
        <f>IFERROR(__xludf.DUMMYFUNCTION("CONCATENATE(GOOGLETRANSLATE(C2371, ""en"", ""zh-cn""))"),"Timex Metropolitan R AMOLED 智能手表，带 GPS 和心率功能 42 毫米 – 黑色，配棕色皮革和硅胶表带")</f>
        <v>Timex Metropolitan R AMOLED 智能手表，带 GPS 和心率功能 42 毫米 – 黑色，配棕色皮革和硅胶表带</v>
      </c>
      <c r="E2371" s="1" t="str">
        <f>IFERROR(__xludf.DUMMYFUNCTION("CONCATENATE(GOOGLETRANSLATE(C2371, ""en"", ""ko""))"),"GPS 및 심박수 42mm를 갖춘 Timex Metropolitan R AMOLED 스마트워치 - 브라운 가죽 및 실리콘 스트랩이 있는 블랙")</f>
        <v>GPS 및 심박수 42mm를 갖춘 Timex Metropolitan R AMOLED 스마트워치 - 브라운 가죽 및 실리콘 스트랩이 있는 블랙</v>
      </c>
      <c r="F2371" s="1" t="str">
        <f>IFERROR(__xludf.DUMMYFUNCTION("CONCATENATE(GOOGLETRANSLATE(C2371, ""en"", ""ja""))"),"Timex メトロポリタン R AMOLED スマートウォッチ GPS および心拍数 42mm – ブラック、ブラウン レザー &amp; シリコン ストラップ")</f>
        <v>Timex メトロポリタン R AMOLED スマートウォッチ GPS および心拍数 42mm – ブラック、ブラウン レザー &amp; シリコン ストラップ</v>
      </c>
    </row>
    <row r="2372" ht="15.75" customHeight="1">
      <c r="A2372" s="1">
        <v>4198.0</v>
      </c>
      <c r="B2372" s="1" t="s">
        <v>15</v>
      </c>
      <c r="C2372" s="1" t="s">
        <v>2261</v>
      </c>
      <c r="D2372" s="1" t="str">
        <f>IFERROR(__xludf.DUMMYFUNCTION("CONCATENATE(GOOGLETRANSLATE(C2372, ""en"", ""zh-cn""))"),"HUGO #Chase 男士多功能不锈钢皮表带休闲手表，颜色：棕色（型号：1530162）")</f>
        <v>HUGO #Chase 男士多功能不锈钢皮表带休闲手表，颜色：棕色（型号：1530162）</v>
      </c>
      <c r="E2372" s="1" t="str">
        <f>IFERROR(__xludf.DUMMYFUNCTION("CONCATENATE(GOOGLETRANSLATE(C2372, ""en"", ""ko""))"),"HUGO #Chase 남성용 다기능 스테인리스 스틸 및 가죽 스트랩 캐주얼 시계, 색상: 브라운(모델: 1530162)")</f>
        <v>HUGO #Chase 남성용 다기능 스테인리스 스틸 및 가죽 스트랩 캐주얼 시계, 색상: 브라운(모델: 1530162)</v>
      </c>
      <c r="F2372" s="1" t="str">
        <f>IFERROR(__xludf.DUMMYFUNCTION("CONCATENATE(GOOGLETRANSLATE(C2372, ""en"", ""ja""))"),"HUGO #Chase メンズ多機能ステンレススチールとレザーストラップカジュアルウォッチ、カラー: ブラウン (モデル: 1530162)")</f>
        <v>HUGO #Chase メンズ多機能ステンレススチールとレザーストラップカジュアルウォッチ、カラー: ブラウン (モデル: 1530162)</v>
      </c>
    </row>
    <row r="2373" ht="15.75" customHeight="1">
      <c r="A2373" s="1">
        <v>4200.0</v>
      </c>
      <c r="B2373" s="1" t="s">
        <v>15</v>
      </c>
      <c r="C2373" s="1" t="s">
        <v>2262</v>
      </c>
      <c r="D2373" s="1" t="str">
        <f>IFERROR(__xludf.DUMMYFUNCTION("CONCATENATE(GOOGLETRANSLATE(C2373, ""en"", ""zh-cn""))"),"SRPD63 Seiko 5 运动男士手表银色 42.5 毫米不锈钢")</f>
        <v>SRPD63 Seiko 5 运动男士手表银色 42.5 毫米不锈钢</v>
      </c>
      <c r="E2373" s="1" t="str">
        <f>IFERROR(__xludf.DUMMYFUNCTION("CONCATENATE(GOOGLETRANSLATE(C2373, ""en"", ""ko""))"),"SRPD63 세이코 5 스포츠 남성용 시계 실버톤 42.5mm 스테인리스 스틸")</f>
        <v>SRPD63 세이코 5 스포츠 남성용 시계 실버톤 42.5mm 스테인리스 스틸</v>
      </c>
      <c r="F2373" s="1" t="str">
        <f>IFERROR(__xludf.DUMMYFUNCTION("CONCATENATE(GOOGLETRANSLATE(C2373, ""en"", ""ja""))"),"SRPD63 セイコー 5 スポーツ メンズ ウォッチ シルバートーン 42.5mm ステンレススチール")</f>
        <v>SRPD63 セイコー 5 スポーツ メンズ ウォッチ シルバートーン 42.5mm ステンレススチール</v>
      </c>
    </row>
    <row r="2374" ht="15.75" customHeight="1">
      <c r="A2374" s="1">
        <v>4202.0</v>
      </c>
      <c r="B2374" s="1" t="s">
        <v>15</v>
      </c>
      <c r="C2374" s="1" t="s">
        <v>2263</v>
      </c>
      <c r="D2374" s="1" t="str">
        <f>IFERROR(__xludf.DUMMYFUNCTION("CONCATENATE(GOOGLETRANSLATE(C2374, ""en"", ""zh-cn""))"),"Luminox 男士海军海豹腕表灰色显示屏（XL.8882.F/8880 系列）：200 米防水 + 蓝宝石水晶 + 恒定夜间可视性")</f>
        <v>Luminox 男士海军海豹腕表灰色显示屏（XL.8882.F/8880 系列）：200 米防水 + 蓝宝石水晶 + 恒定夜间可视性</v>
      </c>
      <c r="E2374" s="1" t="str">
        <f>IFERROR(__xludf.DUMMYFUNCTION("CONCATENATE(GOOGLETRANSLATE(C2374, ""en"", ""ko""))"),"남성용 Luminox Navy Seal 시계 그레이 디스플레이(XL.8882.F/ 8880 시리즈): 200미터 방수 + 사파이어 크리스탈 + 지속적인 야간 가시성")</f>
        <v>남성용 Luminox Navy Seal 시계 그레이 디스플레이(XL.8882.F/ 8880 시리즈): 200미터 방수 + 사파이어 크리스탈 + 지속적인 야간 가시성</v>
      </c>
      <c r="F2374" s="1" t="str">
        <f>IFERROR(__xludf.DUMMYFUNCTION("CONCATENATE(GOOGLETRANSLATE(C2374, ""en"", ""ja""))"),"ルミノックス ネイビー シール ウォッチ メンズ グレー ディスプレイ (XL.8882.F/ 8880 シリーズ): 200 メートル防水 + サファイア クリスタル + 夜間の常時視認性")</f>
        <v>ルミノックス ネイビー シール ウォッチ メンズ グレー ディスプレイ (XL.8882.F/ 8880 シリーズ): 200 メートル防水 + サファイア クリスタル + 夜間の常時視認性</v>
      </c>
    </row>
    <row r="2375" ht="15.75" customHeight="1">
      <c r="A2375" s="1">
        <v>4227.0</v>
      </c>
      <c r="B2375" s="1" t="s">
        <v>15</v>
      </c>
      <c r="C2375" s="1" t="s">
        <v>2264</v>
      </c>
      <c r="D2375" s="1" t="str">
        <f>IFERROR(__xludf.DUMMYFUNCTION("CONCATENATE(GOOGLETRANSLATE(C2375, ""en"", ""zh-cn""))"),"卡西欧 G-Shock GM-S5600MF [G-Shock Midnight Fog 系列] 手表 日本发货 2022 年 2 月发售")</f>
        <v>卡西欧 G-Shock GM-S5600MF [G-Shock Midnight Fog 系列] 手表 日本发货 2022 年 2 月发售</v>
      </c>
      <c r="E2375" s="1" t="str">
        <f>IFERROR(__xludf.DUMMYFUNCTION("CONCATENATE(GOOGLETRANSLATE(C2375, ""en"", ""ko""))"),"Casio G-Shock GM-S5600MF [G-Shock Midnight Fog Series] 시계 일본에서 출시, 2022년 2월 출시")</f>
        <v>Casio G-Shock GM-S5600MF [G-Shock Midnight Fog Series] 시계 일본에서 출시, 2022년 2월 출시</v>
      </c>
      <c r="F2375" s="1" t="str">
        <f>IFERROR(__xludf.DUMMYFUNCTION("CONCATENATE(GOOGLETRANSLATE(C2375, ""en"", ""ja""))"),"カシオ Gショック GM-S5600MF [Gショック ミッドナイトフォグシリーズ] 腕時計 日本発送 2022年2月発売")</f>
        <v>カシオ Gショック GM-S5600MF [Gショック ミッドナイトフォグシリーズ] 腕時計 日本発送 2022年2月発売</v>
      </c>
    </row>
    <row r="2376" ht="15.75" customHeight="1">
      <c r="A2376" s="1">
        <v>4234.0</v>
      </c>
      <c r="B2376" s="1" t="s">
        <v>15</v>
      </c>
      <c r="C2376" s="1" t="s">
        <v>2265</v>
      </c>
      <c r="D2376" s="1" t="str">
        <f>IFERROR(__xludf.DUMMYFUNCTION("CONCATENATE(GOOGLETRANSLATE(C2376, ""en"", ""zh-cn""))"),"Bertucci A-2T 复古手表")</f>
        <v>Bertucci A-2T 复古手表</v>
      </c>
      <c r="E2376" s="1" t="str">
        <f>IFERROR(__xludf.DUMMYFUNCTION("CONCATENATE(GOOGLETRANSLATE(C2376, ""en"", ""ko""))"),"Bertucci A-2T 빈티지 시계")</f>
        <v>Bertucci A-2T 빈티지 시계</v>
      </c>
      <c r="F2376" s="1" t="str">
        <f>IFERROR(__xludf.DUMMYFUNCTION("CONCATENATE(GOOGLETRANSLATE(C2376, ""en"", ""ja""))"),"ベルトゥッチ A-2T ヴィンテージ ウォッチ")</f>
        <v>ベルトゥッチ A-2T ヴィンテージ ウォッチ</v>
      </c>
    </row>
    <row r="2377" ht="15.75" customHeight="1">
      <c r="A2377" s="1">
        <v>4240.0</v>
      </c>
      <c r="B2377" s="1" t="s">
        <v>15</v>
      </c>
      <c r="C2377" s="1" t="s">
        <v>2266</v>
      </c>
      <c r="D2377" s="1" t="str">
        <f>IFERROR(__xludf.DUMMYFUNCTION("CONCATENATE(GOOGLETRANSLATE(C2377, ""en"", ""zh-cn""))"),"卡西欧 G-Shock DW-5900TH-1 防震石英 200M 男士手表")</f>
        <v>卡西欧 G-Shock DW-5900TH-1 防震石英 200M 男士手表</v>
      </c>
      <c r="E2377" s="1" t="str">
        <f>IFERROR(__xludf.DUMMYFUNCTION("CONCATENATE(GOOGLETRANSLATE(C2377, ""en"", ""ko""))"),"Casio G-Shock DW-5900TH-1 충격 방지 쿼츠 200M 남성용 시계")</f>
        <v>Casio G-Shock DW-5900TH-1 충격 방지 쿼츠 200M 남성용 시계</v>
      </c>
      <c r="F2377" s="1" t="str">
        <f>IFERROR(__xludf.DUMMYFUNCTION("CONCATENATE(GOOGLETRANSLATE(C2377, ""en"", ""ja""))"),"カシオ G ショック DW-5900TH-1 耐衝撃クォーツ 200M メンズ腕時計")</f>
        <v>カシオ G ショック DW-5900TH-1 耐衝撃クォーツ 200M メンズ腕時計</v>
      </c>
    </row>
    <row r="2378" ht="15.75" customHeight="1">
      <c r="A2378" s="1">
        <v>4255.0</v>
      </c>
      <c r="B2378" s="1" t="s">
        <v>15</v>
      </c>
      <c r="C2378" s="1" t="s">
        <v>2267</v>
      </c>
      <c r="D2378" s="1" t="str">
        <f>IFERROR(__xludf.DUMMYFUNCTION("CONCATENATE(GOOGLETRANSLATE(C2378, ""en"", ""zh-cn""))"),"施华洛世奇羽毛美人猫头鹰情侣")</f>
        <v>施华洛世奇羽毛美人猫头鹰情侣</v>
      </c>
      <c r="E2378" s="1" t="str">
        <f>IFERROR(__xludf.DUMMYFUNCTION("CONCATENATE(GOOGLETRANSLATE(C2378, ""en"", ""ko""))"),"스와로브스키 깃털 달린 미녀 올빼미 커플")</f>
        <v>스와로브스키 깃털 달린 미녀 올빼미 커플</v>
      </c>
      <c r="F2378" s="1" t="str">
        <f>IFERROR(__xludf.DUMMYFUNCTION("CONCATENATE(GOOGLETRANSLATE(C2378, ""en"", ""ja""))"),"スワロフスキーの羽毛の美しいフクロウのカップル")</f>
        <v>スワロフスキーの羽毛の美しいフクロウのカップル</v>
      </c>
    </row>
    <row r="2379" ht="15.75" customHeight="1">
      <c r="A2379" s="1">
        <v>4260.0</v>
      </c>
      <c r="B2379" s="1" t="s">
        <v>15</v>
      </c>
      <c r="C2379" s="1" t="s">
        <v>2268</v>
      </c>
      <c r="D2379" s="1" t="str">
        <f>IFERROR(__xludf.DUMMYFUNCTION("CONCATENATE(GOOGLETRANSLATE(C2379, ""en"", ""zh-cn""))"),"Timex 女式 Peanuts x Waterbury Legacy 手表 - 银色手链 粉色表盘 银色表壳")</f>
        <v>Timex 女式 Peanuts x Waterbury Legacy 手表 - 银色手链 粉色表盘 银色表壳</v>
      </c>
      <c r="E2379" s="1" t="str">
        <f>IFERROR(__xludf.DUMMYFUNCTION("CONCATENATE(GOOGLETRANSLATE(C2379, ""en"", ""ko""))"),"타이멕스 여성용 피너츠 x 워터베리 레거시 시계 - 실버 톤 브레이슬릿 핑크 다이얼 실버 톤 케이스")</f>
        <v>타이멕스 여성용 피너츠 x 워터베리 레거시 시계 - 실버 톤 브레이슬릿 핑크 다이얼 실버 톤 케이스</v>
      </c>
      <c r="F2379" s="1" t="str">
        <f>IFERROR(__xludf.DUMMYFUNCTION("CONCATENATE(GOOGLETRANSLATE(C2379, ""en"", ""ja""))"),"Timex レディース ピーナッツ x ウォーターベリー レガシー ウォッチ - シルバートーン ブレスレット ピンク ダイヤル シルバートーン ケース")</f>
        <v>Timex レディース ピーナッツ x ウォーターベリー レガシー ウォッチ - シルバートーン ブレスレット ピンク ダイヤル シルバートーン ケース</v>
      </c>
    </row>
    <row r="2380" ht="15.75" customHeight="1">
      <c r="A2380" s="1">
        <v>4264.0</v>
      </c>
      <c r="B2380" s="1" t="s">
        <v>15</v>
      </c>
      <c r="C2380" s="1" t="s">
        <v>2269</v>
      </c>
      <c r="D2380" s="1" t="str">
        <f>IFERROR(__xludf.DUMMYFUNCTION("CONCATENATE(GOOGLETRANSLATE(C2380, ""en"", ""zh-cn""))"),"卡西欧 G-Shock GA-900GC-7AJF 男士手表，黑色")</f>
        <v>卡西欧 G-Shock GA-900GC-7AJF 男士手表，黑色</v>
      </c>
      <c r="E2380" s="1" t="str">
        <f>IFERROR(__xludf.DUMMYFUNCTION("CONCATENATE(GOOGLETRANSLATE(C2380, ""en"", ""ko""))"),"카시오 G-Shock GA-900GC-7AJF 남성용 시계, 블랙")</f>
        <v>카시오 G-Shock GA-900GC-7AJF 남성용 시계, 블랙</v>
      </c>
      <c r="F2380" s="1" t="str">
        <f>IFERROR(__xludf.DUMMYFUNCTION("CONCATENATE(GOOGLETRANSLATE(C2380, ""en"", ""ja""))"),"カシオ G-Shock GA-900GC-7AJF メンズ腕時計、ブラック")</f>
        <v>カシオ G-Shock GA-900GC-7AJF メンズ腕時計、ブラック</v>
      </c>
    </row>
    <row r="2381" ht="15.75" customHeight="1">
      <c r="A2381" s="1">
        <v>4284.0</v>
      </c>
      <c r="B2381" s="1" t="s">
        <v>15</v>
      </c>
      <c r="C2381" s="1" t="s">
        <v>2270</v>
      </c>
      <c r="D2381" s="1" t="str">
        <f>IFERROR(__xludf.DUMMYFUNCTION("CONCATENATE(GOOGLETRANSLATE(C2381, ""en"", ""zh-cn""))"),"OLEVS 男士自动手表自动上链机械正装腕表多功能日历隐藏按钮日月显示防水夜光")</f>
        <v>OLEVS 男士自动手表自动上链机械正装腕表多功能日历隐藏按钮日月显示防水夜光</v>
      </c>
      <c r="E2381" s="1" t="str">
        <f>IFERROR(__xludf.DUMMYFUNCTION("CONCATENATE(GOOGLETRANSLATE(C2381, ""en"", ""ko""))"),"OLEVS Mens 자동 시계 자동 와인딩 기계식 드레스 손목 시계 다기능 달력 숨겨진 버튼 썬 문 디스플레이 방수 빛나는")</f>
        <v>OLEVS Mens 자동 시계 자동 와인딩 기계식 드레스 손목 시계 다기능 달력 숨겨진 버튼 썬 문 디스플레이 방수 빛나는</v>
      </c>
      <c r="F2381" s="1" t="str">
        <f>IFERROR(__xludf.DUMMYFUNCTION("CONCATENATE(GOOGLETRANSLATE(C2381, ""en"", ""ja""))"),"OLEVS メンズ自動腕時計自動巻き機械式ドレス腕時計多機能カレンダー隠しボタン日月表示防水発光")</f>
        <v>OLEVS メンズ自動腕時計自動巻き機械式ドレス腕時計多機能カレンダー隠しボタン日月表示防水発光</v>
      </c>
    </row>
    <row r="2382" ht="15.75" customHeight="1">
      <c r="A2382" s="1">
        <v>4294.0</v>
      </c>
      <c r="B2382" s="1" t="s">
        <v>15</v>
      </c>
      <c r="C2382" s="1" t="s">
        <v>2271</v>
      </c>
      <c r="D2382" s="1" t="str">
        <f>IFERROR(__xludf.DUMMYFUNCTION("CONCATENATE(GOOGLETRANSLATE(C2382, ""en"", ""zh-cn""))"),"施华洛世奇空心水晶珠宝系列，铑色调和玫瑰金色调饰面")</f>
        <v>施华洛世奇空心水晶珠宝系列，铑色调和玫瑰金色调饰面</v>
      </c>
      <c r="E2382" s="1" t="str">
        <f>IFERROR(__xludf.DUMMYFUNCTION("CONCATENATE(GOOGLETRANSLATE(C2382, ""en"", ""ko""))"),"스와로브스키 할로우 크리스탈 주얼리 컬렉션, 로듐 톤 &amp; 로즈 골드 톤 마감")</f>
        <v>스와로브스키 할로우 크리스탈 주얼리 컬렉션, 로듐 톤 &amp; 로즈 골드 톤 마감</v>
      </c>
      <c r="F2382" s="1" t="str">
        <f>IFERROR(__xludf.DUMMYFUNCTION("CONCATENATE(GOOGLETRANSLATE(C2382, ""en"", ""ja""))"),"スワロフスキー中空クリスタル ジュエリー コレクション、ロジウムトーン &amp; ローズゴールドトーン仕上げ")</f>
        <v>スワロフスキー中空クリスタル ジュエリー コレクション、ロジウムトーン &amp; ローズゴールドトーン仕上げ</v>
      </c>
    </row>
    <row r="2383" ht="15.75" customHeight="1">
      <c r="A2383" s="1">
        <v>4296.0</v>
      </c>
      <c r="B2383" s="1" t="s">
        <v>15</v>
      </c>
      <c r="C2383" s="1" t="s">
        <v>2272</v>
      </c>
      <c r="D2383" s="1" t="str">
        <f>IFERROR(__xludf.DUMMYFUNCTION("CONCATENATE(GOOGLETRANSLATE(C2383, ""en"", ""zh-cn""))"),"卡西欧 DW-B5600G-2JF [DW-B5600 系列配备 G-Shock (G-Shock) 智能手机链接] 手表 从日本发货 2022 年 9 月 型号")</f>
        <v>卡西欧 DW-B5600G-2JF [DW-B5600 系列配备 G-Shock (G-Shock) 智能手机链接] 手表 从日本发货 2022 年 9 月 型号</v>
      </c>
      <c r="E2383" s="1" t="str">
        <f>IFERROR(__xludf.DUMMYFUNCTION("CONCATENATE(GOOGLETRANSLATE(C2383, ""en"", ""ko""))"),"Casio DW-B5600G-2JF [G-Shock(지쇼크) 스마트폰 링크가 탑재된 DW-B5600 시리즈] 시계 2022년 9월 일본에서 출시 모델")</f>
        <v>Casio DW-B5600G-2JF [G-Shock(지쇼크) 스마트폰 링크가 탑재된 DW-B5600 시리즈] 시계 2022년 9월 일본에서 출시 모델</v>
      </c>
      <c r="F2383" s="1" t="str">
        <f>IFERROR(__xludf.DUMMYFUNCTION("CONCATENATE(GOOGLETRANSLATE(C2383, ""en"", ""ja""))"),"カシオ DW-B5600G-2JF [G-Shock(ジーショック) スマートフォンリンク搭載 DW-B5600シリーズ] 腕時計 日本国内発送 2022年9月モデル")</f>
        <v>カシオ DW-B5600G-2JF [G-Shock(ジーショック) スマートフォンリンク搭載 DW-B5600シリーズ] 腕時計 日本国内発送 2022年9月モデル</v>
      </c>
    </row>
    <row r="2384" ht="15.75" customHeight="1">
      <c r="A2384" s="1">
        <v>4301.0</v>
      </c>
      <c r="B2384" s="1" t="s">
        <v>15</v>
      </c>
      <c r="C2384" s="1" t="s">
        <v>2273</v>
      </c>
      <c r="D2384" s="1" t="str">
        <f>IFERROR(__xludf.DUMMYFUNCTION("CONCATENATE(GOOGLETRANSLATE(C2384, ""en"", ""zh-cn""))"),"战术青蛙 Militado 军事男士手表计时码表 39 毫米飞行员 VK61 石英机芯休闲腕表蓝宝石水晶 100M 防水运动手表")</f>
        <v>战术青蛙 Militado 军事男士手表计时码表 39 毫米飞行员 VK61 石英机芯休闲腕表蓝宝石水晶 100M 防水运动手表</v>
      </c>
      <c r="E2384" s="1" t="str">
        <f>IFERROR(__xludf.DUMMYFUNCTION("CONCATENATE(GOOGLETRANSLATE(C2384, ""en"", ""ko""))"),"전술 개구리 Militado 밀리터리 남성용 시계 크로노 그래프 39mm 파일럿 VK61 쿼츠 무브먼트 캐주얼 손목 시계 사파이어 크리스탈 100M 방수 스포츠 시계")</f>
        <v>전술 개구리 Militado 밀리터리 남성용 시계 크로노 그래프 39mm 파일럿 VK61 쿼츠 무브먼트 캐주얼 손목 시계 사파이어 크리스탈 100M 방수 스포츠 시계</v>
      </c>
      <c r="F2384" s="1" t="str">
        <f>IFERROR(__xludf.DUMMYFUNCTION("CONCATENATE(GOOGLETRANSLATE(C2384, ""en"", ""ja""))"),"タクティカルカエル Militado ミリタリーメンズ腕時計クロノグラフ 39 ミリメートルパイロット VK61 クォーツムーブメントカジュアル腕時計サファイアクリスタル 100 メートル防水スポーツウォッチ")</f>
        <v>タクティカルカエル Militado ミリタリーメンズ腕時計クロノグラフ 39 ミリメートルパイロット VK61 クォーツムーブメントカジュアル腕時計サファイアクリスタル 100 メートル防水スポーツウォッチ</v>
      </c>
    </row>
    <row r="2385" ht="15.75" customHeight="1">
      <c r="A2385" s="1">
        <v>4305.0</v>
      </c>
      <c r="B2385" s="1" t="s">
        <v>15</v>
      </c>
      <c r="C2385" s="1" t="s">
        <v>2274</v>
      </c>
      <c r="D2385" s="1" t="str">
        <f>IFERROR(__xludf.DUMMYFUNCTION("CONCATENATE(GOOGLETRANSLATE(C2385, ""en"", ""zh-cn""))"),"施华洛世奇星球大战曼达洛人孩子，绿色和金色水晶，来自星球大战系列")</f>
        <v>施华洛世奇星球大战曼达洛人孩子，绿色和金色水晶，来自星球大战系列</v>
      </c>
      <c r="E2385" s="1" t="str">
        <f>IFERROR(__xludf.DUMMYFUNCTION("CONCATENATE(GOOGLETRANSLATE(C2385, ""en"", ""ko""))"),"SWAROVSKI 스타워즈 만달로리안 더 차일드, 녹색 및 골드 톤 크리스털, 스타워즈 컬렉션")</f>
        <v>SWAROVSKI 스타워즈 만달로리안 더 차일드, 녹색 및 골드 톤 크리스털, 스타워즈 컬렉션</v>
      </c>
      <c r="F2385" s="1" t="str">
        <f>IFERROR(__xludf.DUMMYFUNCTION("CONCATENATE(GOOGLETRANSLATE(C2385, ""en"", ""ja""))"),"スワロフスキー スター・ウォーズ マンダロリアン・ザ・チャイルド、グリーンとゴールドトーンのクリスタル、スター・ウォーズ コレクションより")</f>
        <v>スワロフスキー スター・ウォーズ マンダロリアン・ザ・チャイルド、グリーンとゴールドトーンのクリスタル、スター・ウォーズ コレクションより</v>
      </c>
    </row>
    <row r="2386" ht="15.75" customHeight="1">
      <c r="A2386" s="1">
        <v>4307.0</v>
      </c>
      <c r="B2386" s="1" t="s">
        <v>15</v>
      </c>
      <c r="C2386" s="1" t="s">
        <v>2275</v>
      </c>
      <c r="D2386" s="1" t="str">
        <f>IFERROR(__xludf.DUMMYFUNCTION("CONCATENATE(GOOGLETRANSLATE(C2386, ""en"", ""zh-cn""))"),"施华洛世奇 Mesmera 戒指珠宝系列，镀铑饰面，透明水晶")</f>
        <v>施华洛世奇 Mesmera 戒指珠宝系列，镀铑饰面，透明水晶</v>
      </c>
      <c r="E2386" s="1" t="str">
        <f>IFERROR(__xludf.DUMMYFUNCTION("CONCATENATE(GOOGLETRANSLATE(C2386, ""en"", ""ko""))"),"SWAROVSKI Mesmera 링 주얼리 컬렉션, 로듐 마감, 클리어 크리스털")</f>
        <v>SWAROVSKI Mesmera 링 주얼리 컬렉션, 로듐 마감, 클리어 크리스털</v>
      </c>
      <c r="F2386" s="1" t="str">
        <f>IFERROR(__xludf.DUMMYFUNCTION("CONCATENATE(GOOGLETRANSLATE(C2386, ""en"", ""ja""))"),"スワロフスキー メスメラ リング ジュエリー コレクション、ロジウム仕上げ、クリア クリスタル")</f>
        <v>スワロフスキー メスメラ リング ジュエリー コレクション、ロジウム仕上げ、クリア クリスタル</v>
      </c>
    </row>
    <row r="2387" ht="15.75" customHeight="1">
      <c r="A2387" s="1">
        <v>4359.0</v>
      </c>
      <c r="B2387" s="1" t="s">
        <v>15</v>
      </c>
      <c r="C2387" s="1" t="s">
        <v>2276</v>
      </c>
      <c r="D2387" s="1" t="str">
        <f>IFERROR(__xludf.DUMMYFUNCTION("CONCATENATE(GOOGLETRANSLATE(C2387, ""en"", ""zh-cn""))"),"Ashley Dorsten 签名设计的当代 L 形双面沙发躺椅 Chofa，灰色")</f>
        <v>Ashley Dorsten 签名设计的当代 L 形双面沙发躺椅 Chofa，灰色</v>
      </c>
      <c r="E2387" s="1" t="str">
        <f>IFERROR(__xludf.DUMMYFUNCTION("CONCATENATE(GOOGLETRANSLATE(C2387, ""en"", ""ko""))"),"Ashley Dorsten의 시그니처 디자인 현대적인 L자형 양면 소파 Chaise Chofa, 그레이")</f>
        <v>Ashley Dorsten의 시그니처 디자인 현대적인 L자형 양면 소파 Chaise Chofa, 그레이</v>
      </c>
      <c r="F2387" s="1" t="str">
        <f>IFERROR(__xludf.DUMMYFUNCTION("CONCATENATE(GOOGLETRANSLATE(C2387, ""en"", ""ja""))"),"Ashley Dorsten によるシグネチャーデザイン コンテンポラリー L 字型リバーシブルソファ 長椅子 Chofa グレー")</f>
        <v>Ashley Dorsten によるシグネチャーデザイン コンテンポラリー L 字型リバーシブルソファ 長椅子 Chofa グレー</v>
      </c>
    </row>
    <row r="2388" ht="15.75" customHeight="1">
      <c r="A2388" s="1">
        <v>4374.0</v>
      </c>
      <c r="B2388" s="1" t="s">
        <v>15</v>
      </c>
      <c r="C2388" s="1" t="s">
        <v>2277</v>
      </c>
      <c r="D2388" s="1" t="str">
        <f>IFERROR(__xludf.DUMMYFUNCTION("CONCATENATE(GOOGLETRANSLATE(C2388, ""en"", ""zh-cn""))"),"全新经典家具 Glam Emma 天鹅绒三座切斯特菲尔德风格沙发，适合小空间，带水晶纽扣簇绒，黑色")</f>
        <v>全新经典家具 Glam Emma 天鹅绒三座切斯特菲尔德风格沙发，适合小空间，带水晶纽扣簇绒，黑色</v>
      </c>
      <c r="E2388" s="1" t="str">
        <f>IFERROR(__xludf.DUMMYFUNCTION("CONCATENATE(GOOGLETRANSLATE(C2388, ""en"", ""ko""))"),"작은 공간을 위한 새로운 클래식 가구 글램 엠마 벨벳 3인용 체스터필드 스타일 소파, 크리스탈 버튼 장식, 블랙")</f>
        <v>작은 공간을 위한 새로운 클래식 가구 글램 엠마 벨벳 3인용 체스터필드 스타일 소파, 크리스탈 버튼 장식, 블랙</v>
      </c>
      <c r="F2388" s="1" t="str">
        <f>IFERROR(__xludf.DUMMYFUNCTION("CONCATENATE(GOOGLETRANSLATE(C2388, ""en"", ""ja""))"),"ニュークラシック家具 Glam Emma ベルベット 3 人掛けチェスターフィールドスタイルソファ、小さなスペース用、クリスタルボタン房付き、ブラック")</f>
        <v>ニュークラシック家具 Glam Emma ベルベット 3 人掛けチェスターフィールドスタイルソファ、小さなスペース用、クリスタルボタン房付き、ブラック</v>
      </c>
    </row>
    <row r="2389" ht="15.75" customHeight="1">
      <c r="A2389" s="1">
        <v>4375.0</v>
      </c>
      <c r="B2389" s="1" t="s">
        <v>15</v>
      </c>
      <c r="C2389" s="1" t="s">
        <v>2278</v>
      </c>
      <c r="D2389" s="1" t="str">
        <f>IFERROR(__xludf.DUMMYFUNCTION("CONCATENATE(GOOGLETRANSLATE(C2389, ""en"", ""zh-cn""))"),"Casa Andrea Milano 现代组合沙发 L 形天鹅绒沙发，带超宽躺椅，大号，黑色")</f>
        <v>Casa Andrea Milano 现代组合沙发 L 形天鹅绒沙发，带超宽躺椅，大号，黑色</v>
      </c>
      <c r="E2389" s="1" t="str">
        <f>IFERROR(__xludf.DUMMYFUNCTION("CONCATENATE(GOOGLETRANSLATE(C2389, ""en"", ""ko""))"),"Casa Andrea Milano 모던한 단면 소파 L자형 벨벳 소파, 매우 넓은 긴 의자 라운지 포함, 대형, 검정색")</f>
        <v>Casa Andrea Milano 모던한 단면 소파 L자형 벨벳 소파, 매우 넓은 긴 의자 라운지 포함, 대형, 검정색</v>
      </c>
      <c r="F2389" s="1" t="str">
        <f>IFERROR(__xludf.DUMMYFUNCTION("CONCATENATE(GOOGLETRANSLATE(C2389, ""en"", ""ja""))"),"カーサ アンドレア ミラノ モダン セクショナル ソファ L 字型ベルベット カウチ、エクストラワイド長椅子付き、ラージ、ブラック")</f>
        <v>カーサ アンドレア ミラノ モダン セクショナル ソファ L 字型ベルベット カウチ、エクストラワイド長椅子付き、ラージ、ブラック</v>
      </c>
    </row>
    <row r="2390" ht="15.75" customHeight="1">
      <c r="A2390" s="1">
        <v>4377.0</v>
      </c>
      <c r="B2390" s="1" t="s">
        <v>15</v>
      </c>
      <c r="C2390" s="1" t="s">
        <v>2279</v>
      </c>
      <c r="D2390" s="1" t="str">
        <f>IFERROR(__xludf.DUMMYFUNCTION("CONCATENATE(GOOGLETRANSLATE(C2390, ""en"", ""zh-cn""))"),"Nolany 敞篷组合沙发 L 形沙发沙发，带储物 双面组合沙发，适合小空间，深灰色")</f>
        <v>Nolany 敞篷组合沙发 L 形沙发沙发，带储物 双面组合沙发，适合小空间，深灰色</v>
      </c>
      <c r="E2390" s="1" t="str">
        <f>IFERROR(__xludf.DUMMYFUNCTION("CONCATENATE(GOOGLETRANSLATE(C2390, ""en"", ""ko""))"),"Nolany 컨버터블 단면 소파 작은 공간, 짙은 회색을 위한 보관용 양면 단면 소파가 있는 L 모양의 소파 소파")</f>
        <v>Nolany 컨버터블 단면 소파 작은 공간, 짙은 회색을 위한 보관용 양면 단면 소파가 있는 L 모양의 소파 소파</v>
      </c>
      <c r="F2390" s="1" t="str">
        <f>IFERROR(__xludf.DUMMYFUNCTION("CONCATENATE(GOOGLETRANSLATE(C2390, ""en"", ""ja""))"),"Nolany コンバーチブルセクショナルソファ L 字型ソファ カウチ 収納付き リバーシブルセクショナルソファ 狭いスペース用 ダークグレー")</f>
        <v>Nolany コンバーチブルセクショナルソファ L 字型ソファ カウチ 収納付き リバーシブルセクショナルソファ 狭いスペース用 ダークグレー</v>
      </c>
    </row>
    <row r="2391" ht="15.75" customHeight="1">
      <c r="A2391" s="1">
        <v>4389.0</v>
      </c>
      <c r="B2391" s="1" t="s">
        <v>15</v>
      </c>
      <c r="C2391" s="1" t="s">
        <v>2280</v>
      </c>
      <c r="D2391" s="1" t="str">
        <f>IFERROR(__xludf.DUMMYFUNCTION("CONCATENATE(GOOGLETRANSLATE(C2391, ""en"", ""zh-cn""))"),"Ashley Arroyo 签名设计的中世纪现代人造皮革沙发，焦糖棕色")</f>
        <v>Ashley Arroyo 签名设计的中世纪现代人造皮革沙发，焦糖棕色</v>
      </c>
      <c r="E2391" s="1" t="str">
        <f>IFERROR(__xludf.DUMMYFUNCTION("CONCATENATE(GOOGLETRANSLATE(C2391, ""en"", ""ko""))"),"Ashley Arroyo의 시그니처 디자인 Mid Century Modern 인조 가죽 소파, 캐러멜 브라운")</f>
        <v>Ashley Arroyo의 시그니처 디자인 Mid Century Modern 인조 가죽 소파, 캐러멜 브라운</v>
      </c>
      <c r="F2391" s="1" t="str">
        <f>IFERROR(__xludf.DUMMYFUNCTION("CONCATENATE(GOOGLETRANSLATE(C2391, ""en"", ""ja""))"),"アシュリー・アロヨによるシグネチャーデザイン ミッドセンチュリーモダンフェイクレザーソファ、キャラメルブラウン")</f>
        <v>アシュリー・アロヨによるシグネチャーデザイン ミッドセンチュリーモダンフェイクレザーソファ、キャラメルブラウン</v>
      </c>
    </row>
    <row r="2392" ht="15.75" customHeight="1">
      <c r="A2392" s="1">
        <v>4401.0</v>
      </c>
      <c r="B2392" s="1" t="s">
        <v>15</v>
      </c>
      <c r="C2392" s="1" t="s">
        <v>2281</v>
      </c>
      <c r="D2392" s="1" t="str">
        <f>IFERROR(__xludf.DUMMYFUNCTION("CONCATENATE(GOOGLETRANSLATE(C2392, ""en"", ""zh-cn""))"),"AMERLIFE 沙发，深座沙发-现代雪尼尔沙发，97 宽客厅 3 座沙发-超大沙发，米色舒适沙发")</f>
        <v>AMERLIFE 沙发，深座沙发-现代雪尼尔沙发，97 宽客厅 3 座沙发-超大沙发，米色舒适沙发</v>
      </c>
      <c r="E2392" s="1" t="str">
        <f>IFERROR(__xludf.DUMMYFUNCTION("CONCATENATE(GOOGLETRANSLATE(C2392, ""en"", ""ko""))"),"AMERLIFE 소파, 깊은 좌석 소파 - 현대적인 셔닐 소파 소파, 거실용 97 와이드 3인용 소파 - 대형 소파, 베이지 편안한 소파")</f>
        <v>AMERLIFE 소파, 깊은 좌석 소파 - 현대적인 셔닐 소파 소파, 거실용 97 와이드 3인용 소파 - 대형 소파, 베이지 편안한 소파</v>
      </c>
      <c r="F2392" s="1" t="str">
        <f>IFERROR(__xludf.DUMMYFUNCTION("CONCATENATE(GOOGLETRANSLATE(C2392, ""en"", ""ja""))"),"AMERLIFE ソファ、ディープシートソファ - 現代的なシェニールソファカウチ、リビングルーム用 97 幅 3 人掛けソファ - 特大ソファ、ベージュの快適なソファ")</f>
        <v>AMERLIFE ソファ、ディープシートソファ - 現代的なシェニールソファカウチ、リビングルーム用 97 幅 3 人掛けソファ - 特大ソファ、ベージュの快適なソファ</v>
      </c>
    </row>
    <row r="2393" ht="15.75" customHeight="1">
      <c r="A2393" s="1">
        <v>4404.0</v>
      </c>
      <c r="B2393" s="1" t="s">
        <v>15</v>
      </c>
      <c r="C2393" s="1" t="s">
        <v>2282</v>
      </c>
      <c r="D2393" s="1" t="str">
        <f>IFERROR(__xludf.DUMMYFUNCTION("CONCATENATE(GOOGLETRANSLATE(C2393, ""en"", ""zh-cn""))"),"FDW 组合组合沙发，L 形沙发可转换沙发 4 座沙发带脚凳客厅卧室办公室，深灰色")</f>
        <v>FDW 组合组合沙发，L 形沙发可转换沙发 4 座沙发带脚凳客厅卧室办公室，深灰色</v>
      </c>
      <c r="E2393" s="1" t="str">
        <f>IFERROR(__xludf.DUMMYFUNCTION("CONCATENATE(GOOGLETRANSLATE(C2393, ""en"", ""ko""))"),"FDW 모듈형 단면 소파 소파, L자형 소파 소파 컨버터블 소파 4인용 소파(거실용 오토만 포함) 침실 사무실, 진한 회색")</f>
        <v>FDW 모듈형 단면 소파 소파, L자형 소파 소파 컨버터블 소파 4인용 소파(거실용 오토만 포함) 침실 사무실, 진한 회색</v>
      </c>
      <c r="F2393" s="1" t="str">
        <f>IFERROR(__xludf.DUMMYFUNCTION("CONCATENATE(GOOGLETRANSLATE(C2393, ""en"", ""ja""))"),"FDW モジュール式セクショナルソファ カウチ、L 字型ソファ カウチ コンバーチブルソファ 4 人掛けソファ オットマン付き リビングルーム ベッドルーム オフィス用 ダークグレー")</f>
        <v>FDW モジュール式セクショナルソファ カウチ、L 字型ソファ カウチ コンバーチブルソファ 4 人掛けソファ オットマン付き リビングルーム ベッドルーム オフィス用 ダークグレー</v>
      </c>
    </row>
    <row r="2394" ht="15.75" customHeight="1">
      <c r="A2394" s="1">
        <v>4407.0</v>
      </c>
      <c r="B2394" s="1" t="s">
        <v>15</v>
      </c>
      <c r="C2394" s="1" t="s">
        <v>2283</v>
      </c>
      <c r="D2394" s="1" t="str">
        <f>IFERROR(__xludf.DUMMYFUNCTION("CONCATENATE(GOOGLETRANSLATE(C2394, ""en"", ""zh-cn""))"),"PaPaJet沙发，深座沙发-现代雪尼尔沙发，客厅三座沙发-超大沙发，米色舒适沙发")</f>
        <v>PaPaJet沙发，深座沙发-现代雪尼尔沙发，客厅三座沙发-超大沙发，米色舒适沙发</v>
      </c>
      <c r="E2394" s="1" t="str">
        <f>IFERROR(__xludf.DUMMYFUNCTION("CONCATENATE(GOOGLETRANSLATE(C2394, ""en"", ""ko""))"),"PaPaJet 소파, 깊은 좌석 소파 - 현대식 셔닐 소파 소파, 거실용 3인용 소파 - 대형 소파, 베이지색 편안한 소파")</f>
        <v>PaPaJet 소파, 깊은 좌석 소파 - 현대식 셔닐 소파 소파, 거실용 3인용 소파 - 대형 소파, 베이지색 편안한 소파</v>
      </c>
      <c r="F2394" s="1" t="str">
        <f>IFERROR(__xludf.DUMMYFUNCTION("CONCATENATE(GOOGLETRANSLATE(C2394, ""en"", ""ja""))"),"PaPaJet ソファ、ディープシートソファ - 現代的なシェニールソファカウチ、リビングルーム用 3 人掛けソファ - 特大ソファ、ベージュの快適なソファ")</f>
        <v>PaPaJet ソファ、ディープシートソファ - 現代的なシェニールソファカウチ、リビングルーム用 3 人掛けソファ - 特大ソファ、ベージュの快適なソファ</v>
      </c>
    </row>
    <row r="2395" ht="15.75" customHeight="1">
      <c r="A2395" s="1">
        <v>4410.0</v>
      </c>
      <c r="B2395" s="1" t="s">
        <v>15</v>
      </c>
      <c r="C2395" s="1" t="s">
        <v>2284</v>
      </c>
      <c r="D2395" s="1" t="str">
        <f>IFERROR(__xludf.DUMMYFUNCTION("CONCATENATE(GOOGLETRANSLATE(C2395, ""en"", ""zh-cn""))"),"XIZZI 敞篷组合沙发 L 形沙发 3 座沙发带贵妃客厅，L 形 83 英寸深棕色右贵妃椅")</f>
        <v>XIZZI 敞篷组合沙发 L 形沙发 3 座沙发带贵妃客厅，L 形 83 英寸深棕色右贵妃椅</v>
      </c>
      <c r="E2395" s="1" t="str">
        <f>IFERROR(__xludf.DUMMYFUNCTION("CONCATENATE(GOOGLETRANSLATE(C2395, ""en"", ""ko""))"),"XIZZI 컨버터블 단면 소파 소파 L 모양 소파 3인용 소파(거실용 의자 포함), L 모양 83인치 다크 브라운 오른쪽 의자")</f>
        <v>XIZZI 컨버터블 단면 소파 소파 L 모양 소파 3인용 소파(거실용 의자 포함), L 모양 83인치 다크 브라운 오른쪽 의자</v>
      </c>
      <c r="F2395" s="1" t="str">
        <f>IFERROR(__xludf.DUMMYFUNCTION("CONCATENATE(GOOGLETRANSLATE(C2395, ""en"", ""ja""))"),"XIZZI コンバーチブルセクショナルソファ カウチ L 字型ソファ 3 人掛けソファ 長椅子付き リビングルーム用 L 字型 83 インチ ダークブラウン 右長椅子")</f>
        <v>XIZZI コンバーチブルセクショナルソファ カウチ L 字型ソファ 3 人掛けソファ 長椅子付き リビングルーム用 L 字型 83 インチ ダークブラウン 右長椅子</v>
      </c>
    </row>
    <row r="2396" ht="15.75" customHeight="1">
      <c r="A2396" s="1">
        <v>4420.0</v>
      </c>
      <c r="B2396" s="1" t="s">
        <v>15</v>
      </c>
      <c r="C2396" s="1" t="s">
        <v>2285</v>
      </c>
      <c r="D2396" s="1" t="str">
        <f>IFERROR(__xludf.DUMMYFUNCTION("CONCATENATE(GOOGLETRANSLATE(C2396, ""en"", ""zh-cn""))"),"Andeworld 现代簇绒沙发长沙发软垫沙发，适合餐厅客厅走廊或入口（钢灰色）")</f>
        <v>Andeworld 现代簇绒沙发长沙发软垫沙发，适合餐厅客厅走廊或入口（钢灰色）</v>
      </c>
      <c r="E2396" s="1" t="str">
        <f>IFERROR(__xludf.DUMMYFUNCTION("CONCATENATE(GOOGLETRANSLATE(C2396, ""en"", ""ko""))"),"Andeworld 모던 터프트 러브시트 긴 의자 소파 벤치 다이닝 거실 복도 또는 현관용 덮개를 씌운 소파(스틸 그레이)")</f>
        <v>Andeworld 모던 터프트 러브시트 긴 의자 소파 벤치 다이닝 거실 복도 또는 현관용 덮개를 씌운 소파(스틸 그레이)</v>
      </c>
      <c r="F2396" s="1" t="str">
        <f>IFERROR(__xludf.DUMMYFUNCTION("CONCATENATE(GOOGLETRANSLATE(C2396, ""en"", ""ja""))"),"Andeworld モダン タフテッド 二人掛け長椅子 ソファベンチ 布張りカウチ ダイニング リビングルーム 廊下や玄関用 (スチールグレー)")</f>
        <v>Andeworld モダン タフテッド 二人掛け長椅子 ソファベンチ 布張りカウチ ダイニング リビングルーム 廊下や玄関用 (スチールグレー)</v>
      </c>
    </row>
    <row r="2397" ht="15.75" customHeight="1">
      <c r="A2397" s="1">
        <v>4422.0</v>
      </c>
      <c r="B2397" s="1" t="s">
        <v>15</v>
      </c>
      <c r="C2397" s="1" t="s">
        <v>2286</v>
      </c>
      <c r="D2397" s="1" t="str">
        <f>IFERROR(__xludf.DUMMYFUNCTION("CONCATENATE(GOOGLETRANSLATE(C2397, ""en"", ""zh-cn""))"),"MCombo 现代旋转椅，纽扣簇绒拖鞋椅，雪尼尔软垫翼背休闲沙发椅，适合客厅卧室 LW753（奶油白色）")</f>
        <v>MCombo 现代旋转椅，纽扣簇绒拖鞋椅，雪尼尔软垫翼背休闲沙发椅，适合客厅卧室 LW753（奶油白色）</v>
      </c>
      <c r="E2397" s="1" t="str">
        <f>IFERROR(__xludf.DUMMYFUNCTION("CONCATENATE(GOOGLETRANSLATE(C2397, ""en"", ""ko""))"),"MCombo 현대 회전 악센트 의자, 단추 술 슬리퍼 의자, 거실 침실 LW753(크림 화이트)을 위한 셔닐 덮개를 씌운 윙백 레저 소파 의자")</f>
        <v>MCombo 현대 회전 악센트 의자, 단추 술 슬리퍼 의자, 거실 침실 LW753(크림 화이트)을 위한 셔닐 덮개를 씌운 윙백 레저 소파 의자</v>
      </c>
      <c r="F2397" s="1" t="str">
        <f>IFERROR(__xludf.DUMMYFUNCTION("CONCATENATE(GOOGLETRANSLATE(C2397, ""en"", ""ja""))"),"MCombo モダンな回転アクセントチェア、ボタン房付きスリッパチェア、シェニール織張りのウィングバックレジャーソファチェア、リビングルームベッドルーム用 LW753 (クリームホワイト)")</f>
        <v>MCombo モダンな回転アクセントチェア、ボタン房付きスリッパチェア、シェニール織張りのウィングバックレジャーソファチェア、リビングルームベッドルーム用 LW753 (クリームホワイト)</v>
      </c>
    </row>
    <row r="2398" ht="15.75" customHeight="1">
      <c r="A2398" s="1">
        <v>4426.0</v>
      </c>
      <c r="B2398" s="1" t="s">
        <v>15</v>
      </c>
      <c r="C2398" s="1" t="s">
        <v>2287</v>
      </c>
      <c r="D2398" s="1" t="str">
        <f>IFERROR(__xludf.DUMMYFUNCTION("CONCATENATE(GOOGLETRANSLATE(C2398, ""en"", ""zh-cn""))"),"Edenbrook Lynnwood 软垫沙发 - 客厅沙发 - 浅灰色沙发 - 小沙发 - 客厅家具 - 包括长枕")</f>
        <v>Edenbrook Lynnwood 软垫沙发 - 客厅沙发 - 浅灰色沙发 - 小沙发 - 客厅家具 - 包括长枕</v>
      </c>
      <c r="E2398" s="1" t="str">
        <f>IFERROR(__xludf.DUMMYFUNCTION("CONCATENATE(GOOGLETRANSLATE(C2398, ""en"", ""ko""))"),"Edenbrook Lynnwood 덮개를 씌운 소파 - 거실용 소파 - 밝은 회색 소파 - 소형 소파 - 거실 가구 - 볼스터 베개 포함")</f>
        <v>Edenbrook Lynnwood 덮개를 씌운 소파 - 거실용 소파 - 밝은 회색 소파 - 소형 소파 - 거실 가구 - 볼스터 베개 포함</v>
      </c>
      <c r="F2398" s="1" t="str">
        <f>IFERROR(__xludf.DUMMYFUNCTION("CONCATENATE(GOOGLETRANSLATE(C2398, ""en"", ""ja""))"),"Edenbrook Lynnwood 布張りソファ - リビングルーム用ソファ - ライトグレーのソファ - 小さなソファ - リビングルームの家具 - ボルスター枕付き")</f>
        <v>Edenbrook Lynnwood 布張りソファ - リビングルーム用ソファ - ライトグレーのソファ - 小さなソファ - リビングルームの家具 - ボルスター枕付き</v>
      </c>
    </row>
    <row r="2399" ht="15.75" customHeight="1">
      <c r="A2399" s="1">
        <v>4431.0</v>
      </c>
      <c r="B2399" s="1" t="s">
        <v>15</v>
      </c>
      <c r="C2399" s="1" t="s">
        <v>2288</v>
      </c>
      <c r="D2399" s="1" t="str">
        <f>IFERROR(__xludf.DUMMYFUNCTION("CONCATENATE(GOOGLETRANSLATE(C2399, ""en"", ""zh-cn""))"),"ACME Dresden 床具四件套，樱桃木饰面")</f>
        <v>ACME Dresden 床具四件套，樱桃木饰面</v>
      </c>
      <c r="E2399" s="1" t="str">
        <f>IFERROR(__xludf.DUMMYFUNCTION("CONCATENATE(GOOGLETRANSLATE(C2399, ""en"", ""ko""))"),"ACME 드레스덴 4피스 침대 세트, 체리 오크 마감")</f>
        <v>ACME 드레스덴 4피스 침대 세트, 체리 오크 마감</v>
      </c>
      <c r="F2399" s="1" t="str">
        <f>IFERROR(__xludf.DUMMYFUNCTION("CONCATENATE(GOOGLETRANSLATE(C2399, ""en"", ""ja""))"),"ACME ドレスデン ベッド 4 点セット、チェリーオーク仕上げ")</f>
        <v>ACME ドレスデン ベッド 4 点セット、チェリーオーク仕上げ</v>
      </c>
    </row>
    <row r="2400" ht="15.75" customHeight="1">
      <c r="A2400" s="1">
        <v>4445.0</v>
      </c>
      <c r="B2400" s="1" t="s">
        <v>15</v>
      </c>
      <c r="C2400" s="1" t="s">
        <v>2289</v>
      </c>
      <c r="D2400" s="1" t="str">
        <f>IFERROR(__xludf.DUMMYFUNCTION("CONCATENATE(GOOGLETRANSLATE(C2400, ""en"", ""zh-cn""))"),"ZUTTA LED 面罩光疗 3 种颜色设置 LED 光疗 - 抗衰老红光 - 嫩肤和减少皱纹 - 柔软轻便 - 便携式柔性硅胶")</f>
        <v>ZUTTA LED 面罩光疗 3 种颜色设置 LED 光疗 - 抗衰老红光 - 嫩肤和减少皱纹 - 柔软轻便 - 便携式柔性硅胶</v>
      </c>
      <c r="E2400" s="1" t="str">
        <f>IFERROR(__xludf.DUMMYFUNCTION("CONCATENATE(GOOGLETRANSLATE(C2400, ""en"", ""ko""))"),"ZUTTA LED 페이스 마스크 라이트 테라피 3가지 색상 설정 LED 라이트 테라피 - 노화 방지 레드 라이트 - 피부 회춘 및 주름 감소 - 부드럽고 가벼운 제품 - 휴대용 플렉시 실리콘")</f>
        <v>ZUTTA LED 페이스 마스크 라이트 테라피 3가지 색상 설정 LED 라이트 테라피 - 노화 방지 레드 라이트 - 피부 회춘 및 주름 감소 - 부드럽고 가벼운 제품 - 휴대용 플렉시 실리콘</v>
      </c>
      <c r="F2400" s="1" t="str">
        <f>IFERROR(__xludf.DUMMYFUNCTION("CONCATENATE(GOOGLETRANSLATE(C2400, ""en"", ""ja""))"),"ZUTTA LED フェイスマスク ライトセラピー 3 色設定 LED ライトセラピー - アンチエイジング赤色光 - 肌の若返りとシワの軽減 - ソフトで軽量 - ポータブル フレキシシリコーン")</f>
        <v>ZUTTA LED フェイスマスク ライトセラピー 3 色設定 LED ライトセラピー - アンチエイジング赤色光 - 肌の若返りとシワの軽減 - ソフトで軽量 - ポータブル フレキシシリコーン</v>
      </c>
    </row>
    <row r="2401" ht="15.75" customHeight="1">
      <c r="A2401" s="1">
        <v>4448.0</v>
      </c>
      <c r="B2401" s="1" t="s">
        <v>15</v>
      </c>
      <c r="C2401" s="1" t="s">
        <v>2290</v>
      </c>
      <c r="D2401" s="1" t="str">
        <f>IFERROR(__xludf.DUMMYFUNCTION("CONCATENATE(GOOGLETRANSLATE(C2401, ""en"", ""zh-cn""))"),"Aphrona Led 面膜光疗、Halo Led 光疗面部和颈部护肤面膜、蓝光红光祛痘祛皱、新一代面部和颈部光子面膜")</f>
        <v>Aphrona Led 面膜光疗、Halo Led 光疗面部和颈部护肤面膜、蓝光红光祛痘祛皱、新一代面部和颈部光子面膜</v>
      </c>
      <c r="E2401" s="1" t="str">
        <f>IFERROR(__xludf.DUMMYFUNCTION("CONCATENATE(GOOGLETRANSLATE(C2401, ""en"", ""ko""))"),"Aphrona Led 페이스 마스크 라이트 테라피, Halo Led 라이트 테라피 페이셜 및 목 스킨 케어 마스크, 여드름 주름 감소를 위한 블루 라이트 레드 라이트, 차세대 얼굴 및 목 광자 마스크")</f>
        <v>Aphrona Led 페이스 마스크 라이트 테라피, Halo Led 라이트 테라피 페이셜 및 목 스킨 케어 마스크, 여드름 주름 감소를 위한 블루 라이트 레드 라이트, 차세대 얼굴 및 목 광자 마스크</v>
      </c>
      <c r="F2401" s="1" t="str">
        <f>IFERROR(__xludf.DUMMYFUNCTION("CONCATENATE(GOOGLETRANSLATE(C2401, ""en"", ""ja""))"),"アフロナLEDフェイスマスク光療法、ハローLED光療法顔と首のスキンケアマスク、ニキビのしわを減らすための青色光赤色光、新世代の顔と首のフォトンマスク")</f>
        <v>アフロナLEDフェイスマスク光療法、ハローLED光療法顔と首のスキンケアマスク、ニキビのしわを減らすための青色光赤色光、新世代の顔と首のフォトンマスク</v>
      </c>
    </row>
    <row r="2402" ht="15.75" customHeight="1">
      <c r="A2402" s="1">
        <v>4463.0</v>
      </c>
      <c r="B2402" s="1" t="s">
        <v>15</v>
      </c>
      <c r="C2402" s="1" t="s">
        <v>2291</v>
      </c>
      <c r="D2402" s="1" t="str">
        <f>IFERROR(__xludf.DUMMYFUNCTION("CONCATENATE(GOOGLETRANSLATE(C2402, ""en"", ""zh-cn""))"),"toyshi Hi_Friend LED 睫毛延长灯，28 - 纹身艺术家、美甲技术、美容师的睫毛灯 - 冷色、暖色照明灯，可调节亮度和高度（黑色）")</f>
        <v>toyshi Hi_Friend LED 睫毛延长灯，28 - 纹身艺术家、美甲技术、美容师的睫毛灯 - 冷色、暖色照明灯，可调节亮度和高度（黑色）</v>
      </c>
      <c r="E2402" s="1" t="str">
        <f>IFERROR(__xludf.DUMMYFUNCTION("CONCATENATE(GOOGLETRANSLATE(C2402, ""en"", ""ko""))"),"속눈썹 연장용 toyshi Hi_Friend LED 램프, 28 - 문신 예술가용 속눈썹 램프, 네일 기술, 미용사 - 밝기 및 높이 조절이 가능한 시원하고 따뜻한 조명 램프(검은색)")</f>
        <v>속눈썹 연장용 toyshi Hi_Friend LED 램프, 28 - 문신 예술가용 속눈썹 램프, 네일 기술, 미용사 - 밝기 및 높이 조절이 가능한 시원하고 따뜻한 조명 램프(검은색)</v>
      </c>
      <c r="F2402" s="1" t="str">
        <f>IFERROR(__xludf.DUMMYFUNCTION("CONCATENATE(GOOGLETRANSLATE(C2402, ""en"", ""ja""))"),"toyshi Hi_Friend LED ランプ まつげエクステ用 28 - タトゥーアーティスト、ネイルテック、エステティシャン用ラッシュランプ - 明るさと高さを調節可能なクールで温かみのある照明ランプ (ブラック)")</f>
        <v>toyshi Hi_Friend LED ランプ まつげエクステ用 28 - タトゥーアーティスト、ネイルテック、エステティシャン用ラッシュランプ - 明るさと高さを調節可能なクールで温かみのある照明ランプ (ブラック)</v>
      </c>
    </row>
    <row r="2403" ht="15.75" customHeight="1">
      <c r="A2403" s="1">
        <v>4464.0</v>
      </c>
      <c r="B2403" s="1" t="s">
        <v>15</v>
      </c>
      <c r="C2403" s="1" t="s">
        <v>2292</v>
      </c>
      <c r="D2403" s="1" t="str">
        <f>IFERROR(__xludf.DUMMYFUNCTION("CONCATENATE(GOOGLETRANSLATE(C2403, ""en"", ""zh-cn""))"),"toyshi Hi_Friend LED 睫毛延长灯，28 - 纹身艺术家、美甲技术、美容师用的睫毛灯 - 酷炫，360° 可旋转，温暖的照明灯，可调节亮度和高度（白色）")</f>
        <v>toyshi Hi_Friend LED 睫毛延长灯，28 - 纹身艺术家、美甲技术、美容师用的睫毛灯 - 酷炫，360° 可旋转，温暖的照明灯，可调节亮度和高度（白色）</v>
      </c>
      <c r="E2403" s="1" t="str">
        <f>IFERROR(__xludf.DUMMYFUNCTION("CONCATENATE(GOOGLETRANSLATE(C2403, ""en"", ""ko""))"),"속눈썹 연장용 toyshi Hi_Friend LED 램프, 28 - 문신 예술가용 속눈썹 램프, 네일 기술, 미용사 - 쿨, 360° 회전 가능, 밝기 및 높이 조절이 가능한 따뜻한 조명 램프(흰색)")</f>
        <v>속눈썹 연장용 toyshi Hi_Friend LED 램프, 28 - 문신 예술가용 속눈썹 램프, 네일 기술, 미용사 - 쿨, 360° 회전 가능, 밝기 및 높이 조절이 가능한 따뜻한 조명 램프(흰색)</v>
      </c>
      <c r="F2403" s="1" t="str">
        <f>IFERROR(__xludf.DUMMYFUNCTION("CONCATENATE(GOOGLETRANSLATE(C2403, ""en"", ""ja""))"),"toyshi Hi_Friend LED ランプ まつげエクステ用 28 - タトゥーアーティスト、ネイルテック、エステティシャン用ラッシュランプ - クール、360°回転可能、明るさと高さ調節可能な暖かい照明ランプ (ホワイト)")</f>
        <v>toyshi Hi_Friend LED ランプ まつげエクステ用 28 - タトゥーアーティスト、ネイルテック、エステティシャン用ラッシュランプ - クール、360°回転可能、明るさと高さ調節可能な暖かい照明ランプ (ホワイト)</v>
      </c>
    </row>
    <row r="2404" ht="15.75" customHeight="1">
      <c r="A2404" s="1">
        <v>4466.0</v>
      </c>
      <c r="B2404" s="1" t="s">
        <v>15</v>
      </c>
      <c r="C2404" s="1" t="s">
        <v>2293</v>
      </c>
      <c r="D2404" s="1" t="str">
        <f>IFERROR(__xludf.DUMMYFUNCTION("CONCATENATE(GOOGLETRANSLATE(C2404, ""en"", ""zh-cn""))"),"可调节美容师自拍睫毛灯落地灯，用于睫毛延长，带三脚架和手机支架，便携式纹身灯，用于化妆、拍摄、视频录制")</f>
        <v>可调节美容师自拍睫毛灯落地灯，用于睫毛延长，带三脚架和手机支架，便携式纹身灯，用于化妆、拍摄、视频录制</v>
      </c>
      <c r="E2404" s="1" t="str">
        <f>IFERROR(__xludf.DUMMYFUNCTION("CONCATENATE(GOOGLETRANSLATE(C2404, ""en"", ""ko""))"),"삼각대 스탠드와 휴대폰 홀더가 있는 속눈썹 연장용 조정 가능한 미용사 셀카 래쉬 라이트 플로어 램프, 메이크업, 촬영, 비디오 녹화를 위한 휴대용 문신 조명")</f>
        <v>삼각대 스탠드와 휴대폰 홀더가 있는 속눈썹 연장용 조정 가능한 미용사 셀카 래쉬 라이트 플로어 램프, 메이크업, 촬영, 비디오 녹화를 위한 휴대용 문신 조명</v>
      </c>
      <c r="F2404" s="1" t="str">
        <f>IFERROR(__xludf.DUMMYFUNCTION("CONCATENATE(GOOGLETRANSLATE(C2404, ""en"", ""ja""))"),"調整可能なエステティシャンセルフィーラッシュライトフロアランプ、三脚スタンドと電話ホルダー付きまつげエクステ用、メイクアップ、撮影、ビデオ録画用のポータブルタトゥーライト")</f>
        <v>調整可能なエステティシャンセルフィーラッシュライトフロアランプ、三脚スタンドと電話ホルダー付きまつげエクステ用、メイクアップ、撮影、ビデオ録画用のポータブルタトゥーライト</v>
      </c>
    </row>
    <row r="2405" ht="15.75" customHeight="1">
      <c r="A2405" s="1">
        <v>4476.0</v>
      </c>
      <c r="B2405" s="1" t="s">
        <v>15</v>
      </c>
      <c r="C2405" s="1" t="s">
        <v>2294</v>
      </c>
      <c r="D2405" s="1" t="str">
        <f>IFERROR(__xludf.DUMMYFUNCTION("CONCATENATE(GOOGLETRANSLATE(C2405, ""en"", ""zh-cn""))"),"香奈儿 Le Lift 眼霜，黑色，0.5 盎司")</f>
        <v>香奈儿 Le Lift 眼霜，黑色，0.5 盎司</v>
      </c>
      <c r="E2405" s="1" t="str">
        <f>IFERROR(__xludf.DUMMYFUNCTION("CONCATENATE(GOOGLETRANSLATE(C2405, ""en"", ""ko""))"),"샤넬 르 리프트 크림 예, 블랙, 0.5 온스")</f>
        <v>샤넬 르 리프트 크림 예, 블랙, 0.5 온스</v>
      </c>
      <c r="F2405" s="1" t="str">
        <f>IFERROR(__xludf.DUMMYFUNCTION("CONCATENATE(GOOGLETRANSLATE(C2405, ""en"", ""ja""))"),"シャネル ル リフト クレーム ユー、ブラック、0.5 オンス")</f>
        <v>シャネル ル リフト クレーム ユー、ブラック、0.5 オンス</v>
      </c>
    </row>
    <row r="2406" ht="15.75" customHeight="1">
      <c r="A2406" s="1">
        <v>4478.0</v>
      </c>
      <c r="B2406" s="1" t="s">
        <v>15</v>
      </c>
      <c r="C2406" s="1" t="s">
        <v>2295</v>
      </c>
      <c r="D2406" s="1" t="str">
        <f>IFERROR(__xludf.DUMMYFUNCTION("CONCATENATE(GOOGLETRANSLATE(C2406, ""en"", ""zh-cn""))"),"SISLEY 植物修复面霜，含乳木果油，1.6 盎司罐装 (sisley-3473311218001)")</f>
        <v>SISLEY 植物修复面霜，含乳木果油，1.6 盎司罐装 (sisley-3473311218001)</v>
      </c>
      <c r="E2406" s="1" t="str">
        <f>IFERROR(__xludf.DUMMYFUNCTION("CONCATENATE(GOOGLETRANSLATE(C2406, ""en"", ""ko""))"),"시슬리 식물성 회복 페이셜 크림, 시어 버터 함유, 1.6온스 병(sisley-3473311218001)")</f>
        <v>시슬리 식물성 회복 페이셜 크림, 시어 버터 함유, 1.6온스 병(sisley-3473311218001)</v>
      </c>
      <c r="F2406" s="1" t="str">
        <f>IFERROR(__xludf.DUMMYFUNCTION("CONCATENATE(GOOGLETRANSLATE(C2406, ""en"", ""ja""))"),"シスレー ボタニカル リストラティブ フェイシャル クリーム シアバター入り、1.6オンス ジャー (sisley-3473311218001)")</f>
        <v>シスレー ボタニカル リストラティブ フェイシャル クリーム シアバター入り、1.6オンス ジャー (sisley-3473311218001)</v>
      </c>
    </row>
    <row r="2407" ht="15.75" customHeight="1">
      <c r="A2407" s="1">
        <v>4487.0</v>
      </c>
      <c r="B2407" s="1" t="s">
        <v>15</v>
      </c>
      <c r="C2407" s="1" t="s">
        <v>2296</v>
      </c>
      <c r="D2407" s="1" t="str">
        <f>IFERROR(__xludf.DUMMYFUNCTION("CONCATENATE(GOOGLETRANSLATE(C2407, ""en"", ""zh-cn""))"),"Sisley 生态复合剂 4.2 盎司")</f>
        <v>Sisley 生态复合剂 4.2 盎司</v>
      </c>
      <c r="E2407" s="1" t="str">
        <f>IFERROR(__xludf.DUMMYFUNCTION("CONCATENATE(GOOGLETRANSLATE(C2407, ""en"", ""ko""))"),"시슬리 에콜로지컬 컴파운드 4.2온스")</f>
        <v>시슬리 에콜로지컬 컴파운드 4.2온스</v>
      </c>
      <c r="F2407" s="1" t="str">
        <f>IFERROR(__xludf.DUMMYFUNCTION("CONCATENATE(GOOGLETRANSLATE(C2407, ""en"", ""ja""))"),"シスレー エコロジカル コンパウンド 4.2 オンス")</f>
        <v>シスレー エコロジカル コンパウンド 4.2 オンス</v>
      </c>
    </row>
    <row r="2408" ht="15.75" customHeight="1">
      <c r="A2408" s="1">
        <v>4502.0</v>
      </c>
      <c r="B2408" s="1" t="s">
        <v>15</v>
      </c>
      <c r="C2408" s="1" t="s">
        <v>2297</v>
      </c>
      <c r="D2408" s="1" t="str">
        <f>IFERROR(__xludf.DUMMYFUNCTION("CONCATENATE(GOOGLETRANSLATE(C2408, ""en"", ""zh-cn""))"),"Sisley 女士 L’orchidee 白百合荧光笔腮红，0.52 盎司")</f>
        <v>Sisley 女士 L’orchidee 白百合荧光笔腮红，0.52 盎司</v>
      </c>
      <c r="E2408" s="1" t="str">
        <f>IFERROR(__xludf.DUMMYFUNCTION("CONCATENATE(GOOGLETRANSLATE(C2408, ""en"", ""ko""))"),"시슬리 여성용 로키디 하이라이터 블러셔 위드 화이트 릴리, 0.52온스")</f>
        <v>시슬리 여성용 로키디 하이라이터 블러셔 위드 화이트 릴리, 0.52온스</v>
      </c>
      <c r="F2408" s="1" t="str">
        <f>IFERROR(__xludf.DUMMYFUNCTION("CONCATENATE(GOOGLETRANSLATE(C2408, ""en"", ""ja""))"),"シスレー レディース ローキディー ハイライター ブラッシュ ホワイト リリー、0.52 オンス")</f>
        <v>シスレー レディース ローキディー ハイライター ブラッシュ ホワイト リリー、0.52 オンス</v>
      </c>
    </row>
    <row r="2409" ht="15.75" customHeight="1">
      <c r="A2409" s="1">
        <v>4503.0</v>
      </c>
      <c r="B2409" s="1" t="s">
        <v>15</v>
      </c>
      <c r="C2409" s="1" t="s">
        <v>2298</v>
      </c>
      <c r="D2409" s="1" t="str">
        <f>IFERROR(__xludf.DUMMYFUNCTION("CONCATENATE(GOOGLETRANSLATE(C2409, ""en"", ""zh-cn""))"),"SISLEY 眼部轮廓面膜，1.16 盎司盒装 (3473311421005)")</f>
        <v>SISLEY 眼部轮廓面膜，1.16 盎司盒装 (3473311421005)</v>
      </c>
      <c r="E2409" s="1" t="str">
        <f>IFERROR(__xludf.DUMMYFUNCTION("CONCATENATE(GOOGLETRANSLATE(C2409, ""en"", ""ko""))"),"시슬리 아이 컨투어 마스크, 1.16온스 박스(3473311421005)")</f>
        <v>시슬리 아이 컨투어 마스크, 1.16온스 박스(3473311421005)</v>
      </c>
      <c r="F2409" s="1" t="str">
        <f>IFERROR(__xludf.DUMMYFUNCTION("CONCATENATE(GOOGLETRANSLATE(C2409, ""en"", ""ja""))"),"SISLEY アイ コンター マスク、1.16 オンス ボックス (3473311421005)")</f>
        <v>SISLEY アイ コンター マスク、1.16 オンス ボックス (3473311421005)</v>
      </c>
    </row>
    <row r="2410" ht="15.75" customHeight="1">
      <c r="A2410" s="1">
        <v>4506.0</v>
      </c>
      <c r="B2410" s="1" t="s">
        <v>15</v>
      </c>
      <c r="C2410" s="1" t="s">
        <v>2299</v>
      </c>
      <c r="D2410" s="1" t="str">
        <f>IFERROR(__xludf.DUMMYFUNCTION("CONCATENATE(GOOGLETRANSLATE(C2410, ""en"", ""zh-cn""))"),"希思黎 (Sisley) 珊瑚兰兰花调色板")</f>
        <v>希思黎 (Sisley) 珊瑚兰兰花调色板</v>
      </c>
      <c r="E2410" s="1" t="str">
        <f>IFERROR(__xludf.DUMMYFUNCTION("CONCATENATE(GOOGLETRANSLATE(C2410, ""en"", ""ko""))"),"시슬리 팔레트 로키디 코레일")</f>
        <v>시슬리 팔레트 로키디 코레일</v>
      </c>
      <c r="F2410" s="1" t="str">
        <f>IFERROR(__xludf.DUMMYFUNCTION("CONCATENATE(GOOGLETRANSLATE(C2410, ""en"", ""ja""))"),"シスレー パレット ロルキデ コライユ")</f>
        <v>シスレー パレット ロルキデ コライユ</v>
      </c>
    </row>
    <row r="2411" ht="15.75" customHeight="1">
      <c r="A2411" s="1">
        <v>4512.0</v>
      </c>
      <c r="B2411" s="1" t="s">
        <v>15</v>
      </c>
      <c r="C2411" s="1" t="s">
        <v>2300</v>
      </c>
      <c r="D2411" s="1" t="str">
        <f>IFERROR(__xludf.DUMMYFUNCTION("CONCATENATE(GOOGLETRANSLATE(C2411, ""en"", ""zh-cn""))"),"Vitasei Beauty Boost 抗光老化日间面部精华液和水润再生夜间面部精华液，含干细胞、透明质酸、胶原蛋白、保湿面部油、防晒保湿霜，30 毫升 + 30 毫升")</f>
        <v>Vitasei Beauty Boost 抗光老化日间面部精华液和水润再生夜间面部精华液，含干细胞、透明质酸、胶原蛋白、保湿面部油、防晒保湿霜，30 毫升 + 30 毫升</v>
      </c>
      <c r="E2411" s="1" t="str">
        <f>IFERROR(__xludf.DUMMYFUNCTION("CONCATENATE(GOOGLETRANSLATE(C2411, ""en"", ""ko""))"),"Vitasei 뷰티 부스트 안티-포토에이징 데이 페이셜 세럼 &amp; 하이드로-리뉴잉 나이트 페이셜 세럼 줄기 세포, 히알루론산, 콜라겐, 자외선 차단용 하이드레이팅 페이스 오일 모이스처라이저, 30ml + 30ml")</f>
        <v>Vitasei 뷰티 부스트 안티-포토에이징 데이 페이셜 세럼 &amp; 하이드로-리뉴잉 나이트 페이셜 세럼 줄기 세포, 히알루론산, 콜라겐, 자외선 차단용 하이드레이팅 페이스 오일 모이스처라이저, 30ml + 30ml</v>
      </c>
      <c r="F2411" s="1" t="str">
        <f>IFERROR(__xludf.DUMMYFUNCTION("CONCATENATE(GOOGLETRANSLATE(C2411, ""en"", ""ja""))"),"Vitasei ビューティ ブースト アンチフォトエイジング デイ フェイシャル セラム &amp; ハイドロリニューイング ナイト フェイシャル セラム、幹細胞、ヒアルロン酸、コラーゲン、日焼け止め用の保湿フェイス オイル モイスチャライザー、30 ml + 30 ml")</f>
        <v>Vitasei ビューティ ブースト アンチフォトエイジング デイ フェイシャル セラム &amp; ハイドロリニューイング ナイト フェイシャル セラム、幹細胞、ヒアルロン酸、コラーゲン、日焼け止め用の保湿フェイス オイル モイスチャライザー、30 ml + 30 ml</v>
      </c>
    </row>
    <row r="2412" ht="15.75" customHeight="1">
      <c r="A2412" s="1">
        <v>4513.0</v>
      </c>
      <c r="B2412" s="1" t="s">
        <v>15</v>
      </c>
      <c r="C2412" s="1" t="s">
        <v>2301</v>
      </c>
      <c r="D2412" s="1" t="str">
        <f>IFERROR(__xludf.DUMMYFUNCTION("CONCATENATE(GOOGLETRANSLATE(C2412, ""en"", ""zh-cn""))"),"Chanel Vitalumiere Aqua 超轻盈肌肤完美彩妆 SPF 15-30 毫升，22 米色玫瑰色")</f>
        <v>Chanel Vitalumiere Aqua 超轻盈肌肤完美彩妆 SPF 15-30 毫升，22 米色玫瑰色</v>
      </c>
      <c r="E2412" s="1" t="str">
        <f>IFERROR(__xludf.DUMMYFUNCTION("CONCATENATE(GOOGLETRANSLATE(C2412, ""en"", ""ko""))"),"샤넬 비탈뤼미에르 아쿠아 울트라-라이트 스킨 퍼펙팅 메이크업 SPF 15-30ml, 22 베이지 로즈")</f>
        <v>샤넬 비탈뤼미에르 아쿠아 울트라-라이트 스킨 퍼펙팅 메이크업 SPF 15-30ml, 22 베이지 로즈</v>
      </c>
      <c r="F2412" s="1" t="str">
        <f>IFERROR(__xludf.DUMMYFUNCTION("CONCATENATE(GOOGLETRANSLATE(C2412, ""en"", ""ja""))"),"シャネル ヴィタルミエール アクア ウルトラ ライト スキン パーフェクティング メイクアップ SPF 15-30 ml、22 ベージュ ローズ")</f>
        <v>シャネル ヴィタルミエール アクア ウルトラ ライト スキン パーフェクティング メイクアップ SPF 15-30 ml、22 ベージュ ローズ</v>
      </c>
    </row>
    <row r="2413" ht="15.75" customHeight="1">
      <c r="A2413" s="1">
        <v>4514.0</v>
      </c>
      <c r="B2413" s="1" t="s">
        <v>15</v>
      </c>
      <c r="C2413" s="1" t="s">
        <v>2302</v>
      </c>
      <c r="D2413" s="1" t="str">
        <f>IFERROR(__xludf.DUMMYFUNCTION("CONCATENATE(GOOGLETRANSLATE(C2413, ""en"", ""zh-cn""))"),"Germaine de Capuccini - Timexpert SRNS Eyes Illuminating Detox Cream - 照明排毒配方 - 对抗浮肿和眼袋 - 0.5 盎司")</f>
        <v>Germaine de Capuccini - Timexpert SRNS Eyes Illuminating Detox Cream - 照明排毒配方 - 对抗浮肿和眼袋 - 0.5 盎司</v>
      </c>
      <c r="E2413" s="1" t="str">
        <f>IFERROR(__xludf.DUMMYFUNCTION("CONCATENATE(GOOGLETRANSLATE(C2413, ""en"", ""ko""))"),"Germaine de Capuccini - Timexpert SRNS Eyes 일루미네이팅 디톡스 크림 - 일루미네이팅 디톡스 포뮬러 - 눈 밑 붓기와 백 방지 - 0.5온스")</f>
        <v>Germaine de Capuccini - Timexpert SRNS Eyes 일루미네이팅 디톡스 크림 - 일루미네이팅 디톡스 포뮬러 - 눈 밑 붓기와 백 방지 - 0.5온스</v>
      </c>
      <c r="F2413" s="1" t="str">
        <f>IFERROR(__xludf.DUMMYFUNCTION("CONCATENATE(GOOGLETRANSLATE(C2413, ""en"", ""ja""))"),"Germaine de Capuccini - Timexpert SRNS アイズ イルミネーティング デトックス クリーム - イルミネーティング デトックス フォーミュラ - 目の下のむくみやたるみ対策 - 0.5 オンス")</f>
        <v>Germaine de Capuccini - Timexpert SRNS アイズ イルミネーティング デトックス クリーム - イルミネーティング デトックス フォーミュラ - 目の下のむくみやたるみ対策 - 0.5 オンス</v>
      </c>
    </row>
    <row r="2414" ht="15.75" customHeight="1">
      <c r="A2414" s="1">
        <v>4522.0</v>
      </c>
      <c r="B2414" s="1" t="s">
        <v>15</v>
      </c>
      <c r="C2414" s="1" t="s">
        <v>2303</v>
      </c>
      <c r="D2414" s="1" t="str">
        <f>IFERROR(__xludf.DUMMYFUNCTION("CONCATENATE(GOOGLETRANSLATE(C2414, ""en"", ""zh-cn""))"),"LOUDYKACA Led 面膜光疗 7 色 Led 光疗面膜蓝光红光治疗面部痤疮护肤面膜")</f>
        <v>LOUDYKACA Led 面膜光疗 7 色 Led 光疗面膜蓝光红光治疗面部痤疮护肤面膜</v>
      </c>
      <c r="E2414" s="1" t="str">
        <f>IFERROR(__xludf.DUMMYFUNCTION("CONCATENATE(GOOGLETRANSLATE(C2414, ""en"", ""ko""))"),"LOUDYKACA Led 페이스 마스크 라이트 테라피 7 색 Led 라이트 테라피 페이셜 마스크 얼굴 여드름 감소 스킨 케어 마스크를위한 블루 레드 라이트 테라피")</f>
        <v>LOUDYKACA Led 페이스 마스크 라이트 테라피 7 색 Led 라이트 테라피 페이셜 마스크 얼굴 여드름 감소 스킨 케어 마스크를위한 블루 레드 라이트 테라피</v>
      </c>
      <c r="F2414" s="1" t="str">
        <f>IFERROR(__xludf.DUMMYFUNCTION("CONCATENATE(GOOGLETRANSLATE(C2414, ""en"", ""ja""))"),"LOUDYKACA LED フェイスマスク ライトセラピー 7 色 LED ライトセラピー フェイシャルマスク 青 赤 ライトセラピー 顔用 ニキビ軽減 スキンケアマスク")</f>
        <v>LOUDYKACA LED フェイスマスク ライトセラピー 7 色 LED ライトセラピー フェイシャルマスク 青 赤 ライトセラピー 顔用 ニキビ軽減 スキンケアマスク</v>
      </c>
    </row>
    <row r="2415" ht="15.75" customHeight="1">
      <c r="A2415" s="1">
        <v>4526.0</v>
      </c>
      <c r="B2415" s="1" t="s">
        <v>15</v>
      </c>
      <c r="C2415" s="1" t="s">
        <v>2304</v>
      </c>
      <c r="D2415" s="1" t="str">
        <f>IFERROR(__xludf.DUMMYFUNCTION("CONCATENATE(GOOGLETRANSLATE(C2415, ""en"", ""zh-cn""))"),"SISLEY 希思黎 花香爽肤水")</f>
        <v>SISLEY 希思黎 花香爽肤水</v>
      </c>
      <c r="E2415" s="1" t="str">
        <f>IFERROR(__xludf.DUMMYFUNCTION("CONCATENATE(GOOGLETRANSLATE(C2415, ""en"", ""ko""))"),"시슬리 플로럴 토닝 로션")</f>
        <v>시슬리 플로럴 토닝 로션</v>
      </c>
      <c r="F2415" s="1" t="str">
        <f>IFERROR(__xludf.DUMMYFUNCTION("CONCATENATE(GOOGLETRANSLATE(C2415, ""en"", ""ja""))"),"シスレー フローラル トーニング ローション")</f>
        <v>シスレー フローラル トーニング ローション</v>
      </c>
    </row>
    <row r="2416" ht="15.75" customHeight="1">
      <c r="A2416" s="1">
        <v>4554.0</v>
      </c>
      <c r="B2416" s="1" t="s">
        <v>15</v>
      </c>
      <c r="C2416" s="1" t="s">
        <v>2305</v>
      </c>
      <c r="D2416" s="1" t="str">
        <f>IFERROR(__xludf.DUMMYFUNCTION("CONCATENATE(GOOGLETRANSLATE(C2416, ""en"", ""zh-cn""))"),"Karuna 保湿+面膜，具有保湿和胶原蛋白促进特性的护肤和美容面膜，可让肌肤健康光泽、柔嫩，含有纳豆和烟酰胺（8 片）")</f>
        <v>Karuna 保湿+面膜，具有保湿和胶原蛋白促进特性的护肤和美容面膜，可让肌肤健康光泽、柔嫩，含有纳豆和烟酰胺（8 片）</v>
      </c>
      <c r="E2416" s="1" t="str">
        <f>IFERROR(__xludf.DUMMYFUNCTION("CONCATENATE(GOOGLETRANSLATE(C2416, ""en"", ""ko""))"),"카루나 하이드레이팅+ 페이스 마스크 시트, 건강한 윤기와 유연한 피부를 위한 보습 및 콜라겐 촉진 특성을 갖춘 스킨케어 및 뷰티 페이셜 마스크, 낫토 및 나이아신아마이드 함유(8매)")</f>
        <v>카루나 하이드레이팅+ 페이스 마스크 시트, 건강한 윤기와 유연한 피부를 위한 보습 및 콜라겐 촉진 특성을 갖춘 스킨케어 및 뷰티 페이셜 마스크, 낫토 및 나이아신아마이드 함유(8매)</v>
      </c>
      <c r="F2416" s="1" t="str">
        <f>IFERROR(__xludf.DUMMYFUNCTION("CONCATENATE(GOOGLETRANSLATE(C2416, ""en"", ""ja""))"),"カルナ ハイドレーティング+ フェイス マスク シート、保湿とコラーゲン促進作用で健康的な輝きとしなやかな肌を実現するスキンケアと美容のフェイシャル マスク、納豆とナイアシンアミド配合 (8 枚)")</f>
        <v>カルナ ハイドレーティング+ フェイス マスク シート、保湿とコラーゲン促進作用で健康的な輝きとしなやかな肌を実現するスキンケアと美容のフェイシャル マスク、納豆とナイアシンアミド配合 (8 枚)</v>
      </c>
    </row>
    <row r="2417" ht="15.75" customHeight="1">
      <c r="A2417" s="1">
        <v>4639.0</v>
      </c>
      <c r="B2417" s="1" t="s">
        <v>15</v>
      </c>
      <c r="C2417" s="1" t="s">
        <v>2306</v>
      </c>
      <c r="D2417" s="1" t="str">
        <f>IFERROR(__xludf.DUMMYFUNCTION("CONCATENATE(GOOGLETRANSLATE(C2417, ""en"", ""zh-cn""))"),"花园圆顶冰屋 - 时尚的温室、儿童游乐区、温室或凉亭。")</f>
        <v>花园圆顶冰屋 - 时尚的温室、儿童游乐区、温室或凉亭。</v>
      </c>
      <c r="E2417" s="1" t="str">
        <f>IFERROR(__xludf.DUMMYFUNCTION("CONCATENATE(GOOGLETRANSLATE(C2417, ""en"", ""ko""))"),"가든 돔 이글루 - 세련된 온실, 어린이를 위한 놀이 공간, 온실 또는 전망대.")</f>
        <v>가든 돔 이글루 - 세련된 온실, 어린이를 위한 놀이 공간, 온실 또는 전망대.</v>
      </c>
      <c r="F2417" s="1" t="str">
        <f>IFERROR(__xludf.DUMMYFUNCTION("CONCATENATE(GOOGLETRANSLATE(C2417, ""en"", ""ja""))"),"ガーデン ドーム イグルー - スタイリッシュな温室、子供用の遊び場、温室、またはガゼボ。")</f>
        <v>ガーデン ドーム イグルー - スタイリッシュな温室、子供用の遊び場、温室、またはガゼボ。</v>
      </c>
    </row>
    <row r="2418" ht="15.75" customHeight="1">
      <c r="A2418" s="1">
        <v>4661.0</v>
      </c>
      <c r="B2418" s="1" t="s">
        <v>15</v>
      </c>
      <c r="C2418" s="1" t="s">
        <v>1854</v>
      </c>
      <c r="D2418" s="1" t="str">
        <f>IFERROR(__xludf.DUMMYFUNCTION("CONCATENATE(GOOGLETRANSLATE(C2418, ""en"", ""zh-cn""))"),"FNNEMGE 300W便携式充电站（峰值350W），266Wh太阳能户外发电机，72000mAh 60W PD移动电源，双110V交流插座12V/10A直流输出，纯正弦波，野营电池供电")</f>
        <v>FNNEMGE 300W便携式充电站（峰值350W），266Wh太阳能户外发电机，72000mAh 60W PD移动电源，双110V交流插座12V/10A直流输出，纯正弦波，野营电池供电</v>
      </c>
      <c r="E2418" s="1" t="str">
        <f>IFERROR(__xludf.DUMMYFUNCTION("CONCATENATE(GOOGLETRANSLATE(C2418, ""en"", ""ko""))"),"FNNEMGE 300W 휴대용 발전소(350W 피크), 266Wh 태양광 실외 발전기, 듀얼 110V AC 콘센트 12V/10A DC 출력, 순수 사인파, 캠핑용 배터리 전원 공급 장치가 포함된 72000mAh 60W PD 전원 은행")</f>
        <v>FNNEMGE 300W 휴대용 발전소(350W 피크), 266Wh 태양광 실외 발전기, 듀얼 110V AC 콘센트 12V/10A DC 출력, 순수 사인파, 캠핑용 배터리 전원 공급 장치가 포함된 72000mAh 60W PD 전원 은행</v>
      </c>
      <c r="F2418" s="1" t="str">
        <f>IFERROR(__xludf.DUMMYFUNCTION("CONCATENATE(GOOGLETRANSLATE(C2418, ""en"", ""ja""))"),"FNNEMGE 300W ポータブルパワーステーション (350W ピーク)、266Wh ソーラー屋外発電機、デュアル 110V AC コンセント付き 72000mAh 60W PD パワーバンク 12V/10A DC 出力、純粋な正弦波、キャンプ用バッテリー電源")</f>
        <v>FNNEMGE 300W ポータブルパワーステーション (350W ピーク)、266Wh ソーラー屋外発電機、デュアル 110V AC コンセント付き 72000mAh 60W PD パワーバンク 12V/10A DC 出力、純粋な正弦波、キャンプ用バッテリー電源</v>
      </c>
    </row>
    <row r="2419" ht="15.75" customHeight="1">
      <c r="A2419" s="1">
        <v>4665.0</v>
      </c>
      <c r="B2419" s="1" t="s">
        <v>15</v>
      </c>
      <c r="C2419" s="1" t="s">
        <v>2307</v>
      </c>
      <c r="D2419" s="1" t="str">
        <f>IFERROR(__xludf.DUMMYFUNCTION("CONCATENATE(GOOGLETRANSLATE(C2419, ""en"", ""zh-cn""))"),"Sunny Health &amp; Fitness 椭圆运动机训练器，配有可选的独家 SunnyFit™ 应用程序和增强型蓝牙连接")</f>
        <v>Sunny Health &amp; Fitness 椭圆运动机训练器，配有可选的独家 SunnyFit™ 应用程序和增强型蓝牙连接</v>
      </c>
      <c r="E2419" s="1" t="str">
        <f>IFERROR(__xludf.DUMMYFUNCTION("CONCATENATE(GOOGLETRANSLATE(C2419, ""en"", ""ko""))"),"독점 SunnyFit™ 앱(옵션) 및 향상된 Bluetooth 연결 기능을 갖춘 Sunny 건강 및 피트니스 타원형 운동 기구 트레이너")</f>
        <v>독점 SunnyFit™ 앱(옵션) 및 향상된 Bluetooth 연결 기능을 갖춘 Sunny 건강 및 피트니스 타원형 운동 기구 트레이너</v>
      </c>
      <c r="F2419" s="1" t="str">
        <f>IFERROR(__xludf.DUMMYFUNCTION("CONCATENATE(GOOGLETRANSLATE(C2419, ""en"", ""ja""))"),"Sunny Health &amp; Fitness エリプティカル エクササイズ マシン トレーナー (オプションの専用 SunnyFit™ アプリと強化された Bluetooth 接続を備え)")</f>
        <v>Sunny Health &amp; Fitness エリプティカル エクササイズ マシン トレーナー (オプションの専用 SunnyFit™ アプリと強化された Bluetooth 接続を備え)</v>
      </c>
    </row>
    <row r="2420" ht="15.75" customHeight="1">
      <c r="A2420" s="1">
        <v>4680.0</v>
      </c>
      <c r="B2420" s="1" t="s">
        <v>15</v>
      </c>
      <c r="C2420" s="1" t="s">
        <v>2011</v>
      </c>
      <c r="D2420" s="1" t="str">
        <f>IFERROR(__xludf.DUMMYFUNCTION("CONCATENATE(GOOGLETRANSLATE(C2420, ""en"", ""zh-cn""))"),"罗林斯| HEART OF THE HIDE 棒球手套 | R2G 和轮廓贴合模型 |高级磨合|多种风格")</f>
        <v>罗林斯| HEART OF THE HIDE 棒球手套 | R2G 和轮廓贴合模型 |高级磨合|多种风格</v>
      </c>
      <c r="E2420" s="1" t="str">
        <f>IFERROR(__xludf.DUMMYFUNCTION("CONCATENATE(GOOGLETRANSLATE(C2420, ""en"", ""ko""))"),"롤링스 | 숨은 야구 글러브의 심장 | R2G 및 윤곽 맞춤 모델 | 고급 침입 | 다양한 스타일")</f>
        <v>롤링스 | 숨은 야구 글러브의 심장 | R2G 및 윤곽 맞춤 모델 | 고급 침입 | 다양한 스타일</v>
      </c>
      <c r="F2420" s="1" t="str">
        <f>IFERROR(__xludf.DUMMYFUNCTION("CONCATENATE(GOOGLETRANSLATE(C2420, ""en"", ""ja""))"),"ローリングス | HEART OF THE HIDE 野球グローブ | R2G &amp; 輪郭フィットモデル |高度な慣らし運転 |複数のスタイル")</f>
        <v>ローリングス | HEART OF THE HIDE 野球グローブ | R2G &amp; 輪郭フィットモデル |高度な慣らし運転 |複数のスタイル</v>
      </c>
    </row>
    <row r="2421" ht="15.75" customHeight="1">
      <c r="A2421" s="1">
        <v>4684.0</v>
      </c>
      <c r="B2421" s="1" t="s">
        <v>15</v>
      </c>
      <c r="C2421" s="1" t="s">
        <v>1911</v>
      </c>
      <c r="D2421" s="1" t="str">
        <f>IFERROR(__xludf.DUMMYFUNCTION("CONCATENATE(GOOGLETRANSLATE(C2421, ""en"", ""zh-cn""))"),"Alvantor 弹出式泡泡帐篷 - 6' x 6' 即时冰屋帐篷 - 2-3 人露台屏风屋 - 大型超大防风雨吊舱 - 防寒露营帐篷 - 米色")</f>
        <v>Alvantor 弹出式泡泡帐篷 - 6' x 6' 即时冰屋帐篷 - 2-3 人露台屏风屋 - 大型超大防风雨吊舱 - 防寒露营帐篷 - 米色</v>
      </c>
      <c r="E2421" s="1" t="str">
        <f>IFERROR(__xludf.DUMMYFUNCTION("CONCATENATE(GOOGLETRANSLATE(C2421, ""en"", ""ko""))"),"Alvantor 팝업 버블 텐트 - 6' x 6' 인스턴트 이글루 텐트 - 파티오용 2-3인용 스크린 하우스 - 대형 특대 전천후 포드 - 방한 캠핑 텐트 - 베이지")</f>
        <v>Alvantor 팝업 버블 텐트 - 6' x 6' 인스턴트 이글루 텐트 - 파티오용 2-3인용 스크린 하우스 - 대형 특대 전천후 포드 - 방한 캠핑 텐트 - 베이지</v>
      </c>
      <c r="F2421" s="1" t="str">
        <f>IFERROR(__xludf.DUMMYFUNCTION("CONCATENATE(GOOGLETRANSLATE(C2421, ""en"", ""ja""))"),"Alvantor ポップアップバブルテント - 6フィート x 6フィート インスタントイグルーテント - パティオ用2～3人用スクリーンハウス - 大型特大耐候性ポッド - 防寒キャンプテント - ベージュ")</f>
        <v>Alvantor ポップアップバブルテント - 6フィート x 6フィート インスタントイグルーテント - パティオ用2～3人用スクリーンハウス - 大型特大耐候性ポッド - 防寒キャンプテント - ベージュ</v>
      </c>
    </row>
    <row r="2422" ht="15.75" customHeight="1">
      <c r="A2422" s="1">
        <v>4687.0</v>
      </c>
      <c r="B2422" s="1" t="s">
        <v>15</v>
      </c>
      <c r="C2422" s="1" t="s">
        <v>2308</v>
      </c>
      <c r="D2422" s="1" t="str">
        <f>IFERROR(__xludf.DUMMYFUNCTION("CONCATENATE(GOOGLETRANSLATE(C2422, ""en"", ""zh-cn""))"),"Igloo 70 夸脱高级 Trailmate 轮式滚动冷却器，橄榄绿")</f>
        <v>Igloo 70 夸脱高级 Trailmate 轮式滚动冷却器，橄榄绿</v>
      </c>
      <c r="E2422" s="1" t="str">
        <f>IFERROR(__xludf.DUMMYFUNCTION("CONCATENATE(GOOGLETRANSLATE(C2422, ""en"", ""ko""))"),"Igloo 70 Qt 프리미엄 Trailmate 바퀴 달린 롤링 쿨러, 올리브 그린")</f>
        <v>Igloo 70 Qt 프리미엄 Trailmate 바퀴 달린 롤링 쿨러, 올리브 그린</v>
      </c>
      <c r="F2422" s="1" t="str">
        <f>IFERROR(__xludf.DUMMYFUNCTION("CONCATENATE(GOOGLETRANSLATE(C2422, ""en"", ""ja""))"),"Igloo 70 Qt プレミアム Trailmate ホイール付きローリング クーラー、オリーブ グリーン")</f>
        <v>Igloo 70 Qt プレミアム Trailmate ホイール付きローリング クーラー、オリーブ グリーン</v>
      </c>
    </row>
    <row r="2423" ht="15.75" customHeight="1">
      <c r="A2423" s="1">
        <v>4689.0</v>
      </c>
      <c r="B2423" s="1" t="s">
        <v>15</v>
      </c>
      <c r="C2423" s="1" t="s">
        <v>2309</v>
      </c>
      <c r="D2423" s="1" t="str">
        <f>IFERROR(__xludf.DUMMYFUNCTION("CONCATENATE(GOOGLETRANSLATE(C2423, ""en"", ""zh-cn""))"),"BiSaddle SRT 超短无鼻可调自行车鞍座黑色带钛导轨定制舒适，均码")</f>
        <v>BiSaddle SRT 超短无鼻可调自行车鞍座黑色带钛导轨定制舒适，均码</v>
      </c>
      <c r="E2423" s="1" t="str">
        <f>IFERROR(__xludf.DUMMYFUNCTION("CONCATENATE(GOOGLETRANSLATE(C2423, ""en"", ""ko""))"),"BiSaddle SRT 슈퍼 짧은 노즈리스 조절식 자전거 안장 블랙(티타늄 레일 포함) 맞춤형 컴포트, 단일 사이즈")</f>
        <v>BiSaddle SRT 슈퍼 짧은 노즈리스 조절식 자전거 안장 블랙(티타늄 레일 포함) 맞춤형 컴포트, 단일 사이즈</v>
      </c>
      <c r="F2423" s="1" t="str">
        <f>IFERROR(__xludf.DUMMYFUNCTION("CONCATENATE(GOOGLETRANSLATE(C2423, ""en"", ""ja""))"),"BiSaddle SRT スーパーショート ノーズレス 調節可能 自転車サドル ブラック チタンレール付き カスタムフィット コンフォート、ワンサイズ")</f>
        <v>BiSaddle SRT スーパーショート ノーズレス 調節可能 自転車サドル ブラック チタンレール付き カスタムフィット コンフォート、ワンサイズ</v>
      </c>
    </row>
    <row r="2424" ht="15.75" customHeight="1">
      <c r="A2424" s="1">
        <v>4696.0</v>
      </c>
      <c r="B2424" s="1" t="s">
        <v>15</v>
      </c>
      <c r="C2424" s="1" t="s">
        <v>2310</v>
      </c>
      <c r="D2424" s="1" t="str">
        <f>IFERROR(__xludf.DUMMYFUNCTION("CONCATENATE(GOOGLETRANSLATE(C2424, ""en"", ""zh-cn""))"),"Giro Helios 球形成人公路骑行头盔")</f>
        <v>Giro Helios 球形成人公路骑行头盔</v>
      </c>
      <c r="E2424" s="1" t="str">
        <f>IFERROR(__xludf.DUMMYFUNCTION("CONCATENATE(GOOGLETRANSLATE(C2424, ""en"", ""ko""))"),"Giro Helios 구형 성인용 도로 사이클링 헬멧")</f>
        <v>Giro Helios 구형 성인용 도로 사이클링 헬멧</v>
      </c>
      <c r="F2424" s="1" t="str">
        <f>IFERROR(__xludf.DUMMYFUNCTION("CONCATENATE(GOOGLETRANSLATE(C2424, ""en"", ""ja""))"),"Giro Helios 球状大人用ロードサイクリング ヘルメット")</f>
        <v>Giro Helios 球状大人用ロードサイクリング ヘルメット</v>
      </c>
    </row>
    <row r="2425" ht="15.75" customHeight="1">
      <c r="A2425" s="1">
        <v>4734.0</v>
      </c>
      <c r="B2425" s="1" t="s">
        <v>15</v>
      </c>
      <c r="C2425" s="1" t="s">
        <v>1851</v>
      </c>
      <c r="D2425" s="1" t="str">
        <f>IFERROR(__xludf.DUMMYFUNCTION("CONCATENATE(GOOGLETRANSLATE(C2425, ""en"", ""zh-cn""))"),"GAN Megaminx M，五角磁力测速魔方，无贴纸")</f>
        <v>GAN Megaminx M，五角磁力测速魔方，无贴纸</v>
      </c>
      <c r="E2425" s="1" t="str">
        <f>IFERROR(__xludf.DUMMYFUNCTION("CONCATENATE(GOOGLETRANSLATE(C2425, ""en"", ""ko""))"),"GAN Megaminx M, 오각형 자기 속도 큐브, 스티커 없음")</f>
        <v>GAN Megaminx M, 오각형 자기 속도 큐브, 스티커 없음</v>
      </c>
      <c r="F2425" s="1" t="str">
        <f>IFERROR(__xludf.DUMMYFUNCTION("CONCATENATE(GOOGLETRANSLATE(C2425, ""en"", ""ja""))"),"GAN メガミンクス M、五角形磁気スピードキューブ、ステッカーレス")</f>
        <v>GAN メガミンクス M、五角形磁気スピードキューブ、ステッカーレス</v>
      </c>
    </row>
    <row r="2426" ht="15.75" customHeight="1">
      <c r="A2426" s="1">
        <v>4736.0</v>
      </c>
      <c r="B2426" s="1" t="s">
        <v>15</v>
      </c>
      <c r="C2426" s="1" t="s">
        <v>1861</v>
      </c>
      <c r="D2426" s="1" t="str">
        <f>IFERROR(__xludf.DUMMYFUNCTION("CONCATENATE(GOOGLETRANSLATE(C2426, ""en"", ""zh-cn""))"),"博克芬诺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2426" s="1" t="str">
        <f>IFERROR(__xludf.DUMMYFUNCTION("CONCATENATE(GOOGLETRANSLATE(C2426, ""en"", ""ko""))"),"Bokefenuo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2426" s="1" t="str">
        <f>IFERROR(__xludf.DUMMYFUNCTION("CONCATENATE(GOOGLETRANSLATE(C2426, ""en"", ""ja""))"),"Bokefenuo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2427" ht="15.75" customHeight="1">
      <c r="A2427" s="1">
        <v>4754.0</v>
      </c>
      <c r="B2427" s="1" t="s">
        <v>381</v>
      </c>
      <c r="C2427" s="1" t="s">
        <v>697</v>
      </c>
      <c r="D2427" s="1" t="str">
        <f>IFERROR(__xludf.DUMMYFUNCTION("CONCATENATE(GOOGLETRANSLATE(C2427, ""en"", ""zh-cn""))"),"男式拼色前拉链抽绳连帽夹克")</f>
        <v>男式拼色前拉链抽绳连帽夹克</v>
      </c>
      <c r="E2427" s="1" t="str">
        <f>IFERROR(__xludf.DUMMYFUNCTION("CONCATENATE(GOOGLETRANSLATE(C2427, ""en"", ""ko""))"),"남성용 컬러 블록 패치워크 지퍼 앞면 드로스트링 후드 재킷")</f>
        <v>남성용 컬러 블록 패치워크 지퍼 앞면 드로스트링 후드 재킷</v>
      </c>
      <c r="F2427" s="1" t="str">
        <f>IFERROR(__xludf.DUMMYFUNCTION("CONCATENATE(GOOGLETRANSLATE(C2427, ""en"", ""ja""))"),"メンズ カラーブロック パッチワーク ジップ フロント ドローストリング フード付きジャケット")</f>
        <v>メンズ カラーブロック パッチワーク ジップ フロント ドローストリング フード付きジャケット</v>
      </c>
    </row>
    <row r="2428" ht="15.75" customHeight="1">
      <c r="A2428" s="1">
        <v>4803.0</v>
      </c>
      <c r="B2428" s="1" t="s">
        <v>15</v>
      </c>
      <c r="C2428" s="1" t="s">
        <v>2311</v>
      </c>
      <c r="D2428" s="1" t="str">
        <f>IFERROR(__xludf.DUMMYFUNCTION("CONCATENATE(GOOGLETRANSLATE(C2428, ""en"", ""zh-cn""))"),"Apple 2024 MacBook Air 13 英寸笔记本电脑，配备 M3 芯片：13.6 英寸 Liquid Retina 显示屏、8GB 统一内存、256GB SSD 存储、背光键盘、1080p FaceTime 高清摄像头、Touch ID；深空灰色")</f>
        <v>Apple 2024 MacBook Air 13 英寸笔记本电脑，配备 M3 芯片：13.6 英寸 Liquid Retina 显示屏、8GB 统一内存、256GB SSD 存储、背光键盘、1080p FaceTime 高清摄像头、Touch ID；深空灰色</v>
      </c>
      <c r="E2428" s="1" t="str">
        <f>IFERROR(__xludf.DUMMYFUNCTION("CONCATENATE(GOOGLETRANSLATE(C2428, ""en"", ""ko""))"),"M3 칩을 탑재한 Apple 2024 MacBook Air 13인치 노트북: 13.6인치 Liquid Retina 디스플레이, 8GB 통합 메모리, 256GB SSD 스토리지, 백라이트 키보드, 1080p FaceTime HD 카메라, Touch ID; 스페이스 그레이")</f>
        <v>M3 칩을 탑재한 Apple 2024 MacBook Air 13인치 노트북: 13.6인치 Liquid Retina 디스플레이, 8GB 통합 메모리, 256GB SSD 스토리지, 백라이트 키보드, 1080p FaceTime HD 카메라, Touch ID; 스페이스 그레이</v>
      </c>
      <c r="F2428" s="1" t="str">
        <f>IFERROR(__xludf.DUMMYFUNCTION("CONCATENATE(GOOGLETRANSLATE(C2428, ""en"", ""ja""))"),"M3 チップ搭載 Apple 2024 MacBook Air 13 インチ ラップトップ: 13.6 インチ Liquid Retina ディスプレイ、8GB ユニファイド メモリ、256GB SSD ストレージ、バックライト付きキーボード、1080p FaceTime HD カメラ、Touch ID。スペースグレイ")</f>
        <v>M3 チップ搭載 Apple 2024 MacBook Air 13 インチ ラップトップ: 13.6 インチ Liquid Retina ディスプレイ、8GB ユニファイド メモリ、256GB SSD ストレージ、バックライト付きキーボード、1080p FaceTime HD カメラ、Touch ID。スペースグレイ</v>
      </c>
    </row>
    <row r="2429" ht="15.75" customHeight="1">
      <c r="A2429" s="1">
        <v>4804.0</v>
      </c>
      <c r="B2429" s="1" t="s">
        <v>15</v>
      </c>
      <c r="C2429" s="1" t="s">
        <v>2312</v>
      </c>
      <c r="D2429" s="1" t="str">
        <f>IFERROR(__xludf.DUMMYFUNCTION("CONCATENATE(GOOGLETRANSLATE(C2429, ""en"", ""zh-cn""))"),"Apple 2024 MacBook Air 13 英寸笔记本电脑，配备 M3 芯片：13.6 英寸 Liquid Retina 显示屏、8GB 统一内存、256GB SSD 存储、背光键盘、1080p FaceTime 高清摄像头、Touch ID；银")</f>
        <v>Apple 2024 MacBook Air 13 英寸笔记本电脑，配备 M3 芯片：13.6 英寸 Liquid Retina 显示屏、8GB 统一内存、256GB SSD 存储、背光键盘、1080p FaceTime 高清摄像头、Touch ID；银</v>
      </c>
      <c r="E2429" s="1" t="str">
        <f>IFERROR(__xludf.DUMMYFUNCTION("CONCATENATE(GOOGLETRANSLATE(C2429, ""en"", ""ko""))"),"M3 칩을 탑재한 Apple 2024 MacBook Air 13인치 노트북: 13.6인치 Liquid Retina 디스플레이, 8GB 통합 메모리, 256GB SSD 스토리지, 백라이트 키보드, 1080p FaceTime HD 카메라, Touch ID; 은")</f>
        <v>M3 칩을 탑재한 Apple 2024 MacBook Air 13인치 노트북: 13.6인치 Liquid Retina 디스플레이, 8GB 통합 메모리, 256GB SSD 스토리지, 백라이트 키보드, 1080p FaceTime HD 카메라, Touch ID; 은</v>
      </c>
      <c r="F2429" s="1" t="str">
        <f>IFERROR(__xludf.DUMMYFUNCTION("CONCATENATE(GOOGLETRANSLATE(C2429, ""en"", ""ja""))"),"M3 チップ搭載 Apple 2024 MacBook Air 13 インチ ラップトップ: 13.6 インチ Liquid Retina ディスプレイ、8GB ユニファイド メモリ、256GB SSD ストレージ、バックライト付きキーボード、1080p FaceTime HD カメラ、Touch ID。銀")</f>
        <v>M3 チップ搭載 Apple 2024 MacBook Air 13 インチ ラップトップ: 13.6 インチ Liquid Retina ディスプレイ、8GB ユニファイド メモリ、256GB SSD ストレージ、バックライト付きキーボード、1080p FaceTime HD カメラ、Touch ID。銀</v>
      </c>
    </row>
    <row r="2430" ht="15.75" customHeight="1">
      <c r="A2430" s="1">
        <v>4831.0</v>
      </c>
      <c r="B2430" s="1" t="s">
        <v>15</v>
      </c>
      <c r="C2430" s="1" t="s">
        <v>2313</v>
      </c>
      <c r="D2430" s="1" t="str">
        <f>IFERROR(__xludf.DUMMYFUNCTION("CONCATENATE(GOOGLETRANSLATE(C2430, ""en"", ""zh-cn""))"),"Apple 2023 款 MacBook Pro 笔记本电脑 M3 芯片，配备 8 核 CPU、10 核 GPU：14.2 英寸 Liquid Retina XDR 显示屏、16GB 统一内存、1TB SSD 存储。适用于 iPhone/iPad；银")</f>
        <v>Apple 2023 款 MacBook Pro 笔记本电脑 M3 芯片，配备 8 核 CPU、10 核 GPU：14.2 英寸 Liquid Retina XDR 显示屏、16GB 统一内存、1TB SSD 存储。适用于 iPhone/iPad；银</v>
      </c>
      <c r="E2430" s="1" t="str">
        <f>IFERROR(__xludf.DUMMYFUNCTION("CONCATENATE(GOOGLETRANSLATE(C2430, ""en"", ""ko""))"),"8코어 CPU, 10코어 GPU를 탑재한 Apple 2023 MacBook Pro 노트북 M3 칩: 14.2인치 Liquid Retina XDR 디스플레이, 16GB 통합 메모리, 1TB SSD 스토리지. iPhone/iPad에서 작동합니다. 은")</f>
        <v>8코어 CPU, 10코어 GPU를 탑재한 Apple 2023 MacBook Pro 노트북 M3 칩: 14.2인치 Liquid Retina XDR 디스플레이, 16GB 통합 메모리, 1TB SSD 스토리지. iPhone/iPad에서 작동합니다. 은</v>
      </c>
      <c r="F2430" s="1" t="str">
        <f>IFERROR(__xludf.DUMMYFUNCTION("CONCATENATE(GOOGLETRANSLATE(C2430, ""en"", ""ja""))"),"Apple 2023 MacBook Pro ラップトップ M3 チップ、8 コア CPU、10 コア GPU: 14.2 インチ Liquid Retina XDR ディスプレイ、16 GB ユニファイド メモリ、1 TB SSD ストレージ。 iPhone/iPad で動作します。銀")</f>
        <v>Apple 2023 MacBook Pro ラップトップ M3 チップ、8 コア CPU、10 コア GPU: 14.2 インチ Liquid Retina XDR ディスプレイ、16 GB ユニファイド メモリ、1 TB SSD ストレージ。 iPhone/iPad で動作します。銀</v>
      </c>
    </row>
    <row r="2431" ht="15.75" customHeight="1">
      <c r="A2431" s="1">
        <v>4832.0</v>
      </c>
      <c r="B2431" s="1" t="s">
        <v>15</v>
      </c>
      <c r="C2431" s="1" t="s">
        <v>2314</v>
      </c>
      <c r="D2431" s="1" t="str">
        <f>IFERROR(__xludf.DUMMYFUNCTION("CONCATENATE(GOOGLETRANSLATE(C2431, ""en"", ""zh-cn""))"),"Apple 2023 款 MacBook Pro 笔记本电脑 M3 Pro 芯片，配备 12 核 CPU、18 核 GPU：14.2 英寸 Liquid Retina XDR 显示屏、18GB 统一内存、1TB SSD 存储。适用于 iPhone/iPad；银")</f>
        <v>Apple 2023 款 MacBook Pro 笔记本电脑 M3 Pro 芯片，配备 12 核 CPU、18 核 GPU：14.2 英寸 Liquid Retina XDR 显示屏、18GB 统一内存、1TB SSD 存储。适用于 iPhone/iPad；银</v>
      </c>
      <c r="E2431" s="1" t="str">
        <f>IFERROR(__xludf.DUMMYFUNCTION("CONCATENATE(GOOGLETRANSLATE(C2431, ""en"", ""ko""))"),"Apple 2023 MacBook Pro 노트북 M3 Pro 칩, 12코어 CPU, 18코어 GPU: 14.2인치 Liquid Retina XDR 디스플레이, 18GB 통합 메모리, 1TB SSD 스토리지. iPhone/iPad에서 작동합니다. 은")</f>
        <v>Apple 2023 MacBook Pro 노트북 M3 Pro 칩, 12코어 CPU, 18코어 GPU: 14.2인치 Liquid Retina XDR 디스플레이, 18GB 통합 메모리, 1TB SSD 스토리지. iPhone/iPad에서 작동합니다. 은</v>
      </c>
      <c r="F2431" s="1" t="str">
        <f>IFERROR(__xludf.DUMMYFUNCTION("CONCATENATE(GOOGLETRANSLATE(C2431, ""en"", ""ja""))"),"12 コア CPU、18 コア GPU を搭載した Apple 2023 MacBook Pro ラップトップ M3 Pro チップ: 14.2 インチ Liquid Retina XDR ディスプレイ、18GB ユニファイド メモリ、1TB SSD ストレージ。 iPhone/iPad で動作します。銀")</f>
        <v>12 コア CPU、18 コア GPU を搭載した Apple 2023 MacBook Pro ラップトップ M3 Pro チップ: 14.2 インチ Liquid Retina XDR ディスプレイ、18GB ユニファイド メモリ、1TB SSD ストレージ。 iPhone/iPad で動作します。銀</v>
      </c>
    </row>
    <row r="2432" ht="15.75" customHeight="1">
      <c r="A2432" s="1">
        <v>4837.0</v>
      </c>
      <c r="B2432" s="1" t="s">
        <v>15</v>
      </c>
      <c r="C2432" s="1" t="s">
        <v>2315</v>
      </c>
      <c r="D2432" s="1" t="str">
        <f>IFERROR(__xludf.DUMMYFUNCTION("CONCATENATE(GOOGLETRANSLATE(C2432, ""en"", ""zh-cn""))"),"Apple 2023 MacBook Pro 笔记本电脑 M3 Pro 芯片，配备 12 核 CPU、18 核 GPU：16.2 英寸 Liquid Retina XDR 显示屏、36GB 统一内存、512GB SSD 存储。适用于 iPhone/iPad；深空黑")</f>
        <v>Apple 2023 MacBook Pro 笔记本电脑 M3 Pro 芯片，配备 12 核 CPU、18 核 GPU：16.2 英寸 Liquid Retina XDR 显示屏、36GB 统一内存、512GB SSD 存储。适用于 iPhone/iPad；深空黑</v>
      </c>
      <c r="E2432" s="1" t="str">
        <f>IFERROR(__xludf.DUMMYFUNCTION("CONCATENATE(GOOGLETRANSLATE(C2432, ""en"", ""ko""))"),"Apple 2023 MacBook Pro 노트북 M3 Pro 칩, 12코어 CPU, 18코어 GPU: 16.2인치 Liquid Retina XDR 디스플레이, 36GB 통합 메모리, 512GB SSD 스토리지. iPhone/iPad에서 작동합니다. 스페이스 블랙")</f>
        <v>Apple 2023 MacBook Pro 노트북 M3 Pro 칩, 12코어 CPU, 18코어 GPU: 16.2인치 Liquid Retina XDR 디스플레이, 36GB 통합 메모리, 512GB SSD 스토리지. iPhone/iPad에서 작동합니다. 스페이스 블랙</v>
      </c>
      <c r="F2432" s="1" t="str">
        <f>IFERROR(__xludf.DUMMYFUNCTION("CONCATENATE(GOOGLETRANSLATE(C2432, ""en"", ""ja""))"),"12 コア CPU、18 コア GPU を搭載した Apple 2023 MacBook Pro ラップトップ M3 Pro チップ: 16.2 インチ Liquid Retina XDR ディスプレイ、36 GB ユニファイド メモリ、512 GB SSD ストレージ。 iPhone/iPad で動作します。スペースブラック")</f>
        <v>12 コア CPU、18 コア GPU を搭載した Apple 2023 MacBook Pro ラップトップ M3 Pro チップ: 16.2 インチ Liquid Retina XDR ディスプレイ、36 GB ユニファイド メモリ、512 GB SSD ストレージ。 iPhone/iPad で動作します。スペースブラック</v>
      </c>
    </row>
    <row r="2433" ht="15.75" customHeight="1">
      <c r="A2433" s="1">
        <v>4848.0</v>
      </c>
      <c r="B2433" s="1" t="s">
        <v>15</v>
      </c>
      <c r="C2433" s="1" t="s">
        <v>2316</v>
      </c>
      <c r="D2433" s="1" t="str">
        <f>IFERROR(__xludf.DUMMYFUNCTION("CONCATENATE(GOOGLETRANSLATE(C2433, ""en"", ""zh-cn""))"),"戴尔 Alienware m18 游戏笔记本电脑 (2023) | 18 英寸 FHD+ | 酷睿 i9-1TB SSD + 1TB SSD - 64GB RAM - RTX 4080 | 24 核 @ 5.4 GHz - 第 13 代 CPU - 16GB GDDR6X Win 11 Home（续订）")</f>
        <v>戴尔 Alienware m18 游戏笔记本电脑 (2023) | 18 英寸 FHD+ | 酷睿 i9-1TB SSD + 1TB SSD - 64GB RAM - RTX 4080 | 24 核 @ 5.4 GHz - 第 13 代 CPU - 16GB GDDR6X Win 11 Home（续订）</v>
      </c>
      <c r="E2433" s="1" t="str">
        <f>IFERROR(__xludf.DUMMYFUNCTION("CONCATENATE(GOOGLETRANSLATE(C2433, ""en"", ""ko""))"),"Dell Alienware m18 게임용 노트북(2023) | 18인치 FHD+ | 코어 i9-1TB SSD + 1TB SSD - 64GB RAM - RTX 4080 | 24코어 @ 5.4GHz - 13세대 CPU - 16GB GDDR6X Win 11 Home(리뉴얼)")</f>
        <v>Dell Alienware m18 게임용 노트북(2023) | 18인치 FHD+ | 코어 i9-1TB SSD + 1TB SSD - 64GB RAM - RTX 4080 | 24코어 @ 5.4GHz - 13세대 CPU - 16GB GDDR6X Win 11 Home(리뉴얼)</v>
      </c>
      <c r="F2433" s="1" t="str">
        <f>IFERROR(__xludf.DUMMYFUNCTION("CONCATENATE(GOOGLETRANSLATE(C2433, ""en"", ""ja""))"),"Dell Alienware m18 ゲーミング ラップトップ (2023) | 18 インチ FHD+ | Core i9-1TB SSD + 1TB SSD - 64GB RAM - RTX 4080 | 24 コア @ 5.4 GHz - 第 13 世代 CPU - 16GB GDDR6X Win 11 Home (リニューアル)")</f>
        <v>Dell Alienware m18 ゲーミング ラップトップ (2023) | 18 インチ FHD+ | Core i9-1TB SSD + 1TB SSD - 64GB RAM - RTX 4080 | 24 コア @ 5.4 GHz - 第 13 世代 CPU - 16GB GDDR6X Win 11 Home (リニューアル)</v>
      </c>
    </row>
    <row r="2434" ht="15.75" customHeight="1">
      <c r="A2434" s="1">
        <v>5047.0</v>
      </c>
      <c r="B2434" s="1" t="s">
        <v>15</v>
      </c>
      <c r="C2434" s="1" t="s">
        <v>2317</v>
      </c>
      <c r="D2434" s="1" t="str">
        <f>IFERROR(__xludf.DUMMYFUNCTION("CONCATENATE(GOOGLETRANSLATE(C2434, ""en"", ""zh-cn""))"),"Luminox 男士 0201.SL Sentry 0200 黑色表壳带夜光装饰，黑色橡胶表带手表")</f>
        <v>Luminox 男士 0201.SL Sentry 0200 黑色表壳带夜光装饰，黑色橡胶表带手表</v>
      </c>
      <c r="E2434" s="1" t="str">
        <f>IFERROR(__xludf.DUMMYFUNCTION("CONCATENATE(GOOGLETRANSLATE(C2434, ""en"", ""ko""))"),"Luminox 남성용 0201.SL Sentry 0200 야광 액센트가 있는 블랙 케이스, 블랙 고무 밴드 시계")</f>
        <v>Luminox 남성용 0201.SL Sentry 0200 야광 액센트가 있는 블랙 케이스, 블랙 고무 밴드 시계</v>
      </c>
      <c r="F2434" s="1" t="str">
        <f>IFERROR(__xludf.DUMMYFUNCTION("CONCATENATE(GOOGLETRANSLATE(C2434, ""en"", ""ja""))"),"ルミノックス メンズ 0201.SL セントリー 0200 ブラックケース、発光アクセント、ブラックラバーバンドウォッチ")</f>
        <v>ルミノックス メンズ 0201.SL セントリー 0200 ブラックケース、発光アクセント、ブラックラバーバンドウォッチ</v>
      </c>
    </row>
    <row r="2435" ht="15.75" customHeight="1">
      <c r="A2435" s="1">
        <v>5056.0</v>
      </c>
      <c r="B2435" s="1" t="s">
        <v>15</v>
      </c>
      <c r="C2435" s="1" t="s">
        <v>1861</v>
      </c>
      <c r="D2435" s="1" t="str">
        <f>IFERROR(__xludf.DUMMYFUNCTION("CONCATENATE(GOOGLETRANSLATE(C2435, ""en"", ""zh-cn""))"),"博克芬诺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2435" s="1" t="str">
        <f>IFERROR(__xludf.DUMMYFUNCTION("CONCATENATE(GOOGLETRANSLATE(C2435, ""en"", ""ko""))"),"Bokefenuo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2435" s="1" t="str">
        <f>IFERROR(__xludf.DUMMYFUNCTION("CONCATENATE(GOOGLETRANSLATE(C2435, ""en"", ""ja""))"),"Bokefenuo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2436" ht="15.75" customHeight="1">
      <c r="A2436" s="1">
        <v>5071.0</v>
      </c>
      <c r="B2436" s="1" t="s">
        <v>15</v>
      </c>
      <c r="C2436" s="1" t="s">
        <v>2318</v>
      </c>
      <c r="D2436" s="1" t="str">
        <f>IFERROR(__xludf.DUMMYFUNCTION("CONCATENATE(GOOGLETRANSLATE(C2436, ""en"", ""zh-cn""))"),"LiangCuber GAN 12 M 3x3 速度魔方 磁力无贴 GAN 12 MagLev UV 旗舰 3x3x3 魔方（UV 涂层光面和初级内部）")</f>
        <v>LiangCuber GAN 12 M 3x3 速度魔方 磁力无贴 GAN 12 MagLev UV 旗舰 3x3x3 魔方（UV 涂层光面和初级内部）</v>
      </c>
      <c r="E2436" s="1" t="str">
        <f>IFERROR(__xludf.DUMMYFUNCTION("CONCATENATE(GOOGLETRANSLATE(C2436, ""en"", ""ko""))"),"LiangCuber GAN 12 M 3x3 스피드 큐브 자기 스티커가 없는 GAN 12 MagLev UV 플래그십 3x3x3 매직 큐브(UV 코팅 광택 및 기본 내부)")</f>
        <v>LiangCuber GAN 12 M 3x3 스피드 큐브 자기 스티커가 없는 GAN 12 MagLev UV 플래그십 3x3x3 매직 큐브(UV 코팅 광택 및 기본 내부)</v>
      </c>
      <c r="F2436" s="1" t="str">
        <f>IFERROR(__xludf.DUMMYFUNCTION("CONCATENATE(GOOGLETRANSLATE(C2436, ""en"", ""ja""))"),"LiangCuber GAN 12 M 3x3 スピード キューブ 磁気ステッカーレス GAN 12 MagLev UV フラッグシップ 3x3x3 マジック キューブ (UV コーティング光沢 &amp; プライマリ内部)")</f>
        <v>LiangCuber GAN 12 M 3x3 スピード キューブ 磁気ステッカーレス GAN 12 MagLev UV フラッグシップ 3x3x3 マジック キューブ (UV コーティング光沢 &amp; プライマリ内部)</v>
      </c>
    </row>
    <row r="2437" ht="15.75" customHeight="1">
      <c r="A2437" s="1">
        <v>5073.0</v>
      </c>
      <c r="B2437" s="1" t="s">
        <v>15</v>
      </c>
      <c r="C2437" s="1" t="s">
        <v>1824</v>
      </c>
      <c r="D2437" s="1" t="str">
        <f>IFERROR(__xludf.DUMMYFUNCTION("CONCATENATE(GOOGLETRANSLATE(C2437, ""en"", ""zh-cn""))"),"ALL4JIG 1500 件便携式带腿拼图桌，可调节拼图板，带 4 个抽屉和盖子，3 倾斜角度成人拼图桌")</f>
        <v>ALL4JIG 1500 件便携式带腿拼图桌，可调节拼图板，带 4 个抽屉和盖子，3 倾斜角度成人拼图桌</v>
      </c>
      <c r="E2437" s="1" t="str">
        <f>IFERROR(__xludf.DUMMYFUNCTION("CONCATENATE(GOOGLETRANSLATE(C2437, ""en"", ""ko""))"),"ALL4JIG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2437" s="1" t="str">
        <f>IFERROR(__xludf.DUMMYFUNCTION("CONCATENATE(GOOGLETRANSLATE(C2437, ""en"", ""ja""))"),"ALL4JIG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2438" ht="15.75" customHeight="1">
      <c r="A2438" s="1">
        <v>5077.0</v>
      </c>
      <c r="B2438" s="1" t="s">
        <v>15</v>
      </c>
      <c r="C2438" s="1" t="s">
        <v>1650</v>
      </c>
      <c r="D2438" s="1" t="str">
        <f>IFERROR(__xludf.DUMMYFUNCTION("CONCATENATE(GOOGLETRANSLATE(C2438, ""en"", ""zh-cn""))"),"SHARGEEK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2438" s="1" t="str">
        <f>IFERROR(__xludf.DUMMYFUNCTION("CONCATENATE(GOOGLETRANSLATE(C2438, ""en"", ""ko""))"),"SHARGEEK의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2438" s="1" t="str">
        <f>IFERROR(__xludf.DUMMYFUNCTION("CONCATENATE(GOOGLETRANSLATE(C2438, ""en"", ""ja""))"),"SHARGEEK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2439" ht="15.75" customHeight="1">
      <c r="A2439" s="1">
        <v>5078.0</v>
      </c>
      <c r="B2439" s="1" t="s">
        <v>15</v>
      </c>
      <c r="C2439" s="1" t="s">
        <v>1825</v>
      </c>
      <c r="D2439" s="1" t="str">
        <f>IFERROR(__xludf.DUMMYFUNCTION("CONCATENATE(GOOGLETRANSLATE(C2439, ""en"", ""zh-cn""))"),"1500 块木制拼图桌 - 6 个抽屉，拼图板 | 27” X 35” 便携式拼图板 - 便携式拼图桌 |适合成人和儿童")</f>
        <v>1500 块木制拼图桌 - 6 个抽屉，拼图板 | 27” X 35” 便携式拼图板 - 便携式拼图桌 |适合成人和儿童</v>
      </c>
      <c r="E2439" s="1" t="str">
        <f>IFERROR(__xludf.DUMMYFUNCTION("CONCATENATE(GOOGLETRANSLATE(C2439, ""en"", ""ko""))"),"1500피스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2439" s="1" t="str">
        <f>IFERROR(__xludf.DUMMYFUNCTION("CONCATENATE(GOOGLETRANSLATE(C2439, ""en"", ""ja""))"),"1500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2440" ht="15.75" customHeight="1">
      <c r="A2440" s="1">
        <v>5136.0</v>
      </c>
      <c r="B2440" s="1" t="s">
        <v>15</v>
      </c>
      <c r="C2440" s="1" t="s">
        <v>1649</v>
      </c>
      <c r="D2440" s="1" t="str">
        <f>IFERROR(__xludf.DUMMYFUNCTION("CONCATENATE(GOOGLETRANSLATE(C2440, ""en"", ""zh-cn""))"),"GAN 机器人，魔方解谜机自动解谜器和解谜器，兼容 GAN 356i2 i3 iplay iCarry Speed Cubes（不含魔方）和最新版本 APP")</f>
        <v>GAN 机器人，魔方解谜机自动解谜器和解谜器，兼容 GAN 356i2 i3 iplay iCarry Speed Cubes（不含魔方）和最新版本 APP</v>
      </c>
      <c r="E2440" s="1" t="str">
        <f>IFERROR(__xludf.DUMMYFUNCTION("CONCATENATE(GOOGLETRANSLATE(C2440, ""en"", ""ko""))"),"GAN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2440" s="1" t="str">
        <f>IFERROR(__xludf.DUMMYFUNCTION("CONCATENATE(GOOGLETRANSLATE(C2440, ""en"", ""ja""))"),"GAN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2441" ht="15.75" customHeight="1">
      <c r="A2441" s="1">
        <v>5143.0</v>
      </c>
      <c r="B2441" s="1" t="s">
        <v>15</v>
      </c>
      <c r="C2441" s="1" t="s">
        <v>1903</v>
      </c>
      <c r="D2441" s="1" t="str">
        <f>IFERROR(__xludf.DUMMYFUNCTION("CONCATENATE(GOOGLETRANSLATE(C2441, ""en"", ""zh-cn""))"),"CuberShop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2441" s="1" t="str">
        <f>IFERROR(__xludf.DUMMYFUNCTION("CONCATENATE(GOOGLETRANSLATE(C2441, ""en"", ""ko""))"),"CuberShop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2441" s="1" t="str">
        <f>IFERROR(__xludf.DUMMYFUNCTION("CONCATENATE(GOOGLETRANSLATE(C2441, ""en"", ""ja""))"),"CuberShop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2442" ht="15.75" customHeight="1">
      <c r="A2442" s="1">
        <v>5145.0</v>
      </c>
      <c r="B2442" s="1" t="s">
        <v>15</v>
      </c>
      <c r="C2442" s="1" t="s">
        <v>1827</v>
      </c>
      <c r="D2442" s="1" t="str">
        <f>IFERROR(__xludf.DUMMYFUNCTION("CONCATENATE(GOOGLETRANSLATE(C2442, ""en"", ""zh-cn""))"),"宁神茶丸 甘麦大枣丸 (1000 茶丸)3383E-MAYWAY by Mayway")</f>
        <v>宁神茶丸 甘麦大枣丸 (1000 茶丸)3383E-MAYWAY by Mayway</v>
      </c>
      <c r="E2442" s="1" t="str">
        <f>IFERROR(__xludf.DUMMYFUNCTION("CONCATENATE(GOOGLETRANSLATE(C2442, ""en"", ""ko""))"),"Calm Spirit Teapills Gan Mai Da Zao Wan (1000 티필)3383E-MAYWAY by Mayway")</f>
        <v>Calm Spirit Teapills Gan Mai Da Zao Wan (1000 티필)3383E-MAYWAY by Mayway</v>
      </c>
      <c r="F2442" s="1" t="str">
        <f>IFERROR(__xludf.DUMMYFUNCTION("CONCATENATE(GOOGLETRANSLATE(C2442, ""en"", ""ja""))"),"Calm Spirit Teapills Gan Mai Da Zao Wan (1000 Teapills)3383E-MAYWAY by Mayway")</f>
        <v>Calm Spirit Teapills Gan Mai Da Zao Wan (1000 Teapills)3383E-MAYWAY by Mayway</v>
      </c>
    </row>
    <row r="2443" ht="15.75" customHeight="1">
      <c r="A2443" s="1">
        <v>5148.0</v>
      </c>
      <c r="B2443" s="1" t="s">
        <v>15</v>
      </c>
      <c r="C2443" s="1" t="s">
        <v>2319</v>
      </c>
      <c r="D2443" s="1" t="str">
        <f>IFERROR(__xludf.DUMMYFUNCTION("CONCATENATE(GOOGLETRANSLATE(C2443, ""en"", ""zh-cn""))"),"Giro 男士公路自行车鞋， 33 EU")</f>
        <v>Giro 男士公路自行车鞋， 33 EU</v>
      </c>
      <c r="E2443" s="1" t="str">
        <f>IFERROR(__xludf.DUMMYFUNCTION("CONCATENATE(GOOGLETRANSLATE(C2443, ""en"", ""ko""))"),"Giro 남성용 로드 자전거 신발, 33 EU")</f>
        <v>Giro 남성용 로드 자전거 신발, 33 EU</v>
      </c>
      <c r="F2443" s="1" t="str">
        <f>IFERROR(__xludf.DUMMYFUNCTION("CONCATENATE(GOOGLETRANSLATE(C2443, ""en"", ""ja""))"),"Giro メンズ ロードバイク シューズ、33 EU")</f>
        <v>Giro メンズ ロードバイク シューズ、33 EU</v>
      </c>
    </row>
    <row r="2444" ht="15.75" customHeight="1">
      <c r="A2444" s="1">
        <v>5155.0</v>
      </c>
      <c r="B2444" s="1" t="s">
        <v>15</v>
      </c>
      <c r="C2444" s="1" t="s">
        <v>1911</v>
      </c>
      <c r="D2444" s="1" t="str">
        <f>IFERROR(__xludf.DUMMYFUNCTION("CONCATENATE(GOOGLETRANSLATE(C2444, ""en"", ""zh-cn""))"),"Alvantor 弹出式泡泡帐篷 - 6' x 6' 即时冰屋帐篷 - 2-3 人露台屏风屋 - 大型超大防风雨吊舱 - 防寒露营帐篷 - 米色")</f>
        <v>Alvantor 弹出式泡泡帐篷 - 6' x 6' 即时冰屋帐篷 - 2-3 人露台屏风屋 - 大型超大防风雨吊舱 - 防寒露营帐篷 - 米色</v>
      </c>
      <c r="E2444" s="1" t="str">
        <f>IFERROR(__xludf.DUMMYFUNCTION("CONCATENATE(GOOGLETRANSLATE(C2444, ""en"", ""ko""))"),"Alvantor 팝업 버블 텐트 - 6' x 6' 인스턴트 이글루 텐트 - 파티오용 2-3인용 스크린 하우스 - 대형 특대 전천후 포드 - 방한 캠핑 텐트 - 베이지")</f>
        <v>Alvantor 팝업 버블 텐트 - 6' x 6' 인스턴트 이글루 텐트 - 파티오용 2-3인용 스크린 하우스 - 대형 특대 전천후 포드 - 방한 캠핑 텐트 - 베이지</v>
      </c>
      <c r="F2444" s="1" t="str">
        <f>IFERROR(__xludf.DUMMYFUNCTION("CONCATENATE(GOOGLETRANSLATE(C2444, ""en"", ""ja""))"),"Alvantor ポップアップバブルテント - 6フィート x 6フィート インスタントイグルーテント - パティオ用2～3人用スクリーンハウス - 大型特大耐候性ポッド - 防寒キャンプテント - ベージュ")</f>
        <v>Alvantor ポップアップバブルテント - 6フィート x 6フィート インスタントイグルーテント - パティオ用2～3人用スクリーンハウス - 大型特大耐候性ポッド - 防寒キャンプテント - ベージュ</v>
      </c>
    </row>
    <row r="2445" ht="15.75" customHeight="1">
      <c r="A2445" s="1">
        <v>5183.0</v>
      </c>
      <c r="B2445" s="1" t="s">
        <v>381</v>
      </c>
      <c r="C2445" s="1" t="s">
        <v>688</v>
      </c>
      <c r="D2445" s="1" t="str">
        <f>IFERROR(__xludf.DUMMYFUNCTION("CONCATENATE(GOOGLETRANSLATE(C2445, ""en"", ""zh-cn""))"),"男式民族部落图案拼布灯芯绒连帽衬衫夹克")</f>
        <v>男式民族部落图案拼布灯芯绒连帽衬衫夹克</v>
      </c>
      <c r="E2445" s="1" t="str">
        <f>IFERROR(__xludf.DUMMYFUNCTION("CONCATENATE(GOOGLETRANSLATE(C2445, ""en"", ""ko""))"),"남성용 에스닉 트라이벌 패턴 패치워크 코듀로이 후드 셔츠 재킷")</f>
        <v>남성용 에스닉 트라이벌 패턴 패치워크 코듀로이 후드 셔츠 재킷</v>
      </c>
      <c r="F2445" s="1" t="str">
        <f>IFERROR(__xludf.DUMMYFUNCTION("CONCATENATE(GOOGLETRANSLATE(C2445, ""en"", ""ja""))"),"メンズエスニックトライバルパターンパッチワークコーデュロイフード付きシャツジャケット")</f>
        <v>メンズエスニックトライバルパターンパッチワークコーデュロイフード付きシャツジャケット</v>
      </c>
    </row>
    <row r="2446" ht="15.75" customHeight="1">
      <c r="A2446" s="1">
        <v>5187.0</v>
      </c>
      <c r="B2446" s="1" t="s">
        <v>381</v>
      </c>
      <c r="C2446" s="1" t="s">
        <v>692</v>
      </c>
      <c r="D2446" s="1" t="str">
        <f>IFERROR(__xludf.DUMMYFUNCTION("CONCATENATE(GOOGLETRANSLATE(C2446, ""en"", ""zh-cn""))"),"男士民族几何印花毛绒领宽松夹克")</f>
        <v>男士民族几何印花毛绒领宽松夹克</v>
      </c>
      <c r="E2446" s="1" t="str">
        <f>IFERROR(__xludf.DUMMYFUNCTION("CONCATENATE(GOOGLETRANSLATE(C2446, ""en"", ""ko""))"),"남성용 에스닉 기하학 프린트 플러시 칼라 루즈 재킷")</f>
        <v>남성용 에스닉 기하학 프린트 플러시 칼라 루즈 재킷</v>
      </c>
      <c r="F2446" s="1" t="str">
        <f>IFERROR(__xludf.DUMMYFUNCTION("CONCATENATE(GOOGLETRANSLATE(C2446, ""en"", ""ja""))"),"メンズエスニック幾何学プリントぬいぐるみ襟ルーズジャケット")</f>
        <v>メンズエスニック幾何学プリントぬいぐるみ襟ルーズジャケット</v>
      </c>
    </row>
    <row r="2447" ht="15.75" customHeight="1">
      <c r="A2447" s="1">
        <v>5196.0</v>
      </c>
      <c r="B2447" s="1" t="s">
        <v>381</v>
      </c>
      <c r="C2447" s="1" t="s">
        <v>702</v>
      </c>
      <c r="D2447" s="1" t="str">
        <f>IFERROR(__xludf.DUMMYFUNCTION("CONCATENATE(GOOGLETRANSLATE(C2447, ""en"", ""zh-cn""))"),"男式格纹纽扣前抓绒抽绳连帽夹克")</f>
        <v>男式格纹纽扣前抓绒抽绳连帽夹克</v>
      </c>
      <c r="E2447" s="1" t="str">
        <f>IFERROR(__xludf.DUMMYFUNCTION("CONCATENATE(GOOGLETRANSLATE(C2447, ""en"", ""ko""))"),"남성 체크 체크 무늬 버튼 프론트 플리스 드로스트링 후드 재킷")</f>
        <v>남성 체크 체크 무늬 버튼 프론트 플리스 드로스트링 후드 재킷</v>
      </c>
      <c r="F2447" s="1" t="str">
        <f>IFERROR(__xludf.DUMMYFUNCTION("CONCATENATE(GOOGLETRANSLATE(C2447, ""en"", ""ja""))"),"メンズチェックチェック柄ボタンフロントフリース巾着フード付きジャケット")</f>
        <v>メンズチェックチェック柄ボタンフロントフリース巾着フード付きジャケット</v>
      </c>
    </row>
    <row r="2448" ht="15.75" customHeight="1">
      <c r="A2448" s="1">
        <v>5198.0</v>
      </c>
      <c r="B2448" s="1" t="s">
        <v>381</v>
      </c>
      <c r="C2448" s="1" t="s">
        <v>700</v>
      </c>
      <c r="D2448" s="1" t="str">
        <f>IFERROR(__xludf.DUMMYFUNCTION("CONCATENATE(GOOGLETRANSLATE(C2448, ""en"", ""zh-cn""))"),"男式民族几何印花拼接纽扣前连帽夹克")</f>
        <v>男式民族几何印花拼接纽扣前连帽夹克</v>
      </c>
      <c r="E2448" s="1" t="str">
        <f>IFERROR(__xludf.DUMMYFUNCTION("CONCATENATE(GOOGLETRANSLATE(C2448, ""en"", ""ko""))"),"남성용 에스닉 기하학 프린트 패치워크 버튼 프론트 후드 재킷")</f>
        <v>남성용 에스닉 기하학 프린트 패치워크 버튼 프론트 후드 재킷</v>
      </c>
      <c r="F2448" s="1" t="str">
        <f>IFERROR(__xludf.DUMMYFUNCTION("CONCATENATE(GOOGLETRANSLATE(C2448, ""en"", ""ja""))"),"メンズエスニック幾何学プリントパッチワークボタンフロントフード付きジャケット")</f>
        <v>メンズエスニック幾何学プリントパッチワークボタンフロントフード付きジャケット</v>
      </c>
    </row>
    <row r="2449" ht="15.75" customHeight="1">
      <c r="A2449" s="1">
        <v>5286.0</v>
      </c>
      <c r="B2449" s="1" t="s">
        <v>381</v>
      </c>
      <c r="C2449" s="1" t="s">
        <v>626</v>
      </c>
      <c r="D2449" s="1" t="str">
        <f>IFERROR(__xludf.DUMMYFUNCTION("CONCATENATE(GOOGLETRANSLATE(C2449, ""en"", ""zh-cn""))"),"男式卡通猫和鱼印花圆领短袖 T 恤")</f>
        <v>男式卡通猫和鱼印花圆领短袖 T 恤</v>
      </c>
      <c r="E2449" s="1" t="str">
        <f>IFERROR(__xludf.DUMMYFUNCTION("CONCATENATE(GOOGLETRANSLATE(C2449, ""en"", ""ko""))"),"남성용 카툰 캣 &amp; 피시 프린트 크루넥 반소매 티셔츠")</f>
        <v>남성용 카툰 캣 &amp; 피시 프린트 크루넥 반소매 티셔츠</v>
      </c>
      <c r="F2449" s="1" t="str">
        <f>IFERROR(__xludf.DUMMYFUNCTION("CONCATENATE(GOOGLETRANSLATE(C2449, ""en"", ""ja""))"),"メンズ漫画猫と魚プリント クルーネック半袖 T シャツ")</f>
        <v>メンズ漫画猫と魚プリント クルーネック半袖 T シャツ</v>
      </c>
    </row>
    <row r="2450" ht="15.75" customHeight="1">
      <c r="A2450" s="1">
        <v>5288.0</v>
      </c>
      <c r="B2450" s="1" t="s">
        <v>15</v>
      </c>
      <c r="C2450" s="1" t="s">
        <v>1824</v>
      </c>
      <c r="D2450" s="1" t="str">
        <f>IFERROR(__xludf.DUMMYFUNCTION("CONCATENATE(GOOGLETRANSLATE(C2450, ""en"", ""zh-cn""))"),"ALL4JIG 1500 件便携式带腿拼图桌，可调节拼图板，带 4 个抽屉和盖子，3 倾斜角度成人拼图桌")</f>
        <v>ALL4JIG 1500 件便携式带腿拼图桌，可调节拼图板，带 4 个抽屉和盖子，3 倾斜角度成人拼图桌</v>
      </c>
      <c r="E2450" s="1" t="str">
        <f>IFERROR(__xludf.DUMMYFUNCTION("CONCATENATE(GOOGLETRANSLATE(C2450, ""en"", ""ko""))"),"ALL4JIG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2450" s="1" t="str">
        <f>IFERROR(__xludf.DUMMYFUNCTION("CONCATENATE(GOOGLETRANSLATE(C2450, ""en"", ""ja""))"),"ALL4JIG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2451" ht="15.75" customHeight="1">
      <c r="A2451" s="1">
        <v>5309.0</v>
      </c>
      <c r="B2451" s="1" t="s">
        <v>15</v>
      </c>
      <c r="C2451" s="1" t="s">
        <v>2320</v>
      </c>
      <c r="D2451" s="1" t="str">
        <f>IFERROR(__xludf.DUMMYFUNCTION("CONCATENATE(GOOGLETRANSLATE(C2451, ""en"", ""zh-cn""))"),"Meta Quest 2 — 高级一体式虚拟现实耳机 — 128 GB 获取 Meta Quest 2，内含 GOLF+ 和 Space Pirate Trainer DX")</f>
        <v>Meta Quest 2 — 高级一体式虚拟现实耳机 — 128 GB 获取 Meta Quest 2，内含 GOLF+ 和 Space Pirate Trainer DX</v>
      </c>
      <c r="E2451" s="1" t="str">
        <f>IFERROR(__xludf.DUMMYFUNCTION("CONCATENATE(GOOGLETRANSLATE(C2451, ""en"", ""ko""))"),"Meta Quest 2 — 고급 올인원 가상 현실 헤드셋 — 128GB GOLF+ 및 Space Pirate Trainer DX가 포함된 Meta Quest 2를 구매하세요")</f>
        <v>Meta Quest 2 — 고급 올인원 가상 현실 헤드셋 — 128GB GOLF+ 및 Space Pirate Trainer DX가 포함된 Meta Quest 2를 구매하세요</v>
      </c>
      <c r="F2451" s="1" t="str">
        <f>IFERROR(__xludf.DUMMYFUNCTION("CONCATENATE(GOOGLETRANSLATE(C2451, ""en"", ""ja""))"),"Meta Quest 2 — 高度なオールインワン バーチャル リアリティ ヘッドセット — 128 GB GOLF+ および Space Pirate Trainer DX を含む Meta Quest 2 を入手")</f>
        <v>Meta Quest 2 — 高度なオールインワン バーチャル リアリティ ヘッドセット — 128 GB GOLF+ および Space Pirate Trainer DX を含む Meta Quest 2 を入手</v>
      </c>
    </row>
    <row r="2452" ht="15.75" customHeight="1">
      <c r="A2452" s="1">
        <v>5312.0</v>
      </c>
      <c r="B2452" s="1" t="s">
        <v>15</v>
      </c>
      <c r="C2452" s="1" t="s">
        <v>1819</v>
      </c>
      <c r="D2452" s="1" t="str">
        <f>IFERROR(__xludf.DUMMYFUNCTION("CONCATENATE(GOOGLETRANSLATE(C2452, ""en"", ""zh-cn""))"),"罗林斯|专业人士首选棒球手套 |多种风格")</f>
        <v>罗林斯|专业人士首选棒球手套 |多种风格</v>
      </c>
      <c r="E2452" s="1" t="str">
        <f>IFERROR(__xludf.DUMMYFUNCTION("CONCATENATE(GOOGLETRANSLATE(C2452, ""en"", ""ko""))"),"롤링스 | 프로 선호 야구 글러브 | 다양한 스타일")</f>
        <v>롤링스 | 프로 선호 야구 글러브 | 다양한 스타일</v>
      </c>
      <c r="F2452" s="1" t="str">
        <f>IFERROR(__xludf.DUMMYFUNCTION("CONCATENATE(GOOGLETRANSLATE(C2452, ""en"", ""ja""))"),"ローリングス |プロ好みの野球グローブ |複数のスタイル")</f>
        <v>ローリングス |プロ好みの野球グローブ |複数のスタイル</v>
      </c>
    </row>
    <row r="2453" ht="15.75" customHeight="1">
      <c r="A2453" s="1">
        <v>5331.0</v>
      </c>
      <c r="B2453" s="1" t="s">
        <v>15</v>
      </c>
      <c r="C2453" s="1" t="s">
        <v>2321</v>
      </c>
      <c r="D2453" s="1" t="str">
        <f>IFERROR(__xludf.DUMMYFUNCTION("CONCATENATE(GOOGLETRANSLATE(C2453, ""en"", ""zh-cn""))"),"Apple iPad Pro 2 12.9 英寸 (2017) 256GB，Wi-Fi - 深空灰色（更新版）")</f>
        <v>Apple iPad Pro 2 12.9 英寸 (2017) 256GB，Wi-Fi - 深空灰色（更新版）</v>
      </c>
      <c r="E2453" s="1" t="str">
        <f>IFERROR(__xludf.DUMMYFUNCTION("CONCATENATE(GOOGLETRANSLATE(C2453, ""en"", ""ko""))"),"애플 아이패드 프로 2 12.9인치(2017) 256GB, Wi-Fi - 스페이스 그레이(리뉴얼)")</f>
        <v>애플 아이패드 프로 2 12.9인치(2017) 256GB, Wi-Fi - 스페이스 그레이(리뉴얼)</v>
      </c>
      <c r="F2453" s="1" t="str">
        <f>IFERROR(__xludf.DUMMYFUNCTION("CONCATENATE(GOOGLETRANSLATE(C2453, ""en"", ""ja""))"),"Apple iPad Pro 2 12.9インチ (2017) 256GB、Wi-Fi - スペースグレイ (リニューアル)")</f>
        <v>Apple iPad Pro 2 12.9インチ (2017) 256GB、Wi-Fi - スペースグレイ (リニューアル)</v>
      </c>
    </row>
    <row r="2454" ht="15.75" customHeight="1">
      <c r="A2454" s="1">
        <v>5333.0</v>
      </c>
      <c r="B2454" s="1" t="s">
        <v>15</v>
      </c>
      <c r="C2454" s="1" t="s">
        <v>2206</v>
      </c>
      <c r="D2454" s="1" t="str">
        <f>IFERROR(__xludf.DUMMYFUNCTION("CONCATENATE(GOOGLETRANSLATE(C2454, ""en"", ""zh-cn""))"),"戴尔 OptiPlex 3000 Micro（最新型号）英特尔第 12 代酷睿 i5-12500T 16GB DDR4 512GB PCIe SSD WiFi + BT Windows 10 Professional")</f>
        <v>戴尔 OptiPlex 3000 Micro（最新型号）英特尔第 12 代酷睿 i5-12500T 16GB DDR4 512GB PCIe SSD WiFi + BT Windows 10 Professional</v>
      </c>
      <c r="E2454" s="1" t="str">
        <f>IFERROR(__xludf.DUMMYFUNCTION("CONCATENATE(GOOGLETRANSLATE(C2454, ""en"", ""ko""))"),"Dell OptiPlex 3000 마이크로(최신 모델) 인텔 12세대 코어 i5-12500T 16GB DDR4 512GB PCIe SSD WiFi + BT Windows 10 Professional")</f>
        <v>Dell OptiPlex 3000 마이크로(최신 모델) 인텔 12세대 코어 i5-12500T 16GB DDR4 512GB PCIe SSD WiFi + BT Windows 10 Professional</v>
      </c>
      <c r="F2454" s="1" t="str">
        <f>IFERROR(__xludf.DUMMYFUNCTION("CONCATENATE(GOOGLETRANSLATE(C2454, ""en"", ""ja""))"),"Dell OptiPlex 3000 マイクロ (最新モデル) Intel 第 12 世代 Core i5-12500T 16GB DDR4 512GB PCIe SSD WiFi + BT Windows 10 Professional")</f>
        <v>Dell OptiPlex 3000 マイクロ (最新モデル) Intel 第 12 世代 Core i5-12500T 16GB DDR4 512GB PCIe SSD WiFi + BT Windows 10 Professional</v>
      </c>
    </row>
    <row r="2455" ht="15.75" customHeight="1">
      <c r="A2455" s="1">
        <v>5335.0</v>
      </c>
      <c r="B2455" s="1" t="s">
        <v>15</v>
      </c>
      <c r="C2455" s="1" t="s">
        <v>2207</v>
      </c>
      <c r="D2455" s="1" t="str">
        <f>IFERROR(__xludf.DUMMYFUNCTION("CONCATENATE(GOOGLETRANSLATE(C2455, ""en"", ""zh-cn""))"),"Apple iPad Pro 12.9 英寸平板电脑 (256GB Wi-Fi，金色)(续订)")</f>
        <v>Apple iPad Pro 12.9 英寸平板电脑 (256GB Wi-Fi，金色)(续订)</v>
      </c>
      <c r="E2455" s="1" t="str">
        <f>IFERROR(__xludf.DUMMYFUNCTION("CONCATENATE(GOOGLETRANSLATE(C2455, ""en"", ""ko""))"),"Apple iPad Pro 12.9인치 태블릿(256GB Wi-FI, 골드)(리뉴얼)")</f>
        <v>Apple iPad Pro 12.9인치 태블릿(256GB Wi-FI, 골드)(리뉴얼)</v>
      </c>
      <c r="F2455" s="1" t="str">
        <f>IFERROR(__xludf.DUMMYFUNCTION("CONCATENATE(GOOGLETRANSLATE(C2455, ""en"", ""ja""))"),"Apple iPad Pro 12.9インチ タブレット (256GB Wi-Fi、ゴールド)(新品)")</f>
        <v>Apple iPad Pro 12.9インチ タブレット (256GB Wi-Fi、ゴールド)(新品)</v>
      </c>
    </row>
    <row r="2456" ht="15.75" customHeight="1">
      <c r="A2456" s="1">
        <v>5341.0</v>
      </c>
      <c r="B2456" s="1" t="s">
        <v>15</v>
      </c>
      <c r="C2456" s="1" t="s">
        <v>1903</v>
      </c>
      <c r="D2456" s="1" t="str">
        <f>IFERROR(__xludf.DUMMYFUNCTION("CONCATENATE(GOOGLETRANSLATE(C2456, ""en"", ""zh-cn""))"),"CuberShop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2456" s="1" t="str">
        <f>IFERROR(__xludf.DUMMYFUNCTION("CONCATENATE(GOOGLETRANSLATE(C2456, ""en"", ""ko""))"),"CuberShop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2456" s="1" t="str">
        <f>IFERROR(__xludf.DUMMYFUNCTION("CONCATENATE(GOOGLETRANSLATE(C2456, ""en"", ""ja""))"),"CuberShop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2457" ht="15.75" customHeight="1">
      <c r="A2457" s="1">
        <v>5355.0</v>
      </c>
      <c r="B2457" s="1" t="s">
        <v>15</v>
      </c>
      <c r="C2457" s="1" t="s">
        <v>1827</v>
      </c>
      <c r="D2457" s="1" t="str">
        <f>IFERROR(__xludf.DUMMYFUNCTION("CONCATENATE(GOOGLETRANSLATE(C2457, ""en"", ""zh-cn""))"),"宁神茶丸 甘麦大枣丸 (1000 茶丸)3383E-MAYWAY by Mayway")</f>
        <v>宁神茶丸 甘麦大枣丸 (1000 茶丸)3383E-MAYWAY by Mayway</v>
      </c>
      <c r="E2457" s="1" t="str">
        <f>IFERROR(__xludf.DUMMYFUNCTION("CONCATENATE(GOOGLETRANSLATE(C2457, ""en"", ""ko""))"),"Calm Spirit Teapills Gan Mai Da Zao Wan (1000 티필)3383E-MAYWAY by Mayway")</f>
        <v>Calm Spirit Teapills Gan Mai Da Zao Wan (1000 티필)3383E-MAYWAY by Mayway</v>
      </c>
      <c r="F2457" s="1" t="str">
        <f>IFERROR(__xludf.DUMMYFUNCTION("CONCATENATE(GOOGLETRANSLATE(C2457, ""en"", ""ja""))"),"Calm Spirit Teapills Gan Mai Da Zao Wan (1000 Teapills)3383E-MAYWAY by Mayway")</f>
        <v>Calm Spirit Teapills Gan Mai Da Zao Wan (1000 Teapills)3383E-MAYWAY by Mayway</v>
      </c>
    </row>
    <row r="2458" ht="15.75" customHeight="1">
      <c r="A2458" s="1">
        <v>5356.0</v>
      </c>
      <c r="B2458" s="1" t="s">
        <v>15</v>
      </c>
      <c r="C2458" s="1" t="s">
        <v>1842</v>
      </c>
      <c r="D2458" s="1" t="str">
        <f>IFERROR(__xludf.DUMMYFUNCTION("CONCATENATE(GOOGLETRANSLATE(C2458, ""en"", ""zh-cn""))"),"波克芬诺 GAN Megaminx M 3x3 速度魔方 Gan 五角形磁性无贴纸魔法拼图魔方玩具")</f>
        <v>波克芬诺 GAN Megaminx M 3x3 速度魔方 Gan 五角形磁性无贴纸魔法拼图魔方玩具</v>
      </c>
      <c r="E2458" s="1" t="str">
        <f>IFERROR(__xludf.DUMMYFUNCTION("CONCATENATE(GOOGLETRANSLATE(C2458, ""en"", ""ko""))"),"Bokefenuo GAN Megaminx M 3x3 스피드 큐브 Gan 오각형 자기 스티커가없는 매직 퍼즐 큐브 장난감")</f>
        <v>Bokefenuo GAN Megaminx M 3x3 스피드 큐브 Gan 오각형 자기 스티커가없는 매직 퍼즐 큐브 장난감</v>
      </c>
      <c r="F2458" s="1" t="str">
        <f>IFERROR(__xludf.DUMMYFUNCTION("CONCATENATE(GOOGLETRANSLATE(C2458, ""en"", ""ja""))"),"Bokefenuo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2459" ht="15.75" customHeight="1">
      <c r="A2459" s="1">
        <v>5361.0</v>
      </c>
      <c r="B2459" s="1" t="s">
        <v>15</v>
      </c>
      <c r="C2459" s="1" t="s">
        <v>2322</v>
      </c>
      <c r="D2459" s="1" t="str">
        <f>IFERROR(__xludf.DUMMYFUNCTION("CONCATENATE(GOOGLETRANSLATE(C2459, ""en"", ""zh-cn""))"),"Apple iPhone 13 Pro，256GB，Sierra Blue - AT&amp;T（续订）")</f>
        <v>Apple iPhone 13 Pro，256GB，Sierra Blue - AT&amp;T（续订）</v>
      </c>
      <c r="E2459" s="1" t="str">
        <f>IFERROR(__xludf.DUMMYFUNCTION("CONCATENATE(GOOGLETRANSLATE(C2459, ""en"", ""ko""))"),"Apple iPhone 13 Pro, 256GB, Sierra 블루 - AT&amp;T(리뉴얼)")</f>
        <v>Apple iPhone 13 Pro, 256GB, Sierra 블루 - AT&amp;T(리뉴얼)</v>
      </c>
      <c r="F2459" s="1" t="str">
        <f>IFERROR(__xludf.DUMMYFUNCTION("CONCATENATE(GOOGLETRANSLATE(C2459, ""en"", ""ja""))"),"Apple iPhone 13 Pro、256GB、シエラブルー - AT&amp;T (新品)")</f>
        <v>Apple iPhone 13 Pro、256GB、シエラブルー - AT&amp;T (新品)</v>
      </c>
    </row>
    <row r="2460" ht="15.75" customHeight="1">
      <c r="A2460" s="1">
        <v>5366.0</v>
      </c>
      <c r="B2460" s="1" t="s">
        <v>15</v>
      </c>
      <c r="C2460" s="1" t="s">
        <v>1838</v>
      </c>
      <c r="D2460" s="1" t="str">
        <f>IFERROR(__xludf.DUMMYFUNCTION("CONCATENATE(GOOGLETRANSLATE(C2460, ""en"", ""zh-cn""))"),"Ravensburger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2460" s="1" t="str">
        <f>IFERROR(__xludf.DUMMYFUNCTION("CONCATENATE(GOOGLETRANSLATE(C2460, ""en"", ""ko""))"),"Ravensburger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2460" s="1" t="str">
        <f>IFERROR(__xludf.DUMMYFUNCTION("CONCATENATE(GOOGLETRANSLATE(C2460, ""en"", ""ja""))"),"Ravensburger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2461" ht="15.75" customHeight="1">
      <c r="A2461" s="1">
        <v>5368.0</v>
      </c>
      <c r="B2461" s="1" t="s">
        <v>15</v>
      </c>
      <c r="C2461" s="1" t="s">
        <v>1825</v>
      </c>
      <c r="D2461" s="1" t="str">
        <f>IFERROR(__xludf.DUMMYFUNCTION("CONCATENATE(GOOGLETRANSLATE(C2461, ""en"", ""zh-cn""))"),"1500 块木制拼图桌 - 6 个抽屉，拼图板 | 27” X 35” 便携式拼图板 - 便携式拼图桌 |适合成人和儿童")</f>
        <v>1500 块木制拼图桌 - 6 个抽屉，拼图板 | 27” X 35” 便携式拼图板 - 便携式拼图桌 |适合成人和儿童</v>
      </c>
      <c r="E2461" s="1" t="str">
        <f>IFERROR(__xludf.DUMMYFUNCTION("CONCATENATE(GOOGLETRANSLATE(C2461, ""en"", ""ko""))"),"1500피스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2461" s="1" t="str">
        <f>IFERROR(__xludf.DUMMYFUNCTION("CONCATENATE(GOOGLETRANSLATE(C2461, ""en"", ""ja""))"),"1500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2462" ht="15.75" customHeight="1">
      <c r="A2462" s="1">
        <v>5376.0</v>
      </c>
      <c r="B2462" s="1" t="s">
        <v>15</v>
      </c>
      <c r="C2462" s="1" t="s">
        <v>1647</v>
      </c>
      <c r="D2462" s="1" t="str">
        <f>IFERROR(__xludf.DUMMYFUNCTION("CONCATENATE(GOOGLETRANSLATE(C2462, ""en"", ""zh-cn""))"),"带盖拼图板，大型倾斜 1500 块拼图桌，ENGRTALENT 35 英寸 x 26 英寸带抽屉便携式拼图桌，带彩色拼图分类托盘、指南、毛毡板和手柄。")</f>
        <v>带盖拼图板，大型倾斜 1500 块拼图桌，ENGRTALENT 35 英寸 x 26 英寸带抽屉便携式拼图桌，带彩色拼图分类托盘、指南、毛毡板和手柄。</v>
      </c>
      <c r="E2462" s="1" t="str">
        <f>IFERROR(__xludf.DUMMYFUNCTION("CONCATENATE(GOOGLETRANSLATE(C2462, ""en"", ""ko""))"),"덮개가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2462" s="1" t="str">
        <f>IFERROR(__xludf.DUMMYFUNCTION("CONCATENATE(GOOGLETRANSLATE(C2462, ""en"", ""ja""))"),"カバー付きパズルボード、大型傾斜1500ピースジグソーパズルテーブル、ENGRTALENT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2463" ht="15.75" customHeight="1">
      <c r="A2463" s="1">
        <v>5382.0</v>
      </c>
      <c r="B2463" s="1" t="s">
        <v>15</v>
      </c>
      <c r="C2463" s="1" t="s">
        <v>1825</v>
      </c>
      <c r="D2463" s="1" t="str">
        <f>IFERROR(__xludf.DUMMYFUNCTION("CONCATENATE(GOOGLETRANSLATE(C2463, ""en"", ""zh-cn""))"),"1500 块木制拼图桌 - 6 个抽屉，拼图板 | 27” X 35” 便携式拼图板 - 便携式拼图桌 |适合成人和儿童")</f>
        <v>1500 块木制拼图桌 - 6 个抽屉，拼图板 | 27” X 35” 便携式拼图板 - 便携式拼图桌 |适合成人和儿童</v>
      </c>
      <c r="E2463" s="1" t="str">
        <f>IFERROR(__xludf.DUMMYFUNCTION("CONCATENATE(GOOGLETRANSLATE(C2463, ""en"", ""ko""))"),"1500피스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2463" s="1" t="str">
        <f>IFERROR(__xludf.DUMMYFUNCTION("CONCATENATE(GOOGLETRANSLATE(C2463, ""en"", ""ja""))"),"1500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2464" ht="15.75" customHeight="1">
      <c r="A2464" s="1">
        <v>5425.0</v>
      </c>
      <c r="B2464" s="1" t="s">
        <v>15</v>
      </c>
      <c r="C2464" s="1" t="s">
        <v>1647</v>
      </c>
      <c r="D2464" s="1" t="str">
        <f>IFERROR(__xludf.DUMMYFUNCTION("CONCATENATE(GOOGLETRANSLATE(C2464, ""en"", ""zh-cn""))"),"带盖拼图板，大型倾斜 1500 块拼图桌，ENGRTALENT 35 英寸 x 26 英寸带抽屉便携式拼图桌，带彩色拼图分类托盘、指南、毛毡板和手柄。")</f>
        <v>带盖拼图板，大型倾斜 1500 块拼图桌，ENGRTALENT 35 英寸 x 26 英寸带抽屉便携式拼图桌，带彩色拼图分类托盘、指南、毛毡板和手柄。</v>
      </c>
      <c r="E2464" s="1" t="str">
        <f>IFERROR(__xludf.DUMMYFUNCTION("CONCATENATE(GOOGLETRANSLATE(C2464, ""en"", ""ko""))"),"덮개가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2464" s="1" t="str">
        <f>IFERROR(__xludf.DUMMYFUNCTION("CONCATENATE(GOOGLETRANSLATE(C2464, ""en"", ""ja""))"),"カバー付きパズルボード、大型傾斜1500ピースジグソーパズルテーブル、ENGRTALENT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2465" ht="15.75" customHeight="1">
      <c r="A2465" s="1">
        <v>5426.0</v>
      </c>
      <c r="B2465" s="1" t="s">
        <v>15</v>
      </c>
      <c r="C2465" s="1" t="s">
        <v>1853</v>
      </c>
      <c r="D2465" s="1" t="str">
        <f>IFERROR(__xludf.DUMMYFUNCTION("CONCATENATE(GOOGLETRANSLATE(C2465, ""en"", ""zh-cn""))"),"带金属腿和盖子的拼图桌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2465" s="1" t="str">
        <f>IFERROR(__xludf.DUMMYFUNCTION("CONCATENATE(GOOGLETRANSLATE(C2465, ""en"", ""ko""))"),"금속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2465" s="1" t="str">
        <f>IFERROR(__xludf.DUMMYFUNCTION("CONCATENATE(GOOGLETRANSLATE(C2465, ""en"", ""ja""))"),"金属製の脚とカバー付きパズルテーブル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2466" ht="15.75" customHeight="1">
      <c r="A2466" s="1">
        <v>5427.0</v>
      </c>
      <c r="B2466" s="1" t="s">
        <v>15</v>
      </c>
      <c r="C2466" s="1" t="s">
        <v>1649</v>
      </c>
      <c r="D2466" s="1" t="str">
        <f>IFERROR(__xludf.DUMMYFUNCTION("CONCATENATE(GOOGLETRANSLATE(C2466, ""en"", ""zh-cn""))"),"GAN 机器人，魔方解谜机自动解谜器和解谜器，兼容 GAN 356i2 i3 iplay iCarry Speed Cubes（不含魔方）和最新版本 APP")</f>
        <v>GAN 机器人，魔方解谜机自动解谜器和解谜器，兼容 GAN 356i2 i3 iplay iCarry Speed Cubes（不含魔方）和最新版本 APP</v>
      </c>
      <c r="E2466" s="1" t="str">
        <f>IFERROR(__xludf.DUMMYFUNCTION("CONCATENATE(GOOGLETRANSLATE(C2466, ""en"", ""ko""))"),"GAN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2466" s="1" t="str">
        <f>IFERROR(__xludf.DUMMYFUNCTION("CONCATENATE(GOOGLETRANSLATE(C2466, ""en"", ""ja""))"),"GAN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2467" ht="15.75" customHeight="1">
      <c r="A2467" s="1">
        <v>5443.0</v>
      </c>
      <c r="B2467" s="1" t="s">
        <v>15</v>
      </c>
      <c r="C2467" s="1" t="s">
        <v>1844</v>
      </c>
      <c r="D2467" s="1" t="str">
        <f>IFERROR(__xludf.DUMMYFUNCTION("CONCATENATE(GOOGLETRANSLATE(C2467, ""en"", ""zh-cn""))"),"Giro Aries 球形成人公路自行车头盔")</f>
        <v>Giro Aries 球形成人公路自行车头盔</v>
      </c>
      <c r="E2467" s="1" t="str">
        <f>IFERROR(__xludf.DUMMYFUNCTION("CONCATENATE(GOOGLETRANSLATE(C2467, ""en"", ""ko""))"),"Giro Aries 구형 성인용 로드 자전거 헬멧")</f>
        <v>Giro Aries 구형 성인용 로드 자전거 헬멧</v>
      </c>
      <c r="F2467" s="1" t="str">
        <f>IFERROR(__xludf.DUMMYFUNCTION("CONCATENATE(GOOGLETRANSLATE(C2467, ""en"", ""ja""))"),"Giro Aries 球状大人用ロードバイク ヘルメット")</f>
        <v>Giro Aries 球状大人用ロードバイク ヘルメット</v>
      </c>
    </row>
    <row r="2468" ht="15.75" customHeight="1">
      <c r="A2468" s="1">
        <v>5449.0</v>
      </c>
      <c r="B2468" s="1" t="s">
        <v>15</v>
      </c>
      <c r="C2468" s="1" t="s">
        <v>2323</v>
      </c>
      <c r="D2468" s="1" t="str">
        <f>IFERROR(__xludf.DUMMYFUNCTION("CONCATENATE(GOOGLETRANSLATE(C2468, ""en"", ""zh-cn""))"),"然后我遇见你玫瑰焕肤面膜 - 在家使用 AHA + BHA + 白藜芦醇进行闪亮面部护理 - 纯素，清洁护肤（1.76 盎司）")</f>
        <v>然后我遇见你玫瑰焕肤面膜 - 在家使用 AHA + BHA + 白藜芦醇进行闪亮面部护理 - 纯素，清洁护肤（1.76 盎司）</v>
      </c>
      <c r="E2468" s="1" t="str">
        <f>IFERROR(__xludf.DUMMYFUNCTION("CONCATENATE(GOOGLETRANSLATE(C2468, ""en"", ""ko""))"),"그런 다음 아이 멧 유 로제 리서페이싱 페이셜 마스크 - 집에서 AHA + BHA + 레스베라트롤을 사용한 스파클링 페이셜 트리트먼트 - 비건, 클린 스킨케어(1.76온스)")</f>
        <v>그런 다음 아이 멧 유 로제 리서페이싱 페이셜 마스크 - 집에서 AHA + BHA + 레스베라트롤을 사용한 스파클링 페이셜 트리트먼트 - 비건, 클린 스킨케어(1.76온스)</v>
      </c>
      <c r="F2468" s="1" t="str">
        <f>IFERROR(__xludf.DUMMYFUNCTION("CONCATENATE(GOOGLETRANSLATE(C2468, ""en"", ""ja""))"),"ゼン・アイ・メット・ユー ロゼ リサーフェシング フェイシャル マスク - AHA + BHA + レスベラトロールを使用した自宅でのスパークリング フェイシャル トリートメント - ビーガン、クリーン スキンケア (1.76 オンス)")</f>
        <v>ゼン・アイ・メット・ユー ロゼ リサーフェシング フェイシャル マスク - AHA + BHA + レスベラトロールを使用した自宅でのスパークリング フェイシャル トリートメント - ビーガン、クリーン スキンケア (1.76 オンス)</v>
      </c>
    </row>
    <row r="2469" ht="15.75" customHeight="1">
      <c r="A2469" s="1">
        <v>5462.0</v>
      </c>
      <c r="B2469" s="1" t="s">
        <v>15</v>
      </c>
      <c r="C2469" s="1" t="s">
        <v>1907</v>
      </c>
      <c r="D2469" s="1" t="str">
        <f>IFERROR(__xludf.DUMMYFUNCTION("CONCATENATE(GOOGLETRANSLATE(C2469, ""en"", ""zh-cn""))"),"Lenovo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2469" s="1" t="str">
        <f>IFERROR(__xludf.DUMMYFUNCTION("CONCATENATE(GOOGLETRANSLATE(C2469, ""en"", ""ko""))"),"Lenovo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2469" s="1" t="str">
        <f>IFERROR(__xludf.DUMMYFUNCTION("CONCATENATE(GOOGLETRANSLATE(C2469, ""en"", ""ja""))"),"Lenovo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2470" ht="15.75" customHeight="1">
      <c r="A2470" s="1">
        <v>5465.0</v>
      </c>
      <c r="B2470" s="1" t="s">
        <v>15</v>
      </c>
      <c r="C2470" s="1" t="s">
        <v>1845</v>
      </c>
      <c r="D2470" s="1" t="str">
        <f>IFERROR(__xludf.DUMMYFUNCTION("CONCATENATE(GOOGLETRANSLATE(C2470, ""en"", ""zh-cn""))"),"LiangCuber GAN 13磁悬浮旗舰磁力3x3无贴纸GAN13 M速度魔方（磨砂版）")</f>
        <v>LiangCuber GAN 13磁悬浮旗舰磁力3x3无贴纸GAN13 M速度魔方（磨砂版）</v>
      </c>
      <c r="E2470" s="1" t="str">
        <f>IFERROR(__xludf.DUMMYFUNCTION("CONCATENATE(GOOGLETRANSLATE(C2470, ""en"", ""ko""))"),"LiangCuber GAN 13 자기 부상 플래그십 마그네틱 3x3 스티커 없는 GAN13 M 스피드 큐브(반투명 버전)")</f>
        <v>LiangCuber GAN 13 자기 부상 플래그십 마그네틱 3x3 스티커 없는 GAN13 M 스피드 큐브(반투명 버전)</v>
      </c>
      <c r="F2470" s="1" t="str">
        <f>IFERROR(__xludf.DUMMYFUNCTION("CONCATENATE(GOOGLETRANSLATE(C2470, ""en"", ""ja""))"),"LiangCuber GAN 13 マグレブ旗艦 磁気 3x3 ステッカーレス GAN13 M スピード キューブ (つや消しバージョン)")</f>
        <v>LiangCuber GAN 13 マグレブ旗艦 磁気 3x3 ステッカーレス GAN13 M スピード キューブ (つや消しバージョン)</v>
      </c>
    </row>
    <row r="2471" ht="15.75" customHeight="1">
      <c r="A2471" s="1">
        <v>5467.0</v>
      </c>
      <c r="B2471" s="1" t="s">
        <v>15</v>
      </c>
      <c r="C2471" s="1" t="s">
        <v>1851</v>
      </c>
      <c r="D2471" s="1" t="str">
        <f>IFERROR(__xludf.DUMMYFUNCTION("CONCATENATE(GOOGLETRANSLATE(C2471, ""en"", ""zh-cn""))"),"GAN Megaminx M，五角磁力测速魔方，无贴纸")</f>
        <v>GAN Megaminx M，五角磁力测速魔方，无贴纸</v>
      </c>
      <c r="E2471" s="1" t="str">
        <f>IFERROR(__xludf.DUMMYFUNCTION("CONCATENATE(GOOGLETRANSLATE(C2471, ""en"", ""ko""))"),"GAN Megaminx M, 오각형 자기 속도 큐브, 스티커 없음")</f>
        <v>GAN Megaminx M, 오각형 자기 속도 큐브, 스티커 없음</v>
      </c>
      <c r="F2471" s="1" t="str">
        <f>IFERROR(__xludf.DUMMYFUNCTION("CONCATENATE(GOOGLETRANSLATE(C2471, ""en"", ""ja""))"),"GAN メガミンクス M、五角形磁気スピードキューブ、ステッカーレス")</f>
        <v>GAN メガミンクス M、五角形磁気スピードキューブ、ステッカーレス</v>
      </c>
    </row>
    <row r="2472" ht="15.75" customHeight="1">
      <c r="A2472" s="1">
        <v>5473.0</v>
      </c>
      <c r="B2472" s="1" t="s">
        <v>15</v>
      </c>
      <c r="C2472" s="1" t="s">
        <v>1827</v>
      </c>
      <c r="D2472" s="1" t="str">
        <f>IFERROR(__xludf.DUMMYFUNCTION("CONCATENATE(GOOGLETRANSLATE(C2472, ""en"", ""zh-cn""))"),"宁神茶丸 甘麦大枣丸 (1000 茶丸)3383E-MAYWAY by Mayway")</f>
        <v>宁神茶丸 甘麦大枣丸 (1000 茶丸)3383E-MAYWAY by Mayway</v>
      </c>
      <c r="E2472" s="1" t="str">
        <f>IFERROR(__xludf.DUMMYFUNCTION("CONCATENATE(GOOGLETRANSLATE(C2472, ""en"", ""ko""))"),"Calm Spirit Teapills Gan Mai Da Zao Wan (1000 티필)3383E-MAYWAY by Mayway")</f>
        <v>Calm Spirit Teapills Gan Mai Da Zao Wan (1000 티필)3383E-MAYWAY by Mayway</v>
      </c>
      <c r="F2472" s="1" t="str">
        <f>IFERROR(__xludf.DUMMYFUNCTION("CONCATENATE(GOOGLETRANSLATE(C2472, ""en"", ""ja""))"),"Calm Spirit Teapills Gan Mai Da Zao Wan (1000 Teapills)3383E-MAYWAY by Mayway")</f>
        <v>Calm Spirit Teapills Gan Mai Da Zao Wan (1000 Teapills)3383E-MAYWAY by Mayway</v>
      </c>
    </row>
    <row r="2473" ht="15.75" customHeight="1">
      <c r="A2473" s="1">
        <v>5474.0</v>
      </c>
      <c r="B2473" s="1" t="s">
        <v>15</v>
      </c>
      <c r="C2473" s="1" t="s">
        <v>1907</v>
      </c>
      <c r="D2473" s="1" t="str">
        <f>IFERROR(__xludf.DUMMYFUNCTION("CONCATENATE(GOOGLETRANSLATE(C2473, ""en"", ""zh-cn""))"),"Lenovo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2473" s="1" t="str">
        <f>IFERROR(__xludf.DUMMYFUNCTION("CONCATENATE(GOOGLETRANSLATE(C2473, ""en"", ""ko""))"),"Lenovo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2473" s="1" t="str">
        <f>IFERROR(__xludf.DUMMYFUNCTION("CONCATENATE(GOOGLETRANSLATE(C2473, ""en"", ""ja""))"),"Lenovo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2474" ht="15.75" customHeight="1">
      <c r="A2474" s="1">
        <v>5481.0</v>
      </c>
      <c r="B2474" s="1" t="s">
        <v>15</v>
      </c>
      <c r="C2474" s="1" t="s">
        <v>1849</v>
      </c>
      <c r="D2474" s="1" t="str">
        <f>IFERROR(__xludf.DUMMYFUNCTION("CONCATENATE(GOOGLETRANSLATE(C2474, ""en"", ""zh-cn""))"),"GAN 460 M， Gan 4x4 磁性速度魔方， gan 460 m 4 x 4 儿童和成人无贴纸拼图玩具")</f>
        <v>GAN 460 M， Gan 4x4 磁性速度魔方， gan 460 m 4 x 4 儿童和成人无贴纸拼图玩具</v>
      </c>
      <c r="E2474" s="1" t="str">
        <f>IFERROR(__xludf.DUMMYFUNCTION("CONCATENATE(GOOGLETRANSLATE(C2474, ""en"", ""ko""))"),"GAN 460 M, Gan 4x4 자기 속도 큐브, gan 460 m 4 by 4 어린이와 성인을 위한 스티커 없는 퍼즐 장난감")</f>
        <v>GAN 460 M, Gan 4x4 자기 속도 큐브, gan 460 m 4 by 4 어린이와 성인을 위한 스티커 없는 퍼즐 장난감</v>
      </c>
      <c r="F2474" s="1" t="str">
        <f>IFERROR(__xludf.DUMMYFUNCTION("CONCATENATE(GOOGLETRANSLATE(C2474, ""en"", ""ja""))"),"GAN 460 M、Gan 4x4 磁気スピードキューブ、GAN 460 m 4 by 4 ステッカーレスパズルおもちゃ子供と大人向け")</f>
        <v>GAN 460 M、Gan 4x4 磁気スピードキューブ、GAN 460 m 4 by 4 ステッカーレスパズルおもちゃ子供と大人向け</v>
      </c>
    </row>
    <row r="2475" ht="15.75" customHeight="1">
      <c r="A2475" s="1">
        <v>5484.0</v>
      </c>
      <c r="B2475" s="1" t="s">
        <v>15</v>
      </c>
      <c r="C2475" s="1" t="s">
        <v>1907</v>
      </c>
      <c r="D2475" s="1" t="str">
        <f>IFERROR(__xludf.DUMMYFUNCTION("CONCATENATE(GOOGLETRANSLATE(C2475, ""en"", ""zh-cn""))"),"Lenovo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2475" s="1" t="str">
        <f>IFERROR(__xludf.DUMMYFUNCTION("CONCATENATE(GOOGLETRANSLATE(C2475, ""en"", ""ko""))"),"Lenovo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2475" s="1" t="str">
        <f>IFERROR(__xludf.DUMMYFUNCTION("CONCATENATE(GOOGLETRANSLATE(C2475, ""en"", ""ja""))"),"Lenovo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2476" ht="15.75" customHeight="1">
      <c r="A2476" s="1">
        <v>5492.0</v>
      </c>
      <c r="B2476" s="1" t="s">
        <v>15</v>
      </c>
      <c r="C2476" s="1" t="s">
        <v>1903</v>
      </c>
      <c r="D2476" s="1" t="str">
        <f>IFERROR(__xludf.DUMMYFUNCTION("CONCATENATE(GOOGLETRANSLATE(C2476, ""en"", ""zh-cn""))"),"CuberShop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2476" s="1" t="str">
        <f>IFERROR(__xludf.DUMMYFUNCTION("CONCATENATE(GOOGLETRANSLATE(C2476, ""en"", ""ko""))"),"CuberShop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2476" s="1" t="str">
        <f>IFERROR(__xludf.DUMMYFUNCTION("CONCATENATE(GOOGLETRANSLATE(C2476, ""en"", ""ja""))"),"CuberShop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2477" ht="15.75" customHeight="1">
      <c r="A2477" s="1">
        <v>5501.0</v>
      </c>
      <c r="B2477" s="1" t="s">
        <v>15</v>
      </c>
      <c r="C2477" s="1" t="s">
        <v>1826</v>
      </c>
      <c r="D2477" s="1" t="str">
        <f>IFERROR(__xludf.DUMMYFUNCTION("CONCATENATE(GOOGLETRANSLATE(C2477, ""en"", ""zh-cn""))"),"GAN 460 M 速度魔方， 4x4 磁性魔方 Gans 460M 拼图玩具（无贴纸）")</f>
        <v>GAN 460 M 速度魔方， 4x4 磁性魔方 Gans 460M 拼图玩具（无贴纸）</v>
      </c>
      <c r="E2477" s="1" t="str">
        <f>IFERROR(__xludf.DUMMYFUNCTION("CONCATENATE(GOOGLETRANSLATE(C2477, ""en"", ""ko""))"),"GAN 460 M 스피드 큐브, 4x4 마그네틱 마스터 큐브 Gans 460M 퍼즐 장난감(스티커 없음)")</f>
        <v>GAN 460 M 스피드 큐브, 4x4 마그네틱 마스터 큐브 Gans 460M 퍼즐 장난감(스티커 없음)</v>
      </c>
      <c r="F2477" s="1" t="str">
        <f>IFERROR(__xludf.DUMMYFUNCTION("CONCATENATE(GOOGLETRANSLATE(C2477, ""en"", ""ja""))"),"GAN 460 M スピード キューブ、4x4 磁気マスター キューブ Gans 460M パズルおもちゃ (ステッカーなし)")</f>
        <v>GAN 460 M スピード キューブ、4x4 磁気マスター キューブ Gans 460M パズルおもちゃ (ステッカーなし)</v>
      </c>
    </row>
    <row r="2478" ht="15.75" customHeight="1">
      <c r="A2478" s="1">
        <v>5503.0</v>
      </c>
      <c r="B2478" s="1" t="s">
        <v>15</v>
      </c>
      <c r="C2478" s="1" t="s">
        <v>1825</v>
      </c>
      <c r="D2478" s="1" t="str">
        <f>IFERROR(__xludf.DUMMYFUNCTION("CONCATENATE(GOOGLETRANSLATE(C2478, ""en"", ""zh-cn""))"),"1500 块木制拼图桌 - 6 个抽屉，拼图板 | 27” X 35” 便携式拼图板 - 便携式拼图桌 |适合成人和儿童")</f>
        <v>1500 块木制拼图桌 - 6 个抽屉，拼图板 | 27” X 35” 便携式拼图板 - 便携式拼图桌 |适合成人和儿童</v>
      </c>
      <c r="E2478" s="1" t="str">
        <f>IFERROR(__xludf.DUMMYFUNCTION("CONCATENATE(GOOGLETRANSLATE(C2478, ""en"", ""ko""))"),"1500피스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2478" s="1" t="str">
        <f>IFERROR(__xludf.DUMMYFUNCTION("CONCATENATE(GOOGLETRANSLATE(C2478, ""en"", ""ja""))"),"1500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2479" ht="15.75" customHeight="1">
      <c r="A2479" s="1">
        <v>5509.0</v>
      </c>
      <c r="B2479" s="1" t="s">
        <v>15</v>
      </c>
      <c r="C2479" s="1" t="s">
        <v>1839</v>
      </c>
      <c r="D2479" s="1" t="str">
        <f>IFERROR(__xludf.DUMMYFUNCTION("CONCATENATE(GOOGLETRANSLATE(C2479, ""en"", ""zh-cn""))"),"GAN 13 磁悬浮 UV 涂层，磁性速度魔方 3x3 无贴纸 56 毫米磁铁魔方拼图玩具，GAN 2022 旗舰")</f>
        <v>GAN 13 磁悬浮 UV 涂层，磁性速度魔方 3x3 无贴纸 56 毫米磁铁魔方拼图玩具，GAN 2022 旗舰</v>
      </c>
      <c r="E2479" s="1" t="str">
        <f>IFERROR(__xludf.DUMMYFUNCTION("CONCATENATE(GOOGLETRANSLATE(C2479, ""en"", ""ko""))"),"GAN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2479" s="1" t="str">
        <f>IFERROR(__xludf.DUMMYFUNCTION("CONCATENATE(GOOGLETRANSLATE(C2479, ""en"", ""ja""))"),"GAN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2480" ht="15.75" customHeight="1">
      <c r="A2480" s="1">
        <v>5516.0</v>
      </c>
      <c r="B2480" s="1" t="s">
        <v>15</v>
      </c>
      <c r="C2480" s="1" t="s">
        <v>1840</v>
      </c>
      <c r="D2480" s="1" t="str">
        <f>IFERROR(__xludf.DUMMYFUNCTION("CONCATENATE(GOOGLETRANSLATE(C2480, ""en"", ""zh-cn""))"),"Cuberspeed GAN 13 uv 涂层 MagLev 无贴纸 3x3 速度立方拼图 gan13 maglev uv 涂层旗舰拼图")</f>
        <v>Cuberspeed GAN 13 uv 涂层 MagLev 无贴纸 3x3 速度立方拼图 gan13 maglev uv 涂层旗舰拼图</v>
      </c>
      <c r="E2480" s="1" t="str">
        <f>IFERROR(__xludf.DUMMYFUNCTION("CONCATENATE(GOOGLETRANSLATE(C2480, ""en"", ""ko""))"),"Cuberspeed GAN 13 uv 코팅 MagLev 스티커가 없는 3x3 스피드 큐브 퍼즐 gan13 maglev uv 코팅 플래그십 퍼즐")</f>
        <v>Cuberspeed GAN 13 uv 코팅 MagLev 스티커가 없는 3x3 스피드 큐브 퍼즐 gan13 maglev uv 코팅 플래그십 퍼즐</v>
      </c>
      <c r="F2480" s="1" t="str">
        <f>IFERROR(__xludf.DUMMYFUNCTION("CONCATENATE(GOOGLETRANSLATE(C2480, ""en"", ""ja""))"),"Cuberspeed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2481" ht="15.75" customHeight="1">
      <c r="A2481" s="1">
        <v>5545.0</v>
      </c>
      <c r="B2481" s="1" t="s">
        <v>15</v>
      </c>
      <c r="C2481" s="1" t="s">
        <v>2324</v>
      </c>
      <c r="D2481" s="1" t="str">
        <f>IFERROR(__xludf.DUMMYFUNCTION("CONCATENATE(GOOGLETRANSLATE(C2481, ""en"", ""zh-cn""))"),"罗林斯| Renegade 系列棒球接球手套装 | NOCSAE 认证 |成人 |中级|青年|多种颜色")</f>
        <v>罗林斯| Renegade 系列棒球接球手套装 | NOCSAE 认证 |成人 |中级|青年|多种颜色</v>
      </c>
      <c r="E2481" s="1" t="str">
        <f>IFERROR(__xludf.DUMMYFUNCTION("CONCATENATE(GOOGLETRANSLATE(C2481, ""en"", ""ko""))"),"롤링스 | 레니게이드 시리즈 야구 포수 세트 | NOCSAE 인증 | 성인 | 중급 | 청소년 | 다양한 색상")</f>
        <v>롤링스 | 레니게이드 시리즈 야구 포수 세트 | NOCSAE 인증 | 성인 | 중급 | 청소년 | 다양한 색상</v>
      </c>
      <c r="F2481" s="1" t="str">
        <f>IFERROR(__xludf.DUMMYFUNCTION("CONCATENATE(GOOGLETRANSLATE(C2481, ""en"", ""ja""))"),"ローリングス | Renegade シリーズ野球キャッチャーセット | NOCSAE 認定 |アダルト |中級 |若者 |複数の色")</f>
        <v>ローリングス | Renegade シリーズ野球キャッチャーセット | NOCSAE 認定 |アダルト |中級 |若者 |複数の色</v>
      </c>
    </row>
    <row r="2482" ht="15.75" customHeight="1">
      <c r="A2482" s="1">
        <v>5559.0</v>
      </c>
      <c r="B2482" s="1" t="s">
        <v>15</v>
      </c>
      <c r="C2482" s="1" t="s">
        <v>2325</v>
      </c>
      <c r="D2482" s="1" t="str">
        <f>IFERROR(__xludf.DUMMYFUNCTION("CONCATENATE(GOOGLETRANSLATE(C2482, ""en"", ""zh-cn""))"),"Drako 2 SRS 山地自行车鞋")</f>
        <v>Drako 2 SRS 山地自行车鞋</v>
      </c>
      <c r="E2482" s="1" t="str">
        <f>IFERROR(__xludf.DUMMYFUNCTION("CONCATENATE(GOOGLETRANSLATE(C2482, ""en"", ""ko""))"),"Drako 2 SRS 산악 자전거 신발")</f>
        <v>Drako 2 SRS 산악 자전거 신발</v>
      </c>
      <c r="F2482" s="1" t="str">
        <f>IFERROR(__xludf.DUMMYFUNCTION("CONCATENATE(GOOGLETRANSLATE(C2482, ""en"", ""ja""))"),"Drako 2 SRS マウンテン バイク シューズ")</f>
        <v>Drako 2 SRS マウンテン バイク シューズ</v>
      </c>
    </row>
    <row r="2483" ht="15.75" customHeight="1">
      <c r="A2483" s="1">
        <v>5573.0</v>
      </c>
      <c r="B2483" s="1" t="s">
        <v>15</v>
      </c>
      <c r="C2483" s="1" t="s">
        <v>1841</v>
      </c>
      <c r="D2483" s="1" t="str">
        <f>IFERROR(__xludf.DUMMYFUNCTION("CONCATENATE(GOOGLETRANSLATE(C2483, ""en"", ""zh-cn""))"),"CyclingDeal 自行车旅行箱 - 700c 自行车 - 自行车航空航班旅行硬箱箱包 EVA 材料轻便耐用，带 TSA 锁 - 非常适合公路自行车 - 运输设备专业")</f>
        <v>CyclingDeal 自行车旅行箱 - 700c 自行车 - 自行车航空航班旅行硬箱箱包 EVA 材料轻便耐用，带 TSA 锁 - 非常适合公路自行车 - 运输设备专业</v>
      </c>
      <c r="E2483" s="1" t="str">
        <f>IFERROR(__xludf.DUMMYFUNCTION("CONCATENATE(GOOGLETRANSLATE(C2483, ""en"", ""ko""))"),"CyclingDeal 자전거 여행용 케이스 - 700c 자전거 - 자전거 항공 항공편 여행용 하드 케이스 박스 백 EVA 소재 TSA 잠금 장치가 포함된 경량 및 내구성 - 도로 자전거에 적합 - 운송 장비 프로")</f>
        <v>CyclingDeal 자전거 여행용 케이스 - 700c 자전거 - 자전거 항공 항공편 여행용 하드 케이스 박스 백 EVA 소재 TSA 잠금 장치가 포함된 경량 및 내구성 - 도로 자전거에 적합 - 운송 장비 프로</v>
      </c>
      <c r="F2483" s="1" t="str">
        <f>IFERROR(__xludf.DUMMYFUNCTION("CONCATENATE(GOOGLETRANSLATE(C2483, ""en"", ""ja""))"),"CyclingDeal バイクトラベルケース - 700c バイク - 自転車航空便旅行ハードケースボックスバッグ EVA 素材 軽量&amp;耐久性 TSA ロック付き - ロードバイクに最適 - 輸送機器プロ")</f>
        <v>CyclingDeal バイクトラベルケース - 700c バイク - 自転車航空便旅行ハードケースボックスバッグ EVA 素材 軽量&amp;耐久性 TSA ロック付き - ロードバイクに最適 - 輸送機器プロ</v>
      </c>
    </row>
    <row r="2484" ht="15.75" customHeight="1">
      <c r="A2484" s="1">
        <v>5587.0</v>
      </c>
      <c r="B2484" s="1" t="s">
        <v>15</v>
      </c>
      <c r="C2484" s="1" t="s">
        <v>2326</v>
      </c>
      <c r="D2484" s="1" t="str">
        <f>IFERROR(__xludf.DUMMYFUNCTION("CONCATENATE(GOOGLETRANSLATE(C2484, ""en"", ""zh-cn""))"),"Dermalogica 皮脂清除面膜（2.5 液量盎司） - 含有水杨酸的抗衰老粘土面膜 - 吸收多余油脂，舒缓和细化肌肤纹理")</f>
        <v>Dermalogica 皮脂清除面膜（2.5 液量盎司） - 含有水杨酸的抗衰老粘土面膜 - 吸收多余油脂，舒缓和细化肌肤纹理</v>
      </c>
      <c r="E2484" s="1" t="str">
        <f>IFERROR(__xludf.DUMMYFUNCTION("CONCATENATE(GOOGLETRANSLATE(C2484, ""en"", ""ko""))"),"Dermalogica 피지 클리어링 마스크(2.5 Fl Oz) - 살리실산이 함유된 안티 에이징 클레이 페이스 마스크 - 과도한 오일을 흡수하여 피부 결을 진정시키고 개선합니다")</f>
        <v>Dermalogica 피지 클리어링 마스크(2.5 Fl Oz) - 살리실산이 함유된 안티 에이징 클레이 페이스 마스크 - 과도한 오일을 흡수하여 피부 결을 진정시키고 개선합니다</v>
      </c>
      <c r="F2484" s="1" t="str">
        <f>IFERROR(__xludf.DUMMYFUNCTION("CONCATENATE(GOOGLETRANSLATE(C2484, ""en"", ""ja""))"),"Dermalogica シーバム クリアリング マスク (2.5 液量オンス) - サリチル酸配合のアンチエイジング クレイ フェイス マスク - 余分な油分を吸収し、肌の質感を落ち着かせて整えます")</f>
        <v>Dermalogica シーバム クリアリング マスク (2.5 液量オンス) - サリチル酸配合のアンチエイジング クレイ フェイス マスク - 余分な油分を吸収し、肌の質感を落ち着かせて整えます</v>
      </c>
    </row>
    <row r="2485" ht="15.75" customHeight="1">
      <c r="A2485" s="1">
        <v>5589.0</v>
      </c>
      <c r="B2485" s="1" t="s">
        <v>15</v>
      </c>
      <c r="C2485" s="1" t="s">
        <v>2297</v>
      </c>
      <c r="D2485" s="1" t="str">
        <f>IFERROR(__xludf.DUMMYFUNCTION("CONCATENATE(GOOGLETRANSLATE(C2485, ""en"", ""zh-cn""))"),"Sisley 女士 L’orchidee 白百合荧光笔腮红，0.52 盎司")</f>
        <v>Sisley 女士 L’orchidee 白百合荧光笔腮红，0.52 盎司</v>
      </c>
      <c r="E2485" s="1" t="str">
        <f>IFERROR(__xludf.DUMMYFUNCTION("CONCATENATE(GOOGLETRANSLATE(C2485, ""en"", ""ko""))"),"시슬리 여성용 로키디 하이라이터 블러셔 위드 화이트 릴리, 0.52온스")</f>
        <v>시슬리 여성용 로키디 하이라이터 블러셔 위드 화이트 릴리, 0.52온스</v>
      </c>
      <c r="F2485" s="1" t="str">
        <f>IFERROR(__xludf.DUMMYFUNCTION("CONCATENATE(GOOGLETRANSLATE(C2485, ""en"", ""ja""))"),"シスレー レディース ローキディー ハイライター ブラッシュ ホワイト リリー、0.52 オンス")</f>
        <v>シスレー レディース ローキディー ハイライター ブラッシュ ホワイト リリー、0.52 オンス</v>
      </c>
    </row>
    <row r="2486" ht="15.75" customHeight="1">
      <c r="A2486" s="1">
        <v>5613.0</v>
      </c>
      <c r="B2486" s="1" t="s">
        <v>15</v>
      </c>
      <c r="C2486" s="1" t="s">
        <v>1824</v>
      </c>
      <c r="D2486" s="1" t="str">
        <f>IFERROR(__xludf.DUMMYFUNCTION("CONCATENATE(GOOGLETRANSLATE(C2486, ""en"", ""zh-cn""))"),"ALL4JIG 1500 件便携式带腿拼图桌，可调节拼图板，带 4 个抽屉和盖子，3 倾斜角度成人拼图桌")</f>
        <v>ALL4JIG 1500 件便携式带腿拼图桌，可调节拼图板，带 4 个抽屉和盖子，3 倾斜角度成人拼图桌</v>
      </c>
      <c r="E2486" s="1" t="str">
        <f>IFERROR(__xludf.DUMMYFUNCTION("CONCATENATE(GOOGLETRANSLATE(C2486, ""en"", ""ko""))"),"ALL4JIG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2486" s="1" t="str">
        <f>IFERROR(__xludf.DUMMYFUNCTION("CONCATENATE(GOOGLETRANSLATE(C2486, ""en"", ""ja""))"),"ALL4JIG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2487" ht="15.75" customHeight="1">
      <c r="A2487" s="1">
        <v>5620.0</v>
      </c>
      <c r="B2487" s="1" t="s">
        <v>15</v>
      </c>
      <c r="C2487" s="1" t="s">
        <v>1912</v>
      </c>
      <c r="D2487" s="1" t="str">
        <f>IFERROR(__xludf.DUMMYFUNCTION("CONCATENATE(GOOGLETRANSLATE(C2487, ""en"", ""zh-cn""))"),"EF ECOFLOW 便携式发电站 RIVER 2，256Wh LiFePO4 电池/ 1 小时快速充电，2 个高达 600W 的交流电源插座，太阳能发电机（太阳能电池板可选）适合户外露营/房车/家用")</f>
        <v>EF ECOFLOW 便携式发电站 RIVER 2，256Wh LiFePO4 电池/ 1 小时快速充电，2 个高达 600W 的交流电源插座，太阳能发电机（太阳能电池板可选）适合户外露营/房车/家用</v>
      </c>
      <c r="E2487" s="1" t="str">
        <f>IFERROR(__xludf.DUMMYFUNCTION("CONCATENATE(GOOGLETRANSLATE(C2487, ""en"", ""ko""))"),"EF ECOFLOW 휴대용 발전소 RIVER 2, 256Wh LiFePO4 배터리/1시간 고속 충전, 최대 600W AC 콘센트 2개, 야외 캠핑/RV/가정용 태양광 발전기(태양광 패널 옵션)")</f>
        <v>EF ECOFLOW 휴대용 발전소 RIVER 2, 256Wh LiFePO4 배터리/1시간 고속 충전, 최대 600W AC 콘센트 2개, 야외 캠핑/RV/가정용 태양광 발전기(태양광 패널 옵션)</v>
      </c>
      <c r="F2487" s="1" t="str">
        <f>IFERROR(__xludf.DUMMYFUNCTION("CONCATENATE(GOOGLETRANSLATE(C2487, ""en"", ""ja""))"),"EF ECOFLOW ポータブルパワーステーション RIVER 2、256Wh LiFePO4 バッテリー/1 時間の急速充電、最大 600W AC コンセント 2 個、屋外キャンプ/RV/家庭用太陽光発電機 (ソーラーパネルはオプション)")</f>
        <v>EF ECOFLOW ポータブルパワーステーション RIVER 2、256Wh LiFePO4 バッテリー/1 時間の急速充電、最大 600W AC コンセント 2 個、屋外キャンプ/RV/家庭用太陽光発電機 (ソーラーパネルはオプション)</v>
      </c>
    </row>
    <row r="2488" ht="15.75" customHeight="1">
      <c r="A2488" s="1">
        <v>5622.0</v>
      </c>
      <c r="B2488" s="1" t="s">
        <v>15</v>
      </c>
      <c r="C2488" s="1" t="s">
        <v>2325</v>
      </c>
      <c r="D2488" s="1" t="str">
        <f>IFERROR(__xludf.DUMMYFUNCTION("CONCATENATE(GOOGLETRANSLATE(C2488, ""en"", ""zh-cn""))"),"Drako 2 SRS 山地自行车鞋")</f>
        <v>Drako 2 SRS 山地自行车鞋</v>
      </c>
      <c r="E2488" s="1" t="str">
        <f>IFERROR(__xludf.DUMMYFUNCTION("CONCATENATE(GOOGLETRANSLATE(C2488, ""en"", ""ko""))"),"Drako 2 SRS 산악 자전거 신발")</f>
        <v>Drako 2 SRS 산악 자전거 신발</v>
      </c>
      <c r="F2488" s="1" t="str">
        <f>IFERROR(__xludf.DUMMYFUNCTION("CONCATENATE(GOOGLETRANSLATE(C2488, ""en"", ""ja""))"),"Drako 2 SRS マウンテン バイク シューズ")</f>
        <v>Drako 2 SRS マウンテン バイク シューズ</v>
      </c>
    </row>
    <row r="2489" ht="15.75" customHeight="1">
      <c r="A2489" s="1">
        <v>5637.0</v>
      </c>
      <c r="B2489" s="1" t="s">
        <v>15</v>
      </c>
      <c r="C2489" s="1" t="s">
        <v>1838</v>
      </c>
      <c r="D2489" s="1" t="str">
        <f>IFERROR(__xludf.DUMMYFUNCTION("CONCATENATE(GOOGLETRANSLATE(C2489, ""en"", ""zh-cn""))"),"Ravensburger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2489" s="1" t="str">
        <f>IFERROR(__xludf.DUMMYFUNCTION("CONCATENATE(GOOGLETRANSLATE(C2489, ""en"", ""ko""))"),"Ravensburger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2489" s="1" t="str">
        <f>IFERROR(__xludf.DUMMYFUNCTION("CONCATENATE(GOOGLETRANSLATE(C2489, ""en"", ""ja""))"),"Ravensburger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2490" ht="15.75" customHeight="1">
      <c r="A2490" s="1">
        <v>5644.0</v>
      </c>
      <c r="B2490" s="1" t="s">
        <v>15</v>
      </c>
      <c r="C2490" s="1" t="s">
        <v>1650</v>
      </c>
      <c r="D2490" s="1" t="str">
        <f>IFERROR(__xludf.DUMMYFUNCTION("CONCATENATE(GOOGLETRANSLATE(C2490, ""en"", ""zh-cn""))"),"SHARGEEK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2490" s="1" t="str">
        <f>IFERROR(__xludf.DUMMYFUNCTION("CONCATENATE(GOOGLETRANSLATE(C2490, ""en"", ""ko""))"),"SHARGEEK의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2490" s="1" t="str">
        <f>IFERROR(__xludf.DUMMYFUNCTION("CONCATENATE(GOOGLETRANSLATE(C2490, ""en"", ""ja""))"),"SHARGEEK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2491" ht="15.75" customHeight="1">
      <c r="A2491" s="1">
        <v>5652.0</v>
      </c>
      <c r="B2491" s="1" t="s">
        <v>15</v>
      </c>
      <c r="C2491" s="1" t="s">
        <v>2327</v>
      </c>
      <c r="D2491" s="1" t="str">
        <f>IFERROR(__xludf.DUMMYFUNCTION("CONCATENATE(GOOGLETRANSLATE(C2491, ""en"", ""zh-cn""))"),"GAN 356 i 3 无贴纸速度魔方，3x3 智能魔方 356 i3 甘斯磁力魔方智能跟踪计时运动步骤与 CubeStation 应用程序甘魔方拼图玩具（不含 GAN 机器人）")</f>
        <v>GAN 356 i 3 无贴纸速度魔方，3x3 智能魔方 356 i3 甘斯磁力魔方智能跟踪计时运动步骤与 CubeStation 应用程序甘魔方拼图玩具（不含 GAN 机器人）</v>
      </c>
      <c r="E2491" s="1" t="str">
        <f>IFERROR(__xludf.DUMMYFUNCTION("CONCATENATE(GOOGLETRANSLATE(C2491, ""en"", ""ko""))"),"GAN 356 i 3 스티커 없는 스피드 큐브, 3x3 스마트 큐브 356 i3 Gans 마그네틱 큐브 CubeStation 앱을 사용한 지능형 추적 타이밍 동작 단계 Gan 큐브 퍼즐 장난감(GAN 로봇은 포함되지 않음)")</f>
        <v>GAN 356 i 3 스티커 없는 스피드 큐브, 3x3 스마트 큐브 356 i3 Gans 마그네틱 큐브 CubeStation 앱을 사용한 지능형 추적 타이밍 동작 단계 Gan 큐브 퍼즐 장난감(GAN 로봇은 포함되지 않음)</v>
      </c>
      <c r="F2491" s="1" t="str">
        <f>IFERROR(__xludf.DUMMYFUNCTION("CONCATENATE(GOOGLETRANSLATE(C2491, ""en"", ""ja""))"),"GAN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f>
        <v>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v>
      </c>
    </row>
    <row r="2492" ht="15.75" customHeight="1">
      <c r="A2492" s="1">
        <v>5664.0</v>
      </c>
      <c r="B2492" s="1" t="s">
        <v>15</v>
      </c>
      <c r="C2492" s="1" t="s">
        <v>1838</v>
      </c>
      <c r="D2492" s="1" t="str">
        <f>IFERROR(__xludf.DUMMYFUNCTION("CONCATENATE(GOOGLETRANSLATE(C2492, ""en"", ""zh-cn""))"),"Ravensburger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2492" s="1" t="str">
        <f>IFERROR(__xludf.DUMMYFUNCTION("CONCATENATE(GOOGLETRANSLATE(C2492, ""en"", ""ko""))"),"Ravensburger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2492" s="1" t="str">
        <f>IFERROR(__xludf.DUMMYFUNCTION("CONCATENATE(GOOGLETRANSLATE(C2492, ""en"", ""ja""))"),"Ravensburger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2493" ht="15.75" customHeight="1">
      <c r="A2493" s="1">
        <v>5679.0</v>
      </c>
      <c r="B2493" s="1" t="s">
        <v>15</v>
      </c>
      <c r="C2493" s="1" t="s">
        <v>2328</v>
      </c>
      <c r="D2493" s="1" t="str">
        <f>IFERROR(__xludf.DUMMYFUNCTION("CONCATENATE(GOOGLETRANSLATE(C2493, ""en"", ""zh-cn""))"),"Chico's 女式防皱旅行裤")</f>
        <v>Chico's 女式防皱旅行裤</v>
      </c>
      <c r="E2493" s="1" t="str">
        <f>IFERROR(__xludf.DUMMYFUNCTION("CONCATENATE(GOOGLETRANSLATE(C2493, ""en"", ""ko""))"),"치코 여성용 링클프리 트래블러스 팬츠")</f>
        <v>치코 여성용 링클프리 트래블러스 팬츠</v>
      </c>
      <c r="F2493" s="1" t="str">
        <f>IFERROR(__xludf.DUMMYFUNCTION("CONCATENATE(GOOGLETRANSLATE(C2493, ""en"", ""ja""))"),"Chico's レディース リンクルフリー トラベラーズ パンツ")</f>
        <v>Chico's レディース リンクルフリー トラベラーズ パンツ</v>
      </c>
    </row>
    <row r="2494" ht="15.75" customHeight="1">
      <c r="A2494" s="1">
        <v>5686.0</v>
      </c>
      <c r="B2494" s="1" t="s">
        <v>15</v>
      </c>
      <c r="C2494" s="1" t="s">
        <v>2329</v>
      </c>
      <c r="D2494" s="1" t="str">
        <f>IFERROR(__xludf.DUMMYFUNCTION("CONCATENATE(GOOGLETRANSLATE(C2494, ""en"", ""zh-cn""))"),"32 Degrees 女式酷T恤连衣裙")</f>
        <v>32 Degrees 女式酷T恤连衣裙</v>
      </c>
      <c r="E2494" s="1" t="str">
        <f>IFERROR(__xludf.DUMMYFUNCTION("CONCATENATE(GOOGLETRANSLATE(C2494, ""en"", ""ko""))"),"32도 여성용 쿨 티셔츠 드레스")</f>
        <v>32도 여성용 쿨 티셔츠 드레스</v>
      </c>
      <c r="F2494" s="1" t="str">
        <f>IFERROR(__xludf.DUMMYFUNCTION("CONCATENATE(GOOGLETRANSLATE(C2494, ""en"", ""ja""))"),"32 Degrees レディース クール T シャツ ドレス")</f>
        <v>32 Degrees レディース クール T シャツ ドレス</v>
      </c>
    </row>
    <row r="2495" ht="15.75" customHeight="1">
      <c r="A2495" s="1">
        <v>5699.0</v>
      </c>
      <c r="B2495" s="1" t="s">
        <v>15</v>
      </c>
      <c r="C2495" s="1" t="s">
        <v>2330</v>
      </c>
      <c r="D2495" s="1" t="str">
        <f>IFERROR(__xludf.DUMMYFUNCTION("CONCATENATE(GOOGLETRANSLATE(C2495, ""en"", ""zh-cn""))"),"Madewell 女式收紧长袖上衣")</f>
        <v>Madewell 女式收紧长袖上衣</v>
      </c>
      <c r="E2495" s="1" t="str">
        <f>IFERROR(__xludf.DUMMYFUNCTION("CONCATENATE(GOOGLETRANSLATE(C2495, ""en"", ""ko""))"),"Madewell 여성용 신치드 긴소매 탑")</f>
        <v>Madewell 여성용 신치드 긴소매 탑</v>
      </c>
      <c r="F2495" s="1" t="str">
        <f>IFERROR(__xludf.DUMMYFUNCTION("CONCATENATE(GOOGLETRANSLATE(C2495, ""en"", ""ja""))"),"Madewell レディース シンチド ロングスリーブ トップ")</f>
        <v>Madewell レディース シンチド ロングスリーブ トップ</v>
      </c>
    </row>
    <row r="2496" ht="15.75" customHeight="1">
      <c r="A2496" s="1">
        <v>5701.0</v>
      </c>
      <c r="B2496" s="1" t="s">
        <v>15</v>
      </c>
      <c r="C2496" s="1" t="s">
        <v>2331</v>
      </c>
      <c r="D2496" s="1" t="str">
        <f>IFERROR(__xludf.DUMMYFUNCTION("CONCATENATE(GOOGLETRANSLATE(C2496, ""en"", ""zh-cn""))"),"女士高腰 A 字无袖中长连衣裙")</f>
        <v>女士高腰 A 字无袖中长连衣裙</v>
      </c>
      <c r="E2496" s="1" t="str">
        <f>IFERROR(__xludf.DUMMYFUNCTION("CONCATENATE(GOOGLETRANSLATE(C2496, ""en"", ""ko""))"),"여성용 하이 웨이스트 A 라인 민소매 미디 드레스")</f>
        <v>여성용 하이 웨이스트 A 라인 민소매 미디 드레스</v>
      </c>
      <c r="F2496" s="1" t="str">
        <f>IFERROR(__xludf.DUMMYFUNCTION("CONCATENATE(GOOGLETRANSLATE(C2496, ""en"", ""ja""))"),"レディース ハイウエスト A ライン ノースリーブ ミディドレス")</f>
        <v>レディース ハイウエスト A ライン ノースリーブ ミディドレス</v>
      </c>
    </row>
    <row r="2497" ht="15.75" customHeight="1">
      <c r="A2497" s="1">
        <v>5704.0</v>
      </c>
      <c r="B2497" s="1" t="s">
        <v>15</v>
      </c>
      <c r="C2497" s="1" t="s">
        <v>2332</v>
      </c>
      <c r="D2497" s="1" t="str">
        <f>IFERROR(__xludf.DUMMYFUNCTION("CONCATENATE(GOOGLETRANSLATE(C2497, ""en"", ""zh-cn""))"),"Nina Leonard 女式腰部系带修身喇叭毛衣连衣裙")</f>
        <v>Nina Leonard 女式腰部系带修身喇叭毛衣连衣裙</v>
      </c>
      <c r="E2497" s="1" t="str">
        <f>IFERROR(__xludf.DUMMYFUNCTION("CONCATENATE(GOOGLETRANSLATE(C2497, ""en"", ""ko""))"),"Nina Leonard 여성용 타이 웨이스트 핏 플레어 스웨터 드레스")</f>
        <v>Nina Leonard 여성용 타이 웨이스트 핏 플레어 스웨터 드레스</v>
      </c>
      <c r="F2497" s="1" t="str">
        <f>IFERROR(__xludf.DUMMYFUNCTION("CONCATENATE(GOOGLETRANSLATE(C2497, ""en"", ""ja""))"),"Nina Leonard レディース タイウエスト フィットフレア セータードレス")</f>
        <v>Nina Leonard レディース タイウエスト フィットフレア セータードレス</v>
      </c>
    </row>
    <row r="2498" ht="15.75" customHeight="1">
      <c r="A2498" s="1">
        <v>5707.0</v>
      </c>
      <c r="B2498" s="1" t="s">
        <v>15</v>
      </c>
      <c r="C2498" s="1" t="s">
        <v>2333</v>
      </c>
      <c r="D2498" s="1" t="str">
        <f>IFERROR(__xludf.DUMMYFUNCTION("CONCATENATE(GOOGLETRANSLATE(C2498, ""en"", ""zh-cn""))"),"Desigual 女式灰色涤纶连衣裙")</f>
        <v>Desigual 女式灰色涤纶连衣裙</v>
      </c>
      <c r="E2498" s="1" t="str">
        <f>IFERROR(__xludf.DUMMYFUNCTION("CONCATENATE(GOOGLETRANSLATE(C2498, ""en"", ""ko""))"),"Desigual 여성용 그레이 폴리에스테르 드레스")</f>
        <v>Desigual 여성용 그레이 폴리에스테르 드레스</v>
      </c>
      <c r="F2498" s="1" t="str">
        <f>IFERROR(__xludf.DUMMYFUNCTION("CONCATENATE(GOOGLETRANSLATE(C2498, ""en"", ""ja""))"),"Desigual レディース グレー ポリエステル ドレス")</f>
        <v>Desigual レディース グレー ポリエステル ドレス</v>
      </c>
    </row>
    <row r="2499" ht="15.75" customHeight="1">
      <c r="A2499" s="1">
        <v>5715.0</v>
      </c>
      <c r="B2499" s="1" t="s">
        <v>15</v>
      </c>
      <c r="C2499" s="1" t="s">
        <v>2334</v>
      </c>
      <c r="D2499" s="1" t="str">
        <f>IFERROR(__xludf.DUMMYFUNCTION("CONCATENATE(GOOGLETRANSLATE(C2499, ""en"", ""zh-cn""))"),"Michael Kors 男士经典版型羊毛混纺西装外套")</f>
        <v>Michael Kors 男士经典版型羊毛混纺西装外套</v>
      </c>
      <c r="E2499" s="1" t="str">
        <f>IFERROR(__xludf.DUMMYFUNCTION("CONCATENATE(GOOGLETRANSLATE(C2499, ""en"", ""ko""))"),"Michael Kors 남성 클래식핏 울 블렌드 수트 재킷")</f>
        <v>Michael Kors 남성 클래식핏 울 블렌드 수트 재킷</v>
      </c>
      <c r="F2499" s="1" t="str">
        <f>IFERROR(__xludf.DUMMYFUNCTION("CONCATENATE(GOOGLETRANSLATE(C2499, ""en"", ""ja""))"),"Michael Kors メンズ クラシックフィット ウールブレンド スーツ ジャケット")</f>
        <v>Michael Kors メンズ クラシックフィット ウールブレンド スーツ ジャケット</v>
      </c>
    </row>
    <row r="2500" ht="15.75" customHeight="1">
      <c r="A2500" s="1">
        <v>5729.0</v>
      </c>
      <c r="B2500" s="1" t="s">
        <v>15</v>
      </c>
      <c r="C2500" s="1" t="s">
        <v>2335</v>
      </c>
      <c r="D2500" s="1" t="str">
        <f>IFERROR(__xludf.DUMMYFUNCTION("CONCATENATE(GOOGLETRANSLATE(C2500, ""en"", ""zh-cn""))"),"Abercrombie &amp; Fitch 男士西装正装衬衫")</f>
        <v>Abercrombie &amp; Fitch 男士西装正装衬衫</v>
      </c>
      <c r="E2500" s="1" t="str">
        <f>IFERROR(__xludf.DUMMYFUNCTION("CONCATENATE(GOOGLETRANSLATE(C2500, ""en"", ""ko""))"),"Abercrombie &amp; Fitch 남성 수트 드레스 셔츠")</f>
        <v>Abercrombie &amp; Fitch 남성 수트 드레스 셔츠</v>
      </c>
      <c r="F2500" s="1" t="str">
        <f>IFERROR(__xludf.DUMMYFUNCTION("CONCATENATE(GOOGLETRANSLATE(C2500, ""en"", ""ja""))"),"Abercrombie &amp; Fitch メンズ スーツ ドレス シャツ")</f>
        <v>Abercrombie &amp; Fitch メンズ スーツ ドレス シャツ</v>
      </c>
    </row>
    <row r="2501" ht="15.75" customHeight="1">
      <c r="A2501" s="1">
        <v>5731.0</v>
      </c>
      <c r="B2501" s="1" t="s">
        <v>15</v>
      </c>
      <c r="C2501" s="1" t="s">
        <v>2336</v>
      </c>
      <c r="D2501" s="1" t="str">
        <f>IFERROR(__xludf.DUMMYFUNCTION("CONCATENATE(GOOGLETRANSLATE(C2501, ""en"", ""zh-cn""))"),"Daniel Elliissa 男士时尚正装衬衫")</f>
        <v>Daniel Elliissa 男士时尚正装衬衫</v>
      </c>
      <c r="E2501" s="1" t="str">
        <f>IFERROR(__xludf.DUMMYFUNCTION("CONCATENATE(GOOGLETRANSLATE(C2501, ""en"", ""ko""))"),"다니엘 엘리사 남성 패션 드레스 셔츠")</f>
        <v>다니엘 엘리사 남성 패션 드레스 셔츠</v>
      </c>
      <c r="F2501" s="1" t="str">
        <f>IFERROR(__xludf.DUMMYFUNCTION("CONCATENATE(GOOGLETRANSLATE(C2501, ""en"", ""ja""))"),"Daniel Ellissa メンズファッションドレスシャツ")</f>
        <v>Daniel Ellissa メンズファッションドレスシャツ</v>
      </c>
    </row>
    <row r="2502" ht="15.75" customHeight="1">
      <c r="A2502" s="1">
        <v>5736.0</v>
      </c>
      <c r="B2502" s="1" t="s">
        <v>15</v>
      </c>
      <c r="C2502" s="1" t="s">
        <v>2337</v>
      </c>
      <c r="D2502" s="1" t="str">
        <f>IFERROR(__xludf.DUMMYFUNCTION("CONCATENATE(GOOGLETRANSLATE(C2502, ""en"", ""zh-cn""))"),"SONOMA Goods For Life 男式重量级 1/4 拉链毛衣")</f>
        <v>SONOMA Goods For Life 男式重量级 1/4 拉链毛衣</v>
      </c>
      <c r="E2502" s="1" t="str">
        <f>IFERROR(__xludf.DUMMYFUNCTION("CONCATENATE(GOOGLETRANSLATE(C2502, ""en"", ""ko""))"),"SONOMA Goods For Life 남성용 헤비웨이트 1/4-Zip 스웨터")</f>
        <v>SONOMA Goods For Life 남성용 헤비웨이트 1/4-Zip 스웨터</v>
      </c>
      <c r="F2502" s="1" t="str">
        <f>IFERROR(__xludf.DUMMYFUNCTION("CONCATENATE(GOOGLETRANSLATE(C2502, ""en"", ""ja""))"),"SONOMA Goods For Life メンズ ヘビーウェイト 1/4 ジップ セーター")</f>
        <v>SONOMA Goods For Life メンズ ヘビーウェイト 1/4 ジップ セーター</v>
      </c>
    </row>
    <row r="2503" ht="15.75" customHeight="1">
      <c r="A2503" s="1">
        <v>5740.0</v>
      </c>
      <c r="B2503" s="1" t="s">
        <v>15</v>
      </c>
      <c r="C2503" s="1" t="s">
        <v>2338</v>
      </c>
      <c r="D2503" s="1" t="str">
        <f>IFERROR(__xludf.DUMMYFUNCTION("CONCATENATE(GOOGLETRANSLATE(C2503, ""en"", ""zh-cn""))"),"Nautica 男士现代版型弹力套装")</f>
        <v>Nautica 男士现代版型弹力套装</v>
      </c>
      <c r="E2503" s="1" t="str">
        <f>IFERROR(__xludf.DUMMYFUNCTION("CONCATENATE(GOOGLETRANSLATE(C2503, ""en"", ""ko""))"),"Nautica 남성용 모던핏 스트레치 수트")</f>
        <v>Nautica 남성용 모던핏 스트레치 수트</v>
      </c>
      <c r="F2503" s="1" t="str">
        <f>IFERROR(__xludf.DUMMYFUNCTION("CONCATENATE(GOOGLETRANSLATE(C2503, ""en"", ""ja""))"),"Nautica メンズ モダンフィット ストレッチ スーツ")</f>
        <v>Nautica メンズ モダンフィット ストレッチ スーツ</v>
      </c>
    </row>
    <row r="2504" ht="15.75" customHeight="1">
      <c r="A2504" s="1">
        <v>5741.0</v>
      </c>
      <c r="B2504" s="1" t="s">
        <v>15</v>
      </c>
      <c r="C2504" s="1" t="s">
        <v>2339</v>
      </c>
      <c r="D2504" s="1" t="str">
        <f>IFERROR(__xludf.DUMMYFUNCTION("CONCATENATE(GOOGLETRANSLATE(C2504, ""en"", ""zh-cn""))"),"Patagonia 男士复古绒绒夹克")</f>
        <v>Patagonia 男士复古绒绒夹克</v>
      </c>
      <c r="E2504" s="1" t="str">
        <f>IFERROR(__xludf.DUMMYFUNCTION("CONCATENATE(GOOGLETRANSLATE(C2504, ""en"", ""ko""))"),"Patagonia 남성 레트로 파일 플리스 재킷")</f>
        <v>Patagonia 남성 레트로 파일 플리스 재킷</v>
      </c>
      <c r="F2504" s="1" t="str">
        <f>IFERROR(__xludf.DUMMYFUNCTION("CONCATENATE(GOOGLETRANSLATE(C2504, ""en"", ""ja""))"),"パタゴニア メンズ レトロ パイル フリース ジャケット")</f>
        <v>パタゴニア メンズ レトロ パイル フリース ジャケット</v>
      </c>
    </row>
    <row r="2505" ht="15.75" customHeight="1">
      <c r="A2505" s="1">
        <v>5769.0</v>
      </c>
      <c r="B2505" s="1" t="s">
        <v>15</v>
      </c>
      <c r="C2505" s="1" t="s">
        <v>2340</v>
      </c>
      <c r="D2505" s="1" t="str">
        <f>IFERROR(__xludf.DUMMYFUNCTION("CONCATENATE(GOOGLETRANSLATE(C2505, ""en"", ""zh-cn""))"),"GEEKOM AX8 迷你电脑")</f>
        <v>GEEKOM AX8 迷你电脑</v>
      </c>
      <c r="E2505" s="1" t="str">
        <f>IFERROR(__xludf.DUMMYFUNCTION("CONCATENATE(GOOGLETRANSLATE(C2505, ""en"", ""ko""))"),"GEEKOM AX8 미니 PC")</f>
        <v>GEEKOM AX8 미니 PC</v>
      </c>
      <c r="F2505" s="1" t="str">
        <f>IFERROR(__xludf.DUMMYFUNCTION("CONCATENATE(GOOGLETRANSLATE(C2505, ""en"", ""ja""))"),"GEEKOM AX8 ミニ PC")</f>
        <v>GEEKOM AX8 ミニ PC</v>
      </c>
    </row>
    <row r="2506" ht="15.75" customHeight="1">
      <c r="A2506" s="1">
        <v>5794.0</v>
      </c>
      <c r="B2506" s="1" t="s">
        <v>15</v>
      </c>
      <c r="C2506" s="1" t="s">
        <v>2341</v>
      </c>
      <c r="D2506" s="1" t="str">
        <f>IFERROR(__xludf.DUMMYFUNCTION("CONCATENATE(GOOGLETRANSLATE(C2506, ""en"", ""zh-cn""))"),"多合一户外运动套装")</f>
        <v>多合一户外运动套装</v>
      </c>
      <c r="E2506" s="1" t="str">
        <f>IFERROR(__xludf.DUMMYFUNCTION("CONCATENATE(GOOGLETRANSLATE(C2506, ""en"", ""ko""))"),"올인원 야외 스포츠 세트")</f>
        <v>올인원 야외 스포츠 세트</v>
      </c>
      <c r="F2506" s="1" t="str">
        <f>IFERROR(__xludf.DUMMYFUNCTION("CONCATENATE(GOOGLETRANSLATE(C2506, ""en"", ""ja""))"),"オールインワン アウトドア スポーツ セット")</f>
        <v>オールインワン アウトドア スポーツ セット</v>
      </c>
    </row>
    <row r="2507" ht="15.75" customHeight="1">
      <c r="A2507" s="1">
        <v>5795.0</v>
      </c>
      <c r="B2507" s="1" t="s">
        <v>15</v>
      </c>
      <c r="C2507" s="1" t="s">
        <v>2342</v>
      </c>
      <c r="D2507" s="1" t="str">
        <f>IFERROR(__xludf.DUMMYFUNCTION("CONCATENATE(GOOGLETRANSLATE(C2507, ""en"", ""zh-cn""))"),"终身 3 件运动套装")</f>
        <v>终身 3 件运动套装</v>
      </c>
      <c r="E2507" s="1" t="str">
        <f>IFERROR(__xludf.DUMMYFUNCTION("CONCATENATE(GOOGLETRANSLATE(C2507, ""en"", ""ko""))"),"라이프타임 3-스포츠 세트")</f>
        <v>라이프타임 3-스포츠 세트</v>
      </c>
      <c r="F2507" s="1" t="str">
        <f>IFERROR(__xludf.DUMMYFUNCTION("CONCATENATE(GOOGLETRANSLATE(C2507, ""en"", ""ja""))"),"ライフタイム 3 スポーツ セット")</f>
        <v>ライフタイム 3 スポーツ セット</v>
      </c>
    </row>
    <row r="2508" ht="15.75" customHeight="1">
      <c r="A2508" s="1">
        <v>5802.0</v>
      </c>
      <c r="B2508" s="1" t="s">
        <v>15</v>
      </c>
      <c r="C2508" s="1" t="s">
        <v>2343</v>
      </c>
      <c r="D2508" s="1" t="str">
        <f>IFERROR(__xludf.DUMMYFUNCTION("CONCATENATE(GOOGLETRANSLATE(C2508, ""en"", ""zh-cn""))"),"AccuBow 纳米青年弓")</f>
        <v>AccuBow 纳米青年弓</v>
      </c>
      <c r="E2508" s="1" t="str">
        <f>IFERROR(__xludf.DUMMYFUNCTION("CONCATENATE(GOOGLETRANSLATE(C2508, ""en"", ""ko""))"),"AccuBow 나노 청소년 활")</f>
        <v>AccuBow 나노 청소년 활</v>
      </c>
      <c r="F2508" s="1" t="str">
        <f>IFERROR(__xludf.DUMMYFUNCTION("CONCATENATE(GOOGLETRANSLATE(C2508, ""en"", ""ja""))"),"アキュボウ ナノ ユースボウ")</f>
        <v>アキュボウ ナノ ユースボウ</v>
      </c>
    </row>
    <row r="2509" ht="15.75" customHeight="1">
      <c r="A2509" s="1">
        <v>5804.0</v>
      </c>
      <c r="B2509" s="1" t="s">
        <v>15</v>
      </c>
      <c r="C2509" s="1" t="s">
        <v>2344</v>
      </c>
      <c r="D2509" s="1" t="str">
        <f>IFERROR(__xludf.DUMMYFUNCTION("CONCATENATE(GOOGLETRANSLATE(C2509, ""en"", ""zh-cn""))"),"GCI 户外自由式摇椅")</f>
        <v>GCI 户外自由式摇椅</v>
      </c>
      <c r="E2509" s="1" t="str">
        <f>IFERROR(__xludf.DUMMYFUNCTION("CONCATENATE(GOOGLETRANSLATE(C2509, ""en"", ""ko""))"),"GCI 야외 프리스타일 로커 의자")</f>
        <v>GCI 야외 프리스타일 로커 의자</v>
      </c>
      <c r="F2509" s="1" t="str">
        <f>IFERROR(__xludf.DUMMYFUNCTION("CONCATENATE(GOOGLETRANSLATE(C2509, ""en"", ""ja""))"),"GCI アウトドア フリースタイル ロッカー チェア")</f>
        <v>GCI アウトドア フリースタイル ロッカー チェア</v>
      </c>
    </row>
    <row r="2510" ht="15.75" customHeight="1">
      <c r="A2510" s="1">
        <v>5806.0</v>
      </c>
      <c r="B2510" s="1" t="s">
        <v>15</v>
      </c>
      <c r="C2510" s="1" t="s">
        <v>2345</v>
      </c>
      <c r="D2510" s="1" t="str">
        <f>IFERROR(__xludf.DUMMYFUNCTION("CONCATENATE(GOOGLETRANSLATE(C2510, ""en"", ""zh-cn""))"),"VEVOR 2-4 人即时运动帐篷")</f>
        <v>VEVOR 2-4 人即时运动帐篷</v>
      </c>
      <c r="E2510" s="1" t="str">
        <f>IFERROR(__xludf.DUMMYFUNCTION("CONCATENATE(GOOGLETRANSLATE(C2510, ""en"", ""ko""))"),"VEVOR 2-4인용 인스턴트 스포츠 텐트")</f>
        <v>VEVOR 2-4인용 인스턴트 스포츠 텐트</v>
      </c>
      <c r="F2510" s="1" t="str">
        <f>IFERROR(__xludf.DUMMYFUNCTION("CONCATENATE(GOOGLETRANSLATE(C2510, ""en"", ""ja""))"),"VEVOR 2～4人用インスタントスポーツテント")</f>
        <v>VEVOR 2～4人用インスタントスポーツテント</v>
      </c>
    </row>
    <row r="2511" ht="15.75" customHeight="1">
      <c r="A2511" s="1">
        <v>5810.0</v>
      </c>
      <c r="B2511" s="1" t="s">
        <v>15</v>
      </c>
      <c r="C2511" s="1" t="s">
        <v>2346</v>
      </c>
      <c r="D2511" s="1" t="str">
        <f>IFERROR(__xludf.DUMMYFUNCTION("CONCATENATE(GOOGLETRANSLATE(C2511, ""en"", ""zh-cn""))"),"威尔逊 NBA DRV 篮球")</f>
        <v>威尔逊 NBA DRV 篮球</v>
      </c>
      <c r="E2511" s="1" t="str">
        <f>IFERROR(__xludf.DUMMYFUNCTION("CONCATENATE(GOOGLETRANSLATE(C2511, ""en"", ""ko""))"),"윌슨 NBA DRV 농구")</f>
        <v>윌슨 NBA DRV 농구</v>
      </c>
      <c r="F2511" s="1" t="str">
        <f>IFERROR(__xludf.DUMMYFUNCTION("CONCATENATE(GOOGLETRANSLATE(C2511, ""en"", ""ja""))"),"ウィルソン NBA DRV バスケットボール")</f>
        <v>ウィルソン NBA DRV バスケットボール</v>
      </c>
    </row>
    <row r="2512" ht="15.75" customHeight="1">
      <c r="A2512" s="1">
        <v>5819.0</v>
      </c>
      <c r="B2512" s="1" t="s">
        <v>15</v>
      </c>
      <c r="C2512" s="1" t="s">
        <v>2347</v>
      </c>
      <c r="D2512" s="1" t="str">
        <f>IFERROR(__xludf.DUMMYFUNCTION("CONCATENATE(GOOGLETRANSLATE(C2512, ""en"", ""zh-cn""))"),"板球运动便携式板球套装，带板、排球和手动泵")</f>
        <v>板球运动便携式板球套装，带板、排球和手动泵</v>
      </c>
      <c r="E2512" s="1" t="str">
        <f>IFERROR(__xludf.DUMMYFUNCTION("CONCATENATE(GOOGLETRANSLATE(C2512, ""en"", ""ko""))"),"보드볼 스포츠 휴대용 보드볼 세트(보드, 배구, 핸드 펌프 포함)")</f>
        <v>보드볼 스포츠 휴대용 보드볼 세트(보드, 배구, 핸드 펌프 포함)</v>
      </c>
      <c r="F2512" s="1" t="str">
        <f>IFERROR(__xludf.DUMMYFUNCTION("CONCATENATE(GOOGLETRANSLATE(C2512, ""en"", ""ja""))"),"ボードボール スポーツ ポータブル ボードボール セット (ボード、バレーボール、ハンドポンプ付き)")</f>
        <v>ボードボール スポーツ ポータブル ボードボール セット (ボード、バレーボール、ハンドポンプ付き)</v>
      </c>
    </row>
    <row r="2513" ht="15.75" customHeight="1">
      <c r="A2513" s="1">
        <v>5840.0</v>
      </c>
      <c r="B2513" s="1" t="s">
        <v>15</v>
      </c>
      <c r="C2513" s="1" t="s">
        <v>2348</v>
      </c>
      <c r="D2513" s="1" t="str">
        <f>IFERROR(__xludf.DUMMYFUNCTION("CONCATENATE(GOOGLETRANSLATE(C2513, ""en"", ""zh-cn""))"),"男士大理石表盘斑马木手表")</f>
        <v>男士大理石表盘斑马木手表</v>
      </c>
      <c r="E2513" s="1" t="str">
        <f>IFERROR(__xludf.DUMMYFUNCTION("CONCATENATE(GOOGLETRANSLATE(C2513, ""en"", ""ko""))"),"남성용 마블 다이얼 지브라우드 시계")</f>
        <v>남성용 마블 다이얼 지브라우드 시계</v>
      </c>
      <c r="F2513" s="1" t="str">
        <f>IFERROR(__xludf.DUMMYFUNCTION("CONCATENATE(GOOGLETRANSLATE(C2513, ""en"", ""ja""))"),"メンズ マーブル ダイヤル ゼブラウッド ウォッチ")</f>
        <v>メンズ マーブル ダイヤル ゼブラウッド ウォッチ</v>
      </c>
    </row>
    <row r="2514" ht="15.75" customHeight="1">
      <c r="A2514" s="1">
        <v>5860.0</v>
      </c>
      <c r="B2514" s="1" t="s">
        <v>15</v>
      </c>
      <c r="C2514" s="1" t="s">
        <v>2349</v>
      </c>
      <c r="D2514" s="1" t="str">
        <f>IFERROR(__xludf.DUMMYFUNCTION("CONCATENATE(GOOGLETRANSLATE(C2514, ""en"", ""zh-cn""))"),"精工 Presage 男士自动手表 SSA423")</f>
        <v>精工 Presage 男士自动手表 SSA423</v>
      </c>
      <c r="E2514" s="1" t="str">
        <f>IFERROR(__xludf.DUMMYFUNCTION("CONCATENATE(GOOGLETRANSLATE(C2514, ""en"", ""ko""))"),"세이코 프레시지 남성용 오토매틱 시계 SSA423")</f>
        <v>세이코 프레시지 남성용 오토매틱 시계 SSA423</v>
      </c>
      <c r="F2514" s="1" t="str">
        <f>IFERROR(__xludf.DUMMYFUNCTION("CONCATENATE(GOOGLETRANSLATE(C2514, ""en"", ""ja""))"),"セイコー プレザージュ メンズ 自動巻き時計 SSA423")</f>
        <v>セイコー プレザージュ メンズ 自動巻き時計 SSA423</v>
      </c>
    </row>
    <row r="2515" ht="15.75" customHeight="1">
      <c r="A2515" s="1">
        <v>5862.0</v>
      </c>
      <c r="B2515" s="1" t="s">
        <v>15</v>
      </c>
      <c r="C2515" s="1" t="s">
        <v>2350</v>
      </c>
      <c r="D2515" s="1" t="str">
        <f>IFERROR(__xludf.DUMMYFUNCTION("CONCATENATE(GOOGLETRANSLATE(C2515, ""en"", ""zh-cn""))"),"劳力士男士 1.50 克拉圆形钻石表爪")</f>
        <v>劳力士男士 1.50 克拉圆形钻石表爪</v>
      </c>
      <c r="E2515" s="1" t="str">
        <f>IFERROR(__xludf.DUMMYFUNCTION("CONCATENATE(GOOGLETRANSLATE(C2515, ""en"", ""ko""))"),"롤렉스 남성용 1.50ct 라운드 다이아몬드 시계 프롱")</f>
        <v>롤렉스 남성용 1.50ct 라운드 다이아몬드 시계 프롱</v>
      </c>
      <c r="F2515" s="1" t="str">
        <f>IFERROR(__xludf.DUMMYFUNCTION("CONCATENATE(GOOGLETRANSLATE(C2515, ""en"", ""ja""))"),"ロレックス メンズ 1.50ct ラウンド ダイヤモンド ウォッチ プロング")</f>
        <v>ロレックス メンズ 1.50ct ラウンド ダイヤモンド ウォッチ プロング</v>
      </c>
    </row>
    <row r="2516" ht="15.75" customHeight="1">
      <c r="A2516" s="1">
        <v>5863.0</v>
      </c>
      <c r="B2516" s="1" t="s">
        <v>15</v>
      </c>
      <c r="C2516" s="1" t="s">
        <v>2351</v>
      </c>
      <c r="D2516" s="1" t="str">
        <f>IFERROR(__xludf.DUMMYFUNCTION("CONCATENATE(GOOGLETRANSLATE(C2516, ""en"", ""zh-cn""))"),"施华洛世奇矩阵手镯手表瑞士制造")</f>
        <v>施华洛世奇矩阵手镯手表瑞士制造</v>
      </c>
      <c r="E2516" s="1" t="str">
        <f>IFERROR(__xludf.DUMMYFUNCTION("CONCATENATE(GOOGLETRANSLATE(C2516, ""en"", ""ko""))"),"스와로브스키 매트릭스 뱅글 시계 스위스 메이드")</f>
        <v>스와로브스키 매트릭스 뱅글 시계 스위스 메이드</v>
      </c>
      <c r="F2516" s="1" t="str">
        <f>IFERROR(__xludf.DUMMYFUNCTION("CONCATENATE(GOOGLETRANSLATE(C2516, ""en"", ""ja""))"),"スワロフスキー マトリックス バングル ウォッチ スイス製")</f>
        <v>スワロフスキー マトリックス バングル ウォッチ スイス製</v>
      </c>
    </row>
    <row r="2517" ht="15.75" customHeight="1">
      <c r="A2517" s="1">
        <v>5864.0</v>
      </c>
      <c r="B2517" s="1" t="s">
        <v>15</v>
      </c>
      <c r="C2517" s="1" t="s">
        <v>2352</v>
      </c>
      <c r="D2517" s="1" t="str">
        <f>IFERROR(__xludf.DUMMYFUNCTION("CONCATENATE(GOOGLETRANSLATE(C2517, ""en"", ""zh-cn""))"),"Michael Kors 女士金刚砂不锈钢手表")</f>
        <v>Michael Kors 女士金刚砂不锈钢手表</v>
      </c>
      <c r="E2517" s="1" t="str">
        <f>IFERROR(__xludf.DUMMYFUNCTION("CONCATENATE(GOOGLETRANSLATE(C2517, ""en"", ""ko""))"),"Michael Kors 여성용 에머리 스테인레스 스틸 시계")</f>
        <v>Michael Kors 여성용 에머리 스테인레스 스틸 시계</v>
      </c>
      <c r="F2517" s="1" t="str">
        <f>IFERROR(__xludf.DUMMYFUNCTION("CONCATENATE(GOOGLETRANSLATE(C2517, ""en"", ""ja""))"),"Michael Kors レディース エメリー ステンレススチール ウォッチ")</f>
        <v>Michael Kors レディース エメリー ステンレススチール ウォッチ</v>
      </c>
    </row>
    <row r="2518" ht="15.75" customHeight="1">
      <c r="A2518" s="1">
        <v>5874.0</v>
      </c>
      <c r="B2518" s="1" t="s">
        <v>15</v>
      </c>
      <c r="C2518" s="1" t="s">
        <v>2353</v>
      </c>
      <c r="D2518" s="1" t="str">
        <f>IFERROR(__xludf.DUMMYFUNCTION("CONCATENATE(GOOGLETRANSLATE(C2518, ""en"", ""zh-cn""))"),"宜家 YUPPIENALLE 手机支架")</f>
        <v>宜家 YUPPIENALLE 手机支架</v>
      </c>
      <c r="E2518" s="1" t="str">
        <f>IFERROR(__xludf.DUMMYFUNCTION("CONCATENATE(GOOGLETRANSLATE(C2518, ""en"", ""ko""))"),"IKEA YUPPIENALLE 휴대폰 홀더")</f>
        <v>IKEA YUPPIENALLE 휴대폰 홀더</v>
      </c>
      <c r="F2518" s="1" t="str">
        <f>IFERROR(__xludf.DUMMYFUNCTION("CONCATENATE(GOOGLETRANSLATE(C2518, ""en"", ""ja""))"),"IKEA YUPPIENALLE 携帯電話用ホルダー")</f>
        <v>IKEA YUPPIENALLE 携帯電話用ホルダー</v>
      </c>
    </row>
    <row r="2519" ht="15.75" customHeight="1">
      <c r="A2519" s="1">
        <v>5895.0</v>
      </c>
      <c r="B2519" s="1" t="s">
        <v>15</v>
      </c>
      <c r="C2519" s="1" t="s">
        <v>2354</v>
      </c>
      <c r="D2519" s="1" t="str">
        <f>IFERROR(__xludf.DUMMYFUNCTION("CONCATENATE(GOOGLETRANSLATE(C2519, ""en"", ""zh-cn""))"),"Anker MagGo 带支架磁性盒")</f>
        <v>Anker MagGo 带支架磁性盒</v>
      </c>
      <c r="E2519" s="1" t="str">
        <f>IFERROR(__xludf.DUMMYFUNCTION("CONCATENATE(GOOGLETRANSLATE(C2519, ""en"", ""ko""))"),"Anker MagGo 자석 케이스(스탠드 포함)")</f>
        <v>Anker MagGo 자석 케이스(스탠드 포함)</v>
      </c>
      <c r="F2519" s="1" t="str">
        <f>IFERROR(__xludf.DUMMYFUNCTION("CONCATENATE(GOOGLETRANSLATE(C2519, ""en"", ""ja""))"),"Anker MagGo マグネットケース スタンド付き")</f>
        <v>Anker MagGo マグネットケース スタンド付き</v>
      </c>
    </row>
    <row r="2520" ht="15.75" customHeight="1">
      <c r="A2520" s="1">
        <v>5904.0</v>
      </c>
      <c r="B2520" s="1" t="s">
        <v>15</v>
      </c>
      <c r="C2520" s="1" t="s">
        <v>2355</v>
      </c>
      <c r="D2520" s="1" t="str">
        <f>IFERROR(__xludf.DUMMYFUNCTION("CONCATENATE(GOOGLETRANSLATE(C2520, ""en"", ""zh-cn""))"),"Hallmark 花生史努比手机座")</f>
        <v>Hallmark 花生史努比手机座</v>
      </c>
      <c r="E2520" s="1" t="str">
        <f>IFERROR(__xludf.DUMMYFUNCTION("CONCATENATE(GOOGLETRANSLATE(C2520, ""en"", ""ko""))"),"홀마크 피너츠 스누피 휴대폰 홀더")</f>
        <v>홀마크 피너츠 스누피 휴대폰 홀더</v>
      </c>
      <c r="F2520" s="1" t="str">
        <f>IFERROR(__xludf.DUMMYFUNCTION("CONCATENATE(GOOGLETRANSLATE(C2520, ""en"", ""ja""))"),"ホールマーク ピーナッツ スヌーピー 携帯電話ホルダー")</f>
        <v>ホールマーク ピーナッツ スヌーピー 携帯電話ホルダー</v>
      </c>
    </row>
    <row r="2521" ht="15.75" customHeight="1">
      <c r="A2521" s="1">
        <v>5906.0</v>
      </c>
      <c r="B2521" s="1" t="s">
        <v>15</v>
      </c>
      <c r="C2521" s="1" t="s">
        <v>2356</v>
      </c>
      <c r="D2521" s="1" t="str">
        <f>IFERROR(__xludf.DUMMYFUNCTION("CONCATENATE(GOOGLETRANSLATE(C2521, ""en"", ""zh-cn""))"),"手机环硅胶弹性手机握带，手持式手机支架，小巧、轻便且隐蔽的超薄手机握带")</f>
        <v>手机环硅胶弹性手机握带，手持式手机支架，小巧、轻便且隐蔽的超薄手机握带</v>
      </c>
      <c r="E2521" s="1" t="str">
        <f>IFERROR(__xludf.DUMMYFUNCTION("CONCATENATE(GOOGLETRANSLATE(C2521, ""en"", ""ko""))"),"휴대폰 루프 실리콘 탄성 휴대폰 그립 스트랩, 손용 휴대폰 홀더, 작고 가볍고 눈에 잘 띄지 않는 슬림형 휴대폰 스트랩 그립")</f>
        <v>휴대폰 루프 실리콘 탄성 휴대폰 그립 스트랩, 손용 휴대폰 홀더, 작고 가볍고 눈에 잘 띄지 않는 슬림형 휴대폰 스트랩 그립</v>
      </c>
      <c r="F2521" s="1" t="str">
        <f>IFERROR(__xludf.DUMMYFUNCTION("CONCATENATE(GOOGLETRANSLATE(C2521, ""en"", ""ja""))"),"電話ループシリコン弾性電話グリップストラップ、手用電話ホルダー、小型、軽量、目立たないスリムな電話ストラップグリップ")</f>
        <v>電話ループシリコン弾性電話グリップストラップ、手用電話ホルダー、小型、軽量、目立たないスリムな電話ストラップグリップ</v>
      </c>
    </row>
    <row r="2522" ht="15.75" customHeight="1">
      <c r="A2522" s="1">
        <v>5910.0</v>
      </c>
      <c r="B2522" s="1" t="s">
        <v>15</v>
      </c>
      <c r="C2522" s="1" t="s">
        <v>2357</v>
      </c>
      <c r="D2522" s="1" t="str">
        <f>IFERROR(__xludf.DUMMYFUNCTION("CONCATENATE(GOOGLETRANSLATE(C2522, ""en"", ""zh-cn""))"),"木制手机架")</f>
        <v>木制手机架</v>
      </c>
      <c r="E2522" s="1" t="str">
        <f>IFERROR(__xludf.DUMMYFUNCTION("CONCATENATE(GOOGLETRANSLATE(C2522, ""en"", ""ko""))"),"나무 전화 스탠드")</f>
        <v>나무 전화 스탠드</v>
      </c>
      <c r="F2522" s="1" t="str">
        <f>IFERROR(__xludf.DUMMYFUNCTION("CONCATENATE(GOOGLETRANSLATE(C2522, ""en"", ""ja""))"),"木製電話スタンド")</f>
        <v>木製電話スタンド</v>
      </c>
    </row>
    <row r="2523" ht="15.75" customHeight="1">
      <c r="A2523" s="1">
        <v>5945.0</v>
      </c>
      <c r="B2523" s="1" t="s">
        <v>15</v>
      </c>
      <c r="C2523" s="1" t="s">
        <v>2358</v>
      </c>
      <c r="D2523" s="1" t="str">
        <f>IFERROR(__xludf.DUMMYFUNCTION("CONCATENATE(GOOGLETRANSLATE(C2523, ""en"", ""zh-cn""))"),"Conserv 复古冰箱冰柜套装")</f>
        <v>Conserv 复古冰箱冰柜套装</v>
      </c>
      <c r="E2523" s="1" t="str">
        <f>IFERROR(__xludf.DUMMYFUNCTION("CONCATENATE(GOOGLETRANSLATE(C2523, ""en"", ""ko""))"),"컨저브 레트로 냉장고-냉동고 세트")</f>
        <v>컨저브 레트로 냉장고-냉동고 세트</v>
      </c>
      <c r="F2523" s="1" t="str">
        <f>IFERROR(__xludf.DUMMYFUNCTION("CONCATENATE(GOOGLETRANSLATE(C2523, ""en"", ""ja""))"),"Conserv レトロ冷蔵庫・冷凍庫セット")</f>
        <v>Conserv レトロ冷蔵庫・冷凍庫セット</v>
      </c>
    </row>
    <row r="2524" ht="15.75" customHeight="1">
      <c r="A2524" s="1">
        <v>5961.0</v>
      </c>
      <c r="B2524" s="1" t="s">
        <v>15</v>
      </c>
      <c r="C2524" s="1" t="s">
        <v>2359</v>
      </c>
      <c r="D2524" s="1" t="str">
        <f>IFERROR(__xludf.DUMMYFUNCTION("CONCATENATE(GOOGLETRANSLATE(C2524, ""en"", ""zh-cn""))"),"头发、皮肤和指甲 3 个月用量")</f>
        <v>头发、皮肤和指甲 3 个月用量</v>
      </c>
      <c r="E2524" s="1" t="str">
        <f>IFERROR(__xludf.DUMMYFUNCTION("CONCATENATE(GOOGLETRANSLATE(C2524, ""en"", ""ko""))"),"헤어 스킨 &amp; 네일 3개월분")</f>
        <v>헤어 스킨 &amp; 네일 3개월분</v>
      </c>
      <c r="F2524" s="1" t="str">
        <f>IFERROR(__xludf.DUMMYFUNCTION("CONCATENATE(GOOGLETRANSLATE(C2524, ""en"", ""ja""))"),"髪・肌・爪 3ヶ月分")</f>
        <v>髪・肌・爪 3ヶ月分</v>
      </c>
    </row>
    <row r="2525" ht="15.75" customHeight="1">
      <c r="A2525" s="1">
        <v>5962.0</v>
      </c>
      <c r="B2525" s="1" t="s">
        <v>15</v>
      </c>
      <c r="C2525" s="1" t="s">
        <v>2360</v>
      </c>
      <c r="D2525" s="1" t="str">
        <f>IFERROR(__xludf.DUMMYFUNCTION("CONCATENATE(GOOGLETRANSLATE(C2525, ""en"", ""zh-cn""))"),"SilverFernBrand.com 护发素")</f>
        <v>SilverFernBrand.com 护发素</v>
      </c>
      <c r="E2525" s="1" t="str">
        <f>IFERROR(__xludf.DUMMYFUNCTION("CONCATENATE(GOOGLETRANSLATE(C2525, ""en"", ""ko""))"),"SilverFernBrand.com 헤어 콤플렉스")</f>
        <v>SilverFernBrand.com 헤어 콤플렉스</v>
      </c>
      <c r="F2525" s="1" t="str">
        <f>IFERROR(__xludf.DUMMYFUNCTION("CONCATENATE(GOOGLETRANSLATE(C2525, ""en"", ""ja""))"),"SilverFernBrand.com ヘア コンプレックス")</f>
        <v>SilverFernBrand.com ヘア コンプレックス</v>
      </c>
    </row>
    <row r="2526" ht="15.75" customHeight="1">
      <c r="A2526" s="1">
        <v>5970.0</v>
      </c>
      <c r="B2526" s="1" t="s">
        <v>15</v>
      </c>
      <c r="C2526" s="1" t="s">
        <v>2361</v>
      </c>
      <c r="D2526" s="1" t="str">
        <f>IFERROR(__xludf.DUMMYFUNCTION("CONCATENATE(GOOGLETRANSLATE(C2526, ""en"", ""zh-cn""))"),"美容功能的细发洗发水")</f>
        <v>美容功能的细发洗发水</v>
      </c>
      <c r="E2526" s="1" t="str">
        <f>IFERROR(__xludf.DUMMYFUNCTION("CONCATENATE(GOOGLETRANSLATE(C2526, ""en"", ""ko""))"),"아름다움의 기능을 담은 고급 헤어 샴푸")</f>
        <v>아름다움의 기능을 담은 고급 헤어 샴푸</v>
      </c>
      <c r="F2526" s="1" t="str">
        <f>IFERROR(__xludf.DUMMYFUNCTION("CONCATENATE(GOOGLETRANSLATE(C2526, ""en"", ""ja""))"),"美容機能別ファインヘアシャンプー")</f>
        <v>美容機能別ファインヘアシャンプー</v>
      </c>
    </row>
    <row r="2527" ht="15.75" customHeight="1">
      <c r="A2527" s="1">
        <v>5971.0</v>
      </c>
      <c r="B2527" s="1" t="s">
        <v>15</v>
      </c>
      <c r="C2527" s="1" t="s">
        <v>2362</v>
      </c>
      <c r="D2527" s="1" t="str">
        <f>IFERROR(__xludf.DUMMYFUNCTION("CONCATENATE(GOOGLETRANSLATE(C2527, ""en"", ""zh-cn""))"),"Hairlove 生长复合物和滋养 + 修复套装")</f>
        <v>Hairlove 生长复合物和滋养 + 修复套装</v>
      </c>
      <c r="E2527" s="1" t="str">
        <f>IFERROR(__xludf.DUMMYFUNCTION("CONCATENATE(GOOGLETRANSLATE(C2527, ""en"", ""ko""))"),"헤어러브 그로스 콤플렉스 및 너리쉬 + 리페어 번들")</f>
        <v>헤어러브 그로스 콤플렉스 및 너리쉬 + 리페어 번들</v>
      </c>
      <c r="F2527" s="1" t="str">
        <f>IFERROR(__xludf.DUMMYFUNCTION("CONCATENATE(GOOGLETRANSLATE(C2527, ""en"", ""ja""))"),"Hairlove グロース コンプレックスとナリッシュ + リペア バンドル")</f>
        <v>Hairlove グロース コンプレックスとナリッシュ + リペア バンドル</v>
      </c>
    </row>
    <row r="2528" ht="15.75" customHeight="1">
      <c r="A2528" s="1">
        <v>5981.0</v>
      </c>
      <c r="B2528" s="1" t="s">
        <v>15</v>
      </c>
      <c r="C2528" s="1" t="s">
        <v>2363</v>
      </c>
      <c r="D2528" s="1" t="str">
        <f>IFERROR(__xludf.DUMMYFUNCTION("CONCATENATE(GOOGLETRANSLATE(C2528, ""en"", ""zh-cn""))"),"美德焕发生发护理")</f>
        <v>美德焕发生发护理</v>
      </c>
      <c r="E2528" s="1" t="str">
        <f>IFERROR(__xludf.DUMMYFUNCTION("CONCATENATE(GOOGLETRANSLATE(C2528, ""en"", ""ko""))"),"Virtue Flourish 헤어 회춘 트리트먼트")</f>
        <v>Virtue Flourish 헤어 회춘 트리트먼트</v>
      </c>
      <c r="F2528" s="1" t="str">
        <f>IFERROR(__xludf.DUMMYFUNCTION("CONCATENATE(GOOGLETRANSLATE(C2528, ""en"", ""ja""))"),"ヴァーチュー フラリッシュ ヘア リジュビネーション トリートメント")</f>
        <v>ヴァーチュー フラリッシュ ヘア リジュビネーション トリートメント</v>
      </c>
    </row>
    <row r="2529" ht="15.75" customHeight="1">
      <c r="A2529" s="1">
        <v>5983.0</v>
      </c>
      <c r="B2529" s="1" t="s">
        <v>15</v>
      </c>
      <c r="C2529" s="1" t="s">
        <v>2364</v>
      </c>
      <c r="D2529" s="1" t="str">
        <f>IFERROR(__xludf.DUMMYFUNCTION("CONCATENATE(GOOGLETRANSLATE(C2529, ""en"", ""zh-cn""))"),"iRestore 专业激光生发系统")</f>
        <v>iRestore 专业激光生发系统</v>
      </c>
      <c r="E2529" s="1" t="str">
        <f>IFERROR(__xludf.DUMMYFUNCTION("CONCATENATE(GOOGLETRANSLATE(C2529, ""en"", ""ko""))"),"iRestore 전문 레이저 모발 성장 시스템")</f>
        <v>iRestore 전문 레이저 모발 성장 시스템</v>
      </c>
      <c r="F2529" s="1" t="str">
        <f>IFERROR(__xludf.DUMMYFUNCTION("CONCATENATE(GOOGLETRANSLATE(C2529, ""en"", ""ja""))"),"iRestore プロフェッショナル レーザー育毛システム")</f>
        <v>iRestore プロフェッショナル レーザー育毛システム</v>
      </c>
    </row>
    <row r="2530" ht="15.75" customHeight="1">
      <c r="A2530" s="1">
        <v>5990.0</v>
      </c>
      <c r="B2530" s="1" t="s">
        <v>15</v>
      </c>
      <c r="C2530" s="1" t="s">
        <v>2365</v>
      </c>
      <c r="D2530" s="1" t="str">
        <f>IFERROR(__xludf.DUMMYFUNCTION("CONCATENATE(GOOGLETRANSLATE(C2530, ""en"", ""zh-cn""))"),"洗涤日 5 步套件 | DreamGirls 的健康头发护理系统")</f>
        <v>洗涤日 5 步套件 | DreamGirls 的健康头发护理系统</v>
      </c>
      <c r="E2530" s="1" t="str">
        <f>IFERROR(__xludf.DUMMYFUNCTION("CONCATENATE(GOOGLETRANSLATE(C2530, ""en"", ""ko""))"),"세탁일을 위한 5단계 키트 | 드림걸즈의 건강한 모발 관리 시스템")</f>
        <v>세탁일을 위한 5단계 키트 | 드림걸즈의 건강한 모발 관리 시스템</v>
      </c>
      <c r="F2530" s="1" t="str">
        <f>IFERROR(__xludf.DUMMYFUNCTION("CONCATENATE(GOOGLETRANSLATE(C2530, ""en"", ""ja""))"),"洗濯の日のための 5 ステップ キット | DreamGirlsの健康ヘアケアシステム")</f>
        <v>洗濯の日のための 5 ステップ キット | DreamGirlsの健康ヘアケアシステム</v>
      </c>
    </row>
    <row r="2531" ht="15.75" customHeight="1">
      <c r="A2531" s="1">
        <v>5998.0</v>
      </c>
      <c r="B2531" s="1" t="s">
        <v>15</v>
      </c>
      <c r="C2531" s="1" t="s">
        <v>2366</v>
      </c>
      <c r="D2531" s="1" t="str">
        <f>IFERROR(__xludf.DUMMYFUNCTION("CONCATENATE(GOOGLETRANSLATE(C2531, ""en"", ""zh-cn""))"),"JSHealth 头发+能量")</f>
        <v>JSHealth 头发+能量</v>
      </c>
      <c r="E2531" s="1" t="str">
        <f>IFERROR(__xludf.DUMMYFUNCTION("CONCATENATE(GOOGLETRANSLATE(C2531, ""en"", ""ko""))"),"JSHHealth 헤어 + 에너지")</f>
        <v>JSHHealth 헤어 + 에너지</v>
      </c>
      <c r="F2531" s="1" t="str">
        <f>IFERROR(__xludf.DUMMYFUNCTION("CONCATENATE(GOOGLETRANSLATE(C2531, ""en"", ""ja""))"),"JSHealth Hair + Energy")</f>
        <v>JSHealth Hair + Energy</v>
      </c>
    </row>
    <row r="2532" ht="15.75" customHeight="1">
      <c r="A2532" s="1">
        <v>6002.0</v>
      </c>
      <c r="B2532" s="1" t="s">
        <v>15</v>
      </c>
      <c r="C2532" s="1" t="s">
        <v>2367</v>
      </c>
      <c r="D2532" s="1" t="str">
        <f>IFERROR(__xludf.DUMMYFUNCTION("CONCATENATE(GOOGLETRANSLATE(C2532, ""en"", ""zh-cn""))"),"Coco &amp; Eve Oh 我的头发套件")</f>
        <v>Coco &amp; Eve Oh 我的头发套件</v>
      </c>
      <c r="E2532" s="1" t="str">
        <f>IFERROR(__xludf.DUMMYFUNCTION("CONCATENATE(GOOGLETRANSLATE(C2532, ""en"", ""ko""))"),"코코앤이브 오마이헤어 키트")</f>
        <v>코코앤이브 오마이헤어 키트</v>
      </c>
      <c r="F2532" s="1" t="str">
        <f>IFERROR(__xludf.DUMMYFUNCTION("CONCATENATE(GOOGLETRANSLATE(C2532, ""en"", ""ja""))"),"ココ&amp;イブ オーマイヘアキット")</f>
        <v>ココ&amp;イブ オーマイヘアキット</v>
      </c>
    </row>
    <row r="2533" ht="15.75" customHeight="1">
      <c r="A2533" s="1">
        <v>6012.0</v>
      </c>
      <c r="B2533" s="1" t="s">
        <v>15</v>
      </c>
      <c r="C2533" s="1" t="s">
        <v>2368</v>
      </c>
      <c r="D2533" s="1" t="str">
        <f>IFERROR(__xludf.DUMMYFUNCTION("CONCATENATE(GOOGLETRANSLATE(C2533, ""en"", ""zh-cn""))"),"Goldwell 金发与亮点 60 秒护理")</f>
        <v>Goldwell 金发与亮点 60 秒护理</v>
      </c>
      <c r="E2533" s="1" t="str">
        <f>IFERROR(__xludf.DUMMYFUNCTION("CONCATENATE(GOOGLETRANSLATE(C2533, ""en"", ""ko""))"),"골드웰 블론즈 &amp; 하이라이트 60초 트리트먼트")</f>
        <v>골드웰 블론즈 &amp; 하이라이트 60초 트리트먼트</v>
      </c>
      <c r="F2533" s="1" t="str">
        <f>IFERROR(__xludf.DUMMYFUNCTION("CONCATENATE(GOOGLETRANSLATE(C2533, ""en"", ""ja""))"),"ゴールドウェル ブロンド &amp; ハイライト 60 秒トリートメント")</f>
        <v>ゴールドウェル ブロンド &amp; ハイライト 60 秒トリートメント</v>
      </c>
    </row>
    <row r="2534" ht="15.75" customHeight="1">
      <c r="A2534" s="1">
        <v>6023.0</v>
      </c>
      <c r="B2534" s="1" t="s">
        <v>15</v>
      </c>
      <c r="C2534" s="1" t="s">
        <v>2369</v>
      </c>
      <c r="D2534" s="1" t="str">
        <f>IFERROR(__xludf.DUMMYFUNCTION("CONCATENATE(GOOGLETRANSLATE(C2534, ""en"", ""zh-cn""))"),"Nature's Way 美容头发头皮皮肤和指甲片")</f>
        <v>Nature's Way 美容头发头皮皮肤和指甲片</v>
      </c>
      <c r="E2534" s="1" t="str">
        <f>IFERROR(__xludf.DUMMYFUNCTION("CONCATENATE(GOOGLETRANSLATE(C2534, ""en"", ""ko""))"),"네이처스 웨이 뷰티 헤어 두피 스킨 &amp; 네일 정제")</f>
        <v>네이처스 웨이 뷰티 헤어 두피 스킨 &amp; 네일 정제</v>
      </c>
      <c r="F2534" s="1" t="str">
        <f>IFERROR(__xludf.DUMMYFUNCTION("CONCATENATE(GOOGLETRANSLATE(C2534, ""en"", ""ja""))"),"Nature's Way ビューティー ヘア スカルプ スキン &amp; ネイル タブレット")</f>
        <v>Nature's Way ビューティー ヘア スカルプ スキン &amp; ネイル タブレット</v>
      </c>
    </row>
    <row r="2535" ht="15.75" customHeight="1">
      <c r="A2535" s="1">
        <v>6035.0</v>
      </c>
      <c r="B2535" s="1" t="s">
        <v>15</v>
      </c>
      <c r="C2535" s="1" t="s">
        <v>1851</v>
      </c>
      <c r="D2535" s="1" t="str">
        <f>IFERROR(__xludf.DUMMYFUNCTION("CONCATENATE(GOOGLETRANSLATE(C2535, ""en"", ""zh-cn""))"),"GAN Megaminx M，五角磁力测速魔方，无贴纸")</f>
        <v>GAN Megaminx M，五角磁力测速魔方，无贴纸</v>
      </c>
      <c r="E2535" s="1" t="str">
        <f>IFERROR(__xludf.DUMMYFUNCTION("CONCATENATE(GOOGLETRANSLATE(C2535, ""en"", ""ko""))"),"GAN Megaminx M, 오각형 자기 속도 큐브, 스티커 없음")</f>
        <v>GAN Megaminx M, 오각형 자기 속도 큐브, 스티커 없음</v>
      </c>
      <c r="F2535" s="1" t="str">
        <f>IFERROR(__xludf.DUMMYFUNCTION("CONCATENATE(GOOGLETRANSLATE(C2535, ""en"", ""ja""))"),"GAN メガミンクス M、五角形磁気スピードキューブ、ステッカーレス")</f>
        <v>GAN メガミンクス M、五角形磁気スピードキューブ、ステッカーレス</v>
      </c>
    </row>
    <row r="2536" ht="15.75" customHeight="1">
      <c r="A2536" s="1">
        <v>6045.0</v>
      </c>
      <c r="B2536" s="1" t="s">
        <v>15</v>
      </c>
      <c r="C2536" s="1" t="s">
        <v>1827</v>
      </c>
      <c r="D2536" s="1" t="str">
        <f>IFERROR(__xludf.DUMMYFUNCTION("CONCATENATE(GOOGLETRANSLATE(C2536, ""en"", ""zh-cn""))"),"宁神茶丸 甘麦大枣丸 (1000 茶丸)3383E-MAYWAY by Mayway")</f>
        <v>宁神茶丸 甘麦大枣丸 (1000 茶丸)3383E-MAYWAY by Mayway</v>
      </c>
      <c r="E2536" s="1" t="str">
        <f>IFERROR(__xludf.DUMMYFUNCTION("CONCATENATE(GOOGLETRANSLATE(C2536, ""en"", ""ko""))"),"Calm Spirit Teapills Gan Mai Da Zao Wan (1000 티필)3383E-MAYWAY by Mayway")</f>
        <v>Calm Spirit Teapills Gan Mai Da Zao Wan (1000 티필)3383E-MAYWAY by Mayway</v>
      </c>
      <c r="F2536" s="1" t="str">
        <f>IFERROR(__xludf.DUMMYFUNCTION("CONCATENATE(GOOGLETRANSLATE(C2536, ""en"", ""ja""))"),"Calm Spirit Teapills Gan Mai Da Zao Wan (1000 Teapills)3383E-MAYWAY by Mayway")</f>
        <v>Calm Spirit Teapills Gan Mai Da Zao Wan (1000 Teapills)3383E-MAYWAY by Mayway</v>
      </c>
    </row>
    <row r="2537" ht="15.75" customHeight="1">
      <c r="A2537" s="1">
        <v>6048.0</v>
      </c>
      <c r="B2537" s="1" t="s">
        <v>15</v>
      </c>
      <c r="C2537" s="1" t="s">
        <v>1907</v>
      </c>
      <c r="D2537" s="1" t="str">
        <f>IFERROR(__xludf.DUMMYFUNCTION("CONCATENATE(GOOGLETRANSLATE(C2537, ""en"", ""zh-cn""))"),"Lenovo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2537" s="1" t="str">
        <f>IFERROR(__xludf.DUMMYFUNCTION("CONCATENATE(GOOGLETRANSLATE(C2537, ""en"", ""ko""))"),"Lenovo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2537" s="1" t="str">
        <f>IFERROR(__xludf.DUMMYFUNCTION("CONCATENATE(GOOGLETRANSLATE(C2537, ""en"", ""ja""))"),"Lenovo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2538" ht="15.75" customHeight="1">
      <c r="A2538" s="1">
        <v>6054.0</v>
      </c>
      <c r="B2538" s="1" t="s">
        <v>15</v>
      </c>
      <c r="C2538" s="1" t="s">
        <v>1838</v>
      </c>
      <c r="D2538" s="1" t="str">
        <f>IFERROR(__xludf.DUMMYFUNCTION("CONCATENATE(GOOGLETRANSLATE(C2538, ""en"", ""zh-cn""))"),"Ravensburger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2538" s="1" t="str">
        <f>IFERROR(__xludf.DUMMYFUNCTION("CONCATENATE(GOOGLETRANSLATE(C2538, ""en"", ""ko""))"),"Ravensburger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2538" s="1" t="str">
        <f>IFERROR(__xludf.DUMMYFUNCTION("CONCATENATE(GOOGLETRANSLATE(C2538, ""en"", ""ja""))"),"Ravensburger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2539" ht="15.75" customHeight="1">
      <c r="A2539" s="1">
        <v>6057.0</v>
      </c>
      <c r="B2539" s="1" t="s">
        <v>15</v>
      </c>
      <c r="C2539" s="1" t="s">
        <v>1825</v>
      </c>
      <c r="D2539" s="1" t="str">
        <f>IFERROR(__xludf.DUMMYFUNCTION("CONCATENATE(GOOGLETRANSLATE(C2539, ""en"", ""zh-cn""))"),"1500 块木制拼图桌 - 6 个抽屉，拼图板 | 27” X 35” 便携式拼图板 - 便携式拼图桌 |适合成人和儿童")</f>
        <v>1500 块木制拼图桌 - 6 个抽屉，拼图板 | 27” X 35” 便携式拼图板 - 便携式拼图桌 |适合成人和儿童</v>
      </c>
      <c r="E2539" s="1" t="str">
        <f>IFERROR(__xludf.DUMMYFUNCTION("CONCATENATE(GOOGLETRANSLATE(C2539, ""en"", ""ko""))"),"1500피스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2539" s="1" t="str">
        <f>IFERROR(__xludf.DUMMYFUNCTION("CONCATENATE(GOOGLETRANSLATE(C2539, ""en"", ""ja""))"),"1500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2540" ht="15.75" customHeight="1">
      <c r="A2540" s="1">
        <v>6075.0</v>
      </c>
      <c r="B2540" s="1" t="s">
        <v>15</v>
      </c>
      <c r="C2540" s="1" t="s">
        <v>2370</v>
      </c>
      <c r="D2540" s="1" t="str">
        <f>IFERROR(__xludf.DUMMYFUNCTION("CONCATENATE(GOOGLETRANSLATE(C2540, ""en"", ""zh-cn""))"),"Sidi 男子现代自行车赛，美国 2-4（亚洲）")</f>
        <v>Sidi 男子现代自行车赛，美国 2-4（亚洲）</v>
      </c>
      <c r="E2540" s="1" t="str">
        <f>IFERROR(__xludf.DUMMYFUNCTION("CONCATENATE(GOOGLETRANSLATE(C2540, ""en"", ""ko""))"),"Sidi 남성용 모던 사이클링 스케이프, 미국 2-4(아시아)")</f>
        <v>Sidi 남성용 모던 사이클링 스케이프, 미국 2-4(아시아)</v>
      </c>
      <c r="F2540" s="1" t="str">
        <f>IFERROR(__xludf.DUMMYFUNCTION("CONCATENATE(GOOGLETRANSLATE(C2540, ""en"", ""ja""))"),"シディメンズモダンサイクリングスケープ、米国 2-4 (アジア)")</f>
        <v>シディメンズモダンサイクリングスケープ、米国 2-4 (アジア)</v>
      </c>
    </row>
    <row r="2541" ht="15.75" customHeight="1">
      <c r="A2541" s="1">
        <v>6081.0</v>
      </c>
      <c r="B2541" s="1" t="s">
        <v>15</v>
      </c>
      <c r="C2541" s="1" t="s">
        <v>1855</v>
      </c>
      <c r="D2541" s="1" t="str">
        <f>IFERROR(__xludf.DUMMYFUNCTION("CONCATENATE(GOOGLETRANSLATE(C2541, ""en"", ""zh-cn""))"),"单人炉篝火带支架便携式火坑不锈钢火坑燃木低烟野营炉| 19.5x14 英寸户外火坑")</f>
        <v>单人炉篝火带支架便携式火坑不锈钢火坑燃木低烟野营炉| 19.5x14 英寸户外火坑</v>
      </c>
      <c r="E2541" s="1" t="str">
        <f>IFERROR(__xludf.DUMMYFUNCTION("CONCATENATE(GOOGLETRANSLATE(C2541, ""en"", ""ko""))"),"스탠드가 있는 솔로 스토브 모닥불 휴대용 화재 구덩이 스테인레스 스틸 화재 구덩이 장작 및 저연 캠핑 스토브 | 19.5x14 인치 야외 화덕")</f>
        <v>스탠드가 있는 솔로 스토브 모닥불 휴대용 화재 구덩이 스테인레스 스틸 화재 구덩이 장작 및 저연 캠핑 스토브 | 19.5x14 인치 야외 화덕</v>
      </c>
      <c r="F2541" s="1" t="str">
        <f>IFERROR(__xludf.DUMMYFUNCTION("CONCATENATE(GOOGLETRANSLATE(C2541, ""en"", ""ja""))"),"ソロストーブ焚き火スタンド付きポータブルファイヤーピットステンレススチールファイヤーピット薪燃焼および低煙キャンプストーブ | 19.5x14インチの屋外ファイヤーピット")</f>
        <v>ソロストーブ焚き火スタンド付きポータブルファイヤーピットステンレススチールファイヤーピット薪燃焼および低煙キャンプストーブ | 19.5x14インチの屋外ファイヤーピット</v>
      </c>
    </row>
    <row r="2542" ht="15.75" customHeight="1">
      <c r="A2542" s="1">
        <v>6092.0</v>
      </c>
      <c r="B2542" s="1" t="s">
        <v>15</v>
      </c>
      <c r="C2542" s="1" t="s">
        <v>2371</v>
      </c>
      <c r="D2542" s="1" t="str">
        <f>IFERROR(__xludf.DUMMYFUNCTION("CONCATENATE(GOOGLETRANSLATE(C2542, ""en"", ""zh-cn""))"),"BFSB5 链传动室内自行车")</f>
        <v>BFSB5 链传动室内自行车</v>
      </c>
      <c r="E2542" s="1" t="str">
        <f>IFERROR(__xludf.DUMMYFUNCTION("CONCATENATE(GOOGLETRANSLATE(C2542, ""en"", ""ko""))"),"BFSB5 체인 드라이브 실내 사이클링 자전거")</f>
        <v>BFSB5 체인 드라이브 실내 사이클링 자전거</v>
      </c>
      <c r="F2542" s="1" t="str">
        <f>IFERROR(__xludf.DUMMYFUNCTION("CONCATENATE(GOOGLETRANSLATE(C2542, ""en"", ""ja""))"),"BFSB5 チェーンドライブインドアサイクリングバイク")</f>
        <v>BFSB5 チェーンドライブインドアサイクリングバイク</v>
      </c>
    </row>
    <row r="2543" ht="15.75" customHeight="1">
      <c r="A2543" s="1">
        <v>6097.0</v>
      </c>
      <c r="B2543" s="1" t="s">
        <v>15</v>
      </c>
      <c r="C2543" s="1" t="s">
        <v>2372</v>
      </c>
      <c r="D2543" s="1" t="str">
        <f>IFERROR(__xludf.DUMMYFUNCTION("CONCATENATE(GOOGLETRANSLATE(C2543, ""en"", ""zh-cn""))"),"Devoko 5 件套露台家具套装全天候户外组合沙发手动编织柳条藤条露台谈话套装带垫子和玻璃桌（米色）")</f>
        <v>Devoko 5 件套露台家具套装全天候户外组合沙发手动编织柳条藤条露台谈话套装带垫子和玻璃桌（米色）</v>
      </c>
      <c r="E2543" s="1" t="str">
        <f>IFERROR(__xludf.DUMMYFUNCTION("CONCATENATE(GOOGLETRANSLATE(C2543, ""en"", ""ko""))"),"Devoko 5 조각 파티오 가구 세트 전천후 야외 단면 소파 수동 직조 고리 버들 등나무 파티오 대화 세트 쿠션과 유리 테이블 (베이지 색)")</f>
        <v>Devoko 5 조각 파티오 가구 세트 전천후 야외 단면 소파 수동 직조 고리 버들 등나무 파티오 대화 세트 쿠션과 유리 테이블 (베이지 색)</v>
      </c>
      <c r="F2543" s="1" t="str">
        <f>IFERROR(__xludf.DUMMYFUNCTION("CONCATENATE(GOOGLETRANSLATE(C2543, ""en"", ""ja""))"),"Devoko パティオ家具 5 点セット 全天候型 屋外 セクショナルソファ 手動織り 籐ラタン パティオ会話セット クッションとガラステーブル付き (ベージュ)")</f>
        <v>Devoko パティオ家具 5 点セット 全天候型 屋外 セクショナルソファ 手動織り 籐ラタン パティオ会話セット クッションとガラステーブル付き (ベージュ)</v>
      </c>
    </row>
    <row r="2544" ht="15.75" customHeight="1">
      <c r="A2544" s="1">
        <v>6099.0</v>
      </c>
      <c r="B2544" s="1" t="s">
        <v>15</v>
      </c>
      <c r="C2544" s="1" t="s">
        <v>1648</v>
      </c>
      <c r="D2544" s="1" t="str">
        <f>IFERROR(__xludf.DUMMYFUNCTION("CONCATENATE(GOOGLETRANSLATE(C2544, ""en"", ""zh-cn""))"),"CuberShop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2544" s="1" t="str">
        <f>IFERROR(__xludf.DUMMYFUNCTION("CONCATENATE(GOOGLETRANSLATE(C2544, ""en"", ""ko""))"),"CuberShop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2544" s="1" t="str">
        <f>IFERROR(__xludf.DUMMYFUNCTION("CONCATENATE(GOOGLETRANSLATE(C2544, ""en"", ""ja""))"),"CuberShop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2545" ht="15.75" customHeight="1">
      <c r="A2545" s="1">
        <v>6111.0</v>
      </c>
      <c r="B2545" s="1" t="s">
        <v>15</v>
      </c>
      <c r="C2545" s="1" t="s">
        <v>1843</v>
      </c>
      <c r="D2545" s="1" t="str">
        <f>IFERROR(__xludf.DUMMYFUNCTION("CONCATENATE(GOOGLETRANSLATE(C2545, ""en"", ""zh-cn""))"),"BroMocube 的 GAN 11M Pro 3x3 速度魔方 GAN 11 磁性拼图魔方 Gan11M 魔方（GAN 11 M Pro 磨砂无贴纸（黑色））")</f>
        <v>BroMocube 的 GAN 11M Pro 3x3 速度魔方 GAN 11 磁性拼图魔方 Gan11M 魔方（GAN 11 M Pro 磨砂无贴纸（黑色））</v>
      </c>
      <c r="E2545" s="1" t="str">
        <f>IFERROR(__xludf.DUMMYFUNCTION("CONCATENATE(GOOGLETRANSLATE(C2545, ""en"", ""ko""))"),"GAN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2545" s="1" t="str">
        <f>IFERROR(__xludf.DUMMYFUNCTION("CONCATENATE(GOOGLETRANSLATE(C2545, ""en"", ""ja""))"),"GAN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2546" ht="15.75" customHeight="1">
      <c r="A2546" s="1">
        <v>6125.0</v>
      </c>
      <c r="B2546" s="1" t="s">
        <v>15</v>
      </c>
      <c r="C2546" s="1" t="s">
        <v>2320</v>
      </c>
      <c r="D2546" s="1" t="str">
        <f>IFERROR(__xludf.DUMMYFUNCTION("CONCATENATE(GOOGLETRANSLATE(C2546, ""en"", ""zh-cn""))"),"Meta Quest 2 — 高级一体式虚拟现实耳机 — 128 GB 获取 Meta Quest 2，内含 GOLF+ 和 Space Pirate Trainer DX")</f>
        <v>Meta Quest 2 — 高级一体式虚拟现实耳机 — 128 GB 获取 Meta Quest 2，内含 GOLF+ 和 Space Pirate Trainer DX</v>
      </c>
      <c r="E2546" s="1" t="str">
        <f>IFERROR(__xludf.DUMMYFUNCTION("CONCATENATE(GOOGLETRANSLATE(C2546, ""en"", ""ko""))"),"Meta Quest 2 — 고급 올인원 가상 현실 헤드셋 — 128GB GOLF+ 및 Space Pirate Trainer DX가 포함된 Meta Quest 2를 구매하세요")</f>
        <v>Meta Quest 2 — 고급 올인원 가상 현실 헤드셋 — 128GB GOLF+ 및 Space Pirate Trainer DX가 포함된 Meta Quest 2를 구매하세요</v>
      </c>
      <c r="F2546" s="1" t="str">
        <f>IFERROR(__xludf.DUMMYFUNCTION("CONCATENATE(GOOGLETRANSLATE(C2546, ""en"", ""ja""))"),"Meta Quest 2 — 高度なオールインワン バーチャル リアリティ ヘッドセット — 128 GB GOLF+ および Space Pirate Trainer DX を含む Meta Quest 2 を入手")</f>
        <v>Meta Quest 2 — 高度なオールインワン バーチャル リアリティ ヘッドセット — 128 GB GOLF+ および Space Pirate Trainer DX を含む Meta Quest 2 を入手</v>
      </c>
    </row>
    <row r="2547" ht="15.75" customHeight="1">
      <c r="A2547" s="1">
        <v>6152.0</v>
      </c>
      <c r="B2547" s="1" t="s">
        <v>15</v>
      </c>
      <c r="C2547" s="1" t="s">
        <v>2373</v>
      </c>
      <c r="D2547" s="1" t="str">
        <f>IFERROR(__xludf.DUMMYFUNCTION("CONCATENATE(GOOGLETRANSLATE(C2547, ""en"", ""zh-cn""))"),"Sunny Health &amp; Fitness 磁性椭圆训练机带平板电脑支架、液晶显示器、最大 220 磅体重和脉搏监视器 - SF-E3810，灰色")</f>
        <v>Sunny Health &amp; Fitness 磁性椭圆训练机带平板电脑支架、液晶显示器、最大 220 磅体重和脉搏监视器 - SF-E3810，灰色</v>
      </c>
      <c r="E2547" s="1" t="str">
        <f>IFERROR(__xludf.DUMMYFUNCTION("CONCATENATE(GOOGLETRANSLATE(C2547, ""en"", ""ko""))"),"Sunny 건강 및 피트니스 자기 타원형 트레이너 기계, 태블릿 홀더, LCD 모니터, 220LB 최대 중량 및 맥박 모니터 포함 - SF-E3810, 회색")</f>
        <v>Sunny 건강 및 피트니스 자기 타원형 트레이너 기계, 태블릿 홀더, LCD 모니터, 220LB 최대 중량 및 맥박 모니터 포함 - SF-E3810, 회색</v>
      </c>
      <c r="F2547" s="1" t="str">
        <f>IFERROR(__xludf.DUMMYFUNCTION("CONCATENATE(GOOGLETRANSLATE(C2547, ""en"", ""ja""))"),"Sunny Health &amp; Fitness 磁気エリプティカル トレーナー マシン、タブレット ホルダー、LCD モニター、最大 220 ポンドの体重および脈拍モニター付き - SF-E3810、グレー")</f>
        <v>Sunny Health &amp; Fitness 磁気エリプティカル トレーナー マシン、タブレット ホルダー、LCD モニター、最大 220 ポンドの体重および脈拍モニター付き - SF-E3810、グレー</v>
      </c>
    </row>
    <row r="2548" ht="15.75" customHeight="1">
      <c r="A2548" s="1">
        <v>6158.0</v>
      </c>
      <c r="B2548" s="1" t="s">
        <v>15</v>
      </c>
      <c r="C2548" s="1" t="s">
        <v>2374</v>
      </c>
      <c r="D2548" s="1" t="str">
        <f>IFERROR(__xludf.DUMMYFUNCTION("CONCATENATE(GOOGLETRANSLATE(C2548, ""en"", ""zh-cn""))"),"Cyclace 固定式健身车 - 承重能力 330 磅 - 室内骑行车，配有舒适座垫、平板电脑支架和液晶显示屏，适合家庭锻炼")</f>
        <v>Cyclace 固定式健身车 - 承重能力 330 磅 - 室内骑行车，配有舒适座垫、平板电脑支架和液晶显示屏，适合家庭锻炼</v>
      </c>
      <c r="E2548" s="1" t="str">
        <f>IFERROR(__xludf.DUMMYFUNCTION("CONCATENATE(GOOGLETRANSLATE(C2548, ""en"", ""ko""))"),"사이클레이스 운동용 자전거 고정식 - 330파운드 무게 용량 - 편안한 시트 쿠션, 태블릿 홀더 및 가정 운동용 LCD 모니터를 갖춘 실내 사이클링 자전거")</f>
        <v>사이클레이스 운동용 자전거 고정식 - 330파운드 무게 용량 - 편안한 시트 쿠션, 태블릿 홀더 및 가정 운동용 LCD 모니터를 갖춘 실내 사이클링 자전거</v>
      </c>
      <c r="F2548" s="1" t="str">
        <f>IFERROR(__xludf.DUMMYFUNCTION("CONCATENATE(GOOGLETRANSLATE(C2548, ""en"", ""ja""))"),"Cyclace エアロバイク ステーショナリー - 耐荷重 330 ポンド - 快適なシートクッション、タブレットホルダー、自宅トレーニング用 LCD モニター付き屋内サイクリングバイク")</f>
        <v>Cyclace エアロバイク ステーショナリー - 耐荷重 330 ポンド - 快適なシートクッション、タブレットホルダー、自宅トレーニング用 LCD モニター付き屋内サイクリングバイク</v>
      </c>
    </row>
    <row r="2549" ht="15.75" customHeight="1">
      <c r="A2549" s="1">
        <v>6159.0</v>
      </c>
      <c r="B2549" s="1" t="s">
        <v>15</v>
      </c>
      <c r="C2549" s="1" t="s">
        <v>2375</v>
      </c>
      <c r="D2549" s="1" t="str">
        <f>IFERROR(__xludf.DUMMYFUNCTION("CONCATENATE(GOOGLETRANSLATE(C2549, ""en"", ""zh-cn""))"),"Coleman WeatherMaster 6 人帐篷（带屏幕室）")</f>
        <v>Coleman WeatherMaster 6 人帐篷（带屏幕室）</v>
      </c>
      <c r="E2549" s="1" t="str">
        <f>IFERROR(__xludf.DUMMYFUNCTION("CONCATENATE(GOOGLETRANSLATE(C2549, ""en"", ""ko""))"),"콜맨 웨더마스터 6인용 텐트(스크린룸 포함)")</f>
        <v>콜맨 웨더마스터 6인용 텐트(스크린룸 포함)</v>
      </c>
      <c r="F2549" s="1" t="str">
        <f>IFERROR(__xludf.DUMMYFUNCTION("CONCATENATE(GOOGLETRANSLATE(C2549, ""en"", ""ja""))"),"コールマン ウェザーマスター 6人用テント スクリーンルーム付き")</f>
        <v>コールマン ウェザーマスター 6人用テント スクリーンルーム付き</v>
      </c>
    </row>
    <row r="2550" ht="15.75" customHeight="1">
      <c r="A2550" s="1">
        <v>6162.0</v>
      </c>
      <c r="B2550" s="1" t="s">
        <v>15</v>
      </c>
      <c r="C2550" s="1" t="s">
        <v>2324</v>
      </c>
      <c r="D2550" s="1" t="str">
        <f>IFERROR(__xludf.DUMMYFUNCTION("CONCATENATE(GOOGLETRANSLATE(C2550, ""en"", ""zh-cn""))"),"罗林斯| Renegade 系列棒球接球手套装 | NOCSAE 认证 |成人 |中级|青年|多种颜色")</f>
        <v>罗林斯| Renegade 系列棒球接球手套装 | NOCSAE 认证 |成人 |中级|青年|多种颜色</v>
      </c>
      <c r="E2550" s="1" t="str">
        <f>IFERROR(__xludf.DUMMYFUNCTION("CONCATENATE(GOOGLETRANSLATE(C2550, ""en"", ""ko""))"),"롤링스 | 레니게이드 시리즈 야구 포수 세트 | NOCSAE 인증 | 성인 | 중급 | 청소년 | 다양한 색상")</f>
        <v>롤링스 | 레니게이드 시리즈 야구 포수 세트 | NOCSAE 인증 | 성인 | 중급 | 청소년 | 다양한 색상</v>
      </c>
      <c r="F2550" s="1" t="str">
        <f>IFERROR(__xludf.DUMMYFUNCTION("CONCATENATE(GOOGLETRANSLATE(C2550, ""en"", ""ja""))"),"ローリングス | Renegade シリーズ野球キャッチャーセット | NOCSAE 認定 |アダルト |中級 |若者 |複数の色")</f>
        <v>ローリングス | Renegade シリーズ野球キャッチャーセット | NOCSAE 認定 |アダルト |中級 |若者 |複数の色</v>
      </c>
    </row>
    <row r="2551" ht="15.75" customHeight="1">
      <c r="A2551" s="1">
        <v>6176.0</v>
      </c>
      <c r="B2551" s="1" t="s">
        <v>15</v>
      </c>
      <c r="C2551" s="1" t="s">
        <v>1825</v>
      </c>
      <c r="D2551" s="1" t="str">
        <f>IFERROR(__xludf.DUMMYFUNCTION("CONCATENATE(GOOGLETRANSLATE(C2551, ""en"", ""zh-cn""))"),"1500 块木制拼图桌 - 6 个抽屉，拼图板 | 27” X 35” 便携式拼图板 - 便携式拼图桌 |适合成人和儿童")</f>
        <v>1500 块木制拼图桌 - 6 个抽屉，拼图板 | 27” X 35” 便携式拼图板 - 便携式拼图桌 |适合成人和儿童</v>
      </c>
      <c r="E2551" s="1" t="str">
        <f>IFERROR(__xludf.DUMMYFUNCTION("CONCATENATE(GOOGLETRANSLATE(C2551, ""en"", ""ko""))"),"1500피스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2551" s="1" t="str">
        <f>IFERROR(__xludf.DUMMYFUNCTION("CONCATENATE(GOOGLETRANSLATE(C2551, ""en"", ""ja""))"),"1500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2552" ht="15.75" customHeight="1">
      <c r="A2552" s="1">
        <v>6182.0</v>
      </c>
      <c r="B2552" s="1" t="s">
        <v>15</v>
      </c>
      <c r="C2552" s="1" t="s">
        <v>1824</v>
      </c>
      <c r="D2552" s="1" t="str">
        <f>IFERROR(__xludf.DUMMYFUNCTION("CONCATENATE(GOOGLETRANSLATE(C2552, ""en"", ""zh-cn""))"),"ALL4JIG 1500 件便携式带腿拼图桌，可调节拼图板，带 4 个抽屉和盖子，3 倾斜角度成人拼图桌")</f>
        <v>ALL4JIG 1500 件便携式带腿拼图桌，可调节拼图板，带 4 个抽屉和盖子，3 倾斜角度成人拼图桌</v>
      </c>
      <c r="E2552" s="1" t="str">
        <f>IFERROR(__xludf.DUMMYFUNCTION("CONCATENATE(GOOGLETRANSLATE(C2552, ""en"", ""ko""))"),"ALL4JIG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2552" s="1" t="str">
        <f>IFERROR(__xludf.DUMMYFUNCTION("CONCATENATE(GOOGLETRANSLATE(C2552, ""en"", ""ja""))"),"ALL4JIG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2553" ht="15.75" customHeight="1">
      <c r="A2553" s="1">
        <v>6185.0</v>
      </c>
      <c r="B2553" s="1" t="s">
        <v>15</v>
      </c>
      <c r="C2553" s="1" t="s">
        <v>1903</v>
      </c>
      <c r="D2553" s="1" t="str">
        <f>IFERROR(__xludf.DUMMYFUNCTION("CONCATENATE(GOOGLETRANSLATE(C2553, ""en"", ""zh-cn""))"),"CuberShop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2553" s="1" t="str">
        <f>IFERROR(__xludf.DUMMYFUNCTION("CONCATENATE(GOOGLETRANSLATE(C2553, ""en"", ""ko""))"),"CuberShop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2553" s="1" t="str">
        <f>IFERROR(__xludf.DUMMYFUNCTION("CONCATENATE(GOOGLETRANSLATE(C2553, ""en"", ""ja""))"),"CuberShop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2554" ht="15.75" customHeight="1">
      <c r="A2554" s="1">
        <v>6195.0</v>
      </c>
      <c r="B2554" s="1" t="s">
        <v>15</v>
      </c>
      <c r="C2554" s="1" t="s">
        <v>1911</v>
      </c>
      <c r="D2554" s="1" t="str">
        <f>IFERROR(__xludf.DUMMYFUNCTION("CONCATENATE(GOOGLETRANSLATE(C2554, ""en"", ""zh-cn""))"),"Alvantor 弹出式泡泡帐篷 - 6' x 6' 即时冰屋帐篷 - 2-3 人露台屏风屋 - 大型超大防风雨吊舱 - 防寒露营帐篷 - 米色")</f>
        <v>Alvantor 弹出式泡泡帐篷 - 6' x 6' 即时冰屋帐篷 - 2-3 人露台屏风屋 - 大型超大防风雨吊舱 - 防寒露营帐篷 - 米色</v>
      </c>
      <c r="E2554" s="1" t="str">
        <f>IFERROR(__xludf.DUMMYFUNCTION("CONCATENATE(GOOGLETRANSLATE(C2554, ""en"", ""ko""))"),"Alvantor 팝업 버블 텐트 - 6' x 6' 인스턴트 이글루 텐트 - 파티오용 2-3인용 스크린 하우스 - 대형 특대 전천후 포드 - 방한 캠핑 텐트 - 베이지")</f>
        <v>Alvantor 팝업 버블 텐트 - 6' x 6' 인스턴트 이글루 텐트 - 파티오용 2-3인용 스크린 하우스 - 대형 특대 전천후 포드 - 방한 캠핑 텐트 - 베이지</v>
      </c>
      <c r="F2554" s="1" t="str">
        <f>IFERROR(__xludf.DUMMYFUNCTION("CONCATENATE(GOOGLETRANSLATE(C2554, ""en"", ""ja""))"),"Alvantor ポップアップバブルテント - 6フィート x 6フィート インスタントイグルーテント - パティオ用2～3人用スクリーンハウス - 大型特大耐候性ポッド - 防寒キャンプテント - ベージュ")</f>
        <v>Alvantor ポップアップバブルテント - 6フィート x 6フィート インスタントイグルーテント - パティオ用2～3人用スクリーンハウス - 大型特大耐候性ポッド - 防寒キャンプテント - ベージュ</v>
      </c>
    </row>
    <row r="2555" ht="15.75" customHeight="1">
      <c r="A2555" s="1">
        <v>6198.0</v>
      </c>
      <c r="B2555" s="1" t="s">
        <v>15</v>
      </c>
      <c r="C2555" s="1" t="s">
        <v>2376</v>
      </c>
      <c r="D2555" s="1" t="str">
        <f>IFERROR(__xludf.DUMMYFUNCTION("CONCATENATE(GOOGLETRANSLATE(C2555, ""en"", ""zh-cn""))"),"美国 Pride 家具瑜伽系列现代人造皮革弧形躺椅，适合伸展和放松，非常适合卧室、客厅、冥想室或办公室，常规，午夜黑")</f>
        <v>美国 Pride 家具瑜伽系列现代人造皮革弧形躺椅，适合伸展和放松，非常适合卧室、客厅、冥想室或办公室，常规，午夜黑</v>
      </c>
      <c r="E2555" s="1" t="str">
        <f>IFERROR(__xludf.DUMMYFUNCTION("CONCATENATE(GOOGLETRANSLATE(C2555, ""en"", ""ko""))"),"US Pride Furniture Yoga Collection 스트레칭과 휴식을 위한 현대적인 인조 가죽 곡선 라운지 의자, 침실, 거실, 명상실 또는 사무실에 이상적, 일반, 미드나잇 블랙")</f>
        <v>US Pride Furniture Yoga Collection 스트레칭과 휴식을 위한 현대적인 인조 가죽 곡선 라운지 의자, 침실, 거실, 명상실 또는 사무실에 이상적, 일반, 미드나잇 블랙</v>
      </c>
      <c r="F2555" s="1" t="str">
        <f>IFERROR(__xludf.DUMMYFUNCTION("CONCATENATE(GOOGLETRANSLATE(C2555, ""en"", ""ja""))"),"USプライドファニチャーヨガコレクション ストレッチとリラクゼーションのためのモダンなフェイクレザーの湾曲したラウンジ長椅子、寝室、リビング、瞑想室またはオフィスに最適、レギュラー、ミッドナイトブラック")</f>
        <v>USプライドファニチャーヨガコレクション ストレッチとリラクゼーションのためのモダンなフェイクレザーの湾曲したラウンジ長椅子、寝室、リビング、瞑想室またはオフィスに最適、レギュラー、ミッドナイトブラック</v>
      </c>
    </row>
    <row r="2556" ht="15.75" customHeight="1">
      <c r="A2556" s="1">
        <v>6220.0</v>
      </c>
      <c r="B2556" s="1" t="s">
        <v>15</v>
      </c>
      <c r="C2556" s="1" t="s">
        <v>1842</v>
      </c>
      <c r="D2556" s="1" t="str">
        <f>IFERROR(__xludf.DUMMYFUNCTION("CONCATENATE(GOOGLETRANSLATE(C2556, ""en"", ""zh-cn""))"),"波克芬诺 GAN Megaminx M 3x3 速度魔方 Gan 五角形磁性无贴纸魔法拼图魔方玩具")</f>
        <v>波克芬诺 GAN Megaminx M 3x3 速度魔方 Gan 五角形磁性无贴纸魔法拼图魔方玩具</v>
      </c>
      <c r="E2556" s="1" t="str">
        <f>IFERROR(__xludf.DUMMYFUNCTION("CONCATENATE(GOOGLETRANSLATE(C2556, ""en"", ""ko""))"),"Bokefenuo GAN Megaminx M 3x3 스피드 큐브 Gan 오각형 자기 스티커가없는 매직 퍼즐 큐브 장난감")</f>
        <v>Bokefenuo GAN Megaminx M 3x3 스피드 큐브 Gan 오각형 자기 스티커가없는 매직 퍼즐 큐브 장난감</v>
      </c>
      <c r="F2556" s="1" t="str">
        <f>IFERROR(__xludf.DUMMYFUNCTION("CONCATENATE(GOOGLETRANSLATE(C2556, ""en"", ""ja""))"),"Bokefenuo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2557" ht="15.75" customHeight="1">
      <c r="A2557" s="1">
        <v>6224.0</v>
      </c>
      <c r="B2557" s="1" t="s">
        <v>15</v>
      </c>
      <c r="C2557" s="1" t="s">
        <v>1838</v>
      </c>
      <c r="D2557" s="1" t="str">
        <f>IFERROR(__xludf.DUMMYFUNCTION("CONCATENATE(GOOGLETRANSLATE(C2557, ""en"", ""zh-cn""))"),"Ravensburger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2557" s="1" t="str">
        <f>IFERROR(__xludf.DUMMYFUNCTION("CONCATENATE(GOOGLETRANSLATE(C2557, ""en"", ""ko""))"),"Ravensburger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2557" s="1" t="str">
        <f>IFERROR(__xludf.DUMMYFUNCTION("CONCATENATE(GOOGLETRANSLATE(C2557, ""en"", ""ja""))"),"Ravensburger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2558" ht="15.75" customHeight="1">
      <c r="A2558" s="1">
        <v>6237.0</v>
      </c>
      <c r="B2558" s="1" t="s">
        <v>15</v>
      </c>
      <c r="C2558" s="1" t="s">
        <v>1824</v>
      </c>
      <c r="D2558" s="1" t="str">
        <f>IFERROR(__xludf.DUMMYFUNCTION("CONCATENATE(GOOGLETRANSLATE(C2558, ""en"", ""zh-cn""))"),"ALL4JIG 1500 件便携式带腿拼图桌，可调节拼图板，带 4 个抽屉和盖子，3 倾斜角度成人拼图桌")</f>
        <v>ALL4JIG 1500 件便携式带腿拼图桌，可调节拼图板，带 4 个抽屉和盖子，3 倾斜角度成人拼图桌</v>
      </c>
      <c r="E2558" s="1" t="str">
        <f>IFERROR(__xludf.DUMMYFUNCTION("CONCATENATE(GOOGLETRANSLATE(C2558, ""en"", ""ko""))"),"ALL4JIG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2558" s="1" t="str">
        <f>IFERROR(__xludf.DUMMYFUNCTION("CONCATENATE(GOOGLETRANSLATE(C2558, ""en"", ""ja""))"),"ALL4JIG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2559" ht="15.75" customHeight="1">
      <c r="A2559" s="1">
        <v>6245.0</v>
      </c>
      <c r="B2559" s="1" t="s">
        <v>15</v>
      </c>
      <c r="C2559" s="1" t="s">
        <v>2377</v>
      </c>
      <c r="D2559" s="1" t="str">
        <f>IFERROR(__xludf.DUMMYFUNCTION("CONCATENATE(GOOGLETRANSLATE(C2559, ""en"", ""zh-cn""))"),"Fizik - Infinito R3，男女通用铁人三项鞋 - 成人")</f>
        <v>Fizik - Infinito R3，男女通用铁人三项鞋 - 成人</v>
      </c>
      <c r="E2559" s="1" t="str">
        <f>IFERROR(__xludf.DUMMYFUNCTION("CONCATENATE(GOOGLETRANSLATE(C2559, ""en"", ""ko""))"),"Fizik - Infinito R3, 남녀공용 트라이애슬론 신발 - 성인용")</f>
        <v>Fizik - Infinito R3, 남녀공용 트라이애슬론 신발 - 성인용</v>
      </c>
      <c r="F2559" s="1" t="str">
        <f>IFERROR(__xludf.DUMMYFUNCTION("CONCATENATE(GOOGLETRANSLATE(C2559, ""en"", ""ja""))"),"Fizik - Infinito R3、ユニセックス トライアスロン シューズ - 大人用")</f>
        <v>Fizik - Infinito R3、ユニセックス トライアスロン シューズ - 大人用</v>
      </c>
    </row>
    <row r="2560" ht="15.75" customHeight="1">
      <c r="A2560" s="1">
        <v>6247.0</v>
      </c>
      <c r="B2560" s="1" t="s">
        <v>15</v>
      </c>
      <c r="C2560" s="1" t="s">
        <v>2307</v>
      </c>
      <c r="D2560" s="1" t="str">
        <f>IFERROR(__xludf.DUMMYFUNCTION("CONCATENATE(GOOGLETRANSLATE(C2560, ""en"", ""zh-cn""))"),"Sunny Health &amp; Fitness 椭圆运动机训练器，配有可选的独家 SunnyFit™ 应用程序和增强型蓝牙连接")</f>
        <v>Sunny Health &amp; Fitness 椭圆运动机训练器，配有可选的独家 SunnyFit™ 应用程序和增强型蓝牙连接</v>
      </c>
      <c r="E2560" s="1" t="str">
        <f>IFERROR(__xludf.DUMMYFUNCTION("CONCATENATE(GOOGLETRANSLATE(C2560, ""en"", ""ko""))"),"독점 SunnyFit™ 앱(옵션) 및 향상된 Bluetooth 연결 기능을 갖춘 Sunny 건강 및 피트니스 타원형 운동 기구 트레이너")</f>
        <v>독점 SunnyFit™ 앱(옵션) 및 향상된 Bluetooth 연결 기능을 갖춘 Sunny 건강 및 피트니스 타원형 운동 기구 트레이너</v>
      </c>
      <c r="F2560" s="1" t="str">
        <f>IFERROR(__xludf.DUMMYFUNCTION("CONCATENATE(GOOGLETRANSLATE(C2560, ""en"", ""ja""))"),"Sunny Health &amp; Fitness エリプティカル エクササイズ マシン トレーナー (オプションの専用 SunnyFit™ アプリと強化された Bluetooth 接続を備え)")</f>
        <v>Sunny Health &amp; Fitness エリプティカル エクササイズ マシン トレーナー (オプションの専用 SunnyFit™ アプリと強化された Bluetooth 接続を備え)</v>
      </c>
    </row>
    <row r="2561" ht="15.75" customHeight="1">
      <c r="A2561" s="1">
        <v>6253.0</v>
      </c>
      <c r="B2561" s="1" t="s">
        <v>15</v>
      </c>
      <c r="C2561" s="1" t="s">
        <v>1820</v>
      </c>
      <c r="D2561" s="1" t="str">
        <f>IFERROR(__xludf.DUMMYFUNCTION("CONCATENATE(GOOGLETRANSLATE(C2561, ""en"", ""zh-cn""))"),"Giro Empire SLX 男士公路骑行鞋")</f>
        <v>Giro Empire SLX 男士公路骑行鞋</v>
      </c>
      <c r="E2561" s="1" t="str">
        <f>IFERROR(__xludf.DUMMYFUNCTION("CONCATENATE(GOOGLETRANSLATE(C2561, ""en"", ""ko""))"),"Giro Empire SLX 남성용 로드 사이클링 신발")</f>
        <v>Giro Empire SLX 남성용 로드 사이클링 신발</v>
      </c>
      <c r="F2561" s="1" t="str">
        <f>IFERROR(__xludf.DUMMYFUNCTION("CONCATENATE(GOOGLETRANSLATE(C2561, ""en"", ""ja""))"),"Giro Empire SLX メンズ ロード サイクリング シューズ")</f>
        <v>Giro Empire SLX メンズ ロード サイクリング シューズ</v>
      </c>
    </row>
    <row r="2562" ht="15.75" customHeight="1">
      <c r="A2562" s="1">
        <v>6256.0</v>
      </c>
      <c r="B2562" s="1" t="s">
        <v>15</v>
      </c>
      <c r="C2562" s="1" t="s">
        <v>1910</v>
      </c>
      <c r="D2562" s="1" t="str">
        <f>IFERROR(__xludf.DUMMYFUNCTION("CONCATENATE(GOOGLETRANSLATE(C2562, ""en"", ""zh-cn""))"),"Vento Powerstrap R2 Aeroweave")</f>
        <v>Vento Powerstrap R2 Aeroweave</v>
      </c>
      <c r="E2562" s="1" t="str">
        <f>IFERROR(__xludf.DUMMYFUNCTION("CONCATENATE(GOOGLETRANSLATE(C2562, ""en"", ""ko""))"),"벤토 파워스트랩 R2 에어로위브")</f>
        <v>벤토 파워스트랩 R2 에어로위브</v>
      </c>
      <c r="F2562" s="1" t="str">
        <f>IFERROR(__xludf.DUMMYFUNCTION("CONCATENATE(GOOGLETRANSLATE(C2562, ""en"", ""ja""))"),"ヴェント パワーストラップ R2 エアロウィーブ")</f>
        <v>ヴェント パワーストラップ R2 エアロウィーブ</v>
      </c>
    </row>
    <row r="2563" ht="15.75" customHeight="1">
      <c r="A2563" s="1">
        <v>6257.0</v>
      </c>
      <c r="B2563" s="1" t="s">
        <v>15</v>
      </c>
      <c r="C2563" s="1" t="s">
        <v>2378</v>
      </c>
      <c r="D2563" s="1" t="str">
        <f>IFERROR(__xludf.DUMMYFUNCTION("CONCATENATE(GOOGLETRANSLATE(C2563, ""en"", ""zh-cn""))"),"EF ECOFLOW RIVER Pro 额外电池 720Wh，RIVER Pro 可扩展电源，适用于露营、家庭备用应急、户外、房车、离网")</f>
        <v>EF ECOFLOW RIVER Pro 额外电池 720Wh，RIVER Pro 可扩展电源，适用于露营、家庭备用应急、户外、房车、离网</v>
      </c>
      <c r="E2563" s="1" t="str">
        <f>IFERROR(__xludf.DUMMYFUNCTION("CONCATENATE(GOOGLETRANSLATE(C2563, ""en"", ""ko""))"),"EF ECOFLOW RIVER Pro 추가 배터리 720Wh, RIVER Pro용 확장 가능한 전력, 캠핑, 홈 백업 비상, 야외, RV, 오프 그리드용")</f>
        <v>EF ECOFLOW RIVER Pro 추가 배터리 720Wh, RIVER Pro용 확장 가능한 전력, 캠핑, 홈 백업 비상, 야외, RV, 오프 그리드용</v>
      </c>
      <c r="F2563" s="1" t="str">
        <f>IFERROR(__xludf.DUMMYFUNCTION("CONCATENATE(GOOGLETRANSLATE(C2563, ""en"", ""ja""))"),"EF ECOFLOW RIVER Pro 予備バッテリー 720Wh、RIVER Pro 用の拡張可能な電源、キャンプ、ホームバックアップ緊急時、アウトドア、RV、オフグリッド用")</f>
        <v>EF ECOFLOW RIVER Pro 予備バッテリー 720Wh、RIVER Pro 用の拡張可能な電源、キャンプ、ホームバックアップ緊急時、アウトドア、RV、オフグリッド用</v>
      </c>
    </row>
    <row r="2564" ht="15.75" customHeight="1">
      <c r="A2564" s="1">
        <v>6271.0</v>
      </c>
      <c r="B2564" s="1" t="s">
        <v>15</v>
      </c>
      <c r="C2564" s="1" t="s">
        <v>1907</v>
      </c>
      <c r="D2564" s="1" t="str">
        <f>IFERROR(__xludf.DUMMYFUNCTION("CONCATENATE(GOOGLETRANSLATE(C2564, ""en"", ""zh-cn""))"),"Lenovo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2564" s="1" t="str">
        <f>IFERROR(__xludf.DUMMYFUNCTION("CONCATENATE(GOOGLETRANSLATE(C2564, ""en"", ""ko""))"),"Lenovo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2564" s="1" t="str">
        <f>IFERROR(__xludf.DUMMYFUNCTION("CONCATENATE(GOOGLETRANSLATE(C2564, ""en"", ""ja""))"),"Lenovo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2565" ht="15.75" customHeight="1">
      <c r="A2565" s="1">
        <v>6276.0</v>
      </c>
      <c r="B2565" s="1" t="s">
        <v>15</v>
      </c>
      <c r="C2565" s="1" t="s">
        <v>1903</v>
      </c>
      <c r="D2565" s="1" t="str">
        <f>IFERROR(__xludf.DUMMYFUNCTION("CONCATENATE(GOOGLETRANSLATE(C2565, ""en"", ""zh-cn""))"),"CuberShop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2565" s="1" t="str">
        <f>IFERROR(__xludf.DUMMYFUNCTION("CONCATENATE(GOOGLETRANSLATE(C2565, ""en"", ""ko""))"),"CuberShop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2565" s="1" t="str">
        <f>IFERROR(__xludf.DUMMYFUNCTION("CONCATENATE(GOOGLETRANSLATE(C2565, ""en"", ""ja""))"),"CuberShop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2566" ht="15.75" customHeight="1">
      <c r="A2566" s="1">
        <v>6288.0</v>
      </c>
      <c r="B2566" s="1" t="s">
        <v>15</v>
      </c>
      <c r="C2566" s="1" t="s">
        <v>2327</v>
      </c>
      <c r="D2566" s="1" t="str">
        <f>IFERROR(__xludf.DUMMYFUNCTION("CONCATENATE(GOOGLETRANSLATE(C2566, ""en"", ""zh-cn""))"),"GAN 356 i 3 无贴纸速度魔方，3x3 智能魔方 356 i3 甘斯磁力魔方智能跟踪计时运动步骤与 CubeStation 应用程序甘魔方拼图玩具（不含 GAN 机器人）")</f>
        <v>GAN 356 i 3 无贴纸速度魔方，3x3 智能魔方 356 i3 甘斯磁力魔方智能跟踪计时运动步骤与 CubeStation 应用程序甘魔方拼图玩具（不含 GAN 机器人）</v>
      </c>
      <c r="E2566" s="1" t="str">
        <f>IFERROR(__xludf.DUMMYFUNCTION("CONCATENATE(GOOGLETRANSLATE(C2566, ""en"", ""ko""))"),"GAN 356 i 3 스티커 없는 스피드 큐브, 3x3 스마트 큐브 356 i3 Gans 마그네틱 큐브 CubeStation 앱을 사용한 지능형 추적 타이밍 동작 단계 Gan 큐브 퍼즐 장난감(GAN 로봇은 포함되지 않음)")</f>
        <v>GAN 356 i 3 스티커 없는 스피드 큐브, 3x3 스마트 큐브 356 i3 Gans 마그네틱 큐브 CubeStation 앱을 사용한 지능형 추적 타이밍 동작 단계 Gan 큐브 퍼즐 장난감(GAN 로봇은 포함되지 않음)</v>
      </c>
      <c r="F2566" s="1" t="str">
        <f>IFERROR(__xludf.DUMMYFUNCTION("CONCATENATE(GOOGLETRANSLATE(C2566, ""en"", ""ja""))"),"GAN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f>
        <v>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v>
      </c>
    </row>
    <row r="2567" ht="15.75" customHeight="1">
      <c r="A2567" s="1">
        <v>6295.0</v>
      </c>
      <c r="B2567" s="1" t="s">
        <v>15</v>
      </c>
      <c r="C2567" s="1" t="s">
        <v>1827</v>
      </c>
      <c r="D2567" s="1" t="str">
        <f>IFERROR(__xludf.DUMMYFUNCTION("CONCATENATE(GOOGLETRANSLATE(C2567, ""en"", ""zh-cn""))"),"宁神茶丸 甘麦大枣丸 (1000 茶丸)3383E-MAYWAY by Mayway")</f>
        <v>宁神茶丸 甘麦大枣丸 (1000 茶丸)3383E-MAYWAY by Mayway</v>
      </c>
      <c r="E2567" s="1" t="str">
        <f>IFERROR(__xludf.DUMMYFUNCTION("CONCATENATE(GOOGLETRANSLATE(C2567, ""en"", ""ko""))"),"Calm Spirit Teapills Gan Mai Da Zao Wan (1000 티필)3383E-MAYWAY by Mayway")</f>
        <v>Calm Spirit Teapills Gan Mai Da Zao Wan (1000 티필)3383E-MAYWAY by Mayway</v>
      </c>
      <c r="F2567" s="1" t="str">
        <f>IFERROR(__xludf.DUMMYFUNCTION("CONCATENATE(GOOGLETRANSLATE(C2567, ""en"", ""ja""))"),"Calm Spirit Teapills Gan Mai Da Zao Wan (1000 Teapills)3383E-MAYWAY by Mayway")</f>
        <v>Calm Spirit Teapills Gan Mai Da Zao Wan (1000 Teapills)3383E-MAYWAY by Mayway</v>
      </c>
    </row>
    <row r="2568" ht="15.75" customHeight="1">
      <c r="A2568" s="1">
        <v>6352.0</v>
      </c>
      <c r="B2568" s="1" t="s">
        <v>15</v>
      </c>
      <c r="C2568" s="1" t="s">
        <v>1826</v>
      </c>
      <c r="D2568" s="1" t="str">
        <f>IFERROR(__xludf.DUMMYFUNCTION("CONCATENATE(GOOGLETRANSLATE(C2568, ""en"", ""zh-cn""))"),"GAN 460 M 速度魔方， 4x4 磁性魔方 Gans 460M 拼图玩具（无贴纸）")</f>
        <v>GAN 460 M 速度魔方， 4x4 磁性魔方 Gans 460M 拼图玩具（无贴纸）</v>
      </c>
      <c r="E2568" s="1" t="str">
        <f>IFERROR(__xludf.DUMMYFUNCTION("CONCATENATE(GOOGLETRANSLATE(C2568, ""en"", ""ko""))"),"GAN 460 M 스피드 큐브, 4x4 마그네틱 마스터 큐브 Gans 460M 퍼즐 장난감(스티커 없음)")</f>
        <v>GAN 460 M 스피드 큐브, 4x4 마그네틱 마스터 큐브 Gans 460M 퍼즐 장난감(스티커 없음)</v>
      </c>
      <c r="F2568" s="1" t="str">
        <f>IFERROR(__xludf.DUMMYFUNCTION("CONCATENATE(GOOGLETRANSLATE(C2568, ""en"", ""ja""))"),"GAN 460 M スピード キューブ、4x4 磁気マスター キューブ Gans 460M パズルおもちゃ (ステッカーなし)")</f>
        <v>GAN 460 M スピード キューブ、4x4 磁気マスター キューブ Gans 460M パズルおもちゃ (ステッカーなし)</v>
      </c>
    </row>
    <row r="2569" ht="15.75" customHeight="1">
      <c r="A2569" s="1">
        <v>6355.0</v>
      </c>
      <c r="B2569" s="1" t="s">
        <v>15</v>
      </c>
      <c r="C2569" s="1" t="s">
        <v>1847</v>
      </c>
      <c r="D2569" s="1" t="str">
        <f>IFERROR(__xludf.DUMMYFUNCTION("CONCATENATE(GOOGLETRANSLATE(C2569, ""en"", ""zh-cn""))"),"Bukefuno GAN 12 Maglev 3x3 磁性魔方 GAN12Maglev Speed GAN 12Maglev 拼图魔方 GAN12 Maglev 3x3 魔方（磨砂表面无贴纸）")</f>
        <v>Bukefuno GAN 12 Maglev 3x3 磁性魔方 GAN12Maglev Speed GAN 12Maglev 拼图魔方 GAN12 Maglev 3x3 魔方（磨砂表面无贴纸）</v>
      </c>
      <c r="E2569" s="1" t="str">
        <f>IFERROR(__xludf.DUMMYFUNCTION("CONCATENATE(GOOGLETRANSLATE(C2569, ""en"", ""ko""))"),"Bukefuno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2569" s="1" t="str">
        <f>IFERROR(__xludf.DUMMYFUNCTION("CONCATENATE(GOOGLETRANSLATE(C2569, ""en"", ""ja""))"),"Bukefuno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2570" ht="15.75" customHeight="1">
      <c r="A2570" s="1">
        <v>6360.0</v>
      </c>
      <c r="B2570" s="1" t="s">
        <v>15</v>
      </c>
      <c r="C2570" s="1" t="s">
        <v>1847</v>
      </c>
      <c r="D2570" s="1" t="str">
        <f>IFERROR(__xludf.DUMMYFUNCTION("CONCATENATE(GOOGLETRANSLATE(C2570, ""en"", ""zh-cn""))"),"Bukefuno GAN 12 Maglev 3x3 磁性魔方 GAN12Maglev Speed GAN 12Maglev 拼图魔方 GAN12 Maglev 3x3 魔方（磨砂表面无贴纸）")</f>
        <v>Bukefuno GAN 12 Maglev 3x3 磁性魔方 GAN12Maglev Speed GAN 12Maglev 拼图魔方 GAN12 Maglev 3x3 魔方（磨砂表面无贴纸）</v>
      </c>
      <c r="E2570" s="1" t="str">
        <f>IFERROR(__xludf.DUMMYFUNCTION("CONCATENATE(GOOGLETRANSLATE(C2570, ""en"", ""ko""))"),"Bukefuno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2570" s="1" t="str">
        <f>IFERROR(__xludf.DUMMYFUNCTION("CONCATENATE(GOOGLETRANSLATE(C2570, ""en"", ""ja""))"),"Bukefuno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2571" ht="15.75" customHeight="1">
      <c r="A2571" s="1">
        <v>6361.0</v>
      </c>
      <c r="B2571" s="1" t="s">
        <v>15</v>
      </c>
      <c r="C2571" s="1" t="s">
        <v>1827</v>
      </c>
      <c r="D2571" s="1" t="str">
        <f>IFERROR(__xludf.DUMMYFUNCTION("CONCATENATE(GOOGLETRANSLATE(C2571, ""en"", ""zh-cn""))"),"宁神茶丸 甘麦大枣丸 (1000 茶丸)3383E-MAYWAY by Mayway")</f>
        <v>宁神茶丸 甘麦大枣丸 (1000 茶丸)3383E-MAYWAY by Mayway</v>
      </c>
      <c r="E2571" s="1" t="str">
        <f>IFERROR(__xludf.DUMMYFUNCTION("CONCATENATE(GOOGLETRANSLATE(C2571, ""en"", ""ko""))"),"Calm Spirit Teapills Gan Mai Da Zao Wan (1000 티필)3383E-MAYWAY by Mayway")</f>
        <v>Calm Spirit Teapills Gan Mai Da Zao Wan (1000 티필)3383E-MAYWAY by Mayway</v>
      </c>
      <c r="F2571" s="1" t="str">
        <f>IFERROR(__xludf.DUMMYFUNCTION("CONCATENATE(GOOGLETRANSLATE(C2571, ""en"", ""ja""))"),"Calm Spirit Teapills Gan Mai Da Zao Wan (1000 Teapills)3383E-MAYWAY by Mayway")</f>
        <v>Calm Spirit Teapills Gan Mai Da Zao Wan (1000 Teapills)3383E-MAYWAY by Mayway</v>
      </c>
    </row>
    <row r="2572" ht="15.75" customHeight="1">
      <c r="A2572" s="1">
        <v>6370.0</v>
      </c>
      <c r="B2572" s="1" t="s">
        <v>15</v>
      </c>
      <c r="C2572" s="1" t="s">
        <v>1825</v>
      </c>
      <c r="D2572" s="1" t="str">
        <f>IFERROR(__xludf.DUMMYFUNCTION("CONCATENATE(GOOGLETRANSLATE(C2572, ""en"", ""zh-cn""))"),"1500 块木制拼图桌 - 6 个抽屉，拼图板 | 27” X 35” 便携式拼图板 - 便携式拼图桌 |适合成人和儿童")</f>
        <v>1500 块木制拼图桌 - 6 个抽屉，拼图板 | 27” X 35” 便携式拼图板 - 便携式拼图桌 |适合成人和儿童</v>
      </c>
      <c r="E2572" s="1" t="str">
        <f>IFERROR(__xludf.DUMMYFUNCTION("CONCATENATE(GOOGLETRANSLATE(C2572, ""en"", ""ko""))"),"1500피스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2572" s="1" t="str">
        <f>IFERROR(__xludf.DUMMYFUNCTION("CONCATENATE(GOOGLETRANSLATE(C2572, ""en"", ""ja""))"),"1500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2573" ht="15.75" customHeight="1">
      <c r="A2573" s="1">
        <v>6374.0</v>
      </c>
      <c r="B2573" s="1" t="s">
        <v>15</v>
      </c>
      <c r="C2573" s="1" t="s">
        <v>2379</v>
      </c>
      <c r="D2573" s="1" t="str">
        <f>IFERROR(__xludf.DUMMYFUNCTION("CONCATENATE(GOOGLETRANSLATE(C2573, ""en"", ""zh-cn""))"),"Ekouaer 女式 2 件套针织毛衣套装")</f>
        <v>Ekouaer 女式 2 件套针织毛衣套装</v>
      </c>
      <c r="E2573" s="1" t="str">
        <f>IFERROR(__xludf.DUMMYFUNCTION("CONCATENATE(GOOGLETRANSLATE(C2573, ""en"", ""ko""))"),"Ekouaer 여성용 2피스 니트 스웨터 세트")</f>
        <v>Ekouaer 여성용 2피스 니트 스웨터 세트</v>
      </c>
      <c r="F2573" s="1" t="str">
        <f>IFERROR(__xludf.DUMMYFUNCTION("CONCATENATE(GOOGLETRANSLATE(C2573, ""en"", ""ja""))"),"Ekouaer レディース 2 ピース ニット セーター セット")</f>
        <v>Ekouaer レディース 2 ピース ニット セーター セット</v>
      </c>
    </row>
    <row r="2574" ht="15.75" customHeight="1">
      <c r="A2574" s="1">
        <v>6380.0</v>
      </c>
      <c r="B2574" s="1" t="s">
        <v>15</v>
      </c>
      <c r="C2574" s="1" t="s">
        <v>2380</v>
      </c>
      <c r="D2574" s="1" t="str">
        <f>IFERROR(__xludf.DUMMYFUNCTION("CONCATENATE(GOOGLETRANSLATE(C2574, ""en"", ""zh-cn""))"),"PRETTYGARDEN 女式休闲长袖 V 领瑞士圆点褶裥中长连衣裙")</f>
        <v>PRETTYGARDEN 女式休闲长袖 V 领瑞士圆点褶裥中长连衣裙</v>
      </c>
      <c r="E2574" s="1" t="str">
        <f>IFERROR(__xludf.DUMMYFUNCTION("CONCATENATE(GOOGLETRANSLATE(C2574, ""en"", ""ko""))"),"PRETTYGARDEN 여성 캐주얼 긴팔 V 넥 스위스 도트 플리츠 미디 드레스")</f>
        <v>PRETTYGARDEN 여성 캐주얼 긴팔 V 넥 스위스 도트 플리츠 미디 드레스</v>
      </c>
      <c r="F2574" s="1" t="str">
        <f>IFERROR(__xludf.DUMMYFUNCTION("CONCATENATE(GOOGLETRANSLATE(C2574, ""en"", ""ja""))"),"PRETTYGARDEN レディース カジュアル 長袖 V ネック スイス ドット プリーツ ミディドレス")</f>
        <v>PRETTYGARDEN レディース カジュアル 長袖 V ネック スイス ドット プリーツ ミディドレス</v>
      </c>
    </row>
    <row r="2575" ht="15.75" customHeight="1">
      <c r="A2575" s="1">
        <v>6382.0</v>
      </c>
      <c r="B2575" s="1" t="s">
        <v>15</v>
      </c>
      <c r="C2575" s="1" t="s">
        <v>2381</v>
      </c>
      <c r="D2575" s="1" t="str">
        <f>IFERROR(__xludf.DUMMYFUNCTION("CONCATENATE(GOOGLETRANSLATE(C2575, ""en"", ""zh-cn""))"),"Lynwitkui 女式 V 领雪纺衬衫盖袖衬衫休闲宽松工作办公室纯色上衣")</f>
        <v>Lynwitkui 女式 V 领雪纺衬衫盖袖衬衫休闲宽松工作办公室纯色上衣</v>
      </c>
      <c r="E2575" s="1" t="str">
        <f>IFERROR(__xludf.DUMMYFUNCTION("CONCATENATE(GOOGLETRANSLATE(C2575, ""en"", ""ko""))"),"Lynwitkui 여성용 V 넥 시폰 블라우스 캡 슬리브 셔츠 캐주얼 루즈 워크 오피스 솔리드 탑")</f>
        <v>Lynwitkui 여성용 V 넥 시폰 블라우스 캡 슬리브 셔츠 캐주얼 루즈 워크 오피스 솔리드 탑</v>
      </c>
      <c r="F2575" s="1" t="str">
        <f>IFERROR(__xludf.DUMMYFUNCTION("CONCATENATE(GOOGLETRANSLATE(C2575, ""en"", ""ja""))"),"Lynwitkui レディース V ネック シフォン ブラウス キャップ スリーブ シャツ カジュアル ルーズ ワーク オフィス ソリッド トップス")</f>
        <v>Lynwitkui レディース V ネック シフォン ブラウス キャップ スリーブ シャツ カジュアル ルーズ ワーク オフィス ソリッド トップス</v>
      </c>
    </row>
    <row r="2576" ht="15.75" customHeight="1">
      <c r="A2576" s="1">
        <v>6400.0</v>
      </c>
      <c r="B2576" s="1" t="s">
        <v>15</v>
      </c>
      <c r="C2576" s="1" t="s">
        <v>2382</v>
      </c>
      <c r="D2576" s="1" t="str">
        <f>IFERROR(__xludf.DUMMYFUNCTION("CONCATENATE(GOOGLETRANSLATE(C2576, ""en"", ""zh-cn""))"),"通用螺纹女式 80 年代中腰修身牛仔裤")</f>
        <v>通用螺纹女式 80 年代中腰修身牛仔裤</v>
      </c>
      <c r="E2576" s="1" t="str">
        <f>IFERROR(__xludf.DUMMYFUNCTION("CONCATENATE(GOOGLETRANSLATE(C2576, ""en"", ""ko""))"),"Universal Thread 여성용 미드라이즈 80년대 슬림핏 청바지")</f>
        <v>Universal Thread 여성용 미드라이즈 80년대 슬림핏 청바지</v>
      </c>
      <c r="F2576" s="1" t="str">
        <f>IFERROR(__xludf.DUMMYFUNCTION("CONCATENATE(GOOGLETRANSLATE(C2576, ""en"", ""ja""))"),"ユニバーサル スレッド レディース ミッドライズ 80 年代 スリム フィット ジーンズ")</f>
        <v>ユニバーサル スレッド レディース ミッドライズ 80 年代 スリム フィット ジーンズ</v>
      </c>
    </row>
    <row r="2577" ht="15.75" customHeight="1">
      <c r="A2577" s="1">
        <v>6407.0</v>
      </c>
      <c r="B2577" s="1" t="s">
        <v>15</v>
      </c>
      <c r="C2577" s="1" t="s">
        <v>2383</v>
      </c>
      <c r="D2577" s="1" t="str">
        <f>IFERROR(__xludf.DUMMYFUNCTION("CONCATENATE(GOOGLETRANSLATE(C2577, ""en"", ""zh-cn""))"),"女式休闲圆领长袖针织衬衫")</f>
        <v>女式休闲圆领长袖针织衬衫</v>
      </c>
      <c r="E2577" s="1" t="str">
        <f>IFERROR(__xludf.DUMMYFUNCTION("CONCATENATE(GOOGLETRANSLATE(C2577, ""en"", ""ko""))"),"여성 캐주얼 크루넥 긴팔 니트 셔츠")</f>
        <v>여성 캐주얼 크루넥 긴팔 니트 셔츠</v>
      </c>
      <c r="F2577" s="1" t="str">
        <f>IFERROR(__xludf.DUMMYFUNCTION("CONCATENATE(GOOGLETRANSLATE(C2577, ""en"", ""ja""))"),"レディースカジュアルクルーネック長袖ニットシャツ")</f>
        <v>レディースカジュアルクルーネック長袖ニットシャツ</v>
      </c>
    </row>
    <row r="2578" ht="15.75" customHeight="1">
      <c r="A2578" s="1">
        <v>6411.0</v>
      </c>
      <c r="B2578" s="1" t="s">
        <v>15</v>
      </c>
      <c r="C2578" s="1" t="s">
        <v>2384</v>
      </c>
      <c r="D2578" s="1" t="str">
        <f>IFERROR(__xludf.DUMMYFUNCTION("CONCATENATE(GOOGLETRANSLATE(C2578, ""en"", ""zh-cn""))"),"Fashion Nova 男士 Loyalty 超大 T 恤")</f>
        <v>Fashion Nova 男士 Loyalty 超大 T 恤</v>
      </c>
      <c r="E2578" s="1" t="str">
        <f>IFERROR(__xludf.DUMMYFUNCTION("CONCATENATE(GOOGLETRANSLATE(C2578, ""en"", ""ko""))"),"패션 노바 남성 로열티 오버사이즈 티셔츠")</f>
        <v>패션 노바 남성 로열티 오버사이즈 티셔츠</v>
      </c>
      <c r="F2578" s="1" t="str">
        <f>IFERROR(__xludf.DUMMYFUNCTION("CONCATENATE(GOOGLETRANSLATE(C2578, ""en"", ""ja""))"),"Fashion Nova メンズ ロイヤルティ オーバーサイズ T シャツ")</f>
        <v>Fashion Nova メンズ ロイヤルティ オーバーサイズ T シャツ</v>
      </c>
    </row>
    <row r="2579" ht="15.75" customHeight="1">
      <c r="A2579" s="1">
        <v>6415.0</v>
      </c>
      <c r="B2579" s="1" t="s">
        <v>15</v>
      </c>
      <c r="C2579" s="1" t="s">
        <v>2385</v>
      </c>
      <c r="D2579" s="1" t="str">
        <f>IFERROR(__xludf.DUMMYFUNCTION("CONCATENATE(GOOGLETRANSLATE(C2579, ""en"", ""zh-cn""))"),"Jos. A. Bank 男式高大旅行者性能定制合身长袖衬衫")</f>
        <v>Jos. A. Bank 男式高大旅行者性能定制合身长袖衬衫</v>
      </c>
      <c r="E2579" s="1" t="str">
        <f>IFERROR(__xludf.DUMMYFUNCTION("CONCATENATE(GOOGLETRANSLATE(C2579, ""en"", ""ko""))"),"Jos. A. Bank 남성용 Big &amp; Tall 여행자 퍼포먼스 테일러드핏 긴소매 셔츠")</f>
        <v>Jos. A. Bank 남성용 Big &amp; Tall 여행자 퍼포먼스 테일러드핏 긴소매 셔츠</v>
      </c>
      <c r="F2579" s="1" t="str">
        <f>IFERROR(__xludf.DUMMYFUNCTION("CONCATENATE(GOOGLETRANSLATE(C2579, ""en"", ""ja""))"),"Jos. A. Bank メンズ ビッグ &amp; トール トラベラー パフォーマンス テーラード フィット 長袖シャツ")</f>
        <v>Jos. A. Bank メンズ ビッグ &amp; トール トラベラー パフォーマンス テーラード フィット 長袖シャツ</v>
      </c>
    </row>
    <row r="2580" ht="15.75" customHeight="1">
      <c r="A2580" s="1">
        <v>6430.0</v>
      </c>
      <c r="B2580" s="1" t="s">
        <v>15</v>
      </c>
      <c r="C2580" s="1" t="s">
        <v>2386</v>
      </c>
      <c r="D2580" s="1" t="str">
        <f>IFERROR(__xludf.DUMMYFUNCTION("CONCATENATE(GOOGLETRANSLATE(C2580, ""en"", ""zh-cn""))"),"2022 男士设计师品牌男士衬衫 时尚长款")</f>
        <v>2022 男士设计师品牌男士衬衫 时尚长款</v>
      </c>
      <c r="E2580" s="1" t="str">
        <f>IFERROR(__xludf.DUMMYFUNCTION("CONCATENATE(GOOGLETRANSLATE(C2580, ""en"", ""ko""))"),"2022 남성 디자이너 셔츠 남성용 웨어러블 의류 패션 롱")</f>
        <v>2022 남성 디자이너 셔츠 남성용 웨어러블 의류 패션 롱</v>
      </c>
      <c r="F2580" s="1" t="str">
        <f>IFERROR(__xludf.DUMMYFUNCTION("CONCATENATE(GOOGLETRANSLATE(C2580, ""en"", ""ja""))"),"2022 メンズデザイナーシャツ男性ウェアラブル服ファッションロング")</f>
        <v>2022 メンズデザイナーシャツ男性ウェアラブル服ファッションロング</v>
      </c>
    </row>
    <row r="2581" ht="15.75" customHeight="1">
      <c r="A2581" s="1">
        <v>6432.0</v>
      </c>
      <c r="B2581" s="1" t="s">
        <v>15</v>
      </c>
      <c r="C2581" s="1" t="s">
        <v>2387</v>
      </c>
      <c r="D2581" s="1" t="str">
        <f>IFERROR(__xludf.DUMMYFUNCTION("CONCATENATE(GOOGLETRANSLATE(C2581, ""en"", ""zh-cn""))"),"COOFANDY 男士休闲防皱长袖纽扣正装衬衫")</f>
        <v>COOFANDY 男士休闲防皱长袖纽扣正装衬衫</v>
      </c>
      <c r="E2581" s="1" t="str">
        <f>IFERROR(__xludf.DUMMYFUNCTION("CONCATENATE(GOOGLETRANSLATE(C2581, ""en"", ""ko""))"),"COOFANDY 남성 캐주얼 링클프리 긴소매 버튼다운 드레스 셔츠")</f>
        <v>COOFANDY 남성 캐주얼 링클프리 긴소매 버튼다운 드레스 셔츠</v>
      </c>
      <c r="F2581" s="1" t="str">
        <f>IFERROR(__xludf.DUMMYFUNCTION("CONCATENATE(GOOGLETRANSLATE(C2581, ""en"", ""ja""))"),"COOFANDY メンズ カジュアル シワ防止 長袖 ボタンダウン ドレスシャツ")</f>
        <v>COOFANDY メンズ カジュアル シワ防止 長袖 ボタンダウン ドレスシャツ</v>
      </c>
    </row>
    <row r="2582" ht="15.75" customHeight="1">
      <c r="A2582" s="1">
        <v>6443.0</v>
      </c>
      <c r="B2582" s="1" t="s">
        <v>15</v>
      </c>
      <c r="C2582" s="1" t="s">
        <v>2388</v>
      </c>
      <c r="D2582" s="1" t="str">
        <f>IFERROR(__xludf.DUMMYFUNCTION("CONCATENATE(GOOGLETRANSLATE(C2582, ""en"", ""zh-cn""))"),"男士巴洛克运动服套装带渔夫帽")</f>
        <v>男士巴洛克运动服套装带渔夫帽</v>
      </c>
      <c r="E2582" s="1" t="str">
        <f>IFERROR(__xludf.DUMMYFUNCTION("CONCATENATE(GOOGLETRANSLATE(C2582, ""en"", ""ko""))"),"버킷 모자가 포함된 남성용 바로크 운동복 세트")</f>
        <v>버킷 모자가 포함된 남성용 바로크 운동복 세트</v>
      </c>
      <c r="F2582" s="1" t="str">
        <f>IFERROR(__xludf.DUMMYFUNCTION("CONCATENATE(GOOGLETRANSLATE(C2582, ""en"", ""ja""))"),"メンズ バロック トラックスーツ セット バケット ハット付き")</f>
        <v>メンズ バロック トラックスーツ セット バケット ハット付き</v>
      </c>
    </row>
    <row r="2583" ht="15.75" customHeight="1">
      <c r="A2583" s="1">
        <v>6449.0</v>
      </c>
      <c r="B2583" s="1" t="s">
        <v>15</v>
      </c>
      <c r="C2583" s="1" t="s">
        <v>2389</v>
      </c>
      <c r="D2583" s="1" t="str">
        <f>IFERROR(__xludf.DUMMYFUNCTION("CONCATENATE(GOOGLETRANSLATE(C2583, ""en"", ""zh-cn""))"),"COOFANDY 男式弹力长袖防皱纽扣正装衬衫")</f>
        <v>COOFANDY 男式弹力长袖防皱纽扣正装衬衫</v>
      </c>
      <c r="E2583" s="1" t="str">
        <f>IFERROR(__xludf.DUMMYFUNCTION("CONCATENATE(GOOGLETRANSLATE(C2583, ""en"", ""ko""))"),"COOFANDY 남성 스트레치 긴팔 링클 프리 버튼다운 드레스 셔츠")</f>
        <v>COOFANDY 남성 스트레치 긴팔 링클 프리 버튼다운 드레스 셔츠</v>
      </c>
      <c r="F2583" s="1" t="str">
        <f>IFERROR(__xludf.DUMMYFUNCTION("CONCATENATE(GOOGLETRANSLATE(C2583, ""en"", ""ja""))"),"COOFANDY メンズ ストレッチ 長袖 シワフリー ボタンダウン ドレスシャツ")</f>
        <v>COOFANDY メンズ ストレッチ 長袖 シワフリー ボタンダウン ドレスシャツ</v>
      </c>
    </row>
    <row r="2584" ht="15.75" customHeight="1">
      <c r="A2584" s="1">
        <v>6452.0</v>
      </c>
      <c r="B2584" s="1" t="s">
        <v>15</v>
      </c>
      <c r="C2584" s="1" t="s">
        <v>2390</v>
      </c>
      <c r="D2584" s="1" t="str">
        <f>IFERROR(__xludf.DUMMYFUNCTION("CONCATENATE(GOOGLETRANSLATE(C2584, ""en"", ""zh-cn""))"),"戴尔坞站 USB 3.0")</f>
        <v>戴尔坞站 USB 3.0</v>
      </c>
      <c r="E2584" s="1" t="str">
        <f>IFERROR(__xludf.DUMMYFUNCTION("CONCATENATE(GOOGLETRANSLATE(C2584, ""en"", ""ko""))"),"Dell 도킹 스테이션 USB 3.0")</f>
        <v>Dell 도킹 스테이션 USB 3.0</v>
      </c>
      <c r="F2584" s="1" t="str">
        <f>IFERROR(__xludf.DUMMYFUNCTION("CONCATENATE(GOOGLETRANSLATE(C2584, ""en"", ""ja""))"),"デル ドッキング ステーション USB 3.0")</f>
        <v>デル ドッキング ステーション USB 3.0</v>
      </c>
    </row>
    <row r="2585" ht="15.75" customHeight="1">
      <c r="A2585" s="1">
        <v>6454.0</v>
      </c>
      <c r="B2585" s="1" t="s">
        <v>15</v>
      </c>
      <c r="C2585" s="1" t="s">
        <v>2391</v>
      </c>
      <c r="D2585" s="1" t="str">
        <f>IFERROR(__xludf.DUMMYFUNCTION("CONCATENATE(GOOGLETRANSLATE(C2585, ""en"", ""zh-cn""))"),"Corsair 9000D RGB Airflow 超级全塔式 PC 机箱")</f>
        <v>Corsair 9000D RGB Airflow 超级全塔式 PC 机箱</v>
      </c>
      <c r="E2585" s="1" t="str">
        <f>IFERROR(__xludf.DUMMYFUNCTION("CONCATENATE(GOOGLETRANSLATE(C2585, ""en"", ""ko""))"),"Corsair 9000D RGB Airflow 슈퍼 풀 타워 PC 케이스")</f>
        <v>Corsair 9000D RGB Airflow 슈퍼 풀 타워 PC 케이스</v>
      </c>
      <c r="F2585" s="1" t="str">
        <f>IFERROR(__xludf.DUMMYFUNCTION("CONCATENATE(GOOGLETRANSLATE(C2585, ""en"", ""ja""))"),"Corsair 9000D RGB エアフロー スーパー フルタワー PC ケース")</f>
        <v>Corsair 9000D RGB エアフロー スーパー フルタワー PC ケース</v>
      </c>
    </row>
    <row r="2586" ht="15.75" customHeight="1">
      <c r="A2586" s="1">
        <v>6460.0</v>
      </c>
      <c r="B2586" s="1" t="s">
        <v>15</v>
      </c>
      <c r="C2586" s="1" t="s">
        <v>2392</v>
      </c>
      <c r="D2586" s="1" t="str">
        <f>IFERROR(__xludf.DUMMYFUNCTION("CONCATENATE(GOOGLETRANSLATE(C2586, ""en"", ""zh-cn""))"),"红龙机械游戏键盘")</f>
        <v>红龙机械游戏键盘</v>
      </c>
      <c r="E2586" s="1" t="str">
        <f>IFERROR(__xludf.DUMMYFUNCTION("CONCATENATE(GOOGLETRANSLATE(C2586, ""en"", ""ko""))"),"Redragon 기계식 게이밍 키보드")</f>
        <v>Redragon 기계식 게이밍 키보드</v>
      </c>
      <c r="F2586" s="1" t="str">
        <f>IFERROR(__xludf.DUMMYFUNCTION("CONCATENATE(GOOGLETRANSLATE(C2586, ""en"", ""ja""))"),"Redragon メカニカル ゲーミング キーボード")</f>
        <v>Redragon メカニカル ゲーミング キーボード</v>
      </c>
    </row>
    <row r="2587" ht="15.75" customHeight="1">
      <c r="A2587" s="1">
        <v>6496.0</v>
      </c>
      <c r="B2587" s="1" t="s">
        <v>15</v>
      </c>
      <c r="C2587" s="1" t="s">
        <v>2393</v>
      </c>
      <c r="D2587" s="1" t="str">
        <f>IFERROR(__xludf.DUMMYFUNCTION("CONCATENATE(GOOGLETRANSLATE(C2587, ""en"", ""zh-cn""))"),"Lifetechs 4 合 1 USB 笔记本电脑扩展坞")</f>
        <v>Lifetechs 4 合 1 USB 笔记本电脑扩展坞</v>
      </c>
      <c r="E2587" s="1" t="str">
        <f>IFERROR(__xludf.DUMMYFUNCTION("CONCATENATE(GOOGLETRANSLATE(C2587, ""en"", ""ko""))"),"Lifetechs 4-in-1 USB 노트북 도킹 스테이션")</f>
        <v>Lifetechs 4-in-1 USB 노트북 도킹 스테이션</v>
      </c>
      <c r="F2587" s="1" t="str">
        <f>IFERROR(__xludf.DUMMYFUNCTION("CONCATENATE(GOOGLETRANSLATE(C2587, ""en"", ""ja""))"),"Lifetechs 4-in-1 USB ラップトップ ドッキング ステーション")</f>
        <v>Lifetechs 4-in-1 USB ラップトップ ドッキング ステーション</v>
      </c>
    </row>
    <row r="2588" ht="15.75" customHeight="1">
      <c r="A2588" s="1">
        <v>6498.0</v>
      </c>
      <c r="B2588" s="1" t="s">
        <v>15</v>
      </c>
      <c r="C2588" s="1" t="s">
        <v>2394</v>
      </c>
      <c r="D2588" s="1" t="str">
        <f>IFERROR(__xludf.DUMMYFUNCTION("CONCATENATE(GOOGLETRANSLATE(C2588, ""en"", ""zh-cn""))"),"罗技 M325 无线鼠标")</f>
        <v>罗技 M325 无线鼠标</v>
      </c>
      <c r="E2588" s="1" t="str">
        <f>IFERROR(__xludf.DUMMYFUNCTION("CONCATENATE(GOOGLETRANSLATE(C2588, ""en"", ""ko""))"),"로지텍 M325 무선 마우스")</f>
        <v>로지텍 M325 무선 마우스</v>
      </c>
      <c r="F2588" s="1" t="str">
        <f>IFERROR(__xludf.DUMMYFUNCTION("CONCATENATE(GOOGLETRANSLATE(C2588, ""en"", ""ja""))"),"ロジクール M325 ワイヤレス マウス")</f>
        <v>ロジクール M325 ワイヤレス マウス</v>
      </c>
    </row>
    <row r="2589" ht="15.75" customHeight="1">
      <c r="A2589" s="1">
        <v>6502.0</v>
      </c>
      <c r="B2589" s="1" t="s">
        <v>15</v>
      </c>
      <c r="C2589" s="1" t="s">
        <v>2395</v>
      </c>
      <c r="D2589" s="1" t="str">
        <f>IFERROR(__xludf.DUMMYFUNCTION("CONCATENATE(GOOGLETRANSLATE(C2589, ""en"", ""zh-cn""))"),"HP 230 无线键鼠组合")</f>
        <v>HP 230 无线键鼠组合</v>
      </c>
      <c r="E2589" s="1" t="str">
        <f>IFERROR(__xludf.DUMMYFUNCTION("CONCATENATE(GOOGLETRANSLATE(C2589, ""en"", ""ko""))"),"HP 230 무선 마우스 및 키보드 콤보")</f>
        <v>HP 230 무선 마우스 및 키보드 콤보</v>
      </c>
      <c r="F2589" s="1" t="str">
        <f>IFERROR(__xludf.DUMMYFUNCTION("CONCATENATE(GOOGLETRANSLATE(C2589, ""en"", ""ja""))"),"HP 230 ワイヤレス マウスとキーボードのコンボ")</f>
        <v>HP 230 ワイヤレス マウスとキーボードのコンボ</v>
      </c>
    </row>
    <row r="2590" ht="15.75" customHeight="1">
      <c r="A2590" s="1">
        <v>6532.0</v>
      </c>
      <c r="B2590" s="1" t="s">
        <v>15</v>
      </c>
      <c r="C2590" s="1" t="s">
        <v>2396</v>
      </c>
      <c r="D2590" s="1" t="str">
        <f>IFERROR(__xludf.DUMMYFUNCTION("CONCATENATE(GOOGLETRANSLATE(C2590, ""en"", ""zh-cn""))"),"DKZ 坐立不安玩具套装 1000 件")</f>
        <v>DKZ 坐立不安玩具套装 1000 件</v>
      </c>
      <c r="E2590" s="1" t="str">
        <f>IFERROR(__xludf.DUMMYFUNCTION("CONCATENATE(GOOGLETRANSLATE(C2590, ""en"", ""ko""))"),"DKZ 안절부절 장난감 팩 1000Pcs")</f>
        <v>DKZ 안절부절 장난감 팩 1000Pcs</v>
      </c>
      <c r="F2590" s="1" t="str">
        <f>IFERROR(__xludf.DUMMYFUNCTION("CONCATENATE(GOOGLETRANSLATE(C2590, ""en"", ""ja""))"),"DKZ フィジェットトイパック 1000 個")</f>
        <v>DKZ フィジェットトイパック 1000 個</v>
      </c>
    </row>
    <row r="2591" ht="15.75" customHeight="1">
      <c r="A2591" s="1">
        <v>6534.0</v>
      </c>
      <c r="B2591" s="1" t="s">
        <v>15</v>
      </c>
      <c r="C2591" s="1" t="s">
        <v>2397</v>
      </c>
      <c r="D2591" s="1" t="str">
        <f>IFERROR(__xludf.DUMMYFUNCTION("CONCATENATE(GOOGLETRANSLATE(C2591, ""en"", ""zh-cn""))"),"Hot Wheels 轨道建造者豪华特技盒")</f>
        <v>Hot Wheels 轨道建造者豪华特技盒</v>
      </c>
      <c r="E2591" s="1" t="str">
        <f>IFERROR(__xludf.DUMMYFUNCTION("CONCATENATE(GOOGLETRANSLATE(C2591, ""en"", ""ko""))"),"Hot Wheels 트랙 빌더 디럭스 스턴트 박스")</f>
        <v>Hot Wheels 트랙 빌더 디럭스 스턴트 박스</v>
      </c>
      <c r="F2591" s="1" t="str">
        <f>IFERROR(__xludf.DUMMYFUNCTION("CONCATENATE(GOOGLETRANSLATE(C2591, ""en"", ""ja""))"),"ホットウィール トラック ビルダー デラックス スタント ボックス")</f>
        <v>ホットウィール トラック ビルダー デラックス スタント ボックス</v>
      </c>
    </row>
    <row r="2592" ht="15.75" customHeight="1">
      <c r="A2592" s="1">
        <v>6545.0</v>
      </c>
      <c r="B2592" s="1" t="s">
        <v>15</v>
      </c>
      <c r="C2592" s="1" t="s">
        <v>2398</v>
      </c>
      <c r="D2592" s="1" t="str">
        <f>IFERROR(__xludf.DUMMYFUNCTION("CONCATENATE(GOOGLETRANSLATE(C2592, ""en"", ""zh-cn""))"),"Big Wheel 50 周年骑乘玩具")</f>
        <v>Big Wheel 50 周年骑乘玩具</v>
      </c>
      <c r="E2592" s="1" t="str">
        <f>IFERROR(__xludf.DUMMYFUNCTION("CONCATENATE(GOOGLETRANSLATE(C2592, ""en"", ""ko""))"),"빅 휠 50주년 라이드온 장난감")</f>
        <v>빅 휠 50주년 라이드온 장난감</v>
      </c>
      <c r="F2592" s="1" t="str">
        <f>IFERROR(__xludf.DUMMYFUNCTION("CONCATENATE(GOOGLETRANSLATE(C2592, ""en"", ""ja""))"),"ビッグホイール50周年記念乗用玩具")</f>
        <v>ビッグホイール50周年記念乗用玩具</v>
      </c>
    </row>
    <row r="2593" ht="15.75" customHeight="1">
      <c r="A2593" s="1">
        <v>6546.0</v>
      </c>
      <c r="B2593" s="1" t="s">
        <v>15</v>
      </c>
      <c r="C2593" s="1" t="s">
        <v>2399</v>
      </c>
      <c r="D2593" s="1" t="str">
        <f>IFERROR(__xludf.DUMMYFUNCTION("CONCATENATE(GOOGLETRANSLATE(C2593, ""en"", ""zh-cn""))"),"Melissa &amp; Doug 100 块木块套装")</f>
        <v>Melissa &amp; Doug 100 块木块套装</v>
      </c>
      <c r="E2593" s="1" t="str">
        <f>IFERROR(__xludf.DUMMYFUNCTION("CONCATENATE(GOOGLETRANSLATE(C2593, ""en"", ""ko""))"),"Melissa &amp; Doug 100 나무 블록 세트")</f>
        <v>Melissa &amp; Doug 100 나무 블록 세트</v>
      </c>
      <c r="F2593" s="1" t="str">
        <f>IFERROR(__xludf.DUMMYFUNCTION("CONCATENATE(GOOGLETRANSLATE(C2593, ""en"", ""ja""))"),"メリッサ &amp; ダグ 100 ウッドブロックセット")</f>
        <v>メリッサ &amp; ダグ 100 ウッドブロックセット</v>
      </c>
    </row>
    <row r="2594" ht="15.75" customHeight="1">
      <c r="A2594" s="1">
        <v>6556.0</v>
      </c>
      <c r="B2594" s="1" t="s">
        <v>15</v>
      </c>
      <c r="C2594" s="1" t="s">
        <v>2400</v>
      </c>
      <c r="D2594" s="1" t="str">
        <f>IFERROR(__xludf.DUMMYFUNCTION("CONCATENATE(GOOGLETRANSLATE(C2594, ""en"", ""zh-cn""))"),"无线电传单创意车乘驾")</f>
        <v>无线电传单创意车乘驾</v>
      </c>
      <c r="E2594" s="1" t="str">
        <f>IFERROR(__xludf.DUMMYFUNCTION("CONCATENATE(GOOGLETRANSLATE(C2594, ""en"", ""ko""))"),"라디오 플라이어 창의성 자동차 탑승")</f>
        <v>라디오 플라이어 창의성 자동차 탑승</v>
      </c>
      <c r="F2594" s="1" t="str">
        <f>IFERROR(__xludf.DUMMYFUNCTION("CONCATENATE(GOOGLETRANSLATE(C2594, ""en"", ""ja""))"),"ラジオフライヤー クリエイティビティカー ライドオン")</f>
        <v>ラジオフライヤー クリエイティビティカー ライドオン</v>
      </c>
    </row>
    <row r="2595" ht="15.75" customHeight="1">
      <c r="A2595" s="1">
        <v>6568.0</v>
      </c>
      <c r="B2595" s="1" t="s">
        <v>15</v>
      </c>
      <c r="C2595" s="1" t="s">
        <v>2401</v>
      </c>
      <c r="D2595" s="1" t="str">
        <f>IFERROR(__xludf.DUMMYFUNCTION("CONCATENATE(GOOGLETRANSLATE(C2595, ""en"", ""zh-cn""))"),"Aigybobo 学习玩具 农场动物玩具")</f>
        <v>Aigybobo 学习玩具 农场动物玩具</v>
      </c>
      <c r="E2595" s="1" t="str">
        <f>IFERROR(__xludf.DUMMYFUNCTION("CONCATENATE(GOOGLETRANSLATE(C2595, ""en"", ""ko""))"),"Aigybobo 학습 장난감 농장 동물 장난감")</f>
        <v>Aigybobo 학습 장난감 농장 동물 장난감</v>
      </c>
      <c r="F2595" s="1" t="str">
        <f>IFERROR(__xludf.DUMMYFUNCTION("CONCATENATE(GOOGLETRANSLATE(C2595, ""en"", ""ja""))"),"Aigybobo 学習おもちゃ 家畜のおもちゃ")</f>
        <v>Aigybobo 学習おもちゃ 家畜のおもちゃ</v>
      </c>
    </row>
    <row r="2596" ht="15.75" customHeight="1">
      <c r="A2596" s="1">
        <v>6571.0</v>
      </c>
      <c r="B2596" s="1" t="s">
        <v>15</v>
      </c>
      <c r="C2596" s="1" t="s">
        <v>2402</v>
      </c>
      <c r="D2596" s="1" t="str">
        <f>IFERROR(__xludf.DUMMYFUNCTION("CONCATENATE(GOOGLETRANSLATE(C2596, ""en"", ""zh-cn""))"),"足球球门训练套装")</f>
        <v>足球球门训练套装</v>
      </c>
      <c r="E2596" s="1" t="str">
        <f>IFERROR(__xludf.DUMMYFUNCTION("CONCATENATE(GOOGLETRANSLATE(C2596, ""en"", ""ko""))"),"축구 목표 훈련 세트")</f>
        <v>축구 목표 훈련 세트</v>
      </c>
      <c r="F2596" s="1" t="str">
        <f>IFERROR(__xludf.DUMMYFUNCTION("CONCATENATE(GOOGLETRANSLATE(C2596, ""en"", ""ja""))"),"サッカーゴールトレーニングセット")</f>
        <v>サッカーゴールトレーニングセット</v>
      </c>
    </row>
    <row r="2597" ht="15.75" customHeight="1">
      <c r="A2597" s="1">
        <v>6575.0</v>
      </c>
      <c r="B2597" s="1" t="s">
        <v>15</v>
      </c>
      <c r="C2597" s="1" t="s">
        <v>2403</v>
      </c>
      <c r="D2597" s="1" t="str">
        <f>IFERROR(__xludf.DUMMYFUNCTION("CONCATENATE(GOOGLETRANSLATE(C2597, ""en"", ""zh-cn""))"),"Easton Ghost OG 快投球棒")</f>
        <v>Easton Ghost OG 快投球棒</v>
      </c>
      <c r="E2597" s="1" t="str">
        <f>IFERROR(__xludf.DUMMYFUNCTION("CONCATENATE(GOOGLETRANSLATE(C2597, ""en"", ""ko""))"),"이스턴 고스트 OG 패스트피치 배트")</f>
        <v>이스턴 고스트 OG 패스트피치 배트</v>
      </c>
      <c r="F2597" s="1" t="str">
        <f>IFERROR(__xludf.DUMMYFUNCTION("CONCATENATE(GOOGLETRANSLATE(C2597, ""en"", ""ja""))"),"Easton Ghost OG ファストピッチ バット")</f>
        <v>Easton Ghost OG ファストピッチ バット</v>
      </c>
    </row>
    <row r="2598" ht="15.75" customHeight="1">
      <c r="A2598" s="1">
        <v>6576.0</v>
      </c>
      <c r="B2598" s="1" t="s">
        <v>15</v>
      </c>
      <c r="C2598" s="1" t="s">
        <v>2404</v>
      </c>
      <c r="D2598" s="1" t="str">
        <f>IFERROR(__xludf.DUMMYFUNCTION("CONCATENATE(GOOGLETRANSLATE(C2598, ""en"", ""zh-cn""))"),"BSN 运动户外排球套装")</f>
        <v>BSN 运动户外排球套装</v>
      </c>
      <c r="E2598" s="1" t="str">
        <f>IFERROR(__xludf.DUMMYFUNCTION("CONCATENATE(GOOGLETRANSLATE(C2598, ""en"", ""ko""))"),"BSN 스포츠 야외 배구 세트")</f>
        <v>BSN 스포츠 야외 배구 세트</v>
      </c>
      <c r="F2598" s="1" t="str">
        <f>IFERROR(__xludf.DUMMYFUNCTION("CONCATENATE(GOOGLETRANSLATE(C2598, ""en"", ""ja""))"),"BSN スポーツ アウトドア バレーボール セット")</f>
        <v>BSN スポーツ アウトドア バレーボール セット</v>
      </c>
    </row>
    <row r="2599" ht="15.75" customHeight="1">
      <c r="A2599" s="1">
        <v>6577.0</v>
      </c>
      <c r="B2599" s="1" t="s">
        <v>15</v>
      </c>
      <c r="C2599" s="1" t="s">
        <v>2405</v>
      </c>
      <c r="D2599" s="1" t="str">
        <f>IFERROR(__xludf.DUMMYFUNCTION("CONCATENATE(GOOGLETRANSLATE(C2599, ""en"", ""zh-cn""))"),"户外运动帐篷")</f>
        <v>户外运动帐篷</v>
      </c>
      <c r="E2599" s="1" t="str">
        <f>IFERROR(__xludf.DUMMYFUNCTION("CONCATENATE(GOOGLETRANSLATE(C2599, ""en"", ""ko""))"),"야외 스포츠 텐트")</f>
        <v>야외 스포츠 텐트</v>
      </c>
      <c r="F2599" s="1" t="str">
        <f>IFERROR(__xludf.DUMMYFUNCTION("CONCATENATE(GOOGLETRANSLATE(C2599, ""en"", ""ja""))"),"アウトドアスポーツテント")</f>
        <v>アウトドアスポーツテント</v>
      </c>
    </row>
    <row r="2600" ht="15.75" customHeight="1">
      <c r="A2600" s="1">
        <v>6578.0</v>
      </c>
      <c r="B2600" s="1" t="s">
        <v>15</v>
      </c>
      <c r="C2600" s="1" t="s">
        <v>2406</v>
      </c>
      <c r="D2600" s="1" t="str">
        <f>IFERROR(__xludf.DUMMYFUNCTION("CONCATENATE(GOOGLETRANSLATE(C2600, ""en"", ""zh-cn""))"),"IGL 52 英寸户外篮球架")</f>
        <v>IGL 52 英寸户外篮球架</v>
      </c>
      <c r="E2600" s="1" t="str">
        <f>IFERROR(__xludf.DUMMYFUNCTION("CONCATENATE(GOOGLETRANSLATE(C2600, ""en"", ""ko""))"),"IGL 52인치 야외 농구대")</f>
        <v>IGL 52인치 야외 농구대</v>
      </c>
      <c r="F2600" s="1" t="str">
        <f>IFERROR(__xludf.DUMMYFUNCTION("CONCATENATE(GOOGLETRANSLATE(C2600, ""en"", ""ja""))"),"IGL 52 インチ屋外バスケットボールフープ")</f>
        <v>IGL 52 インチ屋外バスケットボールフープ</v>
      </c>
    </row>
    <row r="2601" ht="15.75" customHeight="1">
      <c r="A2601" s="1">
        <v>6590.0</v>
      </c>
      <c r="B2601" s="1" t="s">
        <v>15</v>
      </c>
      <c r="C2601" s="1" t="s">
        <v>2407</v>
      </c>
      <c r="D2601" s="1" t="str">
        <f>IFERROR(__xludf.DUMMYFUNCTION("CONCATENATE(GOOGLETRANSLATE(C2601, ""en"", ""zh-cn""))"),"G GX9 儿童篮球框")</f>
        <v>G GX9 儿童篮球框</v>
      </c>
      <c r="E2601" s="1" t="str">
        <f>IFERROR(__xludf.DUMMYFUNCTION("CONCATENATE(GOOGLETRANSLATE(C2601, ""en"", ""ko""))"),"G GX9 어린이 농구대")</f>
        <v>G GX9 어린이 농구대</v>
      </c>
      <c r="F2601" s="1" t="str">
        <f>IFERROR(__xludf.DUMMYFUNCTION("CONCATENATE(GOOGLETRANSLATE(C2601, ""en"", ""ja""))"),"G GX9 キッズバスケットボールフープ")</f>
        <v>G GX9 キッズバスケットボールフープ</v>
      </c>
    </row>
    <row r="2602" ht="15.75" customHeight="1">
      <c r="A2602" s="1">
        <v>6595.0</v>
      </c>
      <c r="B2602" s="1" t="s">
        <v>15</v>
      </c>
      <c r="C2602" s="1" t="s">
        <v>2408</v>
      </c>
      <c r="D2602" s="1" t="str">
        <f>IFERROR(__xludf.DUMMYFUNCTION("CONCATENATE(GOOGLETRANSLATE(C2602, ""en"", ""zh-cn""))"),"Champion Sports PROAGSET 专业敏捷杆套装")</f>
        <v>Champion Sports PROAGSET 专业敏捷杆套装</v>
      </c>
      <c r="E2602" s="1" t="str">
        <f>IFERROR(__xludf.DUMMYFUNCTION("CONCATENATE(GOOGLETRANSLATE(C2602, ""en"", ""ko""))"),"Champion Sports PROAGSET 프로 민첩성 폴 세트")</f>
        <v>Champion Sports PROAGSET 프로 민첩성 폴 세트</v>
      </c>
      <c r="F2602" s="1" t="str">
        <f>IFERROR(__xludf.DUMMYFUNCTION("CONCATENATE(GOOGLETRANSLATE(C2602, ""en"", ""ja""))"),"Champion Sports PROAGSET プロアジリティポールセット")</f>
        <v>Champion Sports PROAGSET プロアジリティポールセット</v>
      </c>
    </row>
    <row r="2603" ht="15.75" customHeight="1">
      <c r="A2603" s="1">
        <v>6603.0</v>
      </c>
      <c r="B2603" s="1" t="s">
        <v>15</v>
      </c>
      <c r="C2603" s="1" t="s">
        <v>2409</v>
      </c>
      <c r="D2603" s="1" t="str">
        <f>IFERROR(__xludf.DUMMYFUNCTION("CONCATENATE(GOOGLETRANSLATE(C2603, ""en"", ""zh-cn""))"),"通用便携式户外运动工具羽毛球网球排球网")</f>
        <v>通用便携式户外运动工具羽毛球网球排球网</v>
      </c>
      <c r="E2603" s="1" t="str">
        <f>IFERROR(__xludf.DUMMYFUNCTION("CONCATENATE(GOOGLETRANSLATE(C2603, ""en"", ""ko""))"),"일반 휴대용 야외 스포츠 도구 배드민턴 테니스 배구 네트")</f>
        <v>일반 휴대용 야외 스포츠 도구 배드민턴 테니스 배구 네트</v>
      </c>
      <c r="F2603" s="1" t="str">
        <f>IFERROR(__xludf.DUMMYFUNCTION("CONCATENATE(GOOGLETRANSLATE(C2603, ""en"", ""ja""))"),"汎用ポータブルアウトドアスポーツツールバドミントンテニスバレーボールネット")</f>
        <v>汎用ポータブルアウトドアスポーツツールバドミントンテニスバレーボールネット</v>
      </c>
    </row>
    <row r="2604" ht="15.75" customHeight="1">
      <c r="A2604" s="1">
        <v>6605.0</v>
      </c>
      <c r="B2604" s="1" t="s">
        <v>15</v>
      </c>
      <c r="C2604" s="1" t="s">
        <v>2410</v>
      </c>
      <c r="D2604" s="1" t="str">
        <f>IFERROR(__xludf.DUMMYFUNCTION("CONCATENATE(GOOGLETRANSLATE(C2604, ""en"", ""zh-cn""))"),"Jaypro Sports 终极可调鹅颈户外篮球系统")</f>
        <v>Jaypro Sports 终极可调鹅颈户外篮球系统</v>
      </c>
      <c r="E2604" s="1" t="str">
        <f>IFERROR(__xludf.DUMMYFUNCTION("CONCATENATE(GOOGLETRANSLATE(C2604, ""en"", ""ko""))"),"Jaypro Sports Ultimate 조정 가능한 구즈넥 야외 농구 시스템")</f>
        <v>Jaypro Sports Ultimate 조정 가능한 구즈넥 야외 농구 시스템</v>
      </c>
      <c r="F2604" s="1" t="str">
        <f>IFERROR(__xludf.DUMMYFUNCTION("CONCATENATE(GOOGLETRANSLATE(C2604, ""en"", ""ja""))"),"Jaypro Sports 究極の調節可能なグースネック アウトドア バスケットボール システム")</f>
        <v>Jaypro Sports 究極の調節可能なグースネック アウトドア バスケットボール システム</v>
      </c>
    </row>
    <row r="2605" ht="15.75" customHeight="1">
      <c r="A2605" s="1">
        <v>6609.0</v>
      </c>
      <c r="B2605" s="1" t="s">
        <v>15</v>
      </c>
      <c r="C2605" s="1" t="s">
        <v>2411</v>
      </c>
      <c r="D2605" s="1" t="str">
        <f>IFERROR(__xludf.DUMMYFUNCTION("CONCATENATE(GOOGLETRANSLATE(C2605, ""en"", ""zh-cn""))"),"Champion Sports 救腿本垒板")</f>
        <v>Champion Sports 救腿本垒板</v>
      </c>
      <c r="E2605" s="1" t="str">
        <f>IFERROR(__xludf.DUMMYFUNCTION("CONCATENATE(GOOGLETRANSLATE(C2605, ""en"", ""ko""))"),"챔피언 스포츠 다리 보호 홈 플레이트")</f>
        <v>챔피언 스포츠 다리 보호 홈 플레이트</v>
      </c>
      <c r="F2605" s="1" t="str">
        <f>IFERROR(__xludf.DUMMYFUNCTION("CONCATENATE(GOOGLETRANSLATE(C2605, ""en"", ""ja""))"),"Champion Sports Save-A-Leg ホームプレート")</f>
        <v>Champion Sports Save-A-Leg ホームプレート</v>
      </c>
    </row>
    <row r="2606" ht="15.75" customHeight="1">
      <c r="A2606" s="1">
        <v>6620.0</v>
      </c>
      <c r="B2606" s="1" t="s">
        <v>15</v>
      </c>
      <c r="C2606" s="1" t="s">
        <v>2412</v>
      </c>
      <c r="D2606" s="1" t="str">
        <f>IFERROR(__xludf.DUMMYFUNCTION("CONCATENATE(GOOGLETRANSLATE(C2606, ""en"", ""zh-cn""))"),"Michael Kors 女士链锁手表")</f>
        <v>Michael Kors 女士链锁手表</v>
      </c>
      <c r="E2606" s="1" t="str">
        <f>IFERROR(__xludf.DUMMYFUNCTION("CONCATENATE(GOOGLETRANSLATE(C2606, ""en"", ""ko""))"),"Michael Kors 여성용 체인 잠금 시계")</f>
        <v>Michael Kors 여성용 체인 잠금 시계</v>
      </c>
      <c r="F2606" s="1" t="str">
        <f>IFERROR(__xludf.DUMMYFUNCTION("CONCATENATE(GOOGLETRANSLATE(C2606, ""en"", ""ja""))"),"Michael Kors レディース チェーン ロック ウォッチ")</f>
        <v>Michael Kors レディース チェーン ロック ウォッチ</v>
      </c>
    </row>
    <row r="2607" ht="15.75" customHeight="1">
      <c r="A2607" s="1">
        <v>6621.0</v>
      </c>
      <c r="B2607" s="1" t="s">
        <v>15</v>
      </c>
      <c r="C2607" s="1" t="s">
        <v>2413</v>
      </c>
      <c r="D2607" s="1" t="str">
        <f>IFERROR(__xludf.DUMMYFUNCTION("CONCATENATE(GOOGLETRANSLATE(C2607, ""en"", ""zh-cn""))"),"Michael Kors 女士 Rylee 双手不锈钢表圈")</f>
        <v>Michael Kors 女士 Rylee 双手不锈钢表圈</v>
      </c>
      <c r="E2607" s="1" t="str">
        <f>IFERROR(__xludf.DUMMYFUNCTION("CONCATENATE(GOOGLETRANSLATE(C2607, ""en"", ""ko""))"),"마이클 코어스 여성용 Rylee 투핸드 스테인레스 스틸 시계 링")</f>
        <v>마이클 코어스 여성용 Rylee 투핸드 스테인레스 스틸 시계 링</v>
      </c>
      <c r="F2607" s="1" t="str">
        <f>IFERROR(__xludf.DUMMYFUNCTION("CONCATENATE(GOOGLETRANSLATE(C2607, ""en"", ""ja""))"),"Michael Kors レディース Rylee ツーハンド ステンレススチール ウォッチ リング")</f>
        <v>Michael Kors レディース Rylee ツーハンド ステンレススチール ウォッチ リング</v>
      </c>
    </row>
    <row r="2608" ht="15.75" customHeight="1">
      <c r="A2608" s="1">
        <v>6630.0</v>
      </c>
      <c r="B2608" s="1" t="s">
        <v>15</v>
      </c>
      <c r="C2608" s="1" t="s">
        <v>2414</v>
      </c>
      <c r="D2608" s="1" t="str">
        <f>IFERROR(__xludf.DUMMYFUNCTION("CONCATENATE(GOOGLETRANSLATE(C2608, ""en"", ""zh-cn""))"),"Anne Klein 女士双音手表 10-6777SVTT")</f>
        <v>Anne Klein 女士双音手表 10-6777SVTT</v>
      </c>
      <c r="E2608" s="1" t="str">
        <f>IFERROR(__xludf.DUMMYFUNCTION("CONCATENATE(GOOGLETRANSLATE(C2608, ""en"", ""ko""))"),"Anne Klein 여성용 투톤 시계 10-6777SVTT")</f>
        <v>Anne Klein 여성용 투톤 시계 10-6777SVTT</v>
      </c>
      <c r="F2608" s="1" t="str">
        <f>IFERROR(__xludf.DUMMYFUNCTION("CONCATENATE(GOOGLETRANSLATE(C2608, ""en"", ""ja""))"),"アン クライン レディース ツートーン ウォッチ 10-6777SVTT")</f>
        <v>アン クライン レディース ツートーン ウォッチ 10-6777SVTT</v>
      </c>
    </row>
    <row r="2609" ht="15.75" customHeight="1">
      <c r="A2609" s="1">
        <v>6638.0</v>
      </c>
      <c r="B2609" s="1" t="s">
        <v>15</v>
      </c>
      <c r="C2609" s="1" t="s">
        <v>2415</v>
      </c>
      <c r="D2609" s="1" t="str">
        <f>IFERROR(__xludf.DUMMYFUNCTION("CONCATENATE(GOOGLETRANSLATE(C2609, ""en"", ""zh-cn""))"),"标致女士坦克手链手表 Panther Link")</f>
        <v>标致女士坦克手链手表 Panther Link</v>
      </c>
      <c r="E2609" s="1" t="str">
        <f>IFERROR(__xludf.DUMMYFUNCTION("CONCATENATE(GOOGLETRANSLATE(C2609, ""en"", ""ko""))"),"푸조 여성용 탱크 팔찌 시계 Panther Link")</f>
        <v>푸조 여성용 탱크 팔찌 시계 Panther Link</v>
      </c>
      <c r="F2609" s="1" t="str">
        <f>IFERROR(__xludf.DUMMYFUNCTION("CONCATENATE(GOOGLETRANSLATE(C2609, ""en"", ""ja""))"),"プジョー レディース タンク ブレスレット ウォッチ パンサー リンク")</f>
        <v>プジョー レディース タンク ブレスレット ウォッチ パンサー リンク</v>
      </c>
    </row>
    <row r="2610" ht="15.75" customHeight="1">
      <c r="A2610" s="1">
        <v>6641.0</v>
      </c>
      <c r="B2610" s="1" t="s">
        <v>15</v>
      </c>
      <c r="C2610" s="1" t="s">
        <v>2416</v>
      </c>
      <c r="D2610" s="1" t="str">
        <f>IFERROR(__xludf.DUMMYFUNCTION("CONCATENATE(GOOGLETRANSLATE(C2610, ""en"", ""zh-cn""))"),"Michael Kors 女士 Pyper 三指针皮革手表和珠宝礼品套装")</f>
        <v>Michael Kors 女士 Pyper 三指针皮革手表和珠宝礼品套装</v>
      </c>
      <c r="E2610" s="1" t="str">
        <f>IFERROR(__xludf.DUMMYFUNCTION("CONCATENATE(GOOGLETRANSLATE(C2610, ""en"", ""ko""))"),"마이클 코어스 여성용 파이퍼 쓰리 핸드 가죽 시계 및 주얼리 선물 세트")</f>
        <v>마이클 코어스 여성용 파이퍼 쓰리 핸드 가죽 시계 및 주얼리 선물 세트</v>
      </c>
      <c r="F2610" s="1" t="str">
        <f>IFERROR(__xludf.DUMMYFUNCTION("CONCATENATE(GOOGLETRANSLATE(C2610, ""en"", ""ja""))"),"Michael Kors レディース パイパー スリーハンド レザー ウォッチ ジュエリー ギフト セット")</f>
        <v>Michael Kors レディース パイパー スリーハンド レザー ウォッチ ジュエリー ギフト セット</v>
      </c>
    </row>
    <row r="2611" ht="15.75" customHeight="1">
      <c r="A2611" s="1">
        <v>6646.0</v>
      </c>
      <c r="B2611" s="1" t="s">
        <v>15</v>
      </c>
      <c r="C2611" s="1" t="s">
        <v>2417</v>
      </c>
      <c r="D2611" s="1" t="str">
        <f>IFERROR(__xludf.DUMMYFUNCTION("CONCATENATE(GOOGLETRANSLATE(C2611, ""en"", ""zh-cn""))"),"Fanmis 男女通用水晶钻石莱茵石不锈钢石英模拟手表")</f>
        <v>Fanmis 男女通用水晶钻石莱茵石不锈钢石英模拟手表</v>
      </c>
      <c r="E2611" s="1" t="str">
        <f>IFERROR(__xludf.DUMMYFUNCTION("CONCATENATE(GOOGLETRANSLATE(C2611, ""en"", ""ko""))"),"Fanmis 남여 공용 크리스탈 다이아몬드 라인스톤 스테인레스 스틸 쿼츠 아날로그 시계")</f>
        <v>Fanmis 남여 공용 크리스탈 다이아몬드 라인스톤 스테인레스 스틸 쿼츠 아날로그 시계</v>
      </c>
      <c r="F2611" s="1" t="str">
        <f>IFERROR(__xludf.DUMMYFUNCTION("CONCATENATE(GOOGLETRANSLATE(C2611, ""en"", ""ja""))"),"Fanmis ユニセックス クリスタル ダイヤモンド ラインストーン ステンレススチール クォーツ アナログ時計")</f>
        <v>Fanmis ユニセックス クリスタル ダイヤモンド ラインストーン ステンレススチール クォーツ アナログ時計</v>
      </c>
    </row>
    <row r="2612" ht="15.75" customHeight="1">
      <c r="A2612" s="1">
        <v>6660.0</v>
      </c>
      <c r="B2612" s="1" t="s">
        <v>15</v>
      </c>
      <c r="C2612" s="1" t="s">
        <v>2418</v>
      </c>
      <c r="D2612" s="1" t="str">
        <f>IFERROR(__xludf.DUMMYFUNCTION("CONCATENATE(GOOGLETRANSLATE(C2612, ""en"", ""zh-cn""))"),"Hiearcool 防水手机袋")</f>
        <v>Hiearcool 防水手机袋</v>
      </c>
      <c r="E2612" s="1" t="str">
        <f>IFERROR(__xludf.DUMMYFUNCTION("CONCATENATE(GOOGLETRANSLATE(C2612, ""en"", ""ko""))"),"Hiearcool 방수 휴대폰 파우치")</f>
        <v>Hiearcool 방수 휴대폰 파우치</v>
      </c>
      <c r="F2612" s="1" t="str">
        <f>IFERROR(__xludf.DUMMYFUNCTION("CONCATENATE(GOOGLETRANSLATE(C2612, ""en"", ""ja""))"),"Hiearcool 防水電話ポーチ")</f>
        <v>Hiearcool 防水電話ポーチ</v>
      </c>
    </row>
    <row r="2613" ht="15.75" customHeight="1">
      <c r="A2613" s="1">
        <v>6668.0</v>
      </c>
      <c r="B2613" s="1" t="s">
        <v>15</v>
      </c>
      <c r="C2613" s="1" t="s">
        <v>2419</v>
      </c>
      <c r="D2613" s="1" t="str">
        <f>IFERROR(__xludf.DUMMYFUNCTION("CONCATENATE(GOOGLETRANSLATE(C2613, ""en"", ""zh-cn""))"),"Sucky 双面吸盘手机 Octo Cup Buddy 安装 - 防滑支架、免提手机配件，适用于 iPhone 和 Android - 粘性握把")</f>
        <v>Sucky 双面吸盘手机 Octo Cup Buddy 安装 - 防滑支架、免提手机配件，适用于 iPhone 和 Android - 粘性握把</v>
      </c>
      <c r="E2613" s="1" t="str">
        <f>IFERROR(__xludf.DUMMYFUNCTION("CONCATENATE(GOOGLETRANSLATE(C2613, ""en"", ""ko""))"),"Sucky 양면 흡입 전화기 Octo Cup 버디 마운트 - 미끄럼 방지 홀더, iPhone 및 Android용 핸즈프리 전화기 액세서리 - 끈적끈적한 그립")</f>
        <v>Sucky 양면 흡입 전화기 Octo Cup 버디 마운트 - 미끄럼 방지 홀더, iPhone 및 Android용 핸즈프리 전화기 액세서리 - 끈적끈적한 그립</v>
      </c>
      <c r="F2613" s="1" t="str">
        <f>IFERROR(__xludf.DUMMYFUNCTION("CONCATENATE(GOOGLETRANSLATE(C2613, ""en"", ""ja""))"),"Sucky 両面吸盤電話 Octo Cup Buddy マウント - 滑り止めホルダー、iPhone および Android 用ハンズフリー電話アクセサリー - 粘着グリップ")</f>
        <v>Sucky 両面吸盤電話 Octo Cup Buddy マウント - 滑り止めホルダー、iPhone および Android 用ハンズフリー電話アクセサリー - 粘着グリップ</v>
      </c>
    </row>
    <row r="2614" ht="15.75" customHeight="1">
      <c r="A2614" s="1">
        <v>6682.0</v>
      </c>
      <c r="B2614" s="1" t="s">
        <v>15</v>
      </c>
      <c r="C2614" s="1" t="s">
        <v>2420</v>
      </c>
      <c r="D2614" s="1" t="str">
        <f>IFERROR(__xludf.DUMMYFUNCTION("CONCATENATE(GOOGLETRANSLATE(C2614, ""en"", ""zh-cn""))"),"Ringke 指环带 黑色")</f>
        <v>Ringke 指环带 黑色</v>
      </c>
      <c r="E2614" s="1" t="str">
        <f>IFERROR(__xludf.DUMMYFUNCTION("CONCATENATE(GOOGLETRANSLATE(C2614, ""en"", ""ko""))"),"링케 핑거 링 스트랩 BLACK")</f>
        <v>링케 핑거 링 스트랩 BLACK</v>
      </c>
      <c r="F2614" s="1" t="str">
        <f>IFERROR(__xludf.DUMMYFUNCTION("CONCATENATE(GOOGLETRANSLATE(C2614, ""en"", ""ja""))"),"Ringke フィンガーリングストラップ BLACK")</f>
        <v>Ringke フィンガーリングストラップ BLACK</v>
      </c>
    </row>
    <row r="2615" ht="15.75" customHeight="1">
      <c r="A2615" s="1">
        <v>6684.0</v>
      </c>
      <c r="B2615" s="1" t="s">
        <v>15</v>
      </c>
      <c r="C2615" s="1" t="s">
        <v>2421</v>
      </c>
      <c r="D2615" s="1" t="str">
        <f>IFERROR(__xludf.DUMMYFUNCTION("CONCATENATE(GOOGLETRANSLATE(C2615, ""en"", ""zh-cn""))"),"OnTheGrip 兼容 Magsafe 磁性正品纯色雏菊花设计可折叠手机握把支架适用于智能手机")</f>
        <v>OnTheGrip 兼容 Magsafe 磁性正品纯色雏菊花设计可折叠手机握把支架适用于智能手机</v>
      </c>
      <c r="E2615" s="1" t="str">
        <f>IFERROR(__xludf.DUMMYFUNCTION("CONCATENATE(GOOGLETRANSLATE(C2615, ""en"", ""ko""))"),"OnTheGrip Magsafe 마그네틱 정통 솔리드 컬러 데이지 플라워 디자인 스마트 폰용 접이식 휴대 전화 그립 스탠드 홀더와 호환 가능")</f>
        <v>OnTheGrip Magsafe 마그네틱 정통 솔리드 컬러 데이지 플라워 디자인 스마트 폰용 접이식 휴대 전화 그립 스탠드 홀더와 호환 가능</v>
      </c>
      <c r="F2615" s="1" t="str">
        <f>IFERROR(__xludf.DUMMYFUNCTION("CONCATENATE(GOOGLETRANSLATE(C2615, ""en"", ""ja""))"),"OnTheGrip Magsafe 磁気本物のソリッドカラーのデイジーフラワーデザインと互換性のある折りたたみ式携帯電話グリップスタンドホルダースマートフォン用")</f>
        <v>OnTheGrip Magsafe 磁気本物のソリッドカラーのデイジーフラワーデザインと互換性のある折りたたみ式携帯電話グリップスタンドホルダースマートフォン用</v>
      </c>
    </row>
    <row r="2616" ht="15.75" customHeight="1">
      <c r="A2616" s="1">
        <v>6703.0</v>
      </c>
      <c r="B2616" s="1" t="s">
        <v>15</v>
      </c>
      <c r="C2616" s="1" t="s">
        <v>2422</v>
      </c>
      <c r="D2616" s="1" t="str">
        <f>IFERROR(__xludf.DUMMYFUNCTION("CONCATENATE(GOOGLETRANSLATE(C2616, ""en"", ""zh-cn""))"),"BLACK+DECKER 蜂巢系列电热水壶")</f>
        <v>BLACK+DECKER 蜂巢系列电热水壶</v>
      </c>
      <c r="E2616" s="1" t="str">
        <f>IFERROR(__xludf.DUMMYFUNCTION("CONCATENATE(GOOGLETRANSLATE(C2616, ""en"", ""ko""))"),"BLACK+DECKER 허니콤 컬렉션 전기주전자")</f>
        <v>BLACK+DECKER 허니콤 컬렉션 전기주전자</v>
      </c>
      <c r="F2616" s="1" t="str">
        <f>IFERROR(__xludf.DUMMYFUNCTION("CONCATENATE(GOOGLETRANSLATE(C2616, ""en"", ""ja""))"),"BLACK+DECKER ハニカムコレクション 電気ケトル")</f>
        <v>BLACK+DECKER ハニカムコレクション 電気ケトル</v>
      </c>
    </row>
    <row r="2617" ht="15.75" customHeight="1">
      <c r="A2617" s="1">
        <v>6705.0</v>
      </c>
      <c r="B2617" s="1" t="s">
        <v>15</v>
      </c>
      <c r="C2617" s="1" t="s">
        <v>2423</v>
      </c>
      <c r="D2617" s="1" t="str">
        <f>IFERROR(__xludf.DUMMYFUNCTION("CONCATENATE(GOOGLETRANSLATE(C2617, ""en"", ""zh-cn""))"),"Hamilton Beach 超长槽 2 片烤面包机")</f>
        <v>Hamilton Beach 超长槽 2 片烤面包机</v>
      </c>
      <c r="E2617" s="1" t="str">
        <f>IFERROR(__xludf.DUMMYFUNCTION("CONCATENATE(GOOGLETRANSLATE(C2617, ""en"", ""ko""))"),"해밀턴 비치 엑스트라 롱 슬롯 2슬라이스 토스터")</f>
        <v>해밀턴 비치 엑스트라 롱 슬롯 2슬라이스 토스터</v>
      </c>
      <c r="F2617" s="1" t="str">
        <f>IFERROR(__xludf.DUMMYFUNCTION("CONCATENATE(GOOGLETRANSLATE(C2617, ""en"", ""ja""))"),"ハミルトンビーチ エクストラ ロング スロット 2 スライス トースター")</f>
        <v>ハミルトンビーチ エクストラ ロング スロット 2 スライス トースター</v>
      </c>
    </row>
    <row r="2618" ht="15.75" customHeight="1">
      <c r="A2618" s="1">
        <v>6710.0</v>
      </c>
      <c r="B2618" s="1" t="s">
        <v>15</v>
      </c>
      <c r="C2618" s="1" t="s">
        <v>2424</v>
      </c>
      <c r="D2618" s="1" t="str">
        <f>IFERROR(__xludf.DUMMYFUNCTION("CONCATENATE(GOOGLETRANSLATE(C2618, ""en"", ""zh-cn""))"),"冰箱 1.8 铜。 ft. 超范围微波炉")</f>
        <v>冰箱 1.8 铜。 ft. 超范围微波炉</v>
      </c>
      <c r="E2618" s="1" t="str">
        <f>IFERROR(__xludf.DUMMYFUNCTION("CONCATENATE(GOOGLETRANSLATE(C2618, ""en"", ""ko""))"),"냉장고 1.8 Cu. ft. 범위 초과 전자레인지")</f>
        <v>냉장고 1.8 Cu. ft. 범위 초과 전자레인지</v>
      </c>
      <c r="F2618" s="1" t="str">
        <f>IFERROR(__xludf.DUMMYFUNCTION("CONCATENATE(GOOGLETRANSLATE(C2618, ""en"", ""ja""))"),"フリジデア 1.8Cu。フィート範囲外の電子レンジ")</f>
        <v>フリジデア 1.8Cu。フィート範囲外の電子レンジ</v>
      </c>
    </row>
    <row r="2619" ht="15.75" customHeight="1">
      <c r="A2619" s="1">
        <v>6724.0</v>
      </c>
      <c r="B2619" s="1" t="s">
        <v>15</v>
      </c>
      <c r="C2619" s="1" t="s">
        <v>2425</v>
      </c>
      <c r="D2619" s="1" t="str">
        <f>IFERROR(__xludf.DUMMYFUNCTION("CONCATENATE(GOOGLETRANSLATE(C2619, ""en"", ""zh-cn""))"),"Dreo Smart PolyFan 513S 空气循环风扇")</f>
        <v>Dreo Smart PolyFan 513S 空气循环风扇</v>
      </c>
      <c r="E2619" s="1" t="str">
        <f>IFERROR(__xludf.DUMMYFUNCTION("CONCATENATE(GOOGLETRANSLATE(C2619, ""en"", ""ko""))"),"Dreo Smart PolyFan 513S 공기 순환 팬")</f>
        <v>Dreo Smart PolyFan 513S 공기 순환 팬</v>
      </c>
      <c r="F2619" s="1" t="str">
        <f>IFERROR(__xludf.DUMMYFUNCTION("CONCATENATE(GOOGLETRANSLATE(C2619, ""en"", ""ja""))"),"Dreo Smart PolyFan 513S エアサーキュレーターファン")</f>
        <v>Dreo Smart PolyFan 513S エアサーキュレーターファン</v>
      </c>
    </row>
    <row r="2620" ht="15.75" customHeight="1">
      <c r="A2620" s="1">
        <v>6726.0</v>
      </c>
      <c r="B2620" s="1" t="s">
        <v>15</v>
      </c>
      <c r="C2620" s="1" t="s">
        <v>2426</v>
      </c>
      <c r="D2620" s="1" t="str">
        <f>IFERROR(__xludf.DUMMYFUNCTION("CONCATENATE(GOOGLETRANSLATE(C2620, ""en"", ""zh-cn""))"),"Hunter Fan Pacer 44 吊扇带 LED 灯")</f>
        <v>Hunter Fan Pacer 44 吊扇带 LED 灯</v>
      </c>
      <c r="E2620" s="1" t="str">
        <f>IFERROR(__xludf.DUMMYFUNCTION("CONCATENATE(GOOGLETRANSLATE(C2620, ""en"", ""ko""))"),"Hunter Fan Pacer 44 천장 선풍기(LED 조명 포함)")</f>
        <v>Hunter Fan Pacer 44 천장 선풍기(LED 조명 포함)</v>
      </c>
      <c r="F2620" s="1" t="str">
        <f>IFERROR(__xludf.DUMMYFUNCTION("CONCATENATE(GOOGLETRANSLATE(C2620, ""en"", ""ja""))"),"Hunter Fan Pacer 44 LEDライト付きシーリングファン")</f>
        <v>Hunter Fan Pacer 44 LEDライト付きシーリングファン</v>
      </c>
    </row>
    <row r="2621" ht="15.75" customHeight="1">
      <c r="A2621" s="1">
        <v>6736.0</v>
      </c>
      <c r="B2621" s="1" t="s">
        <v>15</v>
      </c>
      <c r="C2621" s="1" t="s">
        <v>2427</v>
      </c>
      <c r="D2621" s="1" t="str">
        <f>IFERROR(__xludf.DUMMYFUNCTION("CONCATENATE(GOOGLETRANSLATE(C2621, ""en"", ""zh-cn""))"),"美容零重力造型摩丝的功能")</f>
        <v>美容零重力造型摩丝的功能</v>
      </c>
      <c r="E2621" s="1" t="str">
        <f>IFERROR(__xludf.DUMMYFUNCTION("CONCATENATE(GOOGLETRANSLATE(C2621, ""en"", ""ko""))"),"뷰티 무중력 스타일링 무스의 기능")</f>
        <v>뷰티 무중력 스타일링 무스의 기능</v>
      </c>
      <c r="F2621" s="1" t="str">
        <f>IFERROR(__xludf.DUMMYFUNCTION("CONCATENATE(GOOGLETRANSLATE(C2621, ""en"", ""ja""))"),"美の機能 無重力スタイリングムース")</f>
        <v>美の機能 無重力スタイリングムース</v>
      </c>
    </row>
    <row r="2622" ht="15.75" customHeight="1">
      <c r="A2622" s="1">
        <v>6737.0</v>
      </c>
      <c r="B2622" s="1" t="s">
        <v>15</v>
      </c>
      <c r="C2622" s="1" t="s">
        <v>2428</v>
      </c>
      <c r="D2622" s="1" t="str">
        <f>IFERROR(__xludf.DUMMYFUNCTION("CONCATENATE(GOOGLETRANSLATE(C2622, ""en"", ""zh-cn""))"),"NutriGlow Spa Hair Essentials 适用于干燥和受损发质")</f>
        <v>NutriGlow Spa Hair Essentials 适用于干燥和受损发质</v>
      </c>
      <c r="E2622" s="1" t="str">
        <f>IFERROR(__xludf.DUMMYFUNCTION("CONCATENATE(GOOGLETRANSLATE(C2622, ""en"", ""ko""))"),"건조하고 손상된 모발을 위한 뉴트리글로우 스파 헤어 에센셜")</f>
        <v>건조하고 손상된 모발을 위한 뉴트리글로우 스파 헤어 에센셜</v>
      </c>
      <c r="F2622" s="1" t="str">
        <f>IFERROR(__xludf.DUMMYFUNCTION("CONCATENATE(GOOGLETRANSLATE(C2622, ""en"", ""ja""))"),"NutriGlow スパ ヘア エッセンシャル 乾燥＆ダメージヘア用")</f>
        <v>NutriGlow スパ ヘア エッセンシャル 乾燥＆ダメージヘア用</v>
      </c>
    </row>
    <row r="2623" ht="15.75" customHeight="1">
      <c r="A2623" s="1">
        <v>6750.0</v>
      </c>
      <c r="B2623" s="1" t="s">
        <v>15</v>
      </c>
      <c r="C2623" s="1" t="s">
        <v>2429</v>
      </c>
      <c r="D2623" s="1" t="str">
        <f>IFERROR(__xludf.DUMMYFUNCTION("CONCATENATE(GOOGLETRANSLATE(C2623, ""en"", ""zh-cn""))"),"角蛋白头发生长补充剂可让头发更长、更强韧 - 富含生物素、叶酸、锯棕榈，可促进浓密、健康的头发生长（3")</f>
        <v>角蛋白头发生长补充剂可让头发更长、更强韧 - 富含生物素、叶酸、锯棕榈，可促进浓密、健康的头发生长（3</v>
      </c>
      <c r="E2623" s="1" t="str">
        <f>IFERROR(__xludf.DUMMYFUNCTION("CONCATENATE(GOOGLETRANSLATE(C2623, ""en"", ""ko""))"),"더 길고 강한 모발을 위한 케로틴 모발 성장 보조제 - 비오틴, 엽산, 쏘팔메토가 풍부하여 두껍고 건강한 모발 성장을 촉진합니다(3)")</f>
        <v>더 길고 강한 모발을 위한 케로틴 모발 성장 보조제 - 비오틴, 엽산, 쏘팔메토가 풍부하여 두껍고 건강한 모발 성장을 촉진합니다(3)</v>
      </c>
      <c r="F2623" s="1" t="str">
        <f>IFERROR(__xludf.DUMMYFUNCTION("CONCATENATE(GOOGLETRANSLATE(C2623, ""en"", ""ja""))"),"より長く強い髪のためのケロチン育毛サプリメント - ビオチン、葉酸、ノコギリヤシが豊富で、太くて健康な髪の成長を促進します (3")</f>
        <v>より長く強い髪のためのケロチン育毛サプリメント - ビオチン、葉酸、ノコギリヤシが豊富で、太くて健康な髪の成長を促進します (3</v>
      </c>
    </row>
    <row r="2624" ht="15.75" customHeight="1">
      <c r="A2624" s="1">
        <v>6756.0</v>
      </c>
      <c r="B2624" s="1" t="s">
        <v>15</v>
      </c>
      <c r="C2624" s="1" t="s">
        <v>2430</v>
      </c>
      <c r="D2624" s="1" t="str">
        <f>IFERROR(__xludf.DUMMYFUNCTION("CONCATENATE(GOOGLETRANSLATE(C2624, ""en"", ""zh-cn""))"),"阿育吠陀生发油")</f>
        <v>阿育吠陀生发油</v>
      </c>
      <c r="E2624" s="1" t="str">
        <f>IFERROR(__xludf.DUMMYFUNCTION("CONCATENATE(GOOGLETRANSLATE(C2624, ""en"", ""ko""))"),"아유르베다 모발 성장 오일")</f>
        <v>아유르베다 모발 성장 오일</v>
      </c>
      <c r="F2624" s="1" t="str">
        <f>IFERROR(__xludf.DUMMYFUNCTION("CONCATENATE(GOOGLETRANSLATE(C2624, ""en"", ""ja""))"),"アーユルヴェーダの育毛オイル")</f>
        <v>アーユルヴェーダの育毛オイル</v>
      </c>
    </row>
    <row r="2625" ht="15.75" customHeight="1">
      <c r="A2625" s="1">
        <v>6759.0</v>
      </c>
      <c r="B2625" s="1" t="s">
        <v>15</v>
      </c>
      <c r="C2625" s="1" t="s">
        <v>2431</v>
      </c>
      <c r="D2625" s="1" t="str">
        <f>IFERROR(__xludf.DUMMYFUNCTION("CONCATENATE(GOOGLETRANSLATE(C2625, ""en"", ""zh-cn""))"),"生物素 + 可溶性角蛋白护发补充剂")</f>
        <v>生物素 + 可溶性角蛋白护发补充剂</v>
      </c>
      <c r="E2625" s="1" t="str">
        <f>IFERROR(__xludf.DUMMYFUNCTION("CONCATENATE(GOOGLETRANSLATE(C2625, ""en"", ""ko""))"),"비오틴 + 수용성 케라틴 헤어 트리트먼트 보충제")</f>
        <v>비오틴 + 수용성 케라틴 헤어 트리트먼트 보충제</v>
      </c>
      <c r="F2625" s="1" t="str">
        <f>IFERROR(__xludf.DUMMYFUNCTION("CONCATENATE(GOOGLETRANSLATE(C2625, ""en"", ""ja""))"),"ビオチン + 可溶性ケラチン ヘアトリートメント サプリメント")</f>
        <v>ビオチン + 可溶性ケラチン ヘアトリートメント サプリメント</v>
      </c>
    </row>
    <row r="2626" ht="15.75" customHeight="1">
      <c r="A2626" s="1">
        <v>6770.0</v>
      </c>
      <c r="B2626" s="1" t="s">
        <v>15</v>
      </c>
      <c r="C2626" s="1" t="s">
        <v>2432</v>
      </c>
      <c r="D2626" s="1" t="str">
        <f>IFERROR(__xludf.DUMMYFUNCTION("CONCATENATE(GOOGLETRANSLATE(C2626, ""en"", ""zh-cn""))"),"OGX 浓稠全生物素胶原蛋白护发素")</f>
        <v>OGX 浓稠全生物素胶原蛋白护发素</v>
      </c>
      <c r="E2626" s="1" t="str">
        <f>IFERROR(__xludf.DUMMYFUNCTION("CONCATENATE(GOOGLETRANSLATE(C2626, ""en"", ""ko""))"),"OGX 씨크 풀 비오틴 콜라겐 컨디셔너")</f>
        <v>OGX 씨크 풀 비오틴 콜라겐 컨디셔너</v>
      </c>
      <c r="F2626" s="1" t="str">
        <f>IFERROR(__xludf.DUMMYFUNCTION("CONCATENATE(GOOGLETRANSLATE(C2626, ""en"", ""ja""))"),"OGX 濃厚フルビオチンコラーゲンコンディショナー")</f>
        <v>OGX 濃厚フルビオチンコラーゲンコンディショナー</v>
      </c>
    </row>
    <row r="2627" ht="15.75" customHeight="1">
      <c r="A2627" s="1">
        <v>6782.0</v>
      </c>
      <c r="B2627" s="1" t="s">
        <v>15</v>
      </c>
      <c r="C2627" s="1" t="s">
        <v>2433</v>
      </c>
      <c r="D2627" s="1" t="str">
        <f>IFERROR(__xludf.DUMMYFUNCTION("CONCATENATE(GOOGLETRANSLATE(C2627, ""en"", ""zh-cn""))"),"女性头发维生素，超强 5000 微克生物素、胶原蛋白、巴巴和")</f>
        <v>女性头发维生素，超强 5000 微克生物素、胶原蛋白、巴巴和</v>
      </c>
      <c r="E2627" s="1" t="str">
        <f>IFERROR(__xludf.DUMMYFUNCTION("CONCATENATE(GOOGLETRANSLATE(C2627, ""en"", ""ko""))"),"모발 비타민 여성, 초강력 5000mcg 비오틴, 콜라겐, 파바 &amp;")</f>
        <v>모발 비타민 여성, 초강력 5000mcg 비오틴, 콜라겐, 파바 &amp;</v>
      </c>
      <c r="F2627" s="1" t="str">
        <f>IFERROR(__xludf.DUMMYFUNCTION("CONCATENATE(GOOGLETRANSLATE(C2627, ""en"", ""ja""))"),"女性の髪のビタミン、超強力 5000mcg ビオチン、コラーゲン、パバ &amp;")</f>
        <v>女性の髪のビタミン、超強力 5000mcg ビオチン、コラーゲン、パバ &amp;</v>
      </c>
    </row>
    <row r="2628" ht="15.75" customHeight="1">
      <c r="A2628" s="1">
        <v>6786.0</v>
      </c>
      <c r="B2628" s="1" t="s">
        <v>15</v>
      </c>
      <c r="C2628" s="1" t="s">
        <v>2434</v>
      </c>
      <c r="D2628" s="1" t="str">
        <f>IFERROR(__xludf.DUMMYFUNCTION("CONCATENATE(GOOGLETRANSLATE(C2628, ""en"", ""zh-cn""))"),"角蛋白洗发水护发素")</f>
        <v>角蛋白洗发水护发素</v>
      </c>
      <c r="E2628" s="1" t="str">
        <f>IFERROR(__xludf.DUMMYFUNCTION("CONCATENATE(GOOGLETRANSLATE(C2628, ""en"", ""ko""))"),"케라틴 샴푸 헤어 트리트먼트")</f>
        <v>케라틴 샴푸 헤어 트리트먼트</v>
      </c>
      <c r="F2628" s="1" t="str">
        <f>IFERROR(__xludf.DUMMYFUNCTION("CONCATENATE(GOOGLETRANSLATE(C2628, ""en"", ""ja""))"),"ケラチンシャンプー ヘアトリートメント")</f>
        <v>ケラチンシャンプー ヘアトリートメント</v>
      </c>
    </row>
    <row r="2629" ht="15.75" customHeight="1">
      <c r="A2629" s="1">
        <v>6788.0</v>
      </c>
      <c r="B2629" s="1" t="s">
        <v>15</v>
      </c>
      <c r="C2629" s="1" t="s">
        <v>2435</v>
      </c>
      <c r="D2629" s="1" t="str">
        <f>IFERROR(__xludf.DUMMYFUNCTION("CONCATENATE(GOOGLETRANSLATE(C2629, ""en"", ""zh-cn""))"),"阿加迪尔迷迭香米水洗发水")</f>
        <v>阿加迪尔迷迭香米水洗发水</v>
      </c>
      <c r="E2629" s="1" t="str">
        <f>IFERROR(__xludf.DUMMYFUNCTION("CONCATENATE(GOOGLETRANSLATE(C2629, ""en"", ""ko""))"),"아가디르 로즈마리 앤 라이스 워터 샴푸")</f>
        <v>아가디르 로즈마리 앤 라이스 워터 샴푸</v>
      </c>
      <c r="F2629" s="1" t="str">
        <f>IFERROR(__xludf.DUMMYFUNCTION("CONCATENATE(GOOGLETRANSLATE(C2629, ""en"", ""ja""))"),"アガディール ローズマリー &amp; ライスウォーター シャンプー")</f>
        <v>アガディール ローズマリー &amp; ライスウォーター シャンプー</v>
      </c>
    </row>
    <row r="2630" ht="15.75" customHeight="1">
      <c r="A2630" s="1">
        <v>6791.0</v>
      </c>
      <c r="B2630" s="1" t="s">
        <v>15</v>
      </c>
      <c r="C2630" s="1" t="s">
        <v>2436</v>
      </c>
      <c r="D2630" s="1" t="str">
        <f>IFERROR(__xludf.DUMMYFUNCTION("CONCATENATE(GOOGLETRANSLATE(C2630, ""en"", ""zh-cn""))"),"Equate 生物素和胶原蛋白洗发水")</f>
        <v>Equate 生物素和胶原蛋白洗发水</v>
      </c>
      <c r="E2630" s="1" t="str">
        <f>IFERROR(__xludf.DUMMYFUNCTION("CONCATENATE(GOOGLETRANSLATE(C2630, ""en"", ""ko""))"),"비오틴 &amp; 콜라겐 샴푸를 동일시하세요")</f>
        <v>비오틴 &amp; 콜라겐 샴푸를 동일시하세요</v>
      </c>
      <c r="F2630" s="1" t="str">
        <f>IFERROR(__xludf.DUMMYFUNCTION("CONCATENATE(GOOGLETRANSLATE(C2630, ""en"", ""ja""))"),"エクエイト ビオチン＆コラーゲン シャンプー")</f>
        <v>エクエイト ビオチン＆コラーゲン シャンプー</v>
      </c>
    </row>
    <row r="2631" ht="15.75" customHeight="1">
      <c r="A2631" s="1">
        <v>6792.0</v>
      </c>
      <c r="B2631" s="1" t="s">
        <v>15</v>
      </c>
      <c r="C2631" s="1" t="s">
        <v>2437</v>
      </c>
      <c r="D2631" s="1" t="str">
        <f>IFERROR(__xludf.DUMMYFUNCTION("CONCATENATE(GOOGLETRANSLATE(C2631, ""en"", ""zh-cn""))"),"双贝赫兹健康 皮肤 头发")</f>
        <v>双贝赫兹健康 皮肤 头发</v>
      </c>
      <c r="E2631" s="1" t="str">
        <f>IFERROR(__xludf.DUMMYFUNCTION("CONCATENATE(GOOGLETRANSLATE(C2631, ""en"", ""ko""))"),"Doppelherz 건강 피부 모발")</f>
        <v>Doppelherz 건강 피부 모발</v>
      </c>
      <c r="F2631" s="1" t="str">
        <f>IFERROR(__xludf.DUMMYFUNCTION("CONCATENATE(GOOGLETRANSLATE(C2631, ""en"", ""ja""))"),"ドッペルヘルツ ヘルス スキン ヘア")</f>
        <v>ドッペルヘルツ ヘルス スキン ヘア</v>
      </c>
    </row>
    <row r="2632" ht="15.75" customHeight="1">
      <c r="A2632" s="1">
        <v>6813.0</v>
      </c>
      <c r="B2632" s="1" t="s">
        <v>15</v>
      </c>
      <c r="C2632" s="1" t="s">
        <v>2438</v>
      </c>
      <c r="D2632" s="1" t="str">
        <f>IFERROR(__xludf.DUMMYFUNCTION("CONCATENATE(GOOGLETRANSLATE(C2632, ""en"", ""zh-cn""))"),"克里斯汀·汉娜的《夜莺》")</f>
        <v>克里斯汀·汉娜的《夜莺》</v>
      </c>
      <c r="E2632" s="1" t="str">
        <f>IFERROR(__xludf.DUMMYFUNCTION("CONCATENATE(GOOGLETRANSLATE(C2632, ""en"", ""ko""))"),"크리스틴 한나의 나이팅게일")</f>
        <v>크리스틴 한나의 나이팅게일</v>
      </c>
      <c r="F2632" s="1" t="str">
        <f>IFERROR(__xludf.DUMMYFUNCTION("CONCATENATE(GOOGLETRANSLATE(C2632, ""en"", ""ja""))"),"クリスティン・ハンナの『ナイチンゲール』")</f>
        <v>クリスティン・ハンナの『ナイチンゲール』</v>
      </c>
    </row>
    <row r="2633" ht="15.75" customHeight="1">
      <c r="A2633" s="1">
        <v>6817.0</v>
      </c>
      <c r="B2633" s="1" t="s">
        <v>15</v>
      </c>
      <c r="C2633" s="1" t="s">
        <v>2439</v>
      </c>
      <c r="D2633" s="1" t="str">
        <f>IFERROR(__xludf.DUMMYFUNCTION("CONCATENATE(GOOGLETRANSLATE(C2633, ""en"", ""zh-cn""))"),"收割日出（饥饿游戏小说）")</f>
        <v>收割日出（饥饿游戏小说）</v>
      </c>
      <c r="E2633" s="1" t="str">
        <f>IFERROR(__xludf.DUMMYFUNCTION("CONCATENATE(GOOGLETRANSLATE(C2633, ""en"", ""ko""))"),"수확의 일출(헝거 게임 소설)")</f>
        <v>수확의 일출(헝거 게임 소설)</v>
      </c>
      <c r="F2633" s="1" t="str">
        <f>IFERROR(__xludf.DUMMYFUNCTION("CONCATENATE(GOOGLETRANSLATE(C2633, ""en"", ""ja""))"),"刈り取りの日の出 (ハンガー ゲーム小説)")</f>
        <v>刈り取りの日の出 (ハンガー ゲーム小説)</v>
      </c>
    </row>
    <row r="2634" ht="15.75" customHeight="1">
      <c r="A2634" s="1">
        <v>6833.0</v>
      </c>
      <c r="B2634" s="1" t="s">
        <v>15</v>
      </c>
      <c r="C2634" s="1" t="s">
        <v>2440</v>
      </c>
      <c r="D2634" s="1" t="str">
        <f>IFERROR(__xludf.DUMMYFUNCTION("CONCATENATE(GOOGLETRANSLATE(C2634, ""en"", ""zh-cn""))"),"汤姆·莱克：一本小说")</f>
        <v>汤姆·莱克：一本小说</v>
      </c>
      <c r="E2634" s="1" t="str">
        <f>IFERROR(__xludf.DUMMYFUNCTION("CONCATENATE(GOOGLETRANSLATE(C2634, ""en"", ""ko""))"),"톰 레이크: 소설")</f>
        <v>톰 레이크: 소설</v>
      </c>
      <c r="F2634" s="1" t="str">
        <f>IFERROR(__xludf.DUMMYFUNCTION("CONCATENATE(GOOGLETRANSLATE(C2634, ""en"", ""ja""))"),"トム・レイク: 小説")</f>
        <v>トム・レイク: 小説</v>
      </c>
    </row>
    <row r="2635" ht="15.75" customHeight="1">
      <c r="A2635" s="1">
        <v>6861.0</v>
      </c>
      <c r="B2635" s="1" t="s">
        <v>15</v>
      </c>
      <c r="C2635" s="1" t="s">
        <v>2441</v>
      </c>
      <c r="D2635" s="1" t="str">
        <f>IFERROR(__xludf.DUMMYFUNCTION("CONCATENATE(GOOGLETRANSLATE(C2635, ""en"", ""zh-cn""))"),"Grand Theft Auto V：高级版 - Sony PlayStation 4 [数字下载]")</f>
        <v>Grand Theft Auto V：高级版 - Sony PlayStation 4 [数字下载]</v>
      </c>
      <c r="E2635" s="1" t="str">
        <f>IFERROR(__xludf.DUMMYFUNCTION("CONCATENATE(GOOGLETRANSLATE(C2635, ""en"", ""ko""))"),"Grand Theft Auto V: 프리미엄 에디션 - Sony PlayStation 4 [디지털 다운로드]")</f>
        <v>Grand Theft Auto V: 프리미엄 에디션 - Sony PlayStation 4 [디지털 다운로드]</v>
      </c>
      <c r="F2635" s="1" t="str">
        <f>IFERROR(__xludf.DUMMYFUNCTION("CONCATENATE(GOOGLETRANSLATE(C2635, ""en"", ""ja""))"),"グランド・セフト・オート V: プレミアム・エディション - Sony PlayStation 4 [デジタルダウンロード]")</f>
        <v>グランド・セフト・オート V: プレミアム・エディション - Sony PlayStation 4 [デジタルダウンロード]</v>
      </c>
    </row>
    <row r="2636" ht="15.75" customHeight="1">
      <c r="A2636" s="1">
        <v>6862.0</v>
      </c>
      <c r="B2636" s="1" t="s">
        <v>15</v>
      </c>
      <c r="C2636" s="1" t="s">
        <v>2442</v>
      </c>
      <c r="D2636" s="1" t="str">
        <f>IFERROR(__xludf.DUMMYFUNCTION("CONCATENATE(GOOGLETRANSLATE(C2636, ""en"", ""zh-cn""))"),"索尼 PlayStation 商店生日礼品卡")</f>
        <v>索尼 PlayStation 商店生日礼品卡</v>
      </c>
      <c r="E2636" s="1" t="str">
        <f>IFERROR(__xludf.DUMMYFUNCTION("CONCATENATE(GOOGLETRANSLATE(C2636, ""en"", ""ko""))"),"Sony PlayStation Store 생일 선물 카드")</f>
        <v>Sony PlayStation Store 생일 선물 카드</v>
      </c>
      <c r="F2636" s="1" t="str">
        <f>IFERROR(__xludf.DUMMYFUNCTION("CONCATENATE(GOOGLETRANSLATE(C2636, ""en"", ""ja""))"),"Sony PlayStation Store バースデーギフトカード")</f>
        <v>Sony PlayStation Store バースデーギフトカード</v>
      </c>
    </row>
    <row r="2637" ht="15.75" customHeight="1">
      <c r="A2637" s="1">
        <v>6872.0</v>
      </c>
      <c r="B2637" s="1" t="s">
        <v>15</v>
      </c>
      <c r="C2637" s="1" t="s">
        <v>2443</v>
      </c>
      <c r="D2637" s="1" t="str">
        <f>IFERROR(__xludf.DUMMYFUNCTION("CONCATENATE(GOOGLETRANSLATE(C2637, ""en"", ""zh-cn""))"),"控制终极版")</f>
        <v>控制终极版</v>
      </c>
      <c r="E2637" s="1" t="str">
        <f>IFERROR(__xludf.DUMMYFUNCTION("CONCATENATE(GOOGLETRANSLATE(C2637, ""en"", ""ko""))"),"컨트롤 얼티밋 에디션")</f>
        <v>컨트롤 얼티밋 에디션</v>
      </c>
      <c r="F2637" s="1" t="str">
        <f>IFERROR(__xludf.DUMMYFUNCTION("CONCATENATE(GOOGLETRANSLATE(C2637, ""en"", ""ja""))"),"コントロールアルティメットエディション")</f>
        <v>コントロールアルティメットエディション</v>
      </c>
    </row>
    <row r="2638" ht="15.75" customHeight="1">
      <c r="A2638" s="1">
        <v>6873.0</v>
      </c>
      <c r="B2638" s="1" t="s">
        <v>15</v>
      </c>
      <c r="C2638" s="1" t="s">
        <v>2444</v>
      </c>
      <c r="D2638" s="1" t="str">
        <f>IFERROR(__xludf.DUMMYFUNCTION("CONCATENATE(GOOGLETRANSLATE(C2638, ""en"", ""zh-cn""))"),"最终幻想 VII 重制版数字豪华版 PS4 帐户")</f>
        <v>最终幻想 VII 重制版数字豪华版 PS4 帐户</v>
      </c>
      <c r="E2638" s="1" t="str">
        <f>IFERROR(__xludf.DUMMYFUNCTION("CONCATENATE(GOOGLETRANSLATE(C2638, ""en"", ""ko""))"),"Final Fantasy VII 리메이크 디지털 디럭스 에디션 PS4 계정")</f>
        <v>Final Fantasy VII 리메이크 디지털 디럭스 에디션 PS4 계정</v>
      </c>
      <c r="F2638" s="1" t="str">
        <f>IFERROR(__xludf.DUMMYFUNCTION("CONCATENATE(GOOGLETRANSLATE(C2638, ""en"", ""ja""))"),"ファイナルファンタジー VII リメイク デジタルデラックス エディション PS4 アカウント")</f>
        <v>ファイナルファンタジー VII リメイク デジタルデラックス エディション PS4 アカウント</v>
      </c>
    </row>
    <row r="2639" ht="15.75" customHeight="1">
      <c r="A2639" s="1">
        <v>6876.0</v>
      </c>
      <c r="B2639" s="1" t="s">
        <v>15</v>
      </c>
      <c r="C2639" s="1" t="s">
        <v>2445</v>
      </c>
      <c r="D2639" s="1" t="str">
        <f>IFERROR(__xludf.DUMMYFUNCTION("CONCATENATE(GOOGLETRANSLATE(C2639, ""en"", ""zh-cn""))"),"荒野大镖客：救赎 2")</f>
        <v>荒野大镖客：救赎 2</v>
      </c>
      <c r="E2639" s="1" t="str">
        <f>IFERROR(__xludf.DUMMYFUNCTION("CONCATENATE(GOOGLETRANSLATE(C2639, ""en"", ""ko""))"),"레드 데드 리뎀션 2")</f>
        <v>레드 데드 리뎀션 2</v>
      </c>
      <c r="F2639" s="1" t="str">
        <f>IFERROR(__xludf.DUMMYFUNCTION("CONCATENATE(GOOGLETRANSLATE(C2639, ""en"", ""ja""))"),"レッド・デッド・リデンプション2")</f>
        <v>レッド・デッド・リデンプション2</v>
      </c>
    </row>
    <row r="2640" ht="15.75" customHeight="1">
      <c r="A2640" s="1">
        <v>6878.0</v>
      </c>
      <c r="B2640" s="1" t="s">
        <v>15</v>
      </c>
      <c r="C2640" s="1" t="s">
        <v>2446</v>
      </c>
      <c r="D2640" s="1" t="str">
        <f>IFERROR(__xludf.DUMMYFUNCTION("CONCATENATE(GOOGLETRANSLATE(C2640, ""en"", ""zh-cn""))"),"我的世界 开关")</f>
        <v>我的世界 开关</v>
      </c>
      <c r="E2640" s="1" t="str">
        <f>IFERROR(__xludf.DUMMYFUNCTION("CONCATENATE(GOOGLETRANSLATE(C2640, ""en"", ""ko""))"),"마인크래프트 스위치")</f>
        <v>마인크래프트 스위치</v>
      </c>
      <c r="F2640" s="1" t="str">
        <f>IFERROR(__xludf.DUMMYFUNCTION("CONCATENATE(GOOGLETRANSLATE(C2640, ""en"", ""ja""))"),"マインクラフトスイッチ")</f>
        <v>マインクラフトスイッチ</v>
      </c>
    </row>
    <row r="2641" ht="15.75" customHeight="1">
      <c r="A2641" s="1">
        <v>6887.0</v>
      </c>
      <c r="B2641" s="1" t="s">
        <v>15</v>
      </c>
      <c r="C2641" s="1" t="s">
        <v>2447</v>
      </c>
      <c r="D2641" s="1" t="str">
        <f>IFERROR(__xludf.DUMMYFUNCTION("CONCATENATE(GOOGLETRANSLATE(C2641, ""en"", ""zh-cn""))"),"芬科融合")</f>
        <v>芬科融合</v>
      </c>
      <c r="E2641" s="1" t="str">
        <f>IFERROR(__xludf.DUMMYFUNCTION("CONCATENATE(GOOGLETRANSLATE(C2641, ""en"", ""ko""))"),"펀코퓨전")</f>
        <v>펀코퓨전</v>
      </c>
      <c r="F2641" s="1" t="str">
        <f>IFERROR(__xludf.DUMMYFUNCTION("CONCATENATE(GOOGLETRANSLATE(C2641, ""en"", ""ja""))"),"ファンコ フュージョン")</f>
        <v>ファンコ フュージョン</v>
      </c>
    </row>
    <row r="2642" ht="15.75" customHeight="1">
      <c r="A2642" s="1">
        <v>6889.0</v>
      </c>
      <c r="B2642" s="1" t="s">
        <v>15</v>
      </c>
      <c r="C2642" s="1" t="s">
        <v>2448</v>
      </c>
      <c r="D2642" s="1" t="str">
        <f>IFERROR(__xludf.DUMMYFUNCTION("CONCATENATE(GOOGLETRANSLATE(C2642, ""en"", ""zh-cn""))"),"NFL PRO ERA - 索尼 PlayStation 5 和 PlayStation 4 [数字下载]")</f>
        <v>NFL PRO ERA - 索尼 PlayStation 5 和 PlayStation 4 [数字下载]</v>
      </c>
      <c r="E2642" s="1" t="str">
        <f>IFERROR(__xludf.DUMMYFUNCTION("CONCATENATE(GOOGLETRANSLATE(C2642, ""en"", ""ko""))"),"NFL PRO ERA - Sony PlayStation 5 및 PlayStation 4 [디지털 다운로드]")</f>
        <v>NFL PRO ERA - Sony PlayStation 5 및 PlayStation 4 [디지털 다운로드]</v>
      </c>
      <c r="F2642" s="1" t="str">
        <f>IFERROR(__xludf.DUMMYFUNCTION("CONCATENATE(GOOGLETRANSLATE(C2642, ""en"", ""ja""))"),"NFL PRO ERA - Sony PlayStation 5 &amp; PlayStation 4 [デジタル ダウンロード]")</f>
        <v>NFL PRO ERA - Sony PlayStation 5 &amp; PlayStation 4 [デジタル ダウンロード]</v>
      </c>
    </row>
    <row r="2643" ht="15.75" customHeight="1">
      <c r="A2643" s="1">
        <v>6909.0</v>
      </c>
      <c r="B2643" s="1" t="s">
        <v>15</v>
      </c>
      <c r="C2643" s="1" t="s">
        <v>2449</v>
      </c>
      <c r="D2643" s="1" t="str">
        <f>IFERROR(__xludf.DUMMYFUNCTION("CONCATENATE(GOOGLETRANSLATE(C2643, ""en"", ""zh-cn""))"),"100.00 美元苹果礼品卡")</f>
        <v>100.00 美元苹果礼品卡</v>
      </c>
      <c r="E2643" s="1" t="str">
        <f>IFERROR(__xludf.DUMMYFUNCTION("CONCATENATE(GOOGLETRANSLATE(C2643, ""en"", ""ko""))"),"$100.00 애플 기프트 카드")</f>
        <v>$100.00 애플 기프트 카드</v>
      </c>
      <c r="F2643" s="1" t="str">
        <f>IFERROR(__xludf.DUMMYFUNCTION("CONCATENATE(GOOGLETRANSLATE(C2643, ""en"", ""ja""))"),"$100.00 アップル ギフト カード")</f>
        <v>$100.00 アップル ギフト カード</v>
      </c>
    </row>
    <row r="2644" ht="15.75" customHeight="1">
      <c r="A2644" s="1">
        <v>6926.0</v>
      </c>
      <c r="B2644" s="1" t="s">
        <v>15</v>
      </c>
      <c r="C2644" s="1" t="s">
        <v>2450</v>
      </c>
      <c r="D2644" s="1" t="str">
        <f>IFERROR(__xludf.DUMMYFUNCTION("CONCATENATE(GOOGLETRANSLATE(C2644, ""en"", ""zh-cn""))"),"Apple 150 美元礼品卡（美国）- 数字钥匙")</f>
        <v>Apple 150 美元礼品卡（美国）- 数字钥匙</v>
      </c>
      <c r="E2644" s="1" t="str">
        <f>IFERROR(__xludf.DUMMYFUNCTION("CONCATENATE(GOOGLETRANSLATE(C2644, ""en"", ""ko""))"),"Apple 150 USD 기프트 카드(미국) - 디지털 키")</f>
        <v>Apple 150 USD 기프트 카드(미국) - 디지털 키</v>
      </c>
      <c r="F2644" s="1" t="str">
        <f>IFERROR(__xludf.DUMMYFUNCTION("CONCATENATE(GOOGLETRANSLATE(C2644, ""en"", ""ja""))"),"Apple 150 USD ギフトカード (米国) - デジタルキー")</f>
        <v>Apple 150 USD ギフトカード (米国) - デジタルキー</v>
      </c>
    </row>
    <row r="2645" ht="15.75" customHeight="1">
      <c r="A2645" s="1">
        <v>6927.0</v>
      </c>
      <c r="B2645" s="1" t="s">
        <v>15</v>
      </c>
      <c r="C2645" s="1" t="s">
        <v>2451</v>
      </c>
      <c r="D2645" s="1" t="str">
        <f>IFERROR(__xludf.DUMMYFUNCTION("CONCATENATE(GOOGLETRANSLATE(C2645, ""en"", ""zh-cn""))"),"500 美元美国 Apple iTunes 礼品卡（电子邮件发送）|游戏卡递送")</f>
        <v>500 美元美国 Apple iTunes 礼品卡（电子邮件发送）|游戏卡递送</v>
      </c>
      <c r="E2645" s="1" t="str">
        <f>IFERROR(__xludf.DUMMYFUNCTION("CONCATENATE(GOOGLETRANSLATE(C2645, ""en"", ""ko""))"),"$500 미국 Apple iTunes 기프트 카드(이메일 배송) | 게임 카드 배송")</f>
        <v>$500 미국 Apple iTunes 기프트 카드(이메일 배송) | 게임 카드 배송</v>
      </c>
      <c r="F2645" s="1" t="str">
        <f>IFERROR(__xludf.DUMMYFUNCTION("CONCATENATE(GOOGLETRANSLATE(C2645, ""en"", ""ja""))"),"$500 米国 Apple iTunes ギフト カード (電子メール配信) |ゲームカードの配送")</f>
        <v>$500 米国 Apple iTunes ギフト カード (電子メール配信) |ゲームカードの配送</v>
      </c>
    </row>
    <row r="2646" ht="15.75" customHeight="1">
      <c r="A2646" s="1">
        <v>6929.0</v>
      </c>
      <c r="B2646" s="1" t="s">
        <v>15</v>
      </c>
      <c r="C2646" s="1" t="s">
        <v>2452</v>
      </c>
      <c r="D2646" s="1" t="str">
        <f>IFERROR(__xludf.DUMMYFUNCTION("CONCATENATE(GOOGLETRANSLATE(C2646, ""en"", ""zh-cn""))"),"Apple 礼品卡 - 100 美元 - 美国")</f>
        <v>Apple 礼品卡 - 100 美元 - 美国</v>
      </c>
      <c r="E2646" s="1" t="str">
        <f>IFERROR(__xludf.DUMMYFUNCTION("CONCATENATE(GOOGLETRANSLATE(C2646, ""en"", ""ko""))"),"Apple 기프트 카드 - 100 USD - 미국")</f>
        <v>Apple 기프트 카드 - 100 USD - 미국</v>
      </c>
      <c r="F2646" s="1" t="str">
        <f>IFERROR(__xludf.DUMMYFUNCTION("CONCATENATE(GOOGLETRANSLATE(C2646, ""en"", ""ja""))"),"Apple ギフトカード - 100 USD - 米国")</f>
        <v>Apple ギフトカード - 100 USD - 米国</v>
      </c>
    </row>
    <row r="2647" ht="15.75" customHeight="1">
      <c r="A2647" s="1">
        <v>6940.0</v>
      </c>
      <c r="B2647" s="1" t="s">
        <v>15</v>
      </c>
      <c r="C2647" s="1" t="s">
        <v>2453</v>
      </c>
      <c r="D2647" s="1" t="str">
        <f>IFERROR(__xludf.DUMMYFUNCTION("CONCATENATE(GOOGLETRANSLATE(C2647, ""en"", ""zh-cn""))"),"幸运的我：一本小说")</f>
        <v>幸运的我：一本小说</v>
      </c>
      <c r="E2647" s="1" t="str">
        <f>IFERROR(__xludf.DUMMYFUNCTION("CONCATENATE(GOOGLETRANSLATE(C2647, ""en"", ""ko""))"),"행운의 나: 소설")</f>
        <v>행운의 나: 소설</v>
      </c>
      <c r="F2647" s="1" t="str">
        <f>IFERROR(__xludf.DUMMYFUNCTION("CONCATENATE(GOOGLETRANSLATE(C2647, ""en"", ""ja""))"),"ラッキー・ミー: 小説")</f>
        <v>ラッキー・ミー: 小説</v>
      </c>
    </row>
    <row r="2648" ht="15.75" customHeight="1">
      <c r="A2648" s="1">
        <v>6944.0</v>
      </c>
      <c r="B2648" s="1" t="s">
        <v>15</v>
      </c>
      <c r="C2648" s="1" t="s">
        <v>2454</v>
      </c>
      <c r="D2648" s="1" t="str">
        <f>IFERROR(__xludf.DUMMYFUNCTION("CONCATENATE(GOOGLETRANSLATE(C2648, ""en"", ""zh-cn""))"),"吃富人：经济学论文[电子书]")</f>
        <v>吃富人：经济学论文[电子书]</v>
      </c>
      <c r="E2648" s="1" t="str">
        <f>IFERROR(__xludf.DUMMYFUNCTION("CONCATENATE(GOOGLETRANSLATE(C2648, ""en"", ""ko""))"),"부자를 먹어라: 경제학에 관한 논문 [eBook]")</f>
        <v>부자를 먹어라: 경제학에 관한 논문 [eBook]</v>
      </c>
      <c r="F2648" s="1" t="str">
        <f>IFERROR(__xludf.DUMMYFUNCTION("CONCATENATE(GOOGLETRANSLATE(C2648, ""en"", ""ja""))"),"金持ちを食べる: 経済学に関する論文 [電子書籍]")</f>
        <v>金持ちを食べる: 経済学に関する論文 [電子書籍]</v>
      </c>
    </row>
    <row r="2649" ht="15.75" customHeight="1">
      <c r="A2649" s="1">
        <v>6946.0</v>
      </c>
      <c r="B2649" s="1" t="s">
        <v>15</v>
      </c>
      <c r="C2649" s="1" t="s">
        <v>2455</v>
      </c>
      <c r="D2649" s="1" t="str">
        <f>IFERROR(__xludf.DUMMYFUNCTION("CONCATENATE(GOOGLETRANSLATE(C2649, ""en"", ""zh-cn""))"),"不稳定：小说")</f>
        <v>不稳定：小说</v>
      </c>
      <c r="E2649" s="1" t="str">
        <f>IFERROR(__xludf.DUMMYFUNCTION("CONCATENATE(GOOGLETRANSLATE(C2649, ""en"", ""ko""))"),"불안정한: 소설")</f>
        <v>불안정한: 소설</v>
      </c>
      <c r="F2649" s="1" t="str">
        <f>IFERROR(__xludf.DUMMYFUNCTION("CONCATENATE(GOOGLETRANSLATE(C2649, ""en"", ""ja""))"),"不安定: 小説")</f>
        <v>不安定: 小説</v>
      </c>
    </row>
    <row r="2650" ht="15.75" customHeight="1">
      <c r="A2650" s="1">
        <v>6950.0</v>
      </c>
      <c r="B2650" s="1" t="s">
        <v>15</v>
      </c>
      <c r="C2650" s="1" t="s">
        <v>2456</v>
      </c>
      <c r="D2650" s="1" t="str">
        <f>IFERROR(__xludf.DUMMYFUNCTION("CONCATENATE(GOOGLETRANSLATE(C2650, ""en"", ""zh-cn""))"),"血与火的王国：血与灰小说")</f>
        <v>血与火的王国：血与灰小说</v>
      </c>
      <c r="E2650" s="1" t="str">
        <f>IFERROR(__xludf.DUMMYFUNCTION("CONCATENATE(GOOGLETRANSLATE(C2650, ""en"", ""ko""))"),"살과 불의 왕국: 피와 재의 소설")</f>
        <v>살과 불의 왕국: 피와 재의 소설</v>
      </c>
      <c r="F2650" s="1" t="str">
        <f>IFERROR(__xludf.DUMMYFUNCTION("CONCATENATE(GOOGLETRANSLATE(C2650, ""en"", ""ja""))"),"肉と火の王国: 血と灰の小説")</f>
        <v>肉と火の王国: 血と灰の小説</v>
      </c>
    </row>
    <row r="2651" ht="15.75" customHeight="1">
      <c r="A2651" s="1">
        <v>6955.0</v>
      </c>
      <c r="B2651" s="1" t="s">
        <v>15</v>
      </c>
      <c r="C2651" s="1" t="s">
        <v>2457</v>
      </c>
      <c r="D2651" s="1" t="str">
        <f>IFERROR(__xludf.DUMMYFUNCTION("CONCATENATE(GOOGLETRANSLATE(C2651, ""en"", ""zh-cn""))"),"难忘[电子书]")</f>
        <v>难忘[电子书]</v>
      </c>
      <c r="E2651" s="1" t="str">
        <f>IFERROR(__xludf.DUMMYFUNCTION("CONCATENATE(GOOGLETRANSLATE(C2651, ""en"", ""ko""))"),"잊을 수 없는 [eBook]")</f>
        <v>잊을 수 없는 [eBook]</v>
      </c>
      <c r="F2651" s="1" t="str">
        <f>IFERROR(__xludf.DUMMYFUNCTION("CONCATENATE(GOOGLETRANSLATE(C2651, ""en"", ""ja""))"),"忘れられない [電子書籍]")</f>
        <v>忘れられない [電子書籍]</v>
      </c>
    </row>
    <row r="2652" ht="15.75" customHeight="1">
      <c r="A2652" s="1">
        <v>6956.0</v>
      </c>
      <c r="B2652" s="1" t="s">
        <v>15</v>
      </c>
      <c r="C2652" s="1" t="s">
        <v>2458</v>
      </c>
      <c r="D2652" s="1" t="str">
        <f>IFERROR(__xludf.DUMMYFUNCTION("CONCATENATE(GOOGLETRANSLATE(C2652, ""en"", ""zh-cn""))"),"你还记得出生吗？")</f>
        <v>你还记得出生吗？</v>
      </c>
      <c r="E2652" s="1" t="str">
        <f>IFERROR(__xludf.DUMMYFUNCTION("CONCATENATE(GOOGLETRANSLATE(C2652, ""en"", ""ko""))"),"당신은 태어난 것을 기억하나요?")</f>
        <v>당신은 태어난 것을 기억하나요?</v>
      </c>
      <c r="F2652" s="1" t="str">
        <f>IFERROR(__xludf.DUMMYFUNCTION("CONCATENATE(GOOGLETRANSLATE(C2652, ""en"", ""ja""))"),"生まれたことを覚えていますか?")</f>
        <v>生まれたことを覚えていますか?</v>
      </c>
    </row>
    <row r="2653" ht="15.75" customHeight="1">
      <c r="A2653" s="1">
        <v>6962.0</v>
      </c>
      <c r="B2653" s="1" t="s">
        <v>15</v>
      </c>
      <c r="C2653" s="1" t="s">
        <v>2459</v>
      </c>
      <c r="D2653" s="1" t="str">
        <f>IFERROR(__xludf.DUMMYFUNCTION("CONCATENATE(GOOGLETRANSLATE(C2653, ""en"", ""zh-cn""))"),"我们如何生活[电子书]")</f>
        <v>我们如何生活[电子书]</v>
      </c>
      <c r="E2653" s="1" t="str">
        <f>IFERROR(__xludf.DUMMYFUNCTION("CONCATENATE(GOOGLETRANSLATE(C2653, ""en"", ""ko""))"),"우리는 어떻게 살았는가 [전자책]")</f>
        <v>우리는 어떻게 살았는가 [전자책]</v>
      </c>
      <c r="F2653" s="1" t="str">
        <f>IFERROR(__xludf.DUMMYFUNCTION("CONCATENATE(GOOGLETRANSLATE(C2653, ""en"", ""ja""))"),"僕らはどう生きたか [電子書籍]")</f>
        <v>僕らはどう生きたか [電子書籍]</v>
      </c>
    </row>
    <row r="2654" ht="15.75" customHeight="1">
      <c r="A2654" s="1">
        <v>6966.0</v>
      </c>
      <c r="B2654" s="1" t="s">
        <v>15</v>
      </c>
      <c r="C2654" s="1" t="s">
        <v>2460</v>
      </c>
      <c r="D2654" s="1" t="str">
        <f>IFERROR(__xludf.DUMMYFUNCTION("CONCATENATE(GOOGLETRANSLATE(C2654, ""en"", ""zh-cn""))"),"冲动（Mageri 系列#3）；电子书；作者 - 丹尼卡·黑暗")</f>
        <v>冲动（Mageri 系列#3）；电子书；作者 - 丹尼卡·黑暗</v>
      </c>
      <c r="E2654" s="1" t="str">
        <f>IFERROR(__xludf.DUMMYFUNCTION("CONCATENATE(GOOGLETRANSLATE(C2654, ""en"", ""ko""))"),"Impulse(마게리 시리즈 #3); 전자책; 저자 - Dannika Dark")</f>
        <v>Impulse(마게리 시리즈 #3); 전자책; 저자 - Dannika Dark</v>
      </c>
      <c r="F2654" s="1" t="str">
        <f>IFERROR(__xludf.DUMMYFUNCTION("CONCATENATE(GOOGLETRANSLATE(C2654, ""en"", ""ja""))"),"インパルス (マジェリ シリーズ #3);電子書籍;著者 - ダニカ・ダーク")</f>
        <v>インパルス (マジェリ シリーズ #3);電子書籍;著者 - ダニカ・ダーク</v>
      </c>
    </row>
    <row r="2655" ht="15.75" customHeight="1">
      <c r="A2655" s="1">
        <v>6974.0</v>
      </c>
      <c r="B2655" s="1" t="s">
        <v>15</v>
      </c>
      <c r="C2655" s="1" t="s">
        <v>2461</v>
      </c>
      <c r="D2655" s="1" t="str">
        <f>IFERROR(__xludf.DUMMYFUNCTION("CONCATENATE(GOOGLETRANSLATE(C2655, ""en"", ""zh-cn""))"),"任天堂 eShop 卡")</f>
        <v>任天堂 eShop 卡</v>
      </c>
      <c r="E2655" s="1" t="str">
        <f>IFERROR(__xludf.DUMMYFUNCTION("CONCATENATE(GOOGLETRANSLATE(C2655, ""en"", ""ko""))"),"닌텐도 e숍 카드")</f>
        <v>닌텐도 e숍 카드</v>
      </c>
      <c r="F2655" s="1" t="str">
        <f>IFERROR(__xludf.DUMMYFUNCTION("CONCATENATE(GOOGLETRANSLATE(C2655, ""en"", ""ja""))"),"ニンテンドーeショップカード")</f>
        <v>ニンテンドーeショップカード</v>
      </c>
    </row>
    <row r="2656" ht="15.75" customHeight="1">
      <c r="A2656" s="1">
        <v>6977.0</v>
      </c>
      <c r="B2656" s="1" t="s">
        <v>15</v>
      </c>
      <c r="C2656" s="1" t="s">
        <v>2462</v>
      </c>
      <c r="D2656" s="1" t="str">
        <f>IFERROR(__xludf.DUMMYFUNCTION("CONCATENATE(GOOGLETRANSLATE(C2656, ""en"", ""zh-cn""))"),"令人毛骨悚然的争吵者")</f>
        <v>令人毛骨悚然的争吵者</v>
      </c>
      <c r="E2656" s="1" t="str">
        <f>IFERROR(__xludf.DUMMYFUNCTION("CONCATENATE(GOOGLETRANSLATE(C2656, ""en"", ""ko""))"),"소름 끼치는 싸움꾼")</f>
        <v>소름 끼치는 싸움꾼</v>
      </c>
      <c r="F2656" s="1" t="str">
        <f>IFERROR(__xludf.DUMMYFUNCTION("CONCATENATE(GOOGLETRANSLATE(C2656, ""en"", ""ja""))"),"不気味な喧嘩屋")</f>
        <v>不気味な喧嘩屋</v>
      </c>
    </row>
    <row r="2657" ht="15.75" customHeight="1">
      <c r="A2657" s="1">
        <v>6979.0</v>
      </c>
      <c r="B2657" s="1" t="s">
        <v>15</v>
      </c>
      <c r="C2657" s="1" t="s">
        <v>2463</v>
      </c>
      <c r="D2657" s="1" t="str">
        <f>IFERROR(__xludf.DUMMYFUNCTION("CONCATENATE(GOOGLETRANSLATE(C2657, ""en"", ""zh-cn""))"),"Nintendo Switch 在线扩展包")</f>
        <v>Nintendo Switch 在线扩展包</v>
      </c>
      <c r="E2657" s="1" t="str">
        <f>IFERROR(__xludf.DUMMYFUNCTION("CONCATENATE(GOOGLETRANSLATE(C2657, ""en"", ""ko""))"),"Nintendo Switch 온라인 확장팩")</f>
        <v>Nintendo Switch 온라인 확장팩</v>
      </c>
      <c r="F2657" s="1" t="str">
        <f>IFERROR(__xludf.DUMMYFUNCTION("CONCATENATE(GOOGLETRANSLATE(C2657, ""en"", ""ja""))"),"Nintendo Switch Online 拡張パック")</f>
        <v>Nintendo Switch Online 拡張パック</v>
      </c>
    </row>
    <row r="2658" ht="15.75" customHeight="1">
      <c r="A2658" s="1">
        <v>6988.0</v>
      </c>
      <c r="B2658" s="1" t="s">
        <v>15</v>
      </c>
      <c r="C2658" s="1" t="s">
        <v>2464</v>
      </c>
      <c r="D2658" s="1" t="str">
        <f>IFERROR(__xludf.DUMMYFUNCTION("CONCATENATE(GOOGLETRANSLATE(C2658, ""en"", ""zh-cn""))"),"祝你死得愉快")</f>
        <v>祝你死得愉快</v>
      </c>
      <c r="E2658" s="1" t="str">
        <f>IFERROR(__xludf.DUMMYFUNCTION("CONCATENATE(GOOGLETRANSLATE(C2658, ""en"", ""ko""))"),"좋은 죽음을 맞이하세요")</f>
        <v>좋은 죽음을 맞이하세요</v>
      </c>
      <c r="F2658" s="1" t="str">
        <f>IFERROR(__xludf.DUMMYFUNCTION("CONCATENATE(GOOGLETRANSLATE(C2658, ""en"", ""ja""))"),"良い死を")</f>
        <v>良い死を</v>
      </c>
    </row>
    <row r="2659" ht="15.75" customHeight="1">
      <c r="A2659" s="1">
        <v>6992.0</v>
      </c>
      <c r="B2659" s="1" t="s">
        <v>15</v>
      </c>
      <c r="C2659" s="1" t="s">
        <v>2465</v>
      </c>
      <c r="D2659" s="1" t="str">
        <f>IFERROR(__xludf.DUMMYFUNCTION("CONCATENATE(GOOGLETRANSLATE(C2659, ""en"", ""zh-cn""))"),"超级马里奥派对狂欢")</f>
        <v>超级马里奥派对狂欢</v>
      </c>
      <c r="E2659" s="1" t="str">
        <f>IFERROR(__xludf.DUMMYFUNCTION("CONCATENATE(GOOGLETRANSLATE(C2659, ""en"", ""ko""))"),"슈퍼마리오 파티 잼버리")</f>
        <v>슈퍼마리오 파티 잼버리</v>
      </c>
      <c r="F2659" s="1" t="str">
        <f>IFERROR(__xludf.DUMMYFUNCTION("CONCATENATE(GOOGLETRANSLATE(C2659, ""en"", ""ja""))"),"スーパー マリオパーティ ジャンボリー")</f>
        <v>スーパー マリオパーティ ジャンボリー</v>
      </c>
    </row>
    <row r="2660" ht="15.75" customHeight="1">
      <c r="A2660" s="1">
        <v>6999.0</v>
      </c>
      <c r="B2660" s="1" t="s">
        <v>15</v>
      </c>
      <c r="C2660" s="1" t="s">
        <v>2466</v>
      </c>
      <c r="D2660" s="1" t="str">
        <f>IFERROR(__xludf.DUMMYFUNCTION("CONCATENATE(GOOGLETRANSLATE(C2660, ""en"", ""zh-cn""))"),"超级马里奥 3D 全明星 (Nintendo Switch) - Nintendo eShop 帐户 - 全球")</f>
        <v>超级马里奥 3D 全明星 (Nintendo Switch) - Nintendo eShop 帐户 - 全球</v>
      </c>
      <c r="E2660" s="1" t="str">
        <f>IFERROR(__xludf.DUMMYFUNCTION("CONCATENATE(GOOGLETRANSLATE(C2660, ""en"", ""ko""))"),"슈퍼 마리오 3D 올스타(Nintendo Switch) - Nintendo eShop 계정 - GLOBAL")</f>
        <v>슈퍼 마리오 3D 올스타(Nintendo Switch) - Nintendo eShop 계정 - GLOBAL</v>
      </c>
      <c r="F2660" s="1" t="str">
        <f>IFERROR(__xludf.DUMMYFUNCTION("CONCATENATE(GOOGLETRANSLATE(C2660, ""en"", ""ja""))"),"スーパーマリオ 3D オールスターズ (Nintendo Switch) - ニンテンドー eショップ アカウント - GLOBAL")</f>
        <v>スーパーマリオ 3D オールスターズ (Nintendo Switch) - ニンテンドー eショップ アカウント - GLOBAL</v>
      </c>
    </row>
    <row r="2661" ht="15.75" customHeight="1">
      <c r="A2661" s="1">
        <v>7004.0</v>
      </c>
      <c r="B2661" s="1" t="s">
        <v>15</v>
      </c>
      <c r="C2661" s="1" t="s">
        <v>2467</v>
      </c>
      <c r="D2661" s="1" t="str">
        <f>IFERROR(__xludf.DUMMYFUNCTION("CONCATENATE(GOOGLETRANSLATE(C2661, ""en"", ""zh-cn""))"),"任天堂 eShop 卡 20$ (NINTENDO ESHOP) - 即时下载")</f>
        <v>任天堂 eShop 卡 20$ (NINTENDO ESHOP) - 即时下载</v>
      </c>
      <c r="E2661" s="1" t="str">
        <f>IFERROR(__xludf.DUMMYFUNCTION("CONCATENATE(GOOGLETRANSLATE(C2661, ""en"", ""ko""))"),"Nintendo eShop 카드 20$ (NINTENDO ESHOP) - 즉시 다운로드")</f>
        <v>Nintendo eShop 카드 20$ (NINTENDO ESHOP) - 즉시 다운로드</v>
      </c>
      <c r="F2661" s="1" t="str">
        <f>IFERROR(__xludf.DUMMYFUNCTION("CONCATENATE(GOOGLETRANSLATE(C2661, ""en"", ""ja""))"),"ニンテンドー eショップ カード 20$ (NINTENDO ESHOP) - インスタントダウンロード")</f>
        <v>ニンテンドー eショップ カード 20$ (NINTENDO ESHOP) - インスタントダウンロード</v>
      </c>
    </row>
    <row r="2662" ht="15.75" customHeight="1">
      <c r="A2662" s="1">
        <v>7038.0</v>
      </c>
      <c r="B2662" s="1" t="s">
        <v>15</v>
      </c>
      <c r="C2662" s="1" t="s">
        <v>2468</v>
      </c>
      <c r="D2662" s="1" t="str">
        <f>IFERROR(__xludf.DUMMYFUNCTION("CONCATENATE(GOOGLETRANSLATE(C2662, ""en"", ""zh-cn""))"),"阿迪达斯 (adidas) 男士 Ow 跑步短裤")</f>
        <v>阿迪达斯 (adidas) 男士 Ow 跑步短裤</v>
      </c>
      <c r="E2662" s="1" t="str">
        <f>IFERROR(__xludf.DUMMYFUNCTION("CONCATENATE(GOOGLETRANSLATE(C2662, ""en"", ""ko""))"),"아디다스 남성용 더 런 반바지")</f>
        <v>아디다스 남성용 더 런 반바지</v>
      </c>
      <c r="F2662" s="1" t="str">
        <f>IFERROR(__xludf.DUMMYFUNCTION("CONCATENATE(GOOGLETRANSLATE(C2662, ""en"", ""ja""))"),"アディダス メンズ オウン ザ ラン ショーツ")</f>
        <v>アディダス メンズ オウン ザ ラン ショーツ</v>
      </c>
    </row>
    <row r="2663" ht="15.75" customHeight="1">
      <c r="A2663" s="1">
        <v>7039.0</v>
      </c>
      <c r="B2663" s="1" t="s">
        <v>15</v>
      </c>
      <c r="C2663" s="1" t="s">
        <v>2469</v>
      </c>
      <c r="D2663" s="1" t="str">
        <f>IFERROR(__xludf.DUMMYFUNCTION("CONCATENATE(GOOGLETRANSLATE(C2663, ""en"", ""zh-cn""))"),"阿迪达斯 (adidas) 男士 Adicolor Classics SST 运动裤")</f>
        <v>阿迪达斯 (adidas) 男士 Adicolor Classics SST 运动裤</v>
      </c>
      <c r="E2663" s="1" t="str">
        <f>IFERROR(__xludf.DUMMYFUNCTION("CONCATENATE(GOOGLETRANSLATE(C2663, ""en"", ""ko""))"),"아디다스 남성 Adicolor 클래식 SST 트랙 팬츠")</f>
        <v>아디다스 남성 Adicolor 클래식 SST 트랙 팬츠</v>
      </c>
      <c r="F2663" s="1" t="str">
        <f>IFERROR(__xludf.DUMMYFUNCTION("CONCATENATE(GOOGLETRANSLATE(C2663, ""en"", ""ja""))"),"アディダス メンズ アディカラー クラシック SST トラック パンツ")</f>
        <v>アディダス メンズ アディカラー クラシック SST トラック パンツ</v>
      </c>
    </row>
    <row r="2664" ht="15.75" customHeight="1">
      <c r="A2664" s="1">
        <v>7048.0</v>
      </c>
      <c r="B2664" s="1" t="s">
        <v>15</v>
      </c>
      <c r="C2664" s="1" t="s">
        <v>2470</v>
      </c>
      <c r="D2664" s="1" t="str">
        <f>IFERROR(__xludf.DUMMYFUNCTION("CONCATENATE(GOOGLETRANSLATE(C2664, ""en"", ""zh-cn""))"),"adidas s Essentials 抓绒三条纹全拉链连帽衫")</f>
        <v>adidas s Essentials 抓绒三条纹全拉链连帽衫</v>
      </c>
      <c r="E2664" s="1" t="str">
        <f>IFERROR(__xludf.DUMMYFUNCTION("CONCATENATE(GOOGLETRANSLATE(C2664, ""en"", ""ko""))"),"adidas s Essentials 플리스 3-스트라이프 풀집 후디")</f>
        <v>adidas s Essentials 플리스 3-스트라이프 풀집 후디</v>
      </c>
      <c r="F2664" s="1" t="str">
        <f>IFERROR(__xludf.DUMMYFUNCTION("CONCATENATE(GOOGLETRANSLATE(C2664, ""en"", ""ja""))"),"アディダス エッセンシャル フリース 3 ストライプ フルジップ パーカー")</f>
        <v>アディダス エッセンシャル フリース 3 ストライプ フルジップ パーカー</v>
      </c>
    </row>
    <row r="2665" ht="15.75" customHeight="1">
      <c r="A2665" s="1">
        <v>7064.0</v>
      </c>
      <c r="B2665" s="1" t="s">
        <v>15</v>
      </c>
      <c r="C2665" s="1" t="s">
        <v>2471</v>
      </c>
      <c r="D2665" s="1" t="str">
        <f>IFERROR(__xludf.DUMMYFUNCTION("CONCATENATE(GOOGLETRANSLATE(C2665, ""en"", ""zh-cn""))"),"ASICS Spiral A Fill T 恤")</f>
        <v>ASICS Spiral A Fill T 恤</v>
      </c>
      <c r="E2665" s="1" t="str">
        <f>IFERROR(__xludf.DUMMYFUNCTION("CONCATENATE(GOOGLETRANSLATE(C2665, ""en"", ""ko""))"),"아식스 스파이럴 A 필 티셔츠")</f>
        <v>아식스 스파이럴 A 필 티셔츠</v>
      </c>
      <c r="F2665" s="1" t="str">
        <f>IFERROR(__xludf.DUMMYFUNCTION("CONCATENATE(GOOGLETRANSLATE(C2665, ""en"", ""ja""))"),"アシックス スパイラル A フィル ティー")</f>
        <v>アシックス スパイラル A フィル ティー</v>
      </c>
    </row>
    <row r="2666" ht="15.75" customHeight="1">
      <c r="A2666" s="1">
        <v>7065.0</v>
      </c>
      <c r="B2666" s="1" t="s">
        <v>15</v>
      </c>
      <c r="C2666" s="1" t="s">
        <v>2472</v>
      </c>
      <c r="D2666" s="1" t="str">
        <f>IFERROR(__xludf.DUMMYFUNCTION("CONCATENATE(GOOGLETRANSLATE(C2666, ""en"", ""zh-cn""))"),"ASICS 男士 PR Lyte 短裤")</f>
        <v>ASICS 男士 PR Lyte 短裤</v>
      </c>
      <c r="E2666" s="1" t="str">
        <f>IFERROR(__xludf.DUMMYFUNCTION("CONCATENATE(GOOGLETRANSLATE(C2666, ""en"", ""ko""))"),"아식스 남성 PR 라이트 반바지")</f>
        <v>아식스 남성 PR 라이트 반바지</v>
      </c>
      <c r="F2666" s="1" t="str">
        <f>IFERROR(__xludf.DUMMYFUNCTION("CONCATENATE(GOOGLETRANSLATE(C2666, ""en"", ""ja""))"),"アシックス メンズ PR ライト ショーツ")</f>
        <v>アシックス メンズ PR ライト ショーツ</v>
      </c>
    </row>
    <row r="2667" ht="15.75" customHeight="1">
      <c r="A2667" s="1">
        <v>7091.0</v>
      </c>
      <c r="B2667" s="1" t="s">
        <v>15</v>
      </c>
      <c r="C2667" s="1" t="s">
        <v>2473</v>
      </c>
      <c r="D2667" s="1" t="str">
        <f>IFERROR(__xludf.DUMMYFUNCTION("CONCATENATE(GOOGLETRANSLATE(C2667, ""en"", ""zh-cn""))"),"Gymshark 惠特尼紧身裤")</f>
        <v>Gymshark 惠特尼紧身裤</v>
      </c>
      <c r="E2667" s="1" t="str">
        <f>IFERROR(__xludf.DUMMYFUNCTION("CONCATENATE(GOOGLETRANSLATE(C2667, ""en"", ""ko""))"),"Gymshark 휘트니 레깅스")</f>
        <v>Gymshark 휘트니 레깅스</v>
      </c>
      <c r="F2667" s="1" t="str">
        <f>IFERROR(__xludf.DUMMYFUNCTION("CONCATENATE(GOOGLETRANSLATE(C2667, ""en"", ""ja""))"),"Gymshark ホイットニー レギンス")</f>
        <v>Gymshark ホイットニー レギンス</v>
      </c>
    </row>
    <row r="2668" ht="15.75" customHeight="1">
      <c r="A2668" s="1">
        <v>7102.0</v>
      </c>
      <c r="B2668" s="1" t="s">
        <v>15</v>
      </c>
      <c r="C2668" s="1" t="s">
        <v>2474</v>
      </c>
      <c r="D2668" s="1" t="str">
        <f>IFERROR(__xludf.DUMMYFUNCTION("CONCATENATE(GOOGLETRANSLATE(C2668, ""en"", ""zh-cn""))"),"GYMSHARK Geo 无缝黑色/炭灰色")</f>
        <v>GYMSHARK Geo 无缝黑色/炭灰色</v>
      </c>
      <c r="E2668" s="1" t="str">
        <f>IFERROR(__xludf.DUMMYFUNCTION("CONCATENATE(GOOGLETRANSLATE(C2668, ""en"", ""ko""))"),"GYMSHARK 지오 심리스 블랙/차콜 그레이")</f>
        <v>GYMSHARK 지오 심리스 블랙/차콜 그레이</v>
      </c>
      <c r="F2668" s="1" t="str">
        <f>IFERROR(__xludf.DUMMYFUNCTION("CONCATENATE(GOOGLETRANSLATE(C2668, ""en"", ""ja""))"),"ジムシャーク ジオ シームレス ブラック/チャコール グレー")</f>
        <v>ジムシャーク ジオ シームレス ブラック/チャコール グレー</v>
      </c>
    </row>
    <row r="2669" ht="15.75" customHeight="1">
      <c r="A2669" s="1">
        <v>7113.0</v>
      </c>
      <c r="B2669" s="1" t="s">
        <v>15</v>
      </c>
      <c r="C2669" s="1" t="s">
        <v>2475</v>
      </c>
      <c r="D2669" s="1" t="str">
        <f>IFERROR(__xludf.DUMMYFUNCTION("CONCATENATE(GOOGLETRANSLATE(C2669, ""en"", ""zh-cn""))"),"Gymshark Rest Day Sweats 2.0 慢跑裤")</f>
        <v>Gymshark Rest Day Sweats 2.0 慢跑裤</v>
      </c>
      <c r="E2669" s="1" t="str">
        <f>IFERROR(__xludf.DUMMYFUNCTION("CONCATENATE(GOOGLETRANSLATE(C2669, ""en"", ""ko""))"),"Gymshark Rest Day Sweats 2.0 조깅하는 사람")</f>
        <v>Gymshark Rest Day Sweats 2.0 조깅하는 사람</v>
      </c>
      <c r="F2669" s="1" t="str">
        <f>IFERROR(__xludf.DUMMYFUNCTION("CONCATENATE(GOOGLETRANSLATE(C2669, ""en"", ""ja""))"),"Gymshark レスト デイ スウェット 2.0 ジョガー")</f>
        <v>Gymshark レスト デイ スウェット 2.0 ジョガー</v>
      </c>
    </row>
    <row r="2670" ht="15.75" customHeight="1">
      <c r="A2670" s="1">
        <v>7119.0</v>
      </c>
      <c r="B2670" s="1" t="s">
        <v>15</v>
      </c>
      <c r="C2670" s="1" t="s">
        <v>2476</v>
      </c>
      <c r="D2670" s="1" t="str">
        <f>IFERROR(__xludf.DUMMYFUNCTION("CONCATENATE(GOOGLETRANSLATE(C2670, ""en"", ""zh-cn""))"),"Gymshark Everyday 无缝拉链运动上衣")</f>
        <v>Gymshark Everyday 无缝拉链运动上衣</v>
      </c>
      <c r="E2670" s="1" t="str">
        <f>IFERROR(__xludf.DUMMYFUNCTION("CONCATENATE(GOOGLETRANSLATE(C2670, ""en"", ""ko""))"),"Gymshark Everyday Seamless Zip 트랙탑")</f>
        <v>Gymshark Everyday Seamless Zip 트랙탑</v>
      </c>
      <c r="F2670" s="1" t="str">
        <f>IFERROR(__xludf.DUMMYFUNCTION("CONCATENATE(GOOGLETRANSLATE(C2670, ""en"", ""ja""))"),"Gymshark Everyday シームレス ジップ トラックトップ")</f>
        <v>Gymshark Everyday シームレス ジップ トラックトップ</v>
      </c>
    </row>
    <row r="2671" ht="15.75" customHeight="1">
      <c r="A2671" s="1">
        <v>7128.0</v>
      </c>
      <c r="B2671" s="1" t="s">
        <v>15</v>
      </c>
      <c r="C2671" s="1" t="s">
        <v>2477</v>
      </c>
      <c r="D2671" s="1" t="str">
        <f>IFERROR(__xludf.DUMMYFUNCTION("CONCATENATE(GOOGLETRANSLATE(C2671, ""en"", ""zh-cn""))"),"Gymshark Legacy 常规护腿")</f>
        <v>Gymshark Legacy 常规护腿</v>
      </c>
      <c r="E2671" s="1" t="str">
        <f>IFERROR(__xludf.DUMMYFUNCTION("CONCATENATE(GOOGLETRANSLATE(C2671, ""en"", ""ko""))"),"Gymshark 레거시 레귤러 레깅스")</f>
        <v>Gymshark 레거시 레귤러 레깅스</v>
      </c>
      <c r="F2671" s="1" t="str">
        <f>IFERROR(__xludf.DUMMYFUNCTION("CONCATENATE(GOOGLETRANSLATE(C2671, ""en"", ""ja""))"),"ジムシャーク レガシー レギュラー レギンス")</f>
        <v>ジムシャーク レガシー レギュラー レギンス</v>
      </c>
    </row>
    <row r="2672" ht="15.75" customHeight="1">
      <c r="A2672" s="1">
        <v>7133.0</v>
      </c>
      <c r="B2672" s="1" t="s">
        <v>15</v>
      </c>
      <c r="C2672" s="1" t="s">
        <v>2478</v>
      </c>
      <c r="D2672" s="1" t="str">
        <f>IFERROR(__xludf.DUMMYFUNCTION("CONCATENATE(GOOGLETRANSLATE(C2672, ""en"", ""zh-cn""))"),"耐克男士运动装俱乐部抓绒裤")</f>
        <v>耐克男士运动装俱乐部抓绒裤</v>
      </c>
      <c r="E2672" s="1" t="str">
        <f>IFERROR(__xludf.DUMMYFUNCTION("CONCATENATE(GOOGLETRANSLATE(C2672, ""en"", ""ko""))"),"나이키 남성 스포츠웨어 클럽 플리스 팬츠")</f>
        <v>나이키 남성 스포츠웨어 클럽 플리스 팬츠</v>
      </c>
      <c r="F2672" s="1" t="str">
        <f>IFERROR(__xludf.DUMMYFUNCTION("CONCATENATE(GOOGLETRANSLATE(C2672, ""en"", ""ja""))"),"ナイキ メンズ スポーツウェア クラブ フリース パンツ")</f>
        <v>ナイキ メンズ スポーツウェア クラブ フリース パンツ</v>
      </c>
    </row>
    <row r="2673" ht="15.75" customHeight="1">
      <c r="A2673" s="1">
        <v>7143.0</v>
      </c>
      <c r="B2673" s="1" t="s">
        <v>15</v>
      </c>
      <c r="C2673" s="1" t="s">
        <v>2479</v>
      </c>
      <c r="D2673" s="1" t="str">
        <f>IFERROR(__xludf.DUMMYFUNCTION("CONCATENATE(GOOGLETRANSLATE(C2673, ""en"", ""zh-cn""))"),"女式 Nike Sportswear 经典梭织宽松防紫外线连帽夹克")</f>
        <v>女式 Nike Sportswear 经典梭织宽松防紫外线连帽夹克</v>
      </c>
      <c r="E2673" s="1" t="str">
        <f>IFERROR(__xludf.DUMMYFUNCTION("CONCATENATE(GOOGLETRANSLATE(C2673, ""en"", ""ko""))"),"여성용 나이키 스포츠웨어 클래식 우븐 루즈 UV 후드 재킷")</f>
        <v>여성용 나이키 스포츠웨어 클래식 우븐 루즈 UV 후드 재킷</v>
      </c>
      <c r="F2673" s="1" t="str">
        <f>IFERROR(__xludf.DUMMYFUNCTION("CONCATENATE(GOOGLETRANSLATE(C2673, ""en"", ""ja""))"),"レディース ナイキ スポーツウェア クラシック ウーブン ルーズ UV フード付きジャケット")</f>
        <v>レディース ナイキ スポーツウェア クラシック ウーブン ルーズ UV フード付きジャケット</v>
      </c>
    </row>
    <row r="2674" ht="15.75" customHeight="1">
      <c r="A2674" s="1">
        <v>7146.0</v>
      </c>
      <c r="B2674" s="1" t="s">
        <v>15</v>
      </c>
      <c r="C2674" s="1" t="s">
        <v>2480</v>
      </c>
      <c r="D2674" s="1" t="str">
        <f>IFERROR(__xludf.DUMMYFUNCTION("CONCATENATE(GOOGLETRANSLATE(C2674, ""en"", ""zh-cn""))"),"耐克女式运动装经典高腰图案打底裤")</f>
        <v>耐克女式运动装经典高腰图案打底裤</v>
      </c>
      <c r="E2674" s="1" t="str">
        <f>IFERROR(__xludf.DUMMYFUNCTION("CONCATENATE(GOOGLETRANSLATE(C2674, ""en"", ""ko""))"),"나이키 여성용 스포츠웨어 클래식 하이웨이스트 그래픽 레깅스")</f>
        <v>나이키 여성용 스포츠웨어 클래식 하이웨이스트 그래픽 레깅스</v>
      </c>
      <c r="F2674" s="1" t="str">
        <f>IFERROR(__xludf.DUMMYFUNCTION("CONCATENATE(GOOGLETRANSLATE(C2674, ""en"", ""ja""))"),"ナイキ レディース スポーツウェア クラシック ハイウエスト グラフィック レギンス")</f>
        <v>ナイキ レディース スポーツウェア クラシック ハイウエスト グラフィック レギンス</v>
      </c>
    </row>
    <row r="2675" ht="15.75" customHeight="1">
      <c r="A2675" s="1">
        <v>7157.0</v>
      </c>
      <c r="B2675" s="1" t="s">
        <v>15</v>
      </c>
      <c r="C2675" s="1" t="s">
        <v>2481</v>
      </c>
      <c r="D2675" s="1" t="str">
        <f>IFERROR(__xludf.DUMMYFUNCTION("CONCATENATE(GOOGLETRANSLATE(C2675, ""en"", ""zh-cn""))"),"耐克女式高腰褶皱羊毛长裤")</f>
        <v>耐克女式高腰褶皱羊毛长裤</v>
      </c>
      <c r="E2675" s="1" t="str">
        <f>IFERROR(__xludf.DUMMYFUNCTION("CONCATENATE(GOOGLETRANSLATE(C2675, ""en"", ""ko""))"),"나이키 여성용 하이웨이스트 플리츠 플리스 팬츠")</f>
        <v>나이키 여성용 하이웨이스트 플리츠 플리스 팬츠</v>
      </c>
      <c r="F2675" s="1" t="str">
        <f>IFERROR(__xludf.DUMMYFUNCTION("CONCATENATE(GOOGLETRANSLATE(C2675, ""en"", ""ja""))"),"ナイキ レディース ハイウエスト プリーツ フリース パンツ")</f>
        <v>ナイキ レディース ハイウエスト プリーツ フリース パンツ</v>
      </c>
    </row>
    <row r="2676" ht="15.75" customHeight="1">
      <c r="A2676" s="1">
        <v>7162.0</v>
      </c>
      <c r="B2676" s="1" t="s">
        <v>15</v>
      </c>
      <c r="C2676" s="1" t="s">
        <v>2482</v>
      </c>
      <c r="D2676" s="1" t="str">
        <f>IFERROR(__xludf.DUMMYFUNCTION("CONCATENATE(GOOGLETRANSLATE(C2676, ""en"", ""zh-cn""))"),"Nike 女式 Dri-Fit 中腰慢跑裤")</f>
        <v>Nike 女式 Dri-Fit 中腰慢跑裤</v>
      </c>
      <c r="E2676" s="1" t="str">
        <f>IFERROR(__xludf.DUMMYFUNCTION("CONCATENATE(GOOGLETRANSLATE(C2676, ""en"", ""ko""))"),"나이키 여성용 드라이핏 미드라이즈 조깅화")</f>
        <v>나이키 여성용 드라이핏 미드라이즈 조깅화</v>
      </c>
      <c r="F2676" s="1" t="str">
        <f>IFERROR(__xludf.DUMMYFUNCTION("CONCATENATE(GOOGLETRANSLATE(C2676, ""en"", ""ja""))"),"ナイキ ウィメンズ Dri-Fit ミッドライズ ジョガー")</f>
        <v>ナイキ ウィメンズ Dri-Fit ミッドライズ ジョガー</v>
      </c>
    </row>
    <row r="2677" ht="15.75" customHeight="1">
      <c r="A2677" s="1">
        <v>7187.0</v>
      </c>
      <c r="B2677" s="1" t="s">
        <v>15</v>
      </c>
      <c r="C2677" s="1" t="s">
        <v>2483</v>
      </c>
      <c r="D2677" s="1" t="str">
        <f>IFERROR(__xludf.DUMMYFUNCTION("CONCATENATE(GOOGLETRANSLATE(C2677, ""en"", ""zh-cn""))"),"Reebok 女式 Identity Back 矢量经编运动夹克")</f>
        <v>Reebok 女式 Identity Back 矢量经编运动夹克</v>
      </c>
      <c r="E2677" s="1" t="str">
        <f>IFERROR(__xludf.DUMMYFUNCTION("CONCATENATE(GOOGLETRANSLATE(C2677, ""en"", ""ko""))"),"Reebok 여성용 아이덴티티 백 벡터 트리코 트랙 재킷")</f>
        <v>Reebok 여성용 아이덴티티 백 벡터 트리코 트랙 재킷</v>
      </c>
      <c r="F2677" s="1" t="str">
        <f>IFERROR(__xludf.DUMMYFUNCTION("CONCATENATE(GOOGLETRANSLATE(C2677, ""en"", ""ja""))"),"リーボック レディース アイデンティティ バック ベクター トリコット トラック ジャケット")</f>
        <v>リーボック レディース アイデンティティ バック ベクター トリコット トラック ジャケット</v>
      </c>
    </row>
    <row r="2678" ht="15.75" customHeight="1">
      <c r="A2678" s="1">
        <v>7189.0</v>
      </c>
      <c r="B2678" s="1" t="s">
        <v>15</v>
      </c>
      <c r="C2678" s="1" t="s">
        <v>2484</v>
      </c>
      <c r="D2678" s="1" t="str">
        <f>IFERROR(__xludf.DUMMYFUNCTION("CONCATENATE(GOOGLETRANSLATE(C2678, ""en"", ""zh-cn""))"),"Reebok 女式 Lux 轮廓打底裤")</f>
        <v>Reebok 女式 Lux 轮廓打底裤</v>
      </c>
      <c r="E2678" s="1" t="str">
        <f>IFERROR(__xludf.DUMMYFUNCTION("CONCATENATE(GOOGLETRANSLATE(C2678, ""en"", ""ko""))"),"Reebok 여성용 Lux 컨투어 레깅스")</f>
        <v>Reebok 여성용 Lux 컨투어 레깅스</v>
      </c>
      <c r="F2678" s="1" t="str">
        <f>IFERROR(__xludf.DUMMYFUNCTION("CONCATENATE(GOOGLETRANSLATE(C2678, ""en"", ""ja""))"),"リーボック レディース ラックス コンター レギンス")</f>
        <v>リーボック レディース ラックス コンター レギンス</v>
      </c>
    </row>
    <row r="2679" ht="15.75" customHeight="1">
      <c r="A2679" s="1">
        <v>7192.0</v>
      </c>
      <c r="B2679" s="1" t="s">
        <v>15</v>
      </c>
      <c r="C2679" s="1" t="s">
        <v>2485</v>
      </c>
      <c r="D2679" s="1" t="str">
        <f>IFERROR(__xludf.DUMMYFUNCTION("CONCATENATE(GOOGLETRANSLATE(C2679, ""en"", ""zh-cn""))"),"Reebok 女士经典衣橱必需品抓绒裤")</f>
        <v>Reebok 女士经典衣橱必需品抓绒裤</v>
      </c>
      <c r="E2679" s="1" t="str">
        <f>IFERROR(__xludf.DUMMYFUNCTION("CONCATENATE(GOOGLETRANSLATE(C2679, ""en"", ""ko""))"),"Reebok 여성용 클래식 옷장 에센셜 플리스 팬츠")</f>
        <v>Reebok 여성용 클래식 옷장 에센셜 플리스 팬츠</v>
      </c>
      <c r="F2679" s="1" t="str">
        <f>IFERROR(__xludf.DUMMYFUNCTION("CONCATENATE(GOOGLETRANSLATE(C2679, ""en"", ""ja""))"),"リーボック レディース クラシック ワードローブ エッセンシャル フリース パンツ")</f>
        <v>リーボック レディース クラシック ワードローブ エッセンシャル フリース パンツ</v>
      </c>
    </row>
    <row r="2680" ht="15.75" customHeight="1">
      <c r="A2680" s="1">
        <v>7198.0</v>
      </c>
      <c r="B2680" s="1" t="s">
        <v>15</v>
      </c>
      <c r="C2680" s="1" t="s">
        <v>2486</v>
      </c>
      <c r="D2680" s="1" t="str">
        <f>IFERROR(__xludf.DUMMYFUNCTION("CONCATENATE(GOOGLETRANSLATE(C2680, ""en"", ""zh-cn""))"),"Reebok 女式 Active Collective DreamBlend 长裤")</f>
        <v>Reebok 女式 Active Collective DreamBlend 长裤</v>
      </c>
      <c r="E2680" s="1" t="str">
        <f>IFERROR(__xludf.DUMMYFUNCTION("CONCATENATE(GOOGLETRANSLATE(C2680, ""en"", ""ko""))"),"Reebok 여성 액티브 콜렉티브 DreamBlend 바지")</f>
        <v>Reebok 여성 액티브 콜렉티브 DreamBlend 바지</v>
      </c>
      <c r="F2680" s="1" t="str">
        <f>IFERROR(__xludf.DUMMYFUNCTION("CONCATENATE(GOOGLETRANSLATE(C2680, ""en"", ""ja""))"),"Reebok レディース アクティブ コレクティブ ドリームブレンド パンツ")</f>
        <v>Reebok レディース アクティブ コレクティブ ドリームブレンド パンツ</v>
      </c>
    </row>
    <row r="2681" ht="15.75" customHeight="1">
      <c r="A2681" s="1">
        <v>7210.0</v>
      </c>
      <c r="B2681" s="1" t="s">
        <v>15</v>
      </c>
      <c r="C2681" s="1" t="s">
        <v>2487</v>
      </c>
      <c r="D2681" s="1" t="str">
        <f>IFERROR(__xludf.DUMMYFUNCTION("CONCATENATE(GOOGLETRANSLATE(C2681, ""en"", ""zh-cn""))"),"Reebok 女式锻炼 3/4 打底裤")</f>
        <v>Reebok 女式锻炼 3/4 打底裤</v>
      </c>
      <c r="E2681" s="1" t="str">
        <f>IFERROR(__xludf.DUMMYFUNCTION("CONCATENATE(GOOGLETRANSLATE(C2681, ""en"", ""ko""))"),"Reebok 여성 워크아웃 레디 3/4 레깅스")</f>
        <v>Reebok 여성 워크아웃 레디 3/4 레깅스</v>
      </c>
      <c r="F2681" s="1" t="str">
        <f>IFERROR(__xludf.DUMMYFUNCTION("CONCATENATE(GOOGLETRANSLATE(C2681, ""en"", ""ja""))"),"リーボック レディース Workout Ready 3/4 レギンス")</f>
        <v>リーボック レディース Workout Ready 3/4 レギンス</v>
      </c>
    </row>
    <row r="2682" ht="15.75" customHeight="1">
      <c r="A2682" s="1">
        <v>7211.0</v>
      </c>
      <c r="B2682" s="1" t="s">
        <v>15</v>
      </c>
      <c r="C2682" s="1" t="s">
        <v>1907</v>
      </c>
      <c r="D2682" s="1" t="str">
        <f>IFERROR(__xludf.DUMMYFUNCTION("CONCATENATE(GOOGLETRANSLATE(C2682, ""en"", ""zh-cn""))"),"Lenovo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2682" s="1" t="str">
        <f>IFERROR(__xludf.DUMMYFUNCTION("CONCATENATE(GOOGLETRANSLATE(C2682, ""en"", ""ko""))"),"Lenovo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2682" s="1" t="str">
        <f>IFERROR(__xludf.DUMMYFUNCTION("CONCATENATE(GOOGLETRANSLATE(C2682, ""en"", ""ja""))"),"Lenovo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2683" ht="15.75" customHeight="1">
      <c r="A2683" s="1">
        <v>7214.0</v>
      </c>
      <c r="B2683" s="1" t="s">
        <v>15</v>
      </c>
      <c r="C2683" s="1" t="s">
        <v>1903</v>
      </c>
      <c r="D2683" s="1" t="str">
        <f>IFERROR(__xludf.DUMMYFUNCTION("CONCATENATE(GOOGLETRANSLATE(C2683, ""en"", ""zh-cn""))"),"CuberShop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2683" s="1" t="str">
        <f>IFERROR(__xludf.DUMMYFUNCTION("CONCATENATE(GOOGLETRANSLATE(C2683, ""en"", ""ko""))"),"CuberShop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2683" s="1" t="str">
        <f>IFERROR(__xludf.DUMMYFUNCTION("CONCATENATE(GOOGLETRANSLATE(C2683, ""en"", ""ja""))"),"CuberShop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2684" ht="15.75" customHeight="1">
      <c r="A2684" s="1">
        <v>7220.0</v>
      </c>
      <c r="B2684" s="1" t="s">
        <v>15</v>
      </c>
      <c r="C2684" s="1" t="s">
        <v>1647</v>
      </c>
      <c r="D2684" s="1" t="str">
        <f>IFERROR(__xludf.DUMMYFUNCTION("CONCATENATE(GOOGLETRANSLATE(C2684, ""en"", ""zh-cn""))"),"带盖拼图板，大型倾斜 1500 块拼图桌，ENGRTALENT 35 英寸 x 26 英寸带抽屉便携式拼图桌，带彩色拼图分类托盘、指南、毛毡板和手柄。")</f>
        <v>带盖拼图板，大型倾斜 1500 块拼图桌，ENGRTALENT 35 英寸 x 26 英寸带抽屉便携式拼图桌，带彩色拼图分类托盘、指南、毛毡板和手柄。</v>
      </c>
      <c r="E2684" s="1" t="str">
        <f>IFERROR(__xludf.DUMMYFUNCTION("CONCATENATE(GOOGLETRANSLATE(C2684, ""en"", ""ko""))"),"덮개가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2684" s="1" t="str">
        <f>IFERROR(__xludf.DUMMYFUNCTION("CONCATENATE(GOOGLETRANSLATE(C2684, ""en"", ""ja""))"),"カバー付きパズルボード、大型傾斜1500ピースジグソーパズルテーブル、ENGRTALENT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2685" ht="15.75" customHeight="1">
      <c r="A2685" s="1">
        <v>7222.0</v>
      </c>
      <c r="B2685" s="1" t="s">
        <v>15</v>
      </c>
      <c r="C2685" s="1" t="s">
        <v>1649</v>
      </c>
      <c r="D2685" s="1" t="str">
        <f>IFERROR(__xludf.DUMMYFUNCTION("CONCATENATE(GOOGLETRANSLATE(C2685, ""en"", ""zh-cn""))"),"GAN 机器人，魔方解谜机自动解谜器和解谜器，兼容 GAN 356i2 i3 iplay iCarry Speed Cubes（不含魔方）和最新版本 APP")</f>
        <v>GAN 机器人，魔方解谜机自动解谜器和解谜器，兼容 GAN 356i2 i3 iplay iCarry Speed Cubes（不含魔方）和最新版本 APP</v>
      </c>
      <c r="E2685" s="1" t="str">
        <f>IFERROR(__xludf.DUMMYFUNCTION("CONCATENATE(GOOGLETRANSLATE(C2685, ""en"", ""ko""))"),"GAN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2685" s="1" t="str">
        <f>IFERROR(__xludf.DUMMYFUNCTION("CONCATENATE(GOOGLETRANSLATE(C2685, ""en"", ""ja""))"),"GAN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2686" ht="15.75" customHeight="1">
      <c r="A2686" s="1">
        <v>7225.0</v>
      </c>
      <c r="B2686" s="1" t="s">
        <v>15</v>
      </c>
      <c r="C2686" s="1" t="s">
        <v>1842</v>
      </c>
      <c r="D2686" s="1" t="str">
        <f>IFERROR(__xludf.DUMMYFUNCTION("CONCATENATE(GOOGLETRANSLATE(C2686, ""en"", ""zh-cn""))"),"波克芬诺 GAN Megaminx M 3x3 速度魔方 Gan 五角形磁性无贴纸魔法拼图魔方玩具")</f>
        <v>波克芬诺 GAN Megaminx M 3x3 速度魔方 Gan 五角形磁性无贴纸魔法拼图魔方玩具</v>
      </c>
      <c r="E2686" s="1" t="str">
        <f>IFERROR(__xludf.DUMMYFUNCTION("CONCATENATE(GOOGLETRANSLATE(C2686, ""en"", ""ko""))"),"Bokefenuo GAN Megaminx M 3x3 스피드 큐브 Gan 오각형 자기 스티커가없는 매직 퍼즐 큐브 장난감")</f>
        <v>Bokefenuo GAN Megaminx M 3x3 스피드 큐브 Gan 오각형 자기 스티커가없는 매직 퍼즐 큐브 장난감</v>
      </c>
      <c r="F2686" s="1" t="str">
        <f>IFERROR(__xludf.DUMMYFUNCTION("CONCATENATE(GOOGLETRANSLATE(C2686, ""en"", ""ja""))"),"Bokefenuo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2687" ht="15.75" customHeight="1">
      <c r="A2687" s="1">
        <v>7233.0</v>
      </c>
      <c r="B2687" s="1" t="s">
        <v>15</v>
      </c>
      <c r="C2687" s="1" t="s">
        <v>1853</v>
      </c>
      <c r="D2687" s="1" t="str">
        <f>IFERROR(__xludf.DUMMYFUNCTION("CONCATENATE(GOOGLETRANSLATE(C2687, ""en"", ""zh-cn""))"),"带金属腿和盖子的拼图桌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2687" s="1" t="str">
        <f>IFERROR(__xludf.DUMMYFUNCTION("CONCATENATE(GOOGLETRANSLATE(C2687, ""en"", ""ko""))"),"금속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2687" s="1" t="str">
        <f>IFERROR(__xludf.DUMMYFUNCTION("CONCATENATE(GOOGLETRANSLATE(C2687, ""en"", ""ja""))"),"金属製の脚とカバー付きパズルテーブル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2688" ht="15.75" customHeight="1">
      <c r="A2688" s="1">
        <v>7239.0</v>
      </c>
      <c r="B2688" s="1" t="s">
        <v>15</v>
      </c>
      <c r="C2688" s="1" t="s">
        <v>1911</v>
      </c>
      <c r="D2688" s="1" t="str">
        <f>IFERROR(__xludf.DUMMYFUNCTION("CONCATENATE(GOOGLETRANSLATE(C2688, ""en"", ""zh-cn""))"),"Alvantor 弹出式泡泡帐篷 - 6' x 6' 即时冰屋帐篷 - 2-3 人露台屏风屋 - 大型超大防风雨吊舱 - 防寒露营帐篷 - 米色")</f>
        <v>Alvantor 弹出式泡泡帐篷 - 6' x 6' 即时冰屋帐篷 - 2-3 人露台屏风屋 - 大型超大防风雨吊舱 - 防寒露营帐篷 - 米色</v>
      </c>
      <c r="E2688" s="1" t="str">
        <f>IFERROR(__xludf.DUMMYFUNCTION("CONCATENATE(GOOGLETRANSLATE(C2688, ""en"", ""ko""))"),"Alvantor 팝업 버블 텐트 - 6' x 6' 인스턴트 이글루 텐트 - 파티오용 2-3인용 스크린 하우스 - 대형 특대 전천후 포드 - 방한 캠핑 텐트 - 베이지")</f>
        <v>Alvantor 팝업 버블 텐트 - 6' x 6' 인스턴트 이글루 텐트 - 파티오용 2-3인용 스크린 하우스 - 대형 특대 전천후 포드 - 방한 캠핑 텐트 - 베이지</v>
      </c>
      <c r="F2688" s="1" t="str">
        <f>IFERROR(__xludf.DUMMYFUNCTION("CONCATENATE(GOOGLETRANSLATE(C2688, ""en"", ""ja""))"),"Alvantor ポップアップバブルテント - 6フィート x 6フィート インスタントイグルーテント - パティオ用2～3人用スクリーンハウス - 大型特大耐候性ポッド - 防寒キャンプテント - ベージュ")</f>
        <v>Alvantor ポップアップバブルテント - 6フィート x 6フィート インスタントイグルーテント - パティオ用2～3人用スクリーンハウス - 大型特大耐候性ポッド - 防寒キャンプテント - ベージュ</v>
      </c>
    </row>
    <row r="2689" ht="15.75" customHeight="1">
      <c r="A2689" s="1">
        <v>7242.0</v>
      </c>
      <c r="B2689" s="1" t="s">
        <v>15</v>
      </c>
      <c r="C2689" s="1" t="s">
        <v>2488</v>
      </c>
      <c r="D2689" s="1" t="str">
        <f>IFERROR(__xludf.DUMMYFUNCTION("CONCATENATE(GOOGLETRANSLATE(C2689, ""en"", ""zh-cn""))"),"Rawlings 坚固背包巧克力")</f>
        <v>Rawlings 坚固背包巧克力</v>
      </c>
      <c r="E2689" s="1" t="str">
        <f>IFERROR(__xludf.DUMMYFUNCTION("CONCATENATE(GOOGLETRANSLATE(C2689, ""en"", ""ko""))"),"롤링스 러기드 백팩 초콜릿")</f>
        <v>롤링스 러기드 백팩 초콜릿</v>
      </c>
      <c r="F2689" s="1" t="str">
        <f>IFERROR(__xludf.DUMMYFUNCTION("CONCATENATE(GOOGLETRANSLATE(C2689, ""en"", ""ja""))"),"ローリングス ラギッド バックパック チョコレート")</f>
        <v>ローリングス ラギッド バックパック チョコレート</v>
      </c>
    </row>
    <row r="2690" ht="15.75" customHeight="1">
      <c r="A2690" s="1">
        <v>7261.0</v>
      </c>
      <c r="B2690" s="1" t="s">
        <v>15</v>
      </c>
      <c r="C2690" s="1" t="s">
        <v>2489</v>
      </c>
      <c r="D2690" s="1" t="str">
        <f>IFERROR(__xludf.DUMMYFUNCTION("CONCATENATE(GOOGLETRANSLATE(C2690, ""en"", ""zh-cn""))"),"苹果礼品卡 500 美元")</f>
        <v>苹果礼品卡 500 美元</v>
      </c>
      <c r="E2690" s="1" t="str">
        <f>IFERROR(__xludf.DUMMYFUNCTION("CONCATENATE(GOOGLETRANSLATE(C2690, ""en"", ""ko""))"),"애플 기프트 카드 $500")</f>
        <v>애플 기프트 카드 $500</v>
      </c>
      <c r="F2690" s="1" t="str">
        <f>IFERROR(__xludf.DUMMYFUNCTION("CONCATENATE(GOOGLETRANSLATE(C2690, ""en"", ""ja""))"),"Apple ギフトカード $500")</f>
        <v>Apple ギフトカード $500</v>
      </c>
    </row>
    <row r="2691" ht="15.75" customHeight="1">
      <c r="A2691" s="1">
        <v>7262.0</v>
      </c>
      <c r="B2691" s="1" t="s">
        <v>15</v>
      </c>
      <c r="C2691" s="1" t="s">
        <v>2490</v>
      </c>
      <c r="D2691" s="1" t="str">
        <f>IFERROR(__xludf.DUMMYFUNCTION("CONCATENATE(GOOGLETRANSLATE(C2691, ""en"", ""zh-cn""))"),"Fluidmaster 8300 Flush 'N Sparkle 自动马桶清洁系统")</f>
        <v>Fluidmaster 8300 Flush 'N Sparkle 自动马桶清洁系统</v>
      </c>
      <c r="E2691" s="1" t="str">
        <f>IFERROR(__xludf.DUMMYFUNCTION("CONCATENATE(GOOGLETRANSLATE(C2691, ""en"", ""ko""))"),"Fluidmaster 8300 Flush 'N Sparkle 자동 변기 청소 시스템")</f>
        <v>Fluidmaster 8300 Flush 'N Sparkle 자동 변기 청소 시스템</v>
      </c>
      <c r="F2691" s="1" t="str">
        <f>IFERROR(__xludf.DUMMYFUNCTION("CONCATENATE(GOOGLETRANSLATE(C2691, ""en"", ""ja""))"),"Fluidmaster 8300 Flush 'N Sparkle 自動便器洗浄システム")</f>
        <v>Fluidmaster 8300 Flush 'N Sparkle 自動便器洗浄システム</v>
      </c>
    </row>
    <row r="2692" ht="15.75" customHeight="1">
      <c r="A2692" s="1">
        <v>7264.0</v>
      </c>
      <c r="B2692" s="1" t="s">
        <v>15</v>
      </c>
      <c r="C2692" s="1" t="s">
        <v>2491</v>
      </c>
      <c r="D2692" s="1" t="str">
        <f>IFERROR(__xludf.DUMMYFUNCTION("CONCATENATE(GOOGLETRANSLATE(C2692, ""en"", ""zh-cn""))"),"Fluidmaster PRO45 马桶进水阀")</f>
        <v>Fluidmaster PRO45 马桶进水阀</v>
      </c>
      <c r="E2692" s="1" t="str">
        <f>IFERROR(__xludf.DUMMYFUNCTION("CONCATENATE(GOOGLETRANSLATE(C2692, ""en"", ""ko""))"),"Fluidmaster PRO45 변기 채우기 밸브")</f>
        <v>Fluidmaster PRO45 변기 채우기 밸브</v>
      </c>
      <c r="F2692" s="1" t="str">
        <f>IFERROR(__xludf.DUMMYFUNCTION("CONCATENATE(GOOGLETRANSLATE(C2692, ""en"", ""ja""))"),"Fluidmaster PRO45 トイレ充填バルブ")</f>
        <v>Fluidmaster PRO45 トイレ充填バルブ</v>
      </c>
    </row>
    <row r="2693" ht="15.75" customHeight="1">
      <c r="A2693" s="1">
        <v>7269.0</v>
      </c>
      <c r="B2693" s="1" t="s">
        <v>15</v>
      </c>
      <c r="C2693" s="1" t="s">
        <v>2492</v>
      </c>
      <c r="D2693" s="1" t="str">
        <f>IFERROR(__xludf.DUMMYFUNCTION("CONCATENATE(GOOGLETRANSLATE(C2693, ""en"", ""zh-cn""))"),"Fluidmaster PerforMAX 一体化马桶维修套件 400ARHRKP10")</f>
        <v>Fluidmaster PerforMAX 一体化马桶维修套件 400ARHRKP10</v>
      </c>
      <c r="E2693" s="1" t="str">
        <f>IFERROR(__xludf.DUMMYFUNCTION("CONCATENATE(GOOGLETRANSLATE(C2693, ""en"", ""ko""))"),"Fluidmaster PerforMAX 올인원 변기 수리 키트 400ARHRKP10")</f>
        <v>Fluidmaster PerforMAX 올인원 변기 수리 키트 400ARHRKP10</v>
      </c>
      <c r="F2693" s="1" t="str">
        <f>IFERROR(__xludf.DUMMYFUNCTION("CONCATENATE(GOOGLETRANSLATE(C2693, ""en"", ""ja""))"),"Fluidmaster PerforMAX オールインワントイレ修理キット 400ARHRKP10")</f>
        <v>Fluidmaster PerforMAX オールインワントイレ修理キット 400ARHRKP10</v>
      </c>
    </row>
    <row r="2694" ht="15.75" customHeight="1">
      <c r="A2694" s="1">
        <v>7278.0</v>
      </c>
      <c r="B2694" s="1" t="s">
        <v>15</v>
      </c>
      <c r="C2694" s="1" t="s">
        <v>2493</v>
      </c>
      <c r="D2694" s="1" t="str">
        <f>IFERROR(__xludf.DUMMYFUNCTION("CONCATENATE(GOOGLETRANSLATE(C2694, ""en"", ""zh-cn""))"),"Fluidmaster 550DFRK 双冲洗完整系统")</f>
        <v>Fluidmaster 550DFRK 双冲洗完整系统</v>
      </c>
      <c r="E2694" s="1" t="str">
        <f>IFERROR(__xludf.DUMMYFUNCTION("CONCATENATE(GOOGLETRANSLATE(C2694, ""en"", ""ko""))"),"Fluidmaster 550DFRK 이중 세척 전체 시스템")</f>
        <v>Fluidmaster 550DFRK 이중 세척 전체 시스템</v>
      </c>
      <c r="F2694" s="1" t="str">
        <f>IFERROR(__xludf.DUMMYFUNCTION("CONCATENATE(GOOGLETRANSLATE(C2694, ""en"", ""ja""))"),"Fluidmaster 550DFRK デュアルフラッシュ コンプリート システム")</f>
        <v>Fluidmaster 550DFRK デュアルフラッシュ コンプリート システム</v>
      </c>
    </row>
    <row r="2695" ht="15.75" customHeight="1">
      <c r="A2695" s="1">
        <v>7281.0</v>
      </c>
      <c r="B2695" s="1" t="s">
        <v>15</v>
      </c>
      <c r="C2695" s="1" t="s">
        <v>2494</v>
      </c>
      <c r="D2695" s="1" t="str">
        <f>IFERROR(__xludf.DUMMYFUNCTION("CONCATENATE(GOOGLETRANSLATE(C2695, ""en"", ""zh-cn""))"),"Fluidmaster 3 英寸双冲洗阀替换件 830V-001")</f>
        <v>Fluidmaster 3 英寸双冲洗阀替换件 830V-001</v>
      </c>
      <c r="E2695" s="1" t="str">
        <f>IFERROR(__xludf.DUMMYFUNCTION("CONCATENATE(GOOGLETRANSLATE(C2695, ""en"", ""ko""))"),"Fluidmaster 3인치 이중 플러시 밸브 교체 830V-001")</f>
        <v>Fluidmaster 3인치 이중 플러시 밸브 교체 830V-001</v>
      </c>
      <c r="F2695" s="1" t="str">
        <f>IFERROR(__xludf.DUMMYFUNCTION("CONCATENATE(GOOGLETRANSLATE(C2695, ""en"", ""ja""))"),"Fluidmaster 3 インチ デュアル フラッシュ バルブ交換用 830V-001")</f>
        <v>Fluidmaster 3 インチ デュアル フラッシュ バルブ交換用 830V-001</v>
      </c>
    </row>
    <row r="2696" ht="15.75" customHeight="1">
      <c r="A2696" s="1">
        <v>7293.0</v>
      </c>
      <c r="B2696" s="1" t="s">
        <v>15</v>
      </c>
      <c r="C2696" s="1" t="s">
        <v>2495</v>
      </c>
      <c r="D2696" s="1" t="str">
        <f>IFERROR(__xludf.DUMMYFUNCTION("CONCATENATE(GOOGLETRANSLATE(C2696, ""en"", ""zh-cn""))"),"Fluidmaster 超级挡板")</f>
        <v>Fluidmaster 超级挡板</v>
      </c>
      <c r="E2696" s="1" t="str">
        <f>IFERROR(__xludf.DUMMYFUNCTION("CONCATENATE(GOOGLETRANSLATE(C2696, ""en"", ""ko""))"),"Fluidmaster 슈퍼 플래퍼")</f>
        <v>Fluidmaster 슈퍼 플래퍼</v>
      </c>
      <c r="F2696" s="1" t="str">
        <f>IFERROR(__xludf.DUMMYFUNCTION("CONCATENATE(GOOGLETRANSLATE(C2696, ""en"", ""ja""))"),"フルイドマスター スーパー フラッパー")</f>
        <v>フルイドマスター スーパー フラッパー</v>
      </c>
    </row>
    <row r="2697" ht="15.75" customHeight="1">
      <c r="A2697" s="1">
        <v>7299.0</v>
      </c>
      <c r="B2697" s="1" t="s">
        <v>15</v>
      </c>
      <c r="C2697" s="1" t="s">
        <v>2496</v>
      </c>
      <c r="D2697" s="1" t="str">
        <f>IFERROR(__xludf.DUMMYFUNCTION("CONCATENATE(GOOGLETRANSLATE(C2697, ""en"", ""zh-cn""))"),"Fluidmaster PRO45BW501 黄铜柄填充阀和挡板套件")</f>
        <v>Fluidmaster PRO45BW501 黄铜柄填充阀和挡板套件</v>
      </c>
      <c r="E2697" s="1" t="str">
        <f>IFERROR(__xludf.DUMMYFUNCTION("CONCATENATE(GOOGLETRANSLATE(C2697, ""en"", ""ko""))"),"Fluidmaster PRO45BW501 황동 생크 충전 밸브 및 플래퍼 키트")</f>
        <v>Fluidmaster PRO45BW501 황동 생크 충전 밸브 및 플래퍼 키트</v>
      </c>
      <c r="F2697" s="1" t="str">
        <f>IFERROR(__xludf.DUMMYFUNCTION("CONCATENATE(GOOGLETRANSLATE(C2697, ""en"", ""ja""))"),"Fluidmaster PRO45BW501 真鍮シャンクフィルバルブおよびフラッパーキット")</f>
        <v>Fluidmaster PRO45BW501 真鍮シャンクフィルバルブおよびフラッパーキット</v>
      </c>
    </row>
    <row r="2698" ht="15.75" customHeight="1">
      <c r="A2698" s="1">
        <v>7325.0</v>
      </c>
      <c r="B2698" s="1" t="s">
        <v>15</v>
      </c>
      <c r="C2698" s="1" t="s">
        <v>2497</v>
      </c>
      <c r="D2698" s="1" t="str">
        <f>IFERROR(__xludf.DUMMYFUNCTION("CONCATENATE(GOOGLETRANSLATE(C2698, ""en"", ""zh-cn""))"),"CVD 15-3 浴室梳妆台套件")</f>
        <v>CVD 15-3 浴室梳妆台套件</v>
      </c>
      <c r="E2698" s="1" t="str">
        <f>IFERROR(__xludf.DUMMYFUNCTION("CONCATENATE(GOOGLETRANSLATE(C2698, ""en"", ""ko""))"),"CVD 15-3 욕실 세면대 캐비닛 키트")</f>
        <v>CVD 15-3 욕실 세면대 캐비닛 키트</v>
      </c>
      <c r="F2698" s="1" t="str">
        <f>IFERROR(__xludf.DUMMYFUNCTION("CONCATENATE(GOOGLETRANSLATE(C2698, ""en"", ""ja""))"),"CVD 15-3 洗面化粧台キャビネットキット")</f>
        <v>CVD 15-3 洗面化粧台キャビネットキット</v>
      </c>
    </row>
    <row r="2699" ht="15.75" customHeight="1">
      <c r="A2699" s="1">
        <v>7327.0</v>
      </c>
      <c r="B2699" s="1" t="s">
        <v>15</v>
      </c>
      <c r="C2699" s="1" t="s">
        <v>2498</v>
      </c>
      <c r="D2699" s="1" t="str">
        <f>IFERROR(__xludf.DUMMYFUNCTION("CONCATENATE(GOOGLETRANSLATE(C2699, ""en"", ""zh-cn""))"),"Homfa 58 英寸高浴室柜，带门和架子")</f>
        <v>Homfa 58 英寸高浴室柜，带门和架子</v>
      </c>
      <c r="E2699" s="1" t="str">
        <f>IFERROR(__xludf.DUMMYFUNCTION("CONCATENATE(GOOGLETRANSLATE(C2699, ""en"", ""ko""))"),"Homfa 58인치 높이의 욕실 캐비닛(문과 선반 포함)")</f>
        <v>Homfa 58인치 높이의 욕실 캐비닛(문과 선반 포함)</v>
      </c>
      <c r="F2699" s="1" t="str">
        <f>IFERROR(__xludf.DUMMYFUNCTION("CONCATENATE(GOOGLETRANSLATE(C2699, ""en"", ""ja""))"),"Homfa 高さ 58 インチのバスルームキャビネット、ドアと棚付き")</f>
        <v>Homfa 高さ 58 インチのバスルームキャビネット、ドアと棚付き</v>
      </c>
    </row>
    <row r="2700" ht="15.75" customHeight="1">
      <c r="A2700" s="1">
        <v>7339.0</v>
      </c>
      <c r="B2700" s="1" t="s">
        <v>15</v>
      </c>
      <c r="C2700" s="1" t="s">
        <v>2499</v>
      </c>
      <c r="D2700" s="1" t="str">
        <f>IFERROR(__xludf.DUMMYFUNCTION("CONCATENATE(GOOGLETRANSLATE(C2700, ""en"", ""zh-cn""))"),"Fallon 27"" 橡木粉梳妆台大理石")</f>
        <v>Fallon 27" 橡木粉梳妆台大理石</v>
      </c>
      <c r="E2700" s="1" t="str">
        <f>IFERROR(__xludf.DUMMYFUNCTION("CONCATENATE(GOOGLETRANSLATE(C2700, ""en"", ""ko""))"),"Fallon 27"" 오크 파우더 화장대 대리석")</f>
        <v>Fallon 27" 오크 파우더 화장대 대리석</v>
      </c>
      <c r="F2700" s="1" t="str">
        <f>IFERROR(__xludf.DUMMYFUNCTION("CONCATENATE(GOOGLETRANSLATE(C2700, ""en"", ""ja""))"),"ファロン 27 インチ オーク パウダー バニティ マーブル")</f>
        <v>ファロン 27 インチ オーク パウダー バニティ マーブル</v>
      </c>
    </row>
    <row r="2701" ht="15.75" customHeight="1">
      <c r="A2701" s="1">
        <v>7340.0</v>
      </c>
      <c r="B2701" s="1" t="s">
        <v>15</v>
      </c>
      <c r="C2701" s="1" t="s">
        <v>2500</v>
      </c>
      <c r="D2701" s="1" t="str">
        <f>IFERROR(__xludf.DUMMYFUNCTION("CONCATENATE(GOOGLETRANSLATE(C2701, ""en"", ""zh-cn""))"),"HOMLUX 36 英寸宽 x 21 英寸深 x 34.5 英寸高浴室盥洗台")</f>
        <v>HOMLUX 36 英寸宽 x 21 英寸深 x 34.5 英寸高浴室盥洗台</v>
      </c>
      <c r="E2701" s="1" t="str">
        <f>IFERROR(__xludf.DUMMYFUNCTION("CONCATENATE(GOOGLETRANSLATE(C2701, ""en"", ""ko""))"),"HOMLUX 36인치 W x 21인치 D x 34.5인치 H 욕실 세면대")</f>
        <v>HOMLUX 36인치 W x 21인치 D x 34.5인치 H 욕실 세면대</v>
      </c>
      <c r="F2701" s="1" t="str">
        <f>IFERROR(__xludf.DUMMYFUNCTION("CONCATENATE(GOOGLETRANSLATE(C2701, ""en"", ""ja""))"),"HOMLUX 幅 36 インチ x 奥行き 21 インチ x 高さ 34.5 インチの洗面化粧台")</f>
        <v>HOMLUX 幅 36 インチ x 奥行き 21 インチ x 高さ 34.5 インチの洗面化粧台</v>
      </c>
    </row>
    <row r="2702" ht="15.75" customHeight="1">
      <c r="A2702" s="1">
        <v>7350.0</v>
      </c>
      <c r="B2702" s="1" t="s">
        <v>15</v>
      </c>
      <c r="C2702" s="1" t="s">
        <v>2501</v>
      </c>
      <c r="D2702" s="1" t="str">
        <f>IFERROR(__xludf.DUMMYFUNCTION("CONCATENATE(GOOGLETRANSLATE(C2702, ""en"", ""zh-cn""))"),"Ktaxon浴室收纳柜")</f>
        <v>Ktaxon浴室收纳柜</v>
      </c>
      <c r="E2702" s="1" t="str">
        <f>IFERROR(__xludf.DUMMYFUNCTION("CONCATENATE(GOOGLETRANSLATE(C2702, ""en"", ""ko""))"),"Ktaxon 욕실 보관 캐비닛")</f>
        <v>Ktaxon 욕실 보관 캐비닛</v>
      </c>
      <c r="F2702" s="1" t="str">
        <f>IFERROR(__xludf.DUMMYFUNCTION("CONCATENATE(GOOGLETRANSLATE(C2702, ""en"", ""ja""))"),"Ktaxon バスルーム収納キャビネット")</f>
        <v>Ktaxon バスルーム収納キャビネット</v>
      </c>
    </row>
    <row r="2703" ht="15.75" customHeight="1">
      <c r="A2703" s="1">
        <v>7353.0</v>
      </c>
      <c r="B2703" s="1" t="s">
        <v>15</v>
      </c>
      <c r="C2703" s="1" t="s">
        <v>2502</v>
      </c>
      <c r="D2703" s="1" t="str">
        <f>IFERROR(__xludf.DUMMYFUNCTION("CONCATENATE(GOOGLETRANSLATE(C2703, ""en"", ""zh-cn""))"),"Ktaxon 现代镜子和浴室梳妆台")</f>
        <v>Ktaxon 现代镜子和浴室梳妆台</v>
      </c>
      <c r="E2703" s="1" t="str">
        <f>IFERROR(__xludf.DUMMYFUNCTION("CONCATENATE(GOOGLETRANSLATE(C2703, ""en"", ""ko""))"),"Ktaxon 모던 거울 및 욕실 세면대")</f>
        <v>Ktaxon 모던 거울 및 욕실 세면대</v>
      </c>
      <c r="F2703" s="1" t="str">
        <f>IFERROR(__xludf.DUMMYFUNCTION("CONCATENATE(GOOGLETRANSLATE(C2703, ""en"", ""ja""))"),"Ktaxon モダンミラーと洗面化粧台")</f>
        <v>Ktaxon モダンミラーと洗面化粧台</v>
      </c>
    </row>
    <row r="2704" ht="15.75" customHeight="1">
      <c r="A2704" s="1">
        <v>7369.0</v>
      </c>
      <c r="B2704" s="1" t="s">
        <v>15</v>
      </c>
      <c r="C2704" s="1" t="s">
        <v>2503</v>
      </c>
      <c r="D2704" s="1" t="str">
        <f>IFERROR(__xludf.DUMMYFUNCTION("CONCATENATE(GOOGLETRANSLATE(C2704, ""en"", ""zh-cn""))"),"Ktaxon 浴室壁柜药柜，壁挂式储物柜，带镜门和架子，适用于厨房洗衣房酒店，白色饰面")</f>
        <v>Ktaxon 浴室壁柜药柜，壁挂式储物柜，带镜门和架子，适用于厨房洗衣房酒店，白色饰面</v>
      </c>
      <c r="E2704" s="1" t="str">
        <f>IFERROR(__xludf.DUMMYFUNCTION("CONCATENATE(GOOGLETRANSLATE(C2704, ""en"", ""ko""))"),"Ktaxon 욕실 벽 캐비닛 약장, 주방 세탁실 호텔용 거울 도어 및 선반이 있는 벽걸이형 보관 캐비닛, 흰색 마감")</f>
        <v>Ktaxon 욕실 벽 캐비닛 약장, 주방 세탁실 호텔용 거울 도어 및 선반이 있는 벽걸이형 보관 캐비닛, 흰색 마감</v>
      </c>
      <c r="F2704" s="1" t="str">
        <f>IFERROR(__xludf.DUMMYFUNCTION("CONCATENATE(GOOGLETRANSLATE(C2704, ""en"", ""ja""))"),"Ktaxon バスルーム壁キャビネット 薬キャビネット ミラードアと棚付き壁掛け収納キャビネット キッチン ランドリールーム ホテル用 ホワイト仕上げ")</f>
        <v>Ktaxon バスルーム壁キャビネット 薬キャビネット ミラードアと棚付き壁掛け収納キャビネット キッチン ランドリールーム ホテル用 ホワイト仕上げ</v>
      </c>
    </row>
    <row r="2705" ht="15.75" customHeight="1">
      <c r="A2705" s="1">
        <v>7379.0</v>
      </c>
      <c r="B2705" s="1" t="s">
        <v>15</v>
      </c>
      <c r="C2705" s="1" t="s">
        <v>2504</v>
      </c>
      <c r="D2705" s="1" t="str">
        <f>IFERROR(__xludf.DUMMYFUNCTION("CONCATENATE(GOOGLETRANSLATE(C2705, ""en"", ""zh-cn""))"),"Cutler 厨房和浴室 Kato 壁挂式梳妆台")</f>
        <v>Cutler 厨房和浴室 Kato 壁挂式梳妆台</v>
      </c>
      <c r="E2705" s="1" t="str">
        <f>IFERROR(__xludf.DUMMYFUNCTION("CONCATENATE(GOOGLETRANSLATE(C2705, ""en"", ""ko""))"),"Cutler Kitchen &amp; Bath Kato 벽걸이 세면대")</f>
        <v>Cutler Kitchen &amp; Bath Kato 벽걸이 세면대</v>
      </c>
      <c r="F2705" s="1" t="str">
        <f>IFERROR(__xludf.DUMMYFUNCTION("CONCATENATE(GOOGLETRANSLATE(C2705, ""en"", ""ja""))"),"カトラー キッチン＆バス カトー 壁掛け洗面化粧台")</f>
        <v>カトラー キッチン＆バス カトー 壁掛け洗面化粧台</v>
      </c>
    </row>
    <row r="2706" ht="15.75" customHeight="1">
      <c r="A2706" s="1">
        <v>7393.0</v>
      </c>
      <c r="B2706" s="1" t="s">
        <v>15</v>
      </c>
      <c r="C2706" s="1" t="s">
        <v>2505</v>
      </c>
      <c r="D2706" s="1" t="str">
        <f>IFERROR(__xludf.DUMMYFUNCTION("CONCATENATE(GOOGLETRANSLATE(C2706, ""en"", ""zh-cn""))"),"Brita 替换水过滤器")</f>
        <v>Brita 替换水过滤器</v>
      </c>
      <c r="E2706" s="1" t="str">
        <f>IFERROR(__xludf.DUMMYFUNCTION("CONCATENATE(GOOGLETRANSLATE(C2706, ""en"", ""ko""))"),"브리타 교체용 정수 필터")</f>
        <v>브리타 교체용 정수 필터</v>
      </c>
      <c r="F2706" s="1" t="str">
        <f>IFERROR(__xludf.DUMMYFUNCTION("CONCATENATE(GOOGLETRANSLATE(C2706, ""en"", ""ja""))"),"Brita 交換用浄水フィルター")</f>
        <v>Brita 交換用浄水フィルター</v>
      </c>
    </row>
    <row r="2707" ht="15.75" customHeight="1">
      <c r="A2707" s="1">
        <v>7395.0</v>
      </c>
      <c r="B2707" s="1" t="s">
        <v>15</v>
      </c>
      <c r="C2707" s="1" t="s">
        <v>2506</v>
      </c>
      <c r="D2707" s="1" t="str">
        <f>IFERROR(__xludf.DUMMYFUNCTION("CONCATENATE(GOOGLETRANSLATE(C2707, ""en"", ""zh-cn""))"),"Brita Stream 10 杯水罐")</f>
        <v>Brita Stream 10 杯水罐</v>
      </c>
      <c r="E2707" s="1" t="str">
        <f>IFERROR(__xludf.DUMMYFUNCTION("CONCATENATE(GOOGLETRANSLATE(C2707, ""en"", ""ko""))"),"브리타 스트림 10컵 물 주전자")</f>
        <v>브리타 스트림 10컵 물 주전자</v>
      </c>
      <c r="F2707" s="1" t="str">
        <f>IFERROR(__xludf.DUMMYFUNCTION("CONCATENATE(GOOGLETRANSLATE(C2707, ""en"", ""ja""))"),"ブリタ ストリーム 10カップ ウォーターピッチャー")</f>
        <v>ブリタ ストリーム 10カップ ウォーターピッチャー</v>
      </c>
    </row>
    <row r="2708" ht="15.75" customHeight="1">
      <c r="A2708" s="1">
        <v>7399.0</v>
      </c>
      <c r="B2708" s="1" t="s">
        <v>15</v>
      </c>
      <c r="C2708" s="1" t="s">
        <v>2507</v>
      </c>
      <c r="D2708" s="1" t="str">
        <f>IFERROR(__xludf.DUMMYFUNCTION("CONCATENATE(GOOGLETRANSLATE(C2708, ""en"", ""zh-cn""))"),"Brita Metro 滤水罐")</f>
        <v>Brita Metro 滤水罐</v>
      </c>
      <c r="E2708" s="1" t="str">
        <f>IFERROR(__xludf.DUMMYFUNCTION("CONCATENATE(GOOGLETRANSLATE(C2708, ""en"", ""ko""))"),"브리타 메트로 정수 필터 피처")</f>
        <v>브리타 메트로 정수 필터 피처</v>
      </c>
      <c r="F2708" s="1" t="str">
        <f>IFERROR(__xludf.DUMMYFUNCTION("CONCATENATE(GOOGLETRANSLATE(C2708, ""en"", ""ja""))"),"ブリタ メトロ 浄水器ピッチャー")</f>
        <v>ブリタ メトロ 浄水器ピッチャー</v>
      </c>
    </row>
    <row r="2709" ht="15.75" customHeight="1">
      <c r="A2709" s="1">
        <v>7403.0</v>
      </c>
      <c r="B2709" s="1" t="s">
        <v>15</v>
      </c>
      <c r="C2709" s="1" t="s">
        <v>2508</v>
      </c>
      <c r="D2709" s="1" t="str">
        <f>IFERROR(__xludf.DUMMYFUNCTION("CONCATENATE(GOOGLETRANSLATE(C2709, ""en"", ""zh-cn""))"),"Brita 超薄 5 杯水罐，带 1 个高级过滤器")</f>
        <v>Brita 超薄 5 杯水罐，带 1 个高级过滤器</v>
      </c>
      <c r="E2709" s="1" t="str">
        <f>IFERROR(__xludf.DUMMYFUNCTION("CONCATENATE(GOOGLETRANSLATE(C2709, ""en"", ""ko""))"),"브리타 슬림 5컵 물 주전자(고급 필터 1개 포함)")</f>
        <v>브리타 슬림 5컵 물 주전자(고급 필터 1개 포함)</v>
      </c>
      <c r="F2709" s="1" t="str">
        <f>IFERROR(__xludf.DUMMYFUNCTION("CONCATENATE(GOOGLETRANSLATE(C2709, ""en"", ""ja""))"),"Brita スリム 5 カップ ウォーター ピッチャー 1 つの高度なフィルター付き")</f>
        <v>Brita スリム 5 カップ ウォーター ピッチャー 1 つの高度なフィルター付き</v>
      </c>
    </row>
    <row r="2710" ht="15.75" customHeight="1">
      <c r="A2710" s="1">
        <v>7414.0</v>
      </c>
      <c r="B2710" s="1" t="s">
        <v>15</v>
      </c>
      <c r="C2710" s="1" t="s">
        <v>2509</v>
      </c>
      <c r="D2710" s="1" t="str">
        <f>IFERROR(__xludf.DUMMYFUNCTION("CONCATENATE(GOOGLETRANSLATE(C2710, ""en"", ""zh-cn""))"),"Brita 水过滤器 Marella XL bl")</f>
        <v>Brita 水过滤器 Marella XL bl</v>
      </c>
      <c r="E2710" s="1" t="str">
        <f>IFERROR(__xludf.DUMMYFUNCTION("CONCATENATE(GOOGLETRANSLATE(C2710, ""en"", ""ko""))"),"브리타 정수기 마렐라 XL bl")</f>
        <v>브리타 정수기 마렐라 XL bl</v>
      </c>
      <c r="F2710" s="1" t="str">
        <f>IFERROR(__xludf.DUMMYFUNCTION("CONCATENATE(GOOGLETRANSLATE(C2710, ""en"", ""ja""))"),"ブリタ ウォーターフィルター マレラ XL bl")</f>
        <v>ブリタ ウォーターフィルター マレラ XL bl</v>
      </c>
    </row>
    <row r="2711" ht="15.75" customHeight="1">
      <c r="A2711" s="1">
        <v>7417.0</v>
      </c>
      <c r="B2711" s="1" t="s">
        <v>15</v>
      </c>
      <c r="C2711" s="1" t="s">
        <v>2510</v>
      </c>
      <c r="D2711" s="1" t="str">
        <f>IFERROR(__xludf.DUMMYFUNCTION("CONCATENATE(GOOGLETRANSLATE(C2711, ""en"", ""zh-cn""))"),"Brita Soho 滤水器")</f>
        <v>Brita Soho 滤水器</v>
      </c>
      <c r="E2711" s="1" t="str">
        <f>IFERROR(__xludf.DUMMYFUNCTION("CONCATENATE(GOOGLETRANSLATE(C2711, ""en"", ""ko""))"),"브리타 소호 정수 필터 피처")</f>
        <v>브리타 소호 정수 필터 피처</v>
      </c>
      <c r="F2711" s="1" t="str">
        <f>IFERROR(__xludf.DUMMYFUNCTION("CONCATENATE(GOOGLETRANSLATE(C2711, ""en"", ""ja""))"),"Brita Soho 浄水器ピッチャー")</f>
        <v>Brita Soho 浄水器ピッチャー</v>
      </c>
    </row>
    <row r="2712" ht="15.75" customHeight="1">
      <c r="A2712" s="1">
        <v>7420.0</v>
      </c>
      <c r="B2712" s="1" t="s">
        <v>15</v>
      </c>
      <c r="C2712" s="1" t="s">
        <v>2511</v>
      </c>
      <c r="D2712" s="1" t="str">
        <f>IFERROR(__xludf.DUMMYFUNCTION("CONCATENATE(GOOGLETRANSLATE(C2712, ""en"", ""zh-cn""))"),"Brita 日常滤水器带过滤器")</f>
        <v>Brita 日常滤水器带过滤器</v>
      </c>
      <c r="E2712" s="1" t="str">
        <f>IFERROR(__xludf.DUMMYFUNCTION("CONCATENATE(GOOGLETRANSLATE(C2712, ""en"", ""ko""))"),"브리타 에브리데이 정수기 피처(필터 포함)")</f>
        <v>브리타 에브리데이 정수기 피처(필터 포함)</v>
      </c>
      <c r="F2712" s="1" t="str">
        <f>IFERROR(__xludf.DUMMYFUNCTION("CONCATENATE(GOOGLETRANSLATE(C2712, ""en"", ""ja""))"),"ブリタ エブリデイウォーターフィルターピッチャー フィルター付き")</f>
        <v>ブリタ エブリデイウォーターフィルターピッチャー フィルター付き</v>
      </c>
    </row>
    <row r="2713" ht="15.75" customHeight="1">
      <c r="A2713" s="1">
        <v>7421.0</v>
      </c>
      <c r="B2713" s="1" t="s">
        <v>15</v>
      </c>
      <c r="C2713" s="1" t="s">
        <v>2512</v>
      </c>
      <c r="D2713" s="1" t="str">
        <f>IFERROR(__xludf.DUMMYFUNCTION("CONCATENATE(GOOGLETRANSLATE(C2713, ""en"", ""zh-cn""))"),"Brita Grand 滤水罐")</f>
        <v>Brita Grand 滤水罐</v>
      </c>
      <c r="E2713" s="1" t="str">
        <f>IFERROR(__xludf.DUMMYFUNCTION("CONCATENATE(GOOGLETRANSLATE(C2713, ""en"", ""ko""))"),"브리타 그랜드 정수기 피처")</f>
        <v>브리타 그랜드 정수기 피처</v>
      </c>
      <c r="F2713" s="1" t="str">
        <f>IFERROR(__xludf.DUMMYFUNCTION("CONCATENATE(GOOGLETRANSLATE(C2713, ""en"", ""ja""))"),"ブリタ グランド 浄水器ピッチャー")</f>
        <v>ブリタ グランド 浄水器ピッチャー</v>
      </c>
    </row>
    <row r="2714" ht="15.75" customHeight="1">
      <c r="A2714" s="1">
        <v>7423.0</v>
      </c>
      <c r="B2714" s="1" t="s">
        <v>15</v>
      </c>
      <c r="C2714" s="1" t="s">
        <v>2513</v>
      </c>
      <c r="D2714" s="1" t="str">
        <f>IFERROR(__xludf.DUMMYFUNCTION("CONCATENATE(GOOGLETRANSLATE(C2714, ""en"", ""zh-cn""))"),"霍尼韦尔 PPT700WA PUR 滤水罐")</f>
        <v>霍尼韦尔 PPT700WA PUR 滤水罐</v>
      </c>
      <c r="E2714" s="1" t="str">
        <f>IFERROR(__xludf.DUMMYFUNCTION("CONCATENATE(GOOGLETRANSLATE(C2714, ""en"", ""ko""))"),"HONEYWELL PPT700WA PUR 정수 필터 투수")</f>
        <v>HONEYWELL PPT700WA PUR 정수 필터 투수</v>
      </c>
      <c r="F2714" s="1" t="str">
        <f>IFERROR(__xludf.DUMMYFUNCTION("CONCATENATE(GOOGLETRANSLATE(C2714, ""en"", ""ja""))"),"ハネウェル PPT700WA PUR 浄水フィルターピッチャー")</f>
        <v>ハネウェル PPT700WA PUR 浄水フィルターピッチャー</v>
      </c>
    </row>
    <row r="2715" ht="15.75" customHeight="1">
      <c r="A2715" s="1">
        <v>7430.0</v>
      </c>
      <c r="B2715" s="1" t="s">
        <v>15</v>
      </c>
      <c r="C2715" s="1" t="s">
        <v>2514</v>
      </c>
      <c r="D2715" s="1" t="str">
        <f>IFERROR(__xludf.DUMMYFUNCTION("CONCATENATE(GOOGLETRANSLATE(C2715, ""en"", ""zh-cn""))"),"PUR XL 44 杯滤水器，带 2 个正品 PUR 过滤器")</f>
        <v>PUR XL 44 杯滤水器，带 2 个正品 PUR 过滤器</v>
      </c>
      <c r="E2715" s="1" t="str">
        <f>IFERROR(__xludf.DUMMYFUNCTION("CONCATENATE(GOOGLETRANSLATE(C2715, ""en"", ""ko""))"),"PUR XL 44컵 정수 필터 디스펜서(정품 PUR 필터 2개 포함)")</f>
        <v>PUR XL 44컵 정수 필터 디스펜서(정품 PUR 필터 2개 포함)</v>
      </c>
      <c r="F2715" s="1" t="str">
        <f>IFERROR(__xludf.DUMMYFUNCTION("CONCATENATE(GOOGLETRANSLATE(C2715, ""en"", ""ja""))"),"PUR XL 44 カップ ウォーター フィルター ディスペンサー、純正 PUR フィルター 2 個付き")</f>
        <v>PUR XL 44 カップ ウォーター フィルター ディスペンサー、純正 PUR フィルター 2 個付き</v>
      </c>
    </row>
    <row r="2716" ht="15.75" customHeight="1">
      <c r="A2716" s="1">
        <v>7439.0</v>
      </c>
      <c r="B2716" s="1" t="s">
        <v>15</v>
      </c>
      <c r="C2716" s="1" t="s">
        <v>2515</v>
      </c>
      <c r="D2716" s="1" t="str">
        <f>IFERROR(__xludf.DUMMYFUNCTION("CONCATENATE(GOOGLETRANSLATE(C2716, ""en"", ""zh-cn""))"),"霍尼韦尔 PUR 30 杯分配器 DS1800ZAV3RF")</f>
        <v>霍尼韦尔 PUR 30 杯分配器 DS1800ZAV3RF</v>
      </c>
      <c r="E2716" s="1" t="str">
        <f>IFERROR(__xludf.DUMMYFUNCTION("CONCATENATE(GOOGLETRANSLATE(C2716, ""en"", ""ko""))"),"HONEYWELL PUR 30 컵 디스펜서 DS1800ZAV3RF")</f>
        <v>HONEYWELL PUR 30 컵 디스펜서 DS1800ZAV3RF</v>
      </c>
      <c r="F2716" s="1" t="str">
        <f>IFERROR(__xludf.DUMMYFUNCTION("CONCATENATE(GOOGLETRANSLATE(C2716, ""en"", ""ja""))"),"ハネウェル PUR 30カップディスペンサー DS1800ZAV3RF")</f>
        <v>ハネウェル PUR 30カップディスペンサー DS1800ZAV3RF</v>
      </c>
    </row>
    <row r="2717" ht="15.75" customHeight="1">
      <c r="A2717" s="1">
        <v>7453.0</v>
      </c>
      <c r="B2717" s="1" t="s">
        <v>15</v>
      </c>
      <c r="C2717" s="1" t="s">
        <v>2516</v>
      </c>
      <c r="D2717" s="1" t="str">
        <f>IFERROR(__xludf.DUMMYFUNCTION("CONCATENATE(GOOGLETRANSLATE(C2717, ""en"", ""zh-cn""))"),"PUR 水龙头安装矿物透明替换过滤器 4 件装")</f>
        <v>PUR 水龙头安装矿物透明替换过滤器 4 件装</v>
      </c>
      <c r="E2717" s="1" t="str">
        <f>IFERROR(__xludf.DUMMYFUNCTION("CONCATENATE(GOOGLETRANSLATE(C2717, ""en"", ""ko""))"),"PUR 수전 마운트 미네랄 투명 교체 필터 4팩")</f>
        <v>PUR 수전 마운트 미네랄 투명 교체 필터 4팩</v>
      </c>
      <c r="F2717" s="1" t="str">
        <f>IFERROR(__xludf.DUMMYFUNCTION("CONCATENATE(GOOGLETRANSLATE(C2717, ""en"", ""ja""))"),"PUR水栓金具 ミネラルクリア 交換用フィルター 4個パック")</f>
        <v>PUR水栓金具 ミネラルクリア 交換用フィルター 4個パック</v>
      </c>
    </row>
    <row r="2718" ht="15.75" customHeight="1">
      <c r="A2718" s="1">
        <v>7454.0</v>
      </c>
      <c r="B2718" s="1" t="s">
        <v>15</v>
      </c>
      <c r="C2718" s="1" t="s">
        <v>2517</v>
      </c>
      <c r="D2718" s="1" t="str">
        <f>IFERROR(__xludf.DUMMYFUNCTION("CONCATENATE(GOOGLETRANSLATE(C2718, ""en"", ""zh-cn""))"),"PUR Plus 11 杯水罐过滤系统")</f>
        <v>PUR Plus 11 杯水罐过滤系统</v>
      </c>
      <c r="E2718" s="1" t="str">
        <f>IFERROR(__xludf.DUMMYFUNCTION("CONCATENATE(GOOGLETRANSLATE(C2718, ""en"", ""ko""))"),"PUR Plus 11컵 물 투수 여과 시스템")</f>
        <v>PUR Plus 11컵 물 투수 여과 시스템</v>
      </c>
      <c r="F2718" s="1" t="str">
        <f>IFERROR(__xludf.DUMMYFUNCTION("CONCATENATE(GOOGLETRANSLATE(C2718, ""en"", ""ja""))"),"PUR Plus 11 カップウォーターピッチャー濾過システム")</f>
        <v>PUR Plus 11 カップウォーターピッチャー濾過システム</v>
      </c>
    </row>
    <row r="2719" ht="15.75" customHeight="1">
      <c r="A2719" s="1">
        <v>7456.0</v>
      </c>
      <c r="B2719" s="1" t="s">
        <v>15</v>
      </c>
      <c r="C2719" s="1" t="s">
        <v>2518</v>
      </c>
      <c r="D2719" s="1" t="str">
        <f>IFERROR(__xludf.DUMMYFUNCTION("CONCATENATE(GOOGLETRANSLATE(C2719, ""en"", ""zh-cn""))"),"Denali Pure PUR Filter6 冰箱水过滤器更换")</f>
        <v>Denali Pure PUR Filter6 冰箱水过滤器更换</v>
      </c>
      <c r="E2719" s="1" t="str">
        <f>IFERROR(__xludf.DUMMYFUNCTION("CONCATENATE(GOOGLETRANSLATE(C2719, ""en"", ""ko""))"),"Denali Pure PUR Filter6 냉장고 정수 필터 교체")</f>
        <v>Denali Pure PUR Filter6 냉장고 정수 필터 교체</v>
      </c>
      <c r="F2719" s="1" t="str">
        <f>IFERROR(__xludf.DUMMYFUNCTION("CONCATENATE(GOOGLETRANSLATE(C2719, ""en"", ""ja""))"),"デナリ Pure PUR Filter6 冷蔵庫の水フィルター交換")</f>
        <v>デナリ Pure PUR Filter6 冷蔵庫の水フィルター交換</v>
      </c>
    </row>
    <row r="2720" ht="15.75" customHeight="1">
      <c r="A2720" s="1">
        <v>7457.0</v>
      </c>
      <c r="B2720" s="1" t="s">
        <v>15</v>
      </c>
      <c r="C2720" s="1" t="s">
        <v>2519</v>
      </c>
      <c r="D2720" s="1" t="str">
        <f>IFERROR(__xludf.DUMMYFUNCTION("CONCATENATE(GOOGLETRANSLATE(C2720, ""en"", ""zh-cn""))"),"PUR MineralClear 替换水龙头过滤器 4 件装")</f>
        <v>PUR MineralClear 替换水龙头过滤器 4 件装</v>
      </c>
      <c r="E2720" s="1" t="str">
        <f>IFERROR(__xludf.DUMMYFUNCTION("CONCATENATE(GOOGLETRANSLATE(C2720, ""en"", ""ko""))"),"PUR MineralClear 교체용 수전 필터 4팩")</f>
        <v>PUR MineralClear 교체용 수전 필터 4팩</v>
      </c>
      <c r="F2720" s="1" t="str">
        <f>IFERROR(__xludf.DUMMYFUNCTION("CONCATENATE(GOOGLETRANSLATE(C2720, ""en"", ""ja""))"),"PUR MineralClear 交換用蛇口フィルター 4 個パック")</f>
        <v>PUR MineralClear 交換用蛇口フィルター 4 個パック</v>
      </c>
    </row>
    <row r="2721" ht="15.75" customHeight="1">
      <c r="A2721" s="1">
        <v>7465.0</v>
      </c>
      <c r="B2721" s="1" t="s">
        <v>15</v>
      </c>
      <c r="C2721" s="1" t="s">
        <v>2520</v>
      </c>
      <c r="D2721" s="1" t="str">
        <f>IFERROR(__xludf.DUMMYFUNCTION("CONCATENATE(GOOGLETRANSLATE(C2721, ""en"", ""zh-cn""))"),"Equate 三重作用关节健康膳食补充剂")</f>
        <v>Equate 三重作用关节健康膳食补充剂</v>
      </c>
      <c r="E2721" s="1" t="str">
        <f>IFERROR(__xludf.DUMMYFUNCTION("CONCATENATE(GOOGLETRANSLATE(C2721, ""en"", ""ko""))"),"Equate Triple Action 관절 건강 건강 보조 식품")</f>
        <v>Equate Triple Action 관절 건강 건강 보조 식품</v>
      </c>
      <c r="F2721" s="1" t="str">
        <f>IFERROR(__xludf.DUMMYFUNCTION("CONCATENATE(GOOGLETRANSLATE(C2721, ""en"", ""ja""))"),"トリプルアクション関節健康栄養補助食品と同等")</f>
        <v>トリプルアクション関節健康栄養補助食品と同等</v>
      </c>
    </row>
    <row r="2722" ht="15.75" customHeight="1">
      <c r="A2722" s="1">
        <v>7476.0</v>
      </c>
      <c r="B2722" s="1" t="s">
        <v>15</v>
      </c>
      <c r="C2722" s="1" t="s">
        <v>2521</v>
      </c>
      <c r="D2722" s="1" t="str">
        <f>IFERROR(__xludf.DUMMYFUNCTION("CONCATENATE(GOOGLETRANSLATE(C2722, ""en"", ""zh-cn""))"),"Equate Beauty 高级治疗软膏")</f>
        <v>Equate Beauty 高级治疗软膏</v>
      </c>
      <c r="E2722" s="1" t="str">
        <f>IFERROR(__xludf.DUMMYFUNCTION("CONCATENATE(GOOGLETRANSLATE(C2722, ""en"", ""ko""))"),"이퀘이트 뷰티 어드밴스드 힐링 연고")</f>
        <v>이퀘이트 뷰티 어드밴스드 힐링 연고</v>
      </c>
      <c r="F2722" s="1" t="str">
        <f>IFERROR(__xludf.DUMMYFUNCTION("CONCATENATE(GOOGLETRANSLATE(C2722, ""en"", ""ja""))"),"エクエイト ビューティー アドバンスト ヒーリング 軟膏")</f>
        <v>エクエイト ビューティー アドバンスト ヒーリング 軟膏</v>
      </c>
    </row>
    <row r="2723" ht="15.75" customHeight="1">
      <c r="A2723" s="1">
        <v>7492.0</v>
      </c>
      <c r="B2723" s="1" t="s">
        <v>15</v>
      </c>
      <c r="C2723" s="1" t="s">
        <v>2522</v>
      </c>
      <c r="D2723" s="1" t="str">
        <f>IFERROR(__xludf.DUMMYFUNCTION("CONCATENATE(GOOGLETRANSLATE(C2723, ""en"", ""zh-cn""))"),"Equate 女性头发再生治疗")</f>
        <v>Equate 女性头发再生治疗</v>
      </c>
      <c r="E2723" s="1" t="str">
        <f>IFERROR(__xludf.DUMMYFUNCTION("CONCATENATE(GOOGLETRANSLATE(C2723, ""en"", ""ko""))"),"Equate 여성 모발 재성장 치료")</f>
        <v>Equate 여성 모발 재성장 치료</v>
      </c>
      <c r="F2723" s="1" t="str">
        <f>IFERROR(__xludf.DUMMYFUNCTION("CONCATENATE(GOOGLETRANSLATE(C2723, ""en"", ""ja""))"),"エクエイト 女性用育毛トリートメント")</f>
        <v>エクエイト 女性用育毛トリートメント</v>
      </c>
    </row>
    <row r="2724" ht="15.75" customHeight="1">
      <c r="A2724" s="1">
        <v>7503.0</v>
      </c>
      <c r="B2724" s="1" t="s">
        <v>15</v>
      </c>
      <c r="C2724" s="1" t="s">
        <v>2523</v>
      </c>
      <c r="D2724" s="1" t="str">
        <f>IFERROR(__xludf.DUMMYFUNCTION("CONCATENATE(GOOGLETRANSLATE(C2724, ""en"", ""zh-cn""))"),"Hi Pro Pac 色彩处理和高亮强化蛋白质处理")</f>
        <v>Hi Pro Pac 色彩处理和高亮强化蛋白质处理</v>
      </c>
      <c r="E2724" s="1" t="str">
        <f>IFERROR(__xludf.DUMMYFUNCTION("CONCATENATE(GOOGLETRANSLATE(C2724, ""en"", ""ko""))"),"하이프로팩 ​​컬러 트리티드 &amp; 하이라이티드 인텐스 프로틴 트리트먼트")</f>
        <v>하이프로팩 ​​컬러 트리티드 &amp; 하이라이티드 인텐스 프로틴 트리트먼트</v>
      </c>
      <c r="F2724" s="1" t="str">
        <f>IFERROR(__xludf.DUMMYFUNCTION("CONCATENATE(GOOGLETRANSLATE(C2724, ""en"", ""ja""))"),"Hi Pro Pac カラー トリートメント &amp; ハイライト インテンス プロテイン トリートメント")</f>
        <v>Hi Pro Pac カラー トリートメント &amp; ハイライト インテンス プロテイン トリートメント</v>
      </c>
    </row>
    <row r="2725" ht="15.75" customHeight="1">
      <c r="A2725" s="1">
        <v>7504.0</v>
      </c>
      <c r="B2725" s="1" t="s">
        <v>15</v>
      </c>
      <c r="C2725" s="1" t="s">
        <v>2524</v>
      </c>
      <c r="D2725" s="1" t="str">
        <f>IFERROR(__xludf.DUMMYFUNCTION("CONCATENATE(GOOGLETRANSLATE(C2725, ""en"", ""zh-cn""))"),"Hi-Pro-Pac 极度蛋白质处理")</f>
        <v>Hi-Pro-Pac 极度蛋白质处理</v>
      </c>
      <c r="E2725" s="1" t="str">
        <f>IFERROR(__xludf.DUMMYFUNCTION("CONCATENATE(GOOGLETRANSLATE(C2725, ""en"", ""ko""))"),"하이프로팩 ​​익스트림 프로틴 트리트먼트")</f>
        <v>하이프로팩 ​​익스트림 프로틴 트리트먼트</v>
      </c>
      <c r="F2725" s="1" t="str">
        <f>IFERROR(__xludf.DUMMYFUNCTION("CONCATENATE(GOOGLETRANSLATE(C2725, ""en"", ""ja""))"),"Hi-Pro-Pac エクストリーム プロテイン トリートメント")</f>
        <v>Hi-Pro-Pac エクストリーム プロテイン トリートメント</v>
      </c>
    </row>
    <row r="2726" ht="15.75" customHeight="1">
      <c r="A2726" s="1">
        <v>7505.0</v>
      </c>
      <c r="B2726" s="1" t="s">
        <v>15</v>
      </c>
      <c r="C2726" s="1" t="s">
        <v>2525</v>
      </c>
      <c r="D2726" s="1" t="str">
        <f>IFERROR(__xludf.DUMMYFUNCTION("CONCATENATE(GOOGLETRANSLATE(C2726, ""en"", ""zh-cn""))"),"Hi-pro-pac Color Treatment 高光强效专业护理")</f>
        <v>Hi-pro-pac Color Treatment 高光强效专业护理</v>
      </c>
      <c r="E2726" s="1" t="str">
        <f>IFERROR(__xludf.DUMMYFUNCTION("CONCATENATE(GOOGLETRANSLATE(C2726, ""en"", ""ko""))"),"하이프로팩 ​​컬러 트리티드 하이라이트 인텐스 프로 트리트먼트")</f>
        <v>하이프로팩 ​​컬러 트리티드 하이라이트 인텐스 프로 트리트먼트</v>
      </c>
      <c r="F2726" s="1" t="str">
        <f>IFERROR(__xludf.DUMMYFUNCTION("CONCATENATE(GOOGLETRANSLATE(C2726, ""en"", ""ja""))"),"ハイプロパック カラー トリートメント ハイライト インテンス プロ トリートメント")</f>
        <v>ハイプロパック カラー トリートメント ハイライト インテンス プロ トリートメント</v>
      </c>
    </row>
    <row r="2727" ht="15.75" customHeight="1">
      <c r="A2727" s="1">
        <v>7521.0</v>
      </c>
      <c r="B2727" s="1" t="s">
        <v>15</v>
      </c>
      <c r="C2727" s="1" t="s">
        <v>2526</v>
      </c>
      <c r="D2727" s="1" t="str">
        <f>IFERROR(__xludf.DUMMYFUNCTION("CONCATENATE(GOOGLETRANSLATE(C2727, ""en"", ""zh-cn""))"),"Demert Hi Pro Pac 角蛋白保养补充发膜")</f>
        <v>Demert Hi Pro Pac 角蛋白保养补充发膜</v>
      </c>
      <c r="E2727" s="1" t="str">
        <f>IFERROR(__xludf.DUMMYFUNCTION("CONCATENATE(GOOGLETRANSLATE(C2727, ""en"", ""ko""))"),"데메르트 하이 프로 팩 케라틴 유지 보수 헤어 마스크")</f>
        <v>데메르트 하이 프로 팩 케라틴 유지 보수 헤어 마스크</v>
      </c>
      <c r="F2727" s="1" t="str">
        <f>IFERROR(__xludf.DUMMYFUNCTION("CONCATENATE(GOOGLETRANSLATE(C2727, ""en"", ""ja""))"),"Demert Hi Pro Pac ケラチン メンテナンス リプレニシング ヘア マスク")</f>
        <v>Demert Hi Pro Pac ケラチン メンテナンス リプレニシング ヘア マスク</v>
      </c>
    </row>
    <row r="2728" ht="15.75" customHeight="1">
      <c r="A2728" s="1">
        <v>7526.0</v>
      </c>
      <c r="B2728" s="1" t="s">
        <v>15</v>
      </c>
      <c r="C2728" s="1" t="s">
        <v>2527</v>
      </c>
      <c r="D2728" s="1" t="str">
        <f>IFERROR(__xludf.DUMMYFUNCTION("CONCATENATE(GOOGLETRANSLATE(C2728, ""en"", ""zh-cn""))"),"Hi Pro Pac 澳洲坚果油滋养护理")</f>
        <v>Hi Pro Pac 澳洲坚果油滋养护理</v>
      </c>
      <c r="E2728" s="1" t="str">
        <f>IFERROR(__xludf.DUMMYFUNCTION("CONCATENATE(GOOGLETRANSLATE(C2728, ""en"", ""ko""))"),"하이프로팩 ​​마카다미아 넛 오일 너리싱 트리트먼트")</f>
        <v>하이프로팩 ​​마카다미아 넛 오일 너리싱 트리트먼트</v>
      </c>
      <c r="F2728" s="1" t="str">
        <f>IFERROR(__xludf.DUMMYFUNCTION("CONCATENATE(GOOGLETRANSLATE(C2728, ""en"", ""ja""))"),"ハイ プロ パック マカダミア ナッツ オイル ナリッシング トリートメント")</f>
        <v>ハイ プロ パック マカダミア ナッツ オイル ナリッシング トリートメント</v>
      </c>
    </row>
    <row r="2729" ht="15.75" customHeight="1">
      <c r="A2729" s="1">
        <v>7534.0</v>
      </c>
      <c r="B2729" s="1" t="s">
        <v>15</v>
      </c>
      <c r="C2729" s="1" t="s">
        <v>2528</v>
      </c>
      <c r="D2729" s="1" t="str">
        <f>IFERROR(__xludf.DUMMYFUNCTION("CONCATENATE(GOOGLETRANSLATE(C2729, ""en"", ""zh-cn""))"),"Joico K-Pak 深层穿透重建器")</f>
        <v>Joico K-Pak 深层穿透重建器</v>
      </c>
      <c r="E2729" s="1" t="str">
        <f>IFERROR(__xludf.DUMMYFUNCTION("CONCATENATE(GOOGLETRANSLATE(C2729, ""en"", ""ko""))"),"Joico K-Pak 심층 관통 재구성기")</f>
        <v>Joico K-Pak 심층 관통 재구성기</v>
      </c>
      <c r="F2729" s="1" t="str">
        <f>IFERROR(__xludf.DUMMYFUNCTION("CONCATENATE(GOOGLETRANSLATE(C2729, ""en"", ""ja""))"),"ジョイコ K-Pak 深部貫通リコンストラクター")</f>
        <v>ジョイコ K-Pak 深部貫通リコンストラクター</v>
      </c>
    </row>
    <row r="2730" ht="15.75" customHeight="1">
      <c r="A2730" s="1">
        <v>7561.0</v>
      </c>
      <c r="B2730" s="1" t="s">
        <v>15</v>
      </c>
      <c r="C2730" s="1" t="s">
        <v>2529</v>
      </c>
      <c r="D2730" s="1" t="str">
        <f>IFERROR(__xludf.DUMMYFUNCTION("CONCATENATE(GOOGLETRANSLATE(C2730, ""en"", ""zh-cn""))"),"露得清 Bright Boost 亮肤精华液")</f>
        <v>露得清 Bright Boost 亮肤精华液</v>
      </c>
      <c r="E2730" s="1" t="str">
        <f>IFERROR(__xludf.DUMMYFUNCTION("CONCATENATE(GOOGLETRANSLATE(C2730, ""en"", ""ko""))"),"뉴트로지나 브라이트 부스트 일루미네이팅 세럼")</f>
        <v>뉴트로지나 브라이트 부스트 일루미네이팅 세럼</v>
      </c>
      <c r="F2730" s="1" t="str">
        <f>IFERROR(__xludf.DUMMYFUNCTION("CONCATENATE(GOOGLETRANSLATE(C2730, ""en"", ""ja""))"),"ニュートロジーナ ブライト ブースト イルミネイティング セラム")</f>
        <v>ニュートロジーナ ブライト ブースト イルミネイティング セラム</v>
      </c>
    </row>
    <row r="2731" ht="15.75" customHeight="1">
      <c r="A2731" s="1">
        <v>7569.0</v>
      </c>
      <c r="B2731" s="1" t="s">
        <v>15</v>
      </c>
      <c r="C2731" s="1" t="s">
        <v>2057</v>
      </c>
      <c r="D2731" s="1" t="str">
        <f>IFERROR(__xludf.DUMMYFUNCTION("CONCATENATE(GOOGLETRANSLATE(C2731, ""en"", ""zh-cn""))"),"痤疮治疗露得清 On the Spot 0.75 盎司奶油 70501001790 1 包 |嘿医药供应")</f>
        <v>痤疮治疗露得清 On the Spot 0.75 盎司奶油 70501001790 1 包 |嘿医药供应</v>
      </c>
      <c r="E2731" s="1" t="str">
        <f>IFERROR(__xludf.DUMMYFUNCTION("CONCATENATE(GOOGLETRANSLATE(C2731, ""en"", ""ko""))"),"여드름 치료 뉴트로지나 온 더 스팟 0.75 온스. 크림 70501001790 1팩 | 안녕하세요 메드 서플라이")</f>
        <v>여드름 치료 뉴트로지나 온 더 스팟 0.75 온스. 크림 70501001790 1팩 | 안녕하세요 메드 서플라이</v>
      </c>
      <c r="F2731" s="1" t="str">
        <f>IFERROR(__xludf.DUMMYFUNCTION("CONCATENATE(GOOGLETRANSLATE(C2731, ""en"", ""ja""))"),"ニキビ治療ニュートロジーナ オン ザ スポット 0.75 オンスクリーム 70501001790 1 個パック |ヘイ・メッド・サプライ")</f>
        <v>ニキビ治療ニュートロジーナ オン ザ スポット 0.75 オンスクリーム 70501001790 1 個パック |ヘイ・メッド・サプライ</v>
      </c>
    </row>
    <row r="2732" ht="15.75" customHeight="1">
      <c r="A2732" s="1">
        <v>7570.0</v>
      </c>
      <c r="B2732" s="1" t="s">
        <v>15</v>
      </c>
      <c r="C2732" s="1" t="s">
        <v>2052</v>
      </c>
      <c r="D2732" s="1" t="str">
        <f>IFERROR(__xludf.DUMMYFUNCTION("CONCATENATE(GOOGLETRANSLATE(C2732, ""en"", ""zh-cn""))"),"露得清 Hydro Boost 超保湿精华液")</f>
        <v>露得清 Hydro Boost 超保湿精华液</v>
      </c>
      <c r="E2732" s="1" t="str">
        <f>IFERROR(__xludf.DUMMYFUNCTION("CONCATENATE(GOOGLETRANSLATE(C2732, ""en"", ""ko""))"),"뉴트로지나 하이드로 부스트 울트라 하이드레이팅 세럼")</f>
        <v>뉴트로지나 하이드로 부스트 울트라 하이드레이팅 세럼</v>
      </c>
      <c r="F2732" s="1" t="str">
        <f>IFERROR(__xludf.DUMMYFUNCTION("CONCATENATE(GOOGLETRANSLATE(C2732, ""en"", ""ja""))"),"ニュートロジーナ ハイドロ ブースト ウルトラ ハイドレーティング セラム")</f>
        <v>ニュートロジーナ ハイドロ ブースト ウルトラ ハイドレーティング セラム</v>
      </c>
    </row>
    <row r="2733" ht="15.75" customHeight="1">
      <c r="A2733" s="1">
        <v>7576.0</v>
      </c>
      <c r="B2733" s="1" t="s">
        <v>15</v>
      </c>
      <c r="C2733" s="1" t="s">
        <v>2530</v>
      </c>
      <c r="D2733" s="1" t="str">
        <f>IFERROR(__xludf.DUMMYFUNCTION("CONCATENATE(GOOGLETRANSLATE(C2733, ""en"", ""zh-cn""))"),"露得清 Hydro Boost 皮肤救援膏")</f>
        <v>露得清 Hydro Boost 皮肤救援膏</v>
      </c>
      <c r="E2733" s="1" t="str">
        <f>IFERROR(__xludf.DUMMYFUNCTION("CONCATENATE(GOOGLETRANSLATE(C2733, ""en"", ""ko""))"),"뉴트로지나 하이드로 부스트 스킨 레스큐 밤")</f>
        <v>뉴트로지나 하이드로 부스트 스킨 레스큐 밤</v>
      </c>
      <c r="F2733" s="1" t="str">
        <f>IFERROR(__xludf.DUMMYFUNCTION("CONCATENATE(GOOGLETRANSLATE(C2733, ""en"", ""ja""))"),"ニュートロジーナ ハイドロ ブースト スキン レスキュー バーム")</f>
        <v>ニュートロジーナ ハイドロ ブースト スキン レスキュー バーム</v>
      </c>
    </row>
    <row r="2734" ht="15.75" customHeight="1">
      <c r="A2734" s="1">
        <v>7602.0</v>
      </c>
      <c r="B2734" s="1" t="s">
        <v>15</v>
      </c>
      <c r="C2734" s="1" t="s">
        <v>2531</v>
      </c>
      <c r="D2734" s="1" t="str">
        <f>IFERROR(__xludf.DUMMYFUNCTION("CONCATENATE(GOOGLETRANSLATE(C2734, ""en"", ""zh-cn""))"),"Johnson &amp; Johnson 痤疮治疗露得清 On the Spot 0.75 盎司奶油")</f>
        <v>Johnson &amp; Johnson 痤疮治疗露得清 On the Spot 0.75 盎司奶油</v>
      </c>
      <c r="E2734" s="1" t="str">
        <f>IFERROR(__xludf.DUMMYFUNCTION("CONCATENATE(GOOGLETRANSLATE(C2734, ""en"", ""ko""))"),"Johnson &amp; Johnson 여드름 치료 뉴트로지나 온 더 스팟 0.75 온스. 크림")</f>
        <v>Johnson &amp; Johnson 여드름 치료 뉴트로지나 온 더 스팟 0.75 온스. 크림</v>
      </c>
      <c r="F2734" s="1" t="str">
        <f>IFERROR(__xludf.DUMMYFUNCTION("CONCATENATE(GOOGLETRANSLATE(C2734, ""en"", ""ja""))"),"ジョンソン・エンド・ジョンソン アクネ トリートメント ニュートロジーナ オン ザ スポット 0.75 オンスクリーム")</f>
        <v>ジョンソン・エンド・ジョンソン アクネ トリートメント ニュートロジーナ オン ザ スポット 0.75 オンスクリーム</v>
      </c>
    </row>
    <row r="2735" ht="15.75" customHeight="1">
      <c r="A2735" s="1">
        <v>7607.0</v>
      </c>
      <c r="B2735" s="1" t="s">
        <v>15</v>
      </c>
      <c r="C2735" s="1" t="s">
        <v>2052</v>
      </c>
      <c r="D2735" s="1" t="str">
        <f>IFERROR(__xludf.DUMMYFUNCTION("CONCATENATE(GOOGLETRANSLATE(C2735, ""en"", ""zh-cn""))"),"露得清 Hydro Boost 超保湿精华液")</f>
        <v>露得清 Hydro Boost 超保湿精华液</v>
      </c>
      <c r="E2735" s="1" t="str">
        <f>IFERROR(__xludf.DUMMYFUNCTION("CONCATENATE(GOOGLETRANSLATE(C2735, ""en"", ""ko""))"),"뉴트로지나 하이드로 부스트 울트라 하이드레이팅 세럼")</f>
        <v>뉴트로지나 하이드로 부스트 울트라 하이드레이팅 세럼</v>
      </c>
      <c r="F2735" s="1" t="str">
        <f>IFERROR(__xludf.DUMMYFUNCTION("CONCATENATE(GOOGLETRANSLATE(C2735, ""en"", ""ja""))"),"ニュートロジーナ ハイドロ ブースト ウルトラ ハイドレーティング セラム")</f>
        <v>ニュートロジーナ ハイドロ ブースト ウルトラ ハイドレーティング セラム</v>
      </c>
    </row>
    <row r="2736" ht="15.75" customHeight="1">
      <c r="A2736" s="1">
        <v>7614.0</v>
      </c>
      <c r="B2736" s="1" t="s">
        <v>15</v>
      </c>
      <c r="C2736" s="1" t="s">
        <v>2532</v>
      </c>
      <c r="D2736" s="1" t="str">
        <f>IFERROR(__xludf.DUMMYFUNCTION("CONCATENATE(GOOGLETRANSLATE(C2736, ""en"", ""zh-cn""))"),"露得清防晒药用舒缓凝胶")</f>
        <v>露得清防晒药用舒缓凝胶</v>
      </c>
      <c r="E2736" s="1" t="str">
        <f>IFERROR(__xludf.DUMMYFUNCTION("CONCATENATE(GOOGLETRANSLATE(C2736, ""en"", ""ko""))"),"뉴트로지나 썬 레스큐 약용 릴리프 젤")</f>
        <v>뉴트로지나 썬 레스큐 약용 릴리프 젤</v>
      </c>
      <c r="F2736" s="1" t="str">
        <f>IFERROR(__xludf.DUMMYFUNCTION("CONCATENATE(GOOGLETRANSLATE(C2736, ""en"", ""ja""))"),"ニュートロジーナ サン レスキュー 薬用リリーフジェル")</f>
        <v>ニュートロジーナ サン レスキュー 薬用リリーフジェル</v>
      </c>
    </row>
    <row r="2737" ht="15.75" customHeight="1">
      <c r="A2737" s="1">
        <v>7615.0</v>
      </c>
      <c r="B2737" s="1" t="s">
        <v>15</v>
      </c>
      <c r="C2737" s="1" t="s">
        <v>2533</v>
      </c>
      <c r="D2737" s="1" t="str">
        <f>IFERROR(__xludf.DUMMYFUNCTION("CONCATENATE(GOOGLETRANSLATE(C2737, ""en"", ""zh-cn""))"),"露得清痤疮 AM 治疗，2 盎司 - 每箱 12 颗")</f>
        <v>露得清痤疮 AM 治疗，2 盎司 - 每箱 12 颗</v>
      </c>
      <c r="E2737" s="1" t="str">
        <f>IFERROR(__xludf.DUMMYFUNCTION("CONCATENATE(GOOGLETRANSLATE(C2737, ""en"", ""ko""))"),"뉴트로지나 아크네 AM 트리트먼트, 2온스 - 케이스당 12개")</f>
        <v>뉴트로지나 아크네 AM 트리트먼트, 2온스 - 케이스당 12개</v>
      </c>
      <c r="F2737" s="1" t="str">
        <f>IFERROR(__xludf.DUMMYFUNCTION("CONCATENATE(GOOGLETRANSLATE(C2737, ""en"", ""ja""))"),"ニュートロジーナ アクネ AM トリートメント、2 オンス -- 1 ケースあたり 12 個")</f>
        <v>ニュートロジーナ アクネ AM トリートメント、2 オンス -- 1 ケースあたり 12 個</v>
      </c>
    </row>
    <row r="2738" ht="15.75" customHeight="1">
      <c r="A2738" s="1">
        <v>7617.0</v>
      </c>
      <c r="B2738" s="1" t="s">
        <v>15</v>
      </c>
      <c r="C2738" s="1" t="s">
        <v>2534</v>
      </c>
      <c r="D2738" s="1" t="str">
        <f>IFERROR(__xludf.DUMMYFUNCTION("CONCATENATE(GOOGLETRANSLATE(C2738, ""en"", ""zh-cn""))"),"露得清快速抗皱修复视黄醇再生霜")</f>
        <v>露得清快速抗皱修复视黄醇再生霜</v>
      </c>
      <c r="E2738" s="1" t="str">
        <f>IFERROR(__xludf.DUMMYFUNCTION("CONCATENATE(GOOGLETRANSLATE(C2738, ""en"", ""ko""))"),"뉴트로지나 래피드 링클 리페어 레티놀 재생 크림")</f>
        <v>뉴트로지나 래피드 링클 리페어 레티놀 재생 크림</v>
      </c>
      <c r="F2738" s="1" t="str">
        <f>IFERROR(__xludf.DUMMYFUNCTION("CONCATENATE(GOOGLETRANSLATE(C2738, ""en"", ""ja""))"),"ニュートロジーナ ラピッド リンクル リペア レチノール リジェネレーティング クリーム")</f>
        <v>ニュートロジーナ ラピッド リンクル リペア レチノール リジェネレーティング クリーム</v>
      </c>
    </row>
    <row r="2739" ht="15.75" customHeight="1">
      <c r="A2739" s="1">
        <v>7619.0</v>
      </c>
      <c r="B2739" s="1" t="s">
        <v>15</v>
      </c>
      <c r="C2739" s="1" t="s">
        <v>2535</v>
      </c>
      <c r="D2739" s="1" t="str">
        <f>IFERROR(__xludf.DUMMYFUNCTION("CONCATENATE(GOOGLETRANSLATE(C2739, ""en"", ""zh-cn""))"),"露得清快速皱纹修复抗衰老视黄醇霜")</f>
        <v>露得清快速皱纹修复抗衰老视黄醇霜</v>
      </c>
      <c r="E2739" s="1" t="str">
        <f>IFERROR(__xludf.DUMMYFUNCTION("CONCATENATE(GOOGLETRANSLATE(C2739, ""en"", ""ko""))"),"뉴트로지나 래피드 링클 리페어 안티에이징 레티놀 크림")</f>
        <v>뉴트로지나 래피드 링클 리페어 안티에이징 레티놀 크림</v>
      </c>
      <c r="F2739" s="1" t="str">
        <f>IFERROR(__xludf.DUMMYFUNCTION("CONCATENATE(GOOGLETRANSLATE(C2739, ""en"", ""ja""))"),"ニュートロジーナ ラピッド リンクル リペア アンチエイジング レチノール クリーム")</f>
        <v>ニュートロジーナ ラピッド リンクル リペア アンチエイジング レチノール クリーム</v>
      </c>
    </row>
    <row r="2740" ht="15.75" customHeight="1">
      <c r="A2740" s="1">
        <v>7627.0</v>
      </c>
      <c r="B2740" s="1" t="s">
        <v>15</v>
      </c>
      <c r="C2740" s="1" t="s">
        <v>2536</v>
      </c>
      <c r="D2740" s="1" t="str">
        <f>IFERROR(__xludf.DUMMYFUNCTION("CONCATENATE(GOOGLETRANSLATE(C2740, ""en"", ""zh-cn""))"),"露得清可见修复视黄醇精华液")</f>
        <v>露得清可见修复视黄醇精华液</v>
      </c>
      <c r="E2740" s="1" t="str">
        <f>IFERROR(__xludf.DUMMYFUNCTION("CONCATENATE(GOOGLETRANSLATE(C2740, ""en"", ""ko""))"),"뉴트로지나 비저블 리페어 레티놀 세럼")</f>
        <v>뉴트로지나 비저블 리페어 레티놀 세럼</v>
      </c>
      <c r="F2740" s="1" t="str">
        <f>IFERROR(__xludf.DUMMYFUNCTION("CONCATENATE(GOOGLETRANSLATE(C2740, ""en"", ""ja""))"),"ニュートロジーナ ビジブル リペア レチノール セラム")</f>
        <v>ニュートロジーナ ビジブル リペア レチノール セラム</v>
      </c>
    </row>
    <row r="2741" ht="15.75" customHeight="1">
      <c r="A2741" s="1">
        <v>7656.0</v>
      </c>
      <c r="B2741" s="1" t="s">
        <v>15</v>
      </c>
      <c r="C2741" s="1" t="s">
        <v>2537</v>
      </c>
      <c r="D2741" s="1" t="str">
        <f>IFERROR(__xludf.DUMMYFUNCTION("CONCATENATE(GOOGLETRANSLATE(C2741, ""en"", ""zh-cn""))"),"Arm &amp; Hammer 猫砂除臭剂 20 盎司（4 件装）")</f>
        <v>Arm &amp; Hammer 猫砂除臭剂 20 盎司（4 件装）</v>
      </c>
      <c r="E2741" s="1" t="str">
        <f>IFERROR(__xludf.DUMMYFUNCTION("CONCATENATE(GOOGLETRANSLATE(C2741, ""en"", ""ko""))"),"Arm &amp; Hammer 고양이 쓰레기 탈취제 20온스(4개 팩)")</f>
        <v>Arm &amp; Hammer 고양이 쓰레기 탈취제 20온스(4개 팩)</v>
      </c>
      <c r="F2741" s="1" t="str">
        <f>IFERROR(__xludf.DUMMYFUNCTION("CONCATENATE(GOOGLETRANSLATE(C2741, ""en"", ""ja""))"),"アーム&amp;ハンマー 猫砂消臭剤 20オンス (4個パック)")</f>
        <v>アーム&amp;ハンマー 猫砂消臭剤 20オンス (4個パック)</v>
      </c>
    </row>
    <row r="2742" ht="15.75" customHeight="1">
      <c r="A2742" s="1">
        <v>7673.0</v>
      </c>
      <c r="B2742" s="1" t="s">
        <v>15</v>
      </c>
      <c r="C2742" s="1" t="s">
        <v>2538</v>
      </c>
      <c r="D2742" s="1" t="str">
        <f>IFERROR(__xludf.DUMMYFUNCTION("CONCATENATE(GOOGLETRANSLATE(C2742, ""en"", ""zh-cn""))"),"PetSafe 陶瓷宠物饮水器，适合猫和小型犬 60 盎司水容量 静音水流 非常适合害羞或胆小的宠物 新鲜过滤水")</f>
        <v>PetSafe 陶瓷宠物饮水器，适合猫和小型犬 60 盎司水容量 静音水流 非常适合害羞或胆小的宠物 新鲜过滤水</v>
      </c>
      <c r="E2742" s="1" t="str">
        <f>IFERROR(__xludf.DUMMYFUNCTION("CONCATENATE(GOOGLETRANSLATE(C2742, ""en"", ""ko""))"),"고양이와 소형견을 위한 PetSafe 세라믹 애완동물 분수 60온스 용량 수줍음이 많거나 소심한 애완동물에게 적합한 속삭이듯 조용한 물 흐름 신선하고 여과된 물")</f>
        <v>고양이와 소형견을 위한 PetSafe 세라믹 애완동물 분수 60온스 용량 수줍음이 많거나 소심한 애완동물에게 적합한 속삭이듯 조용한 물 흐름 신선하고 여과된 물</v>
      </c>
      <c r="F2742" s="1" t="str">
        <f>IFERROR(__xludf.DUMMYFUNCTION("CONCATENATE(GOOGLETRANSLATE(C2742, ""en"", ""ja""))"),"PetSafe セラミックペットファウンテン 猫と小型犬用 60オンスの水容量 ささやきのような静かな水流 内気なペットや臆病なペットに最適 新鮮なろ過された水")</f>
        <v>PetSafe セラミックペットファウンテン 猫と小型犬用 60オンスの水容量 ささやきのような静かな水流 内気なペットや臆病なペットに最適 新鮮なろ過された水</v>
      </c>
    </row>
    <row r="2743" ht="15.75" customHeight="1">
      <c r="A2743" s="1">
        <v>7679.0</v>
      </c>
      <c r="B2743" s="1" t="s">
        <v>15</v>
      </c>
      <c r="C2743" s="1" t="s">
        <v>2539</v>
      </c>
      <c r="D2743" s="1" t="str">
        <f>IFERROR(__xludf.DUMMYFUNCTION("CONCATENATE(GOOGLETRANSLATE(C2743, ""en"", ""zh-cn""))"),"PetSafe 健康宠物滤水器，适用于狗和猫的健康宠物饮水站")</f>
        <v>PetSafe 健康宠物滤水器，适用于狗和猫的健康宠物饮水站</v>
      </c>
      <c r="E2743" s="1" t="str">
        <f>IFERROR(__xludf.DUMMYFUNCTION("CONCATENATE(GOOGLETRANSLATE(C2743, ""en"", ""ko""))"),"PetSafe 건강한 애완동물 정수 필터, 개와 고양이를 위한 건강한 애완동물 급수대용")</f>
        <v>PetSafe 건강한 애완동물 정수 필터, 개와 고양이를 위한 건강한 애완동물 급수대용</v>
      </c>
      <c r="F2743" s="1" t="str">
        <f>IFERROR(__xludf.DUMMYFUNCTION("CONCATENATE(GOOGLETRANSLATE(C2743, ""en"", ""ja""))"),"PetSafe ヘルシーペットウォーターフィルター、犬猫用ヘルシーペットウォーターステーション用")</f>
        <v>PetSafe ヘルシーペットウォーターフィルター、犬猫用ヘルシーペットウォーターステーション用</v>
      </c>
    </row>
    <row r="2744" ht="15.75" customHeight="1">
      <c r="A2744" s="1">
        <v>7680.0</v>
      </c>
      <c r="B2744" s="1" t="s">
        <v>15</v>
      </c>
      <c r="C2744" s="1" t="s">
        <v>2540</v>
      </c>
      <c r="D2744" s="1" t="str">
        <f>IFERROR(__xludf.DUMMYFUNCTION("CONCATENATE(GOOGLETRANSLATE(C2744, ""en"", ""zh-cn""))"),"PetSafe ScoopFree 自动猫砂盒垃圾桶内衬抽绳猫砂盒内衬，用于 ScoopFree 自清洁结块猫砂盒和 ScoopFree SmartSpin 猫砂盒，易于清理，25 个")</f>
        <v>PetSafe ScoopFree 自动猫砂盒垃圾桶内衬抽绳猫砂盒内衬，用于 ScoopFree 自清洁结块猫砂盒和 ScoopFree SmartSpin 猫砂盒，易于清理，25 个</v>
      </c>
      <c r="E2744" s="1" t="str">
        <f>IFERROR(__xludf.DUMMYFUNCTION("CONCATENATE(GOOGLETRANSLATE(C2744, ""en"", ""ko""))"),"PetSafe ScoopFree 자동 고양이 쓰레기 상자 쓰레기통 라이너 Drawstring 쓰레기 상자 라이너 ScoopFree 자체 청소 응집 쓰레기 상자 및 ScoopFree SmartSpin 쓰레기 상자 간편한 정리, 25개")</f>
        <v>PetSafe ScoopFree 자동 고양이 쓰레기 상자 쓰레기통 라이너 Drawstring 쓰레기 상자 라이너 ScoopFree 자체 청소 응집 쓰레기 상자 및 ScoopFree SmartSpin 쓰레기 상자 간편한 정리, 25개</v>
      </c>
      <c r="F2744" s="1" t="str">
        <f>IFERROR(__xludf.DUMMYFUNCTION("CONCATENATE(GOOGLETRANSLATE(C2744, ""en"", ""ja""))"),"PetSafe ScoopFree 自動猫用トイレゴミ箱ライナー 巾着型トイレライナー ScoopFree セルフクリーニング 固まるトイレと ScoopFree SmartSpin トイレ用 簡単お掃除、25個")</f>
        <v>PetSafe ScoopFree 自動猫用トイレゴミ箱ライナー 巾着型トイレライナー ScoopFree セルフクリーニング 固まるトイレと ScoopFree SmartSpin トイレ用 簡単お掃除、25個</v>
      </c>
    </row>
    <row r="2745" ht="15.75" customHeight="1">
      <c r="A2745" s="1">
        <v>7682.0</v>
      </c>
      <c r="B2745" s="1" t="s">
        <v>15</v>
      </c>
      <c r="C2745" s="1" t="s">
        <v>2075</v>
      </c>
      <c r="D2745" s="1" t="str">
        <f>IFERROR(__xludf.DUMMYFUNCTION("CONCATENATE(GOOGLETRANSLATE(C2745, ""en"", ""zh-cn""))"),"PetSafe Drinkwell 替换碳过滤器，狗和猫饮水器过滤器，3 件装")</f>
        <v>PetSafe Drinkwell 替换碳过滤器，狗和猫饮水器过滤器，3 件装</v>
      </c>
      <c r="E2745" s="1" t="str">
        <f>IFERROR(__xludf.DUMMYFUNCTION("CONCATENATE(GOOGLETRANSLATE(C2745, ""en"", ""ko""))"),"PetSafe Drinkwell 교체용 탄소 필터, 개 및 고양이 분수 필터, 3개 팩")</f>
        <v>PetSafe Drinkwell 교체용 탄소 필터, 개 및 고양이 분수 필터, 3개 팩</v>
      </c>
      <c r="F2745" s="1" t="str">
        <f>IFERROR(__xludf.DUMMYFUNCTION("CONCATENATE(GOOGLETRANSLATE(C2745, ""en"", ""ja""))"),"PetSafe ドリンクウェル交換用カーボンフィルター、犬と猫の噴水フィルター、3 個パック")</f>
        <v>PetSafe ドリンクウェル交換用カーボンフィルター、犬と猫の噴水フィルター、3 個パック</v>
      </c>
    </row>
    <row r="2746" ht="15.75" customHeight="1">
      <c r="A2746" s="1">
        <v>7688.0</v>
      </c>
      <c r="B2746" s="1" t="s">
        <v>15</v>
      </c>
      <c r="C2746" s="1" t="s">
        <v>2541</v>
      </c>
      <c r="D2746" s="1" t="str">
        <f>IFERROR(__xludf.DUMMYFUNCTION("CONCATENATE(GOOGLETRANSLATE(C2746, ""en"", ""zh-cn""))"),"PetSafe 替换泵，潜水式，安静运行，与 Drinkwell 陶瓷、不锈钢、360 宠物饮水器兼容 (PAC00-13206)")</f>
        <v>PetSafe 替换泵，潜水式，安静运行，与 Drinkwell 陶瓷、不锈钢、360 宠物饮水器兼容 (PAC00-13206)</v>
      </c>
      <c r="E2746" s="1" t="str">
        <f>IFERROR(__xludf.DUMMYFUNCTION("CONCATENATE(GOOGLETRANSLATE(C2746, ""en"", ""ko""))"),"PetSafe 교체 펌프, 수중, 저소음 작동, Drinkwell 세라믹과 호환 가능, 스테인리스 스틸, 360 애완동물 분수(PAC00-13206)")</f>
        <v>PetSafe 교체 펌프, 수중, 저소음 작동, Drinkwell 세라믹과 호환 가능, 스테인리스 스틸, 360 애완동물 분수(PAC00-13206)</v>
      </c>
      <c r="F2746" s="1" t="str">
        <f>IFERROR(__xludf.DUMMYFUNCTION("CONCATENATE(GOOGLETRANSLATE(C2746, ""en"", ""ja""))"),"PetSafe 交換用ポンプ、水中、静かな動作、ドリンクウェルセラミック、ステンレススチール、360 ペットウォーターファウンテンに対応 (PAC00-13206)")</f>
        <v>PetSafe 交換用ポンプ、水中、静かな動作、ドリンクウェルセラミック、ステンレススチール、360 ペットウォーターファウンテンに対応 (PAC00-13206)</v>
      </c>
    </row>
    <row r="2747" ht="15.75" customHeight="1">
      <c r="A2747" s="1">
        <v>7689.0</v>
      </c>
      <c r="B2747" s="1" t="s">
        <v>15</v>
      </c>
      <c r="C2747" s="1" t="s">
        <v>2542</v>
      </c>
      <c r="D2747" s="1" t="str">
        <f>IFERROR(__xludf.DUMMYFUNCTION("CONCATENATE(GOOGLETRANSLATE(C2747, ""en"", ""zh-cn""))"),"PetSafe Slimcat 猫用慢速喂食球 - 适合您的猫的互动益智游戏 - 装满食物和零食 - 非常适合小猫和成年猫的室内游戏、份量控制和快速进食者（蓝色）")</f>
        <v>PetSafe Slimcat 猫用慢速喂食球 - 适合您的猫的互动益智游戏 - 装满食物和零食 - 非常适合小猫和成年猫的室内游戏、份量控制和快速进食者（蓝色）</v>
      </c>
      <c r="E2747" s="1" t="str">
        <f>IFERROR(__xludf.DUMMYFUNCTION("CONCATENATE(GOOGLETRANSLATE(C2747, ""en"", ""ko""))"),"PetSafe Slimcat 고양이용 슬로우 피더 볼 - 고양이를 위한 대화형 퍼즐 게임 - 음식과 간식으로 채우기 - 새끼 고양이와 성묘를 위한 실내 놀이, 양 조절 및 빨리 먹는 사람을 위한 최적(파란색)")</f>
        <v>PetSafe Slimcat 고양이용 슬로우 피더 볼 - 고양이를 위한 대화형 퍼즐 게임 - 음식과 간식으로 채우기 - 새끼 고양이와 성묘를 위한 실내 놀이, 양 조절 및 빨리 먹는 사람을 위한 최적(파란색)</v>
      </c>
      <c r="F2747" s="1" t="str">
        <f>IFERROR(__xludf.DUMMYFUNCTION("CONCATENATE(GOOGLETRANSLATE(C2747, ""en"", ""ja""))"),"PetSafe 猫用スローフィーダーボール - 猫用インタラクティブパズルゲーム - フードやおやつを詰める - 子猫や成猫の室内遊び、量のコントロールや早食いに最適 (ブルー)")</f>
        <v>PetSafe 猫用スローフィーダーボール - 猫用インタラクティブパズルゲーム - フードやおやつを詰める - 子猫や成猫の室内遊び、量のコントロールや早食いに最適 (ブルー)</v>
      </c>
    </row>
    <row r="2748" ht="15.75" customHeight="1">
      <c r="A2748" s="1">
        <v>7697.0</v>
      </c>
      <c r="B2748" s="1" t="s">
        <v>15</v>
      </c>
      <c r="C2748" s="1" t="s">
        <v>2543</v>
      </c>
      <c r="D2748" s="1" t="str">
        <f>IFERROR(__xludf.DUMMYFUNCTION("CONCATENATE(GOOGLETRANSLATE(C2748, ""en"", ""zh-cn""))"),"MidWest Homes for Pets 小动物宠物围栏/运动围栏，蓝色和绿色，1 件（1 件装），小动物围栏。")</f>
        <v>MidWest Homes for Pets 小动物宠物围栏/运动围栏，蓝色和绿色，1 件（1 件装），小动物围栏。</v>
      </c>
      <c r="E2748" s="1" t="str">
        <f>IFERROR(__xludf.DUMMYFUNCTION("CONCATENATE(GOOGLETRANSLATE(C2748, ""en"", ""ko""))"),"MidWest Homes for Pets 소형 동물 애완동물 놀이터/운동용 펜, 파란색 및 녹색, 1개(1팩), 작은 동물 놀이터.")</f>
        <v>MidWest Homes for Pets 소형 동물 애완동물 놀이터/운동용 펜, 파란색 및 녹색, 1개(1팩), 작은 동물 놀이터.</v>
      </c>
      <c r="F2748" s="1" t="str">
        <f>IFERROR(__xludf.DUMMYFUNCTION("CONCATENATE(GOOGLETRANSLATE(C2748, ""en"", ""ja""))"),"MidWest Homes for Pets 小動物ペットベビーサークル/エクササイズペン、ブルーとグリーン、1 カウント (1 パック)、小動物ベビーサークル。")</f>
        <v>MidWest Homes for Pets 小動物ペットベビーサークル/エクササイズペン、ブルーとグリーン、1 カウント (1 パック)、小動物ベビーサークル。</v>
      </c>
    </row>
    <row r="2749" ht="15.75" customHeight="1">
      <c r="A2749" s="1">
        <v>7699.0</v>
      </c>
      <c r="B2749" s="1" t="s">
        <v>15</v>
      </c>
      <c r="C2749" s="1" t="s">
        <v>2544</v>
      </c>
      <c r="D2749" s="1" t="str">
        <f>IFERROR(__xludf.DUMMYFUNCTION("CONCATENATE(GOOGLETRANSLATE(C2749, ""en"", ""zh-cn""))"),"MidWest Homes For Pets 方形运动笔织物网状顶部")</f>
        <v>MidWest Homes For Pets 方形运动笔织物网状顶部</v>
      </c>
      <c r="E2749" s="1" t="str">
        <f>IFERROR(__xludf.DUMMYFUNCTION("CONCATENATE(GOOGLETRANSLATE(C2749, ""en"", ""ko""))"),"MidWest Homes For Pets Square 운동 펜 패브릭 메쉬 탑")</f>
        <v>MidWest Homes For Pets Square 운동 펜 패브릭 메쉬 탑</v>
      </c>
      <c r="F2749" s="1" t="str">
        <f>IFERROR(__xludf.DUMMYFUNCTION("CONCATENATE(GOOGLETRANSLATE(C2749, ""en"", ""ja""))"),"中西部のペット用ホーム スクエア エクササイズ ペン ファブリック メッシュ トップ")</f>
        <v>中西部のペット用ホーム スクエア エクササイズ ペン ファブリック メッシュ トップ</v>
      </c>
    </row>
    <row r="2750" ht="15.75" customHeight="1">
      <c r="A2750" s="1">
        <v>7704.0</v>
      </c>
      <c r="B2750" s="1" t="s">
        <v>15</v>
      </c>
      <c r="C2750" s="1" t="s">
        <v>2545</v>
      </c>
      <c r="D2750" s="1" t="str">
        <f>IFERROR(__xludf.DUMMYFUNCTION("CONCATENATE(GOOGLETRANSLATE(C2750, ""en"", ""zh-cn""))"),"MidWest Homes for Pets iCrate 狗笼入门套件，24 英寸狗笼套件非常适合小型犬种（25 磅），包括狗笼、宠物床、2 个狗碗和狗笼盖（粉色），1524PK-KIT")</f>
        <v>MidWest Homes for Pets iCrate 狗笼入门套件，24 英寸狗笼套件非常适合小型犬种（25 磅），包括狗笼、宠物床、2 个狗碗和狗笼盖（粉色），1524PK-KIT</v>
      </c>
      <c r="E2750" s="1" t="str">
        <f>IFERROR(__xludf.DUMMYFUNCTION("CONCATENATE(GOOGLETRANSLATE(C2750, ""en"", ""ko""))"),"MidWest Homes for Pets iCrate 개 상자 스타터 키트, 소형견 품종에 적합한 24인치 개 상자 키트(무게 ~ 25파운드) 개 상자, 애완동물 침대, 개 그릇 2개 및 개 상자 커버(분홍색), 1524PK-KIT 포함")</f>
        <v>MidWest Homes for Pets iCrate 개 상자 스타터 키트, 소형견 품종에 적합한 24인치 개 상자 키트(무게 ~ 25파운드) 개 상자, 애완동물 침대, 개 그릇 2개 및 개 상자 커버(분홍색), 1524PK-KIT 포함</v>
      </c>
      <c r="F2750" s="1" t="str">
        <f>IFERROR(__xludf.DUMMYFUNCTION("CONCATENATE(GOOGLETRANSLATE(C2750, ""en"", ""ja""))"),"MidWest Homes for Pets iCrate 犬用クレート スターター キット、小型犬の品種 (体重 25 ポンドまで) に最適な 24 インチの犬用クレート キット 犬用クレート、ペット ベッド、犬用ボウル 2 個、犬用クレート カバー (ピンク) が含まれます、1524PK-KIT")</f>
        <v>MidWest Homes for Pets iCrate 犬用クレート スターター キット、小型犬の品種 (体重 25 ポンドまで) に最適な 24 インチの犬用クレート キット 犬用クレート、ペット ベッド、犬用ボウル 2 個、犬用クレート カバー (ピンク) が含まれます、1524PK-KIT</v>
      </c>
    </row>
    <row r="2751" ht="15.75" customHeight="1">
      <c r="A2751" s="1">
        <v>7721.0</v>
      </c>
      <c r="B2751" s="1" t="s">
        <v>15</v>
      </c>
      <c r="C2751" s="1" t="s">
        <v>2546</v>
      </c>
      <c r="D2751" s="1" t="str">
        <f>IFERROR(__xludf.DUMMYFUNCTION("CONCATENATE(GOOGLETRANSLATE(C2751, ""en"", ""zh-cn""))"),"PetSafe 健康宠物食品站 - 小型，2 磅粗磨容量 - 重力宠物喂食器干粮分配器 - 自动猫喂食器或小狗喂食器 - 包括可拆卸不锈钢碗")</f>
        <v>PetSafe 健康宠物食品站 - 小型，2 磅粗磨容量 - 重力宠物喂食器干粮分配器 - 自动猫喂食器或小狗喂食器 - 包括可拆卸不锈钢碗</v>
      </c>
      <c r="E2751" s="1" t="str">
        <f>IFERROR(__xludf.DUMMYFUNCTION("CONCATENATE(GOOGLETRANSLATE(C2751, ""en"", ""ko""))"),"PetSafe 건강한 애완동물 먹이 스테이션 - 소형, 2파운드 사료 용량 - 중력 애완동물 급식기 건조 식품 디스펜서 - 자동 고양이 급식기 또는 소형견 급식기 - 탈착식 스테인레스 스틸 그릇 포함")</f>
        <v>PetSafe 건강한 애완동물 먹이 스테이션 - 소형, 2파운드 사료 용량 - 중력 애완동물 급식기 건조 식품 디스펜서 - 자동 고양이 급식기 또는 소형견 급식기 - 탈착식 스테인레스 스틸 그릇 포함</v>
      </c>
      <c r="F2751" s="1" t="str">
        <f>IFERROR(__xludf.DUMMYFUNCTION("CONCATENATE(GOOGLETRANSLATE(C2751, ""en"", ""ja""))"),"PetSafe ヘルシー ペットフード ステーション - 小型、粒容量 2 ポンド - 重力ペットフィーダー ドライフードディスペンサー - 自動猫フィーダーまたは小型犬フィーダー - 取り外し可能なステンレススチールボウル付属")</f>
        <v>PetSafe ヘルシー ペットフード ステーション - 小型、粒容量 2 ポンド - 重力ペットフィーダー ドライフードディスペンサー - 自動猫フィーダーまたは小型犬フィーダー - 取り外し可能なステンレススチールボウル付属</v>
      </c>
    </row>
    <row r="2752" ht="15.75" customHeight="1">
      <c r="A2752" s="1">
        <v>7734.0</v>
      </c>
      <c r="B2752" s="1" t="s">
        <v>15</v>
      </c>
      <c r="C2752" s="1" t="s">
        <v>2547</v>
      </c>
      <c r="D2752" s="1" t="str">
        <f>IFERROR(__xludf.DUMMYFUNCTION("CONCATENATE(GOOGLETRANSLATE(C2752, ""en"", ""zh-cn""))"),"PetSafe Drinkwell 白金狗猫饮水器，宠物自动饮水器，168 盎司，灰色")</f>
        <v>PetSafe Drinkwell 白金狗猫饮水器，宠物自动饮水器，168 盎司，灰色</v>
      </c>
      <c r="E2752" s="1" t="str">
        <f>IFERROR(__xludf.DUMMYFUNCTION("CONCATENATE(GOOGLETRANSLATE(C2752, ""en"", ""ko""))"),"PetSafe Drinkwell 플래티넘 개 및 고양이 분수, 애완동물용 자동 식수대, 168 온스, 회색")</f>
        <v>PetSafe Drinkwell 플래티넘 개 및 고양이 분수, 애완동물용 자동 식수대, 168 온스, 회색</v>
      </c>
      <c r="F2752" s="1" t="str">
        <f>IFERROR(__xludf.DUMMYFUNCTION("CONCATENATE(GOOGLETRANSLATE(C2752, ""en"", ""ja""))"),"PetSafe ドリンクウェル プラチナ犬猫用水飲み器 ペット用自動水飲み器 168オンス グレー")</f>
        <v>PetSafe ドリンクウェル プラチナ犬猫用水飲み器 ペット用自動水飲み器 168オンス グレー</v>
      </c>
    </row>
    <row r="2753" ht="15.75" customHeight="1">
      <c r="A2753" s="1">
        <v>7762.0</v>
      </c>
      <c r="B2753" s="1" t="s">
        <v>15</v>
      </c>
      <c r="C2753" s="1" t="s">
        <v>2548</v>
      </c>
      <c r="D2753" s="1" t="str">
        <f>IFERROR(__xludf.DUMMYFUNCTION("CONCATENATE(GOOGLETRANSLATE(C2753, ""en"", ""zh-cn""))"),"Aqueon 125 加仑黑色硅胶水族箱")</f>
        <v>Aqueon 125 加仑黑色硅胶水族箱</v>
      </c>
      <c r="E2753" s="1" t="str">
        <f>IFERROR(__xludf.DUMMYFUNCTION("CONCATENATE(GOOGLETRANSLATE(C2753, ""en"", ""ko""))"),"Aqueon 125 갤런 검정색 실리콘 수족관")</f>
        <v>Aqueon 125 갤런 검정색 실리콘 수족관</v>
      </c>
      <c r="F2753" s="1" t="str">
        <f>IFERROR(__xludf.DUMMYFUNCTION("CONCATENATE(GOOGLETRANSLATE(C2753, ""en"", ""ja""))"),"Aqueon 125 ガロン ブラックシリコン水族館")</f>
        <v>Aqueon 125 ガロン ブラックシリコン水族館</v>
      </c>
    </row>
    <row r="2754" ht="15.75" customHeight="1">
      <c r="A2754" s="1">
        <v>7771.0</v>
      </c>
      <c r="B2754" s="1" t="s">
        <v>15</v>
      </c>
      <c r="C2754" s="1" t="s">
        <v>2549</v>
      </c>
      <c r="D2754" s="1" t="str">
        <f>IFERROR(__xludf.DUMMYFUNCTION("CONCATENATE(GOOGLETRANSLATE(C2754, ""en"", ""zh-cn""))"),"Aqueon NeoGlow LED 水族箱套件")</f>
        <v>Aqueon NeoGlow LED 水族箱套件</v>
      </c>
      <c r="E2754" s="1" t="str">
        <f>IFERROR(__xludf.DUMMYFUNCTION("CONCATENATE(GOOGLETRANSLATE(C2754, ""en"", ""ko""))"),"Aqueon NeoGlow LED 수족관 키트")</f>
        <v>Aqueon NeoGlow LED 수족관 키트</v>
      </c>
      <c r="F2754" s="1" t="str">
        <f>IFERROR(__xludf.DUMMYFUNCTION("CONCATENATE(GOOGLETRANSLATE(C2754, ""en"", ""ja""))"),"Aqueon NeoGlow LED 水族館キット")</f>
        <v>Aqueon NeoGlow LED 水族館キット</v>
      </c>
    </row>
    <row r="2755" ht="15.75" customHeight="1">
      <c r="A2755" s="1">
        <v>7774.0</v>
      </c>
      <c r="B2755" s="1" t="s">
        <v>15</v>
      </c>
      <c r="C2755" s="1" t="s">
        <v>2550</v>
      </c>
      <c r="D2755" s="1" t="str">
        <f>IFERROR(__xludf.DUMMYFUNCTION("CONCATENATE(GOOGLETRANSLATE(C2755, ""en"", ""zh-cn""))"),"Aqueon 10 加仑水族箱")</f>
        <v>Aqueon 10 加仑水族箱</v>
      </c>
      <c r="E2755" s="1" t="str">
        <f>IFERROR(__xludf.DUMMYFUNCTION("CONCATENATE(GOOGLETRANSLATE(C2755, ""en"", ""ko""))"),"Aqueon 10 갤런 수족관")</f>
        <v>Aqueon 10 갤런 수족관</v>
      </c>
      <c r="F2755" s="1" t="str">
        <f>IFERROR(__xludf.DUMMYFUNCTION("CONCATENATE(GOOGLETRANSLATE(C2755, ""en"", ""ja""))"),"アクアオン 10 ガロン水族館")</f>
        <v>アクアオン 10 ガロン水族館</v>
      </c>
    </row>
    <row r="2756" ht="15.75" customHeight="1">
      <c r="A2756" s="1">
        <v>7780.0</v>
      </c>
      <c r="B2756" s="1" t="s">
        <v>15</v>
      </c>
      <c r="C2756" s="1" t="s">
        <v>2551</v>
      </c>
      <c r="D2756" s="1" t="str">
        <f>IFERROR(__xludf.DUMMYFUNCTION("CONCATENATE(GOOGLETRANSLATE(C2756, ""en"", ""zh-cn""))"),"Aqueon Versa 顶部铰链玻璃水族箱顶部 24"" x 12""")</f>
        <v>Aqueon Versa 顶部铰链玻璃水族箱顶部 24" x 12"</v>
      </c>
      <c r="E2756" s="1" t="str">
        <f>IFERROR(__xludf.DUMMYFUNCTION("CONCATENATE(GOOGLETRANSLATE(C2756, ""en"", ""ko""))"),"Aqueon Versa 상단 힌지형 유리 수족관 상단 24"" x 12""")</f>
        <v>Aqueon Versa 상단 힌지형 유리 수족관 상단 24" x 12"</v>
      </c>
      <c r="F2756" s="1" t="str">
        <f>IFERROR(__xludf.DUMMYFUNCTION("CONCATENATE(GOOGLETRANSLATE(C2756, ""en"", ""ja""))"),"Aqueon Versa トップ ヒンジ付きガラス水族館トップ 24 インチ x 12 インチ")</f>
        <v>Aqueon Versa トップ ヒンジ付きガラス水族館トップ 24 インチ x 12 インチ</v>
      </c>
    </row>
    <row r="2757" ht="15.75" customHeight="1">
      <c r="A2757" s="1">
        <v>7781.0</v>
      </c>
      <c r="B2757" s="1" t="s">
        <v>15</v>
      </c>
      <c r="C2757" s="1" t="s">
        <v>2552</v>
      </c>
      <c r="D2757" s="1" t="str">
        <f>IFERROR(__xludf.DUMMYFUNCTION("CONCATENATE(GOOGLETRANSLATE(C2757, ""en"", ""zh-cn""))"),"Aqueon 珊瑚礁就绪水族馆")</f>
        <v>Aqueon 珊瑚礁就绪水族馆</v>
      </c>
      <c r="E2757" s="1" t="str">
        <f>IFERROR(__xludf.DUMMYFUNCTION("CONCATENATE(GOOGLETRANSLATE(C2757, ""en"", ""ko""))"),"Aqueon 리프 레디 수족관")</f>
        <v>Aqueon 리프 레디 수족관</v>
      </c>
      <c r="F2757" s="1" t="str">
        <f>IFERROR(__xludf.DUMMYFUNCTION("CONCATENATE(GOOGLETRANSLATE(C2757, ""en"", ""ja""))"),"アクアオン リーフレディ水族館")</f>
        <v>アクアオン リーフレディ水族館</v>
      </c>
    </row>
    <row r="2758" ht="15.75" customHeight="1">
      <c r="A2758" s="1">
        <v>7783.0</v>
      </c>
      <c r="B2758" s="1" t="s">
        <v>15</v>
      </c>
      <c r="C2758" s="1" t="s">
        <v>2553</v>
      </c>
      <c r="D2758" s="1" t="str">
        <f>IFERROR(__xludf.DUMMYFUNCTION("CONCATENATE(GOOGLETRANSLATE(C2758, ""en"", ""zh-cn""))"),"适用于水族箱的利乐水清洁砾石虹吸管，轻松清洁淡水水族箱")</f>
        <v>适用于水族箱的利乐水清洁砾石虹吸管，轻松清洁淡水水族箱</v>
      </c>
      <c r="E2758" s="1" t="str">
        <f>IFERROR(__xludf.DUMMYFUNCTION("CONCATENATE(GOOGLETRANSLATE(C2758, ""en"", ""ko""))"),"수족관용 테트라 정수기 자갈 사이펀, 담수 수족관을 쉽게 청소")</f>
        <v>수족관용 테트라 정수기 자갈 사이펀, 담수 수족관을 쉽게 청소</v>
      </c>
      <c r="F2758" s="1" t="str">
        <f>IFERROR(__xludf.DUMMYFUNCTION("CONCATENATE(GOOGLETRANSLATE(C2758, ""en"", ""ja""))"),"テトラ ウォータークリーナー 砂利サイフォン 水族館用 淡水水族館を簡単に掃除")</f>
        <v>テトラ ウォータークリーナー 砂利サイフォン 水族館用 淡水水族館を簡単に掃除</v>
      </c>
    </row>
    <row r="2759" ht="15.75" customHeight="1">
      <c r="A2759" s="1">
        <v>7805.0</v>
      </c>
      <c r="B2759" s="1" t="s">
        <v>15</v>
      </c>
      <c r="C2759" s="1" t="s">
        <v>2554</v>
      </c>
      <c r="D2759" s="1" t="str">
        <f>IFERROR(__xludf.DUMMYFUNCTION("CONCATENATE(GOOGLETRANSLATE(C2759, ""en"", ""zh-cn""))"),"Tetra AquaSafe Plus，水族箱水质调节剂和脱氯剂，33.8 盎司")</f>
        <v>Tetra AquaSafe Plus，水族箱水质调节剂和脱氯剂，33.8 盎司</v>
      </c>
      <c r="E2759" s="1" t="str">
        <f>IFERROR(__xludf.DUMMYFUNCTION("CONCATENATE(GOOGLETRANSLATE(C2759, ""en"", ""ko""))"),"Tetra AquaSafe Plus, 수족관 물 컨디셔너 및 염소제거제, 33.8 온스")</f>
        <v>Tetra AquaSafe Plus, 수족관 물 컨디셔너 및 염소제거제, 33.8 온스</v>
      </c>
      <c r="F2759" s="1" t="str">
        <f>IFERROR(__xludf.DUMMYFUNCTION("CONCATENATE(GOOGLETRANSLATE(C2759, ""en"", ""ja""))"),"Tetra AquaSafe Plus、水族館の水調整剤および脱塩素剤、33.8 オンス")</f>
        <v>Tetra AquaSafe Plus、水族館の水調整剤および脱塩素剤、33.8 オンス</v>
      </c>
    </row>
    <row r="2760" ht="15.75" customHeight="1">
      <c r="A2760" s="1">
        <v>7810.0</v>
      </c>
      <c r="B2760" s="1" t="s">
        <v>15</v>
      </c>
      <c r="C2760" s="1" t="s">
        <v>2555</v>
      </c>
      <c r="D2760" s="1" t="str">
        <f>IFERROR(__xludf.DUMMYFUNCTION("CONCATENATE(GOOGLETRANSLATE(C2760, ""en"", ""zh-cn""))"),"聚集活动表")</f>
        <v>聚集活动表</v>
      </c>
      <c r="E2760" s="1" t="str">
        <f>IFERROR(__xludf.DUMMYFUNCTION("CONCATENATE(GOOGLETRANSLATE(C2760, ""en"", ""ko""))"),"Gathre 활동 테이블")</f>
        <v>Gathre 활동 테이블</v>
      </c>
      <c r="F2760" s="1" t="str">
        <f>IFERROR(__xludf.DUMMYFUNCTION("CONCATENATE(GOOGLETRANSLATE(C2760, ""en"", ""ja""))"),"アクティビティテーブルの収集")</f>
        <v>アクティビティテーブルの収集</v>
      </c>
    </row>
    <row r="2761" ht="15.75" customHeight="1">
      <c r="A2761" s="1">
        <v>7819.0</v>
      </c>
      <c r="B2761" s="1" t="s">
        <v>15</v>
      </c>
      <c r="C2761" s="1" t="s">
        <v>2556</v>
      </c>
      <c r="D2761" s="1" t="str">
        <f>IFERROR(__xludf.DUMMYFUNCTION("CONCATENATE(GOOGLETRANSLATE(C2761, ""en"", ""zh-cn""))"),"儿童工厂活动桌及盖子套装")</f>
        <v>儿童工厂活动桌及盖子套装</v>
      </c>
      <c r="E2761" s="1" t="str">
        <f>IFERROR(__xludf.DUMMYFUNCTION("CONCATENATE(GOOGLETRANSLATE(C2761, ""en"", ""ko""))"),"어린이 공장 활동 테이블 및 뚜껑 세트")</f>
        <v>어린이 공장 활동 테이블 및 뚜껑 세트</v>
      </c>
      <c r="F2761" s="1" t="str">
        <f>IFERROR(__xludf.DUMMYFUNCTION("CONCATENATE(GOOGLETRANSLATE(C2761, ""en"", ""ja""))"),"Children S Factory アクティビティ テーブルと蓋のセット")</f>
        <v>Children S Factory アクティビティ テーブルと蓋のセット</v>
      </c>
    </row>
    <row r="2762" ht="15.75" customHeight="1">
      <c r="A2762" s="1">
        <v>7832.0</v>
      </c>
      <c r="B2762" s="1" t="s">
        <v>15</v>
      </c>
      <c r="C2762" s="1" t="s">
        <v>2557</v>
      </c>
      <c r="D2762" s="1" t="str">
        <f>IFERROR(__xludf.DUMMYFUNCTION("CONCATENATE(GOOGLETRANSLATE(C2762, ""en"", ""zh-cn""))"),"TAG Toys 儿童木制活动桌")</f>
        <v>TAG Toys 儿童木制活动桌</v>
      </c>
      <c r="E2762" s="1" t="str">
        <f>IFERROR(__xludf.DUMMYFUNCTION("CONCATENATE(GOOGLETRANSLATE(C2762, ""en"", ""ko""))"),"TAG 장난감 어린이용 나무 활동 테이블")</f>
        <v>TAG 장난감 어린이용 나무 활동 테이블</v>
      </c>
      <c r="F2762" s="1" t="str">
        <f>IFERROR(__xludf.DUMMYFUNCTION("CONCATENATE(GOOGLETRANSLATE(C2762, ""en"", ""ja""))"),"TAG Toys 子供用木製アクティビティテーブル")</f>
        <v>TAG Toys 子供用木製アクティビティテーブル</v>
      </c>
    </row>
    <row r="2763" ht="15.75" customHeight="1">
      <c r="A2763" s="1">
        <v>7834.0</v>
      </c>
      <c r="B2763" s="1" t="s">
        <v>15</v>
      </c>
      <c r="C2763" s="1" t="s">
        <v>2558</v>
      </c>
      <c r="D2763" s="1" t="str">
        <f>IFERROR(__xludf.DUMMYFUNCTION("CONCATENATE(GOOGLETRANSLATE(C2763, ""en"", ""zh-cn""))"),"Kidoozie Sand 'n Splash 活动桌")</f>
        <v>Kidoozie Sand 'n Splash 活动桌</v>
      </c>
      <c r="E2763" s="1" t="str">
        <f>IFERROR(__xludf.DUMMYFUNCTION("CONCATENATE(GOOGLETRANSLATE(C2763, ""en"", ""ko""))"),"Kidoozie Sand 'n Splash 활동 표")</f>
        <v>Kidoozie Sand 'n Splash 활동 표</v>
      </c>
      <c r="F2763" s="1" t="str">
        <f>IFERROR(__xludf.DUMMYFUNCTION("CONCATENATE(GOOGLETRANSLATE(C2763, ""en"", ""ja""))"),"Kidoozie サンド アンド スプラッシュ アクティビティ表")</f>
        <v>Kidoozie サンド アンド スプラッシュ アクティビティ表</v>
      </c>
    </row>
    <row r="2764" ht="15.75" customHeight="1">
      <c r="A2764" s="1">
        <v>7840.0</v>
      </c>
      <c r="B2764" s="1" t="s">
        <v>15</v>
      </c>
      <c r="C2764" s="1" t="s">
        <v>2559</v>
      </c>
      <c r="D2764" s="1" t="str">
        <f>IFERROR(__xludf.DUMMYFUNCTION("CONCATENATE(GOOGLETRANSLATE(C2764, ""en"", ""zh-cn""))"),"Correll 豪华高压顶部活动桌")</f>
        <v>Correll 豪华高压顶部活动桌</v>
      </c>
      <c r="E2764" s="1" t="str">
        <f>IFERROR(__xludf.DUMMYFUNCTION("CONCATENATE(GOOGLETRANSLATE(C2764, ""en"", ""ko""))"),"Correll 디럭스 고압 상단 활동 테이블")</f>
        <v>Correll 디럭스 고압 상단 활동 테이블</v>
      </c>
      <c r="F2764" s="1" t="str">
        <f>IFERROR(__xludf.DUMMYFUNCTION("CONCATENATE(GOOGLETRANSLATE(C2764, ""en"", ""ja""))"),"Correll デラックス高圧トップ アクティビティ テーブル")</f>
        <v>Correll デラックス高圧トップ アクティビティ テーブル</v>
      </c>
    </row>
    <row r="2765" ht="15.75" customHeight="1">
      <c r="A2765" s="1">
        <v>7850.0</v>
      </c>
      <c r="B2765" s="1" t="s">
        <v>15</v>
      </c>
      <c r="C2765" s="1" t="s">
        <v>2099</v>
      </c>
      <c r="D2765" s="1" t="str">
        <f>IFERROR(__xludf.DUMMYFUNCTION("CONCATENATE(GOOGLETRANSLATE(C2765, ""en"", ""zh-cn""))"),"Ozark Trail Hazel Creek 12 人小屋帐篷")</f>
        <v>Ozark Trail Hazel Creek 12 人小屋帐篷</v>
      </c>
      <c r="E2765" s="1" t="str">
        <f>IFERROR(__xludf.DUMMYFUNCTION("CONCATENATE(GOOGLETRANSLATE(C2765, ""en"", ""ko""))"),"오자크 트레일 헤이즐 크릭 12인용 캐빈 텐트")</f>
        <v>오자크 트레일 헤이즐 크릭 12인용 캐빈 텐트</v>
      </c>
      <c r="F2765" s="1" t="str">
        <f>IFERROR(__xludf.DUMMYFUNCTION("CONCATENATE(GOOGLETRANSLATE(C2765, ""en"", ""ja""))"),"オザーク トレイル ヘーゼル クリーク 12 人用キャビン テント")</f>
        <v>オザーク トレイル ヘーゼル クリーク 12 人用キャビン テント</v>
      </c>
    </row>
    <row r="2766" ht="15.75" customHeight="1">
      <c r="A2766" s="1">
        <v>7857.0</v>
      </c>
      <c r="B2766" s="1" t="s">
        <v>15</v>
      </c>
      <c r="C2766" s="1" t="s">
        <v>2560</v>
      </c>
      <c r="D2766" s="1" t="str">
        <f>IFERROR(__xludf.DUMMYFUNCTION("CONCATENATE(GOOGLETRANSLATE(C2766, ""en"", ""zh-cn""))"),"Thule Tepui 加固型 Autana 3 屋顶帐篷")</f>
        <v>Thule Tepui 加固型 Autana 3 屋顶帐篷</v>
      </c>
      <c r="E2766" s="1" t="str">
        <f>IFERROR(__xludf.DUMMYFUNCTION("CONCATENATE(GOOGLETRANSLATE(C2766, ""en"", ""ko""))"),"Thule Tepui 견고한 Autana 3 루프탑 텐트")</f>
        <v>Thule Tepui 견고한 Autana 3 루프탑 텐트</v>
      </c>
      <c r="F2766" s="1" t="str">
        <f>IFERROR(__xludf.DUMMYFUNCTION("CONCATENATE(GOOGLETRANSLATE(C2766, ""en"", ""ja""))"),"Thule Tepui 高耐久性 Autana 3 ルーフ トップ テント")</f>
        <v>Thule Tepui 高耐久性 Autana 3 ルーフ トップ テント</v>
      </c>
    </row>
    <row r="2767" ht="15.75" customHeight="1">
      <c r="A2767" s="1">
        <v>7877.0</v>
      </c>
      <c r="B2767" s="1" t="s">
        <v>15</v>
      </c>
      <c r="C2767" s="1" t="s">
        <v>2561</v>
      </c>
      <c r="D2767" s="1" t="str">
        <f>IFERROR(__xludf.DUMMYFUNCTION("CONCATENATE(GOOGLETRANSLATE(C2767, ""en"", ""zh-cn""))"),"iKamper Skycamp DLX 屋顶帐篷")</f>
        <v>iKamper Skycamp DLX 屋顶帐篷</v>
      </c>
      <c r="E2767" s="1" t="str">
        <f>IFERROR(__xludf.DUMMYFUNCTION("CONCATENATE(GOOGLETRANSLATE(C2767, ""en"", ""ko""))"),"iKamper 스카이캠프 DLX 루프탑 텐트")</f>
        <v>iKamper 스카이캠프 DLX 루프탑 텐트</v>
      </c>
      <c r="F2767" s="1" t="str">
        <f>IFERROR(__xludf.DUMMYFUNCTION("CONCATENATE(GOOGLETRANSLATE(C2767, ""en"", ""ja""))"),"iKamper スカイキャンプ DLX ルーフトップ テント")</f>
        <v>iKamper スカイキャンプ DLX ルーフトップ テント</v>
      </c>
    </row>
    <row r="2768" ht="15.75" customHeight="1">
      <c r="A2768" s="1">
        <v>7883.0</v>
      </c>
      <c r="B2768" s="1" t="s">
        <v>15</v>
      </c>
      <c r="C2768" s="1" t="s">
        <v>2562</v>
      </c>
      <c r="D2768" s="1" t="str">
        <f>IFERROR(__xludf.DUMMYFUNCTION("CONCATENATE(GOOGLETRANSLATE(C2768, ""en"", ""zh-cn""))"),"Lippert 卷顶露营桌 2023053727")</f>
        <v>Lippert 卷顶露营桌 2023053727</v>
      </c>
      <c r="E2768" s="1" t="str">
        <f>IFERROR(__xludf.DUMMYFUNCTION("CONCATENATE(GOOGLETRANSLATE(C2768, ""en"", ""ko""))"),"리퍼트 롤탑 캠핑테이블 2023053727")</f>
        <v>리퍼트 롤탑 캠핑테이블 2023053727</v>
      </c>
      <c r="F2768" s="1" t="str">
        <f>IFERROR(__xludf.DUMMYFUNCTION("CONCATENATE(GOOGLETRANSLATE(C2768, ""en"", ""ja""))"),"リッパート ロールトップキャンプテーブル 2023053727")</f>
        <v>リッパート ロールトップキャンプテーブル 2023053727</v>
      </c>
    </row>
    <row r="2769" ht="15.75" customHeight="1">
      <c r="A2769" s="1">
        <v>7888.0</v>
      </c>
      <c r="B2769" s="1" t="s">
        <v>15</v>
      </c>
      <c r="C2769" s="1" t="s">
        <v>2563</v>
      </c>
      <c r="D2769" s="1" t="str">
        <f>IFERROR(__xludf.DUMMYFUNCTION("CONCATENATE(GOOGLETRANSLATE(C2769, ""en"", ""zh-cn""))"),"Ozark Trail 11 人 3 室即时小屋帐篷")</f>
        <v>Ozark Trail 11 人 3 室即时小屋帐篷</v>
      </c>
      <c r="E2769" s="1" t="str">
        <f>IFERROR(__xludf.DUMMYFUNCTION("CONCATENATE(GOOGLETRANSLATE(C2769, ""en"", ""ko""))"),"오자크 트레일 11인 3방 인스턴트 캐빈 텐트")</f>
        <v>오자크 트레일 11인 3방 인스턴트 캐빈 텐트</v>
      </c>
      <c r="F2769" s="1" t="str">
        <f>IFERROR(__xludf.DUMMYFUNCTION("CONCATENATE(GOOGLETRANSLATE(C2769, ""en"", ""ja""))"),"オザーク トレイル 11 人用 3 ルーム インスタント キャビン テント")</f>
        <v>オザーク トレイル 11 人用 3 ルーム インスタント キャビン テント</v>
      </c>
    </row>
    <row r="2770" ht="15.75" customHeight="1">
      <c r="A2770" s="1">
        <v>7890.0</v>
      </c>
      <c r="B2770" s="1" t="s">
        <v>15</v>
      </c>
      <c r="C2770" s="1" t="s">
        <v>2564</v>
      </c>
      <c r="D2770" s="1" t="str">
        <f>IFERROR(__xludf.DUMMYFUNCTION("CONCATENATE(GOOGLETRANSLATE(C2770, ""en"", ""zh-cn""))"),"Ozark Trail 12 件装露营工具套装")</f>
        <v>Ozark Trail 12 件装露营工具套装</v>
      </c>
      <c r="E2770" s="1" t="str">
        <f>IFERROR(__xludf.DUMMYFUNCTION("CONCATENATE(GOOGLETRANSLATE(C2770, ""en"", ""ko""))"),"Ozark Trail 12 팩 캠핑 도구 세트")</f>
        <v>Ozark Trail 12 팩 캠핑 도구 세트</v>
      </c>
      <c r="F2770" s="1" t="str">
        <f>IFERROR(__xludf.DUMMYFUNCTION("CONCATENATE(GOOGLETRANSLATE(C2770, ""en"", ""ja""))"),"オザーク トレイル 12 パック キャンプ ツール セット")</f>
        <v>オザーク トレイル 12 パック キャンプ ツール セット</v>
      </c>
    </row>
    <row r="2771" ht="15.75" customHeight="1">
      <c r="A2771" s="1">
        <v>7896.0</v>
      </c>
      <c r="B2771" s="1" t="s">
        <v>15</v>
      </c>
      <c r="C2771" s="1" t="s">
        <v>2565</v>
      </c>
      <c r="D2771" s="1" t="str">
        <f>IFERROR(__xludf.DUMMYFUNCTION("CONCATENATE(GOOGLETRANSLATE(C2771, ""en"", ""zh-cn""))"),"Ozark Trail 14' X 10' 10 人即时小屋帐篷，31.86 磅，")</f>
        <v>Ozark Trail 14' X 10' 10 人即时小屋帐篷，31.86 磅，</v>
      </c>
      <c r="E2771" s="1" t="str">
        <f>IFERROR(__xludf.DUMMYFUNCTION("CONCATENATE(GOOGLETRANSLATE(C2771, ""en"", ""ko""))"),"Ozark Trail 14' X 10' 10인용 인스턴트 캐빈 텐트, 31.86파운드,")</f>
        <v>Ozark Trail 14' X 10' 10인용 인스턴트 캐빈 텐트, 31.86파운드,</v>
      </c>
      <c r="F2771" s="1" t="str">
        <f>IFERROR(__xludf.DUMMYFUNCTION("CONCATENATE(GOOGLETRANSLATE(C2771, ""en"", ""ja""))"),"オザーク トレイル 14 フィート X 10 フィート 10 人用インスタント キャビン テント、31.86 ポンド、")</f>
        <v>オザーク トレイル 14 フィート X 10 フィート 10 人用インスタント キャビン テント、31.86 ポンド、</v>
      </c>
    </row>
    <row r="2772" ht="15.75" customHeight="1">
      <c r="A2772" s="1">
        <v>7903.0</v>
      </c>
      <c r="B2772" s="1" t="s">
        <v>15</v>
      </c>
      <c r="C2772" s="1" t="s">
        <v>2566</v>
      </c>
      <c r="D2772" s="1" t="str">
        <f>IFERROR(__xludf.DUMMYFUNCTION("CONCATENATE(GOOGLETRANSLATE(C2772, ""en"", ""zh-cn""))"),"奥扎克步道折叠椅")</f>
        <v>奥扎克步道折叠椅</v>
      </c>
      <c r="E2772" s="1" t="str">
        <f>IFERROR(__xludf.DUMMYFUNCTION("CONCATENATE(GOOGLETRANSLATE(C2772, ""en"", ""ko""))"),"오자크 트레일 접이식 의자")</f>
        <v>오자크 트레일 접이식 의자</v>
      </c>
      <c r="F2772" s="1" t="str">
        <f>IFERROR(__xludf.DUMMYFUNCTION("CONCATENATE(GOOGLETRANSLATE(C2772, ""en"", ""ja""))"),"オザーク トレイル フォールディングチェア")</f>
        <v>オザーク トレイル フォールディングチェア</v>
      </c>
    </row>
    <row r="2773" ht="15.75" customHeight="1">
      <c r="A2773" s="1">
        <v>7917.0</v>
      </c>
      <c r="B2773" s="1" t="s">
        <v>15</v>
      </c>
      <c r="C2773" s="1" t="s">
        <v>2567</v>
      </c>
      <c r="D2773" s="1" t="str">
        <f>IFERROR(__xludf.DUMMYFUNCTION("CONCATENATE(GOOGLETRANSLATE(C2773, ""en"", ""zh-cn""))"),"奥扎克步道 4 人夹式营地圆顶帐篷")</f>
        <v>奥扎克步道 4 人夹式营地圆顶帐篷</v>
      </c>
      <c r="E2773" s="1" t="str">
        <f>IFERROR(__xludf.DUMMYFUNCTION("CONCATENATE(GOOGLETRANSLATE(C2773, ""en"", ""ko""))"),"오자크 트레일 4인용 클립 &amp; 캠프 돔 텐트")</f>
        <v>오자크 트레일 4인용 클립 &amp; 캠프 돔 텐트</v>
      </c>
      <c r="F2773" s="1" t="str">
        <f>IFERROR(__xludf.DUMMYFUNCTION("CONCATENATE(GOOGLETRANSLATE(C2773, ""en"", ""ja""))"),"オザーク トレイル 4 人用クリップ &amp; キャンプ ドーム テント")</f>
        <v>オザーク トレイル 4 人用クリップ &amp; キャンプ ドーム テント</v>
      </c>
    </row>
    <row r="2774" ht="15.75" customHeight="1">
      <c r="A2774" s="1">
        <v>7918.0</v>
      </c>
      <c r="B2774" s="1" t="s">
        <v>15</v>
      </c>
      <c r="C2774" s="1" t="s">
        <v>2568</v>
      </c>
      <c r="D2774" s="1" t="str">
        <f>IFERROR(__xludf.DUMMYFUNCTION("CONCATENATE(GOOGLETRANSLATE(C2774, ""en"", ""zh-cn""))"),"Ozark Trail 11 人即时小屋帐篷")</f>
        <v>Ozark Trail 11 人即时小屋帐篷</v>
      </c>
      <c r="E2774" s="1" t="str">
        <f>IFERROR(__xludf.DUMMYFUNCTION("CONCATENATE(GOOGLETRANSLATE(C2774, ""en"", ""ko""))"),"오자크 트레일 11인용 인스턴트 캐빈 텐트")</f>
        <v>오자크 트레일 11인용 인스턴트 캐빈 텐트</v>
      </c>
      <c r="F2774" s="1" t="str">
        <f>IFERROR(__xludf.DUMMYFUNCTION("CONCATENATE(GOOGLETRANSLATE(C2774, ""en"", ""ja""))"),"オザーク トレイル 11 人用インスタント キャビン テント")</f>
        <v>オザーク トレイル 11 人用インスタント キャビン テント</v>
      </c>
    </row>
    <row r="2775" ht="15.75" customHeight="1">
      <c r="A2775" s="1">
        <v>7921.0</v>
      </c>
      <c r="B2775" s="1" t="s">
        <v>15</v>
      </c>
      <c r="C2775" s="1" t="s">
        <v>2569</v>
      </c>
      <c r="D2775" s="1" t="str">
        <f>IFERROR(__xludf.DUMMYFUNCTION("CONCATENATE(GOOGLETRANSLATE(C2775, ""en"", ""zh-cn""))"),"Ozark Trail 4 人户外露营圆顶帐篷，")</f>
        <v>Ozark Trail 4 人户外露营圆顶帐篷，</v>
      </c>
      <c r="E2775" s="1" t="str">
        <f>IFERROR(__xludf.DUMMYFUNCTION("CONCATENATE(GOOGLETRANSLATE(C2775, ""en"", ""ko""))"),"Ozark Trail 4인 야외 캠핑 돔 텐트,")</f>
        <v>Ozark Trail 4인 야외 캠핑 돔 텐트,</v>
      </c>
      <c r="F2775" s="1" t="str">
        <f>IFERROR(__xludf.DUMMYFUNCTION("CONCATENATE(GOOGLETRANSLATE(C2775, ""en"", ""ja""))"),"オザーク トレイル 4 人用アウトドア キャンプ ドーム テント、")</f>
        <v>オザーク トレイル 4 人用アウトドア キャンプ ドーム テント、</v>
      </c>
    </row>
    <row r="2776" ht="15.75" customHeight="1">
      <c r="A2776" s="1">
        <v>7926.0</v>
      </c>
      <c r="B2776" s="1" t="s">
        <v>15</v>
      </c>
      <c r="C2776" s="1" t="s">
        <v>2570</v>
      </c>
      <c r="D2776" s="1" t="str">
        <f>IFERROR(__xludf.DUMMYFUNCTION("CONCATENATE(GOOGLETRANSLATE(C2776, ""en"", ""zh-cn""))"),"Ozark Trail 9.5 英寸野营煎锅")</f>
        <v>Ozark Trail 9.5 英寸野营煎锅</v>
      </c>
      <c r="E2776" s="1" t="str">
        <f>IFERROR(__xludf.DUMMYFUNCTION("CONCATENATE(GOOGLETRANSLATE(C2776, ""en"", ""ko""))"),"오자크 트레일 9.5인치 캠핑 프라이팬")</f>
        <v>오자크 트레일 9.5인치 캠핑 프라이팬</v>
      </c>
      <c r="F2776" s="1" t="str">
        <f>IFERROR(__xludf.DUMMYFUNCTION("CONCATENATE(GOOGLETRANSLATE(C2776, ""en"", ""ja""))"),"オザーク トレイル 9.5 インチ キャンプ フライパン")</f>
        <v>オザーク トレイル 9.5 インチ キャンプ フライパン</v>
      </c>
    </row>
    <row r="2777" ht="15.75" customHeight="1">
      <c r="A2777" s="1">
        <v>7929.0</v>
      </c>
      <c r="B2777" s="1" t="s">
        <v>15</v>
      </c>
      <c r="C2777" s="1" t="s">
        <v>2571</v>
      </c>
      <c r="D2777" s="1" t="str">
        <f>IFERROR(__xludf.DUMMYFUNCTION("CONCATENATE(GOOGLETRANSLATE(C2777, ""en"", ""zh-cn""))"),"自动驾驶 5 件套套件，带 2 个座套、方向盘套和通风口")</f>
        <v>自动驾驶 5 件套套件，带 2 个座套、方向盘套和通风口</v>
      </c>
      <c r="E2777" s="1" t="str">
        <f>IFERROR(__xludf.DUMMYFUNCTION("CONCATENATE(GOOGLETRANSLATE(C2777, ""en"", ""ko""))"),"자동 구동 5피스 키트(시트 커버 2개, 스티어링 휠 커버 및 통풍구 포함)")</f>
        <v>자동 구동 5피스 키트(시트 커버 2개, 스티어링 휠 커버 및 통풍구 포함)</v>
      </c>
      <c r="F2777" s="1" t="str">
        <f>IFERROR(__xludf.DUMMYFUNCTION("CONCATENATE(GOOGLETRANSLATE(C2777, ""en"", ""ja""))"),"オートドライブ 5 点キット (シートカバー 2 枚、ステアリングホイールカバー、ベント付き)")</f>
        <v>オートドライブ 5 点キット (シートカバー 2 枚、ステアリングホイールカバー、ベント付き)</v>
      </c>
    </row>
    <row r="2778" ht="15.75" customHeight="1">
      <c r="A2778" s="1">
        <v>7936.0</v>
      </c>
      <c r="B2778" s="1" t="s">
        <v>15</v>
      </c>
      <c r="C2778" s="1" t="s">
        <v>2572</v>
      </c>
      <c r="D2778" s="1" t="str">
        <f>IFERROR(__xludf.DUMMYFUNCTION("CONCATENATE(GOOGLETRANSLATE(C2778, ""en"", ""zh-cn""))"),"Drive Auto Products 汽车后备箱储物收纳盒，带肩带（2 件装）")</f>
        <v>Drive Auto Products 汽车后备箱储物收纳盒，带肩带（2 件装）</v>
      </c>
      <c r="E2778" s="1" t="str">
        <f>IFERROR(__xludf.DUMMYFUNCTION("CONCATENATE(GOOGLETRANSLATE(C2778, ""en"", ""ko""))"),"Drive Auto Products 자동차 트렁크 수납 정리함(스트랩 포함)(2팩)")</f>
        <v>Drive Auto Products 자동차 트렁크 수납 정리함(스트랩 포함)(2팩)</v>
      </c>
      <c r="F2778" s="1" t="str">
        <f>IFERROR(__xludf.DUMMYFUNCTION("CONCATENATE(GOOGLETRANSLATE(C2778, ""en"", ""ja""))"),"Drive Auto Products 車のトランク ストレージ オーガナイザー ストラップ付き (2 個パック)")</f>
        <v>Drive Auto Products 車のトランク ストレージ オーガナイザー ストラップ付き (2 個パック)</v>
      </c>
    </row>
    <row r="2779" ht="15.75" customHeight="1">
      <c r="A2779" s="1">
        <v>7937.0</v>
      </c>
      <c r="B2779" s="1" t="s">
        <v>15</v>
      </c>
      <c r="C2779" s="1" t="s">
        <v>2573</v>
      </c>
      <c r="D2779" s="1" t="str">
        <f>IFERROR(__xludf.DUMMYFUNCTION("CONCATENATE(GOOGLETRANSLATE(C2779, ""en"", ""zh-cn""))"),"Auto Drive 汽车黑色硬面可折叠行李箱收纳盒")</f>
        <v>Auto Drive 汽车黑色硬面可折叠行李箱收纳盒</v>
      </c>
      <c r="E2779" s="1" t="str">
        <f>IFERROR(__xludf.DUMMYFUNCTION("CONCATENATE(GOOGLETRANSLATE(C2779, ""en"", ""ko""))"),"자동 드라이브 자동차용 검정색 하드 양면 접이식 트렁크 정리함")</f>
        <v>자동 드라이브 자동차용 검정색 하드 양면 접이식 트렁크 정리함</v>
      </c>
      <c r="F2779" s="1" t="str">
        <f>IFERROR(__xludf.DUMMYFUNCTION("CONCATENATE(GOOGLETRANSLATE(C2779, ""en"", ""ja""))"),"Auto Drive Automotive ブラックハードサイド折りたたみ式トランクオーガナイザー")</f>
        <v>Auto Drive Automotive ブラックハードサイド折りたたみ式トランクオーガナイザー</v>
      </c>
    </row>
    <row r="2780" ht="15.75" customHeight="1">
      <c r="A2780" s="1">
        <v>7949.0</v>
      </c>
      <c r="B2780" s="1" t="s">
        <v>15</v>
      </c>
      <c r="C2780" s="1" t="s">
        <v>2574</v>
      </c>
      <c r="D2780" s="1" t="str">
        <f>IFERROR(__xludf.DUMMYFUNCTION("CONCATENATE(GOOGLETRANSLATE(C2780, ""en"", ""zh-cn""))"),"自动驾驶防水后排座椅保护装置")</f>
        <v>自动驾驶防水后排座椅保护装置</v>
      </c>
      <c r="E2780" s="1" t="str">
        <f>IFERROR(__xludf.DUMMYFUNCTION("CONCATENATE(GOOGLETRANSLATE(C2780, ""en"", ""ko""))"),"자동 드라이브 방수 후면 벤치 시트 보호대")</f>
        <v>자동 드라이브 방수 후면 벤치 시트 보호대</v>
      </c>
      <c r="F2780" s="1" t="str">
        <f>IFERROR(__xludf.DUMMYFUNCTION("CONCATENATE(GOOGLETRANSLATE(C2780, ""en"", ""ja""))"),"オートドライブ防水リアベンチシートプロテクター")</f>
        <v>オートドライブ防水リアベンチシートプロテクター</v>
      </c>
    </row>
    <row r="2781" ht="15.75" customHeight="1">
      <c r="A2781" s="1">
        <v>7957.0</v>
      </c>
      <c r="B2781" s="1" t="s">
        <v>15</v>
      </c>
      <c r="C2781" s="1" t="s">
        <v>2575</v>
      </c>
      <c r="D2781" s="1" t="str">
        <f>IFERROR(__xludf.DUMMYFUNCTION("CONCATENATE(GOOGLETRANSLATE(C2781, ""en"", ""zh-cn""))"),"自动驾驶通用座缝整理器")</f>
        <v>自动驾驶通用座缝整理器</v>
      </c>
      <c r="E2781" s="1" t="str">
        <f>IFERROR(__xludf.DUMMYFUNCTION("CONCATENATE(GOOGLETRANSLATE(C2781, ""en"", ""ko""))"),"자동 드라이브 범용 시트 간격 정리함")</f>
        <v>자동 드라이브 범용 시트 간격 정리함</v>
      </c>
      <c r="F2781" s="1" t="str">
        <f>IFERROR(__xludf.DUMMYFUNCTION("CONCATENATE(GOOGLETRANSLATE(C2781, ""en"", ""ja""))"),"Auto Drive ユニバーサルシートギャップオーガナイザー")</f>
        <v>Auto Drive ユニバーサルシートギャップオーガナイザー</v>
      </c>
    </row>
    <row r="2782" ht="15.75" customHeight="1">
      <c r="A2782" s="1">
        <v>7975.0</v>
      </c>
      <c r="B2782" s="1" t="s">
        <v>15</v>
      </c>
      <c r="C2782" s="1" t="s">
        <v>2576</v>
      </c>
      <c r="D2782" s="1" t="str">
        <f>IFERROR(__xludf.DUMMYFUNCTION("CONCATENATE(GOOGLETRANSLATE(C2782, ""en"", ""zh-cn""))"),"Armor All 终极汽车细节套件")</f>
        <v>Armor All 终极汽车细节套件</v>
      </c>
      <c r="E2782" s="1" t="str">
        <f>IFERROR(__xludf.DUMMYFUNCTION("CONCATENATE(GOOGLETRANSLATE(C2782, ""en"", ""ko""))"),"Armor All Ultimate 자동차 디테일링 키트")</f>
        <v>Armor All Ultimate 자동차 디테일링 키트</v>
      </c>
      <c r="F2782" s="1" t="str">
        <f>IFERROR(__xludf.DUMMYFUNCTION("CONCATENATE(GOOGLETRANSLATE(C2782, ""en"", ""ja""))"),"アーマーオールアルティメットカーディテイリングキット")</f>
        <v>アーマーオールアルティメットカーディテイリングキット</v>
      </c>
    </row>
    <row r="2783" ht="15.75" customHeight="1">
      <c r="A2783" s="1">
        <v>7988.0</v>
      </c>
      <c r="B2783" s="1" t="s">
        <v>15</v>
      </c>
      <c r="C2783" s="1" t="s">
        <v>2577</v>
      </c>
      <c r="D2783" s="1" t="str">
        <f>IFERROR(__xludf.DUMMYFUNCTION("CONCATENATE(GOOGLETRANSLATE(C2783, ""en"", ""zh-cn""))"),"装甲全 2 件套。通用汽车脚垫套装")</f>
        <v>装甲全 2 件套。通用汽车脚垫套装</v>
      </c>
      <c r="E2783" s="1" t="str">
        <f>IFERROR(__xludf.DUMMYFUNCTION("CONCATENATE(GOOGLETRANSLATE(C2783, ""en"", ""ko""))"),"갑옷 모든 2-PC. 범용 차량 바닥 매트 세트")</f>
        <v>갑옷 모든 2-PC. 범용 차량 바닥 매트 세트</v>
      </c>
      <c r="F2783" s="1" t="str">
        <f>IFERROR(__xludf.DUMMYFUNCTION("CONCATENATE(GOOGLETRANSLATE(C2783, ""en"", ""ja""))"),"アーマーオール2点セットユニバーサル車両フロアマットセット")</f>
        <v>アーマーオール2点セットユニバーサル車両フロアマットセット</v>
      </c>
    </row>
    <row r="2784" ht="15.75" customHeight="1">
      <c r="A2784" s="1">
        <v>7989.0</v>
      </c>
      <c r="B2784" s="1" t="s">
        <v>15</v>
      </c>
      <c r="C2784" s="1" t="s">
        <v>2578</v>
      </c>
      <c r="D2784" s="1" t="str">
        <f>IFERROR(__xludf.DUMMYFUNCTION("CONCATENATE(GOOGLETRANSLATE(C2784, ""en"", ""zh-cn""))"),"Armor全新汽车香氛空气清新保护剂泵喷雾")</f>
        <v>Armor全新汽车香氛空气清新保护剂泵喷雾</v>
      </c>
      <c r="E2784" s="1" t="str">
        <f>IFERROR(__xludf.DUMMYFUNCTION("CONCATENATE(GOOGLETRANSLATE(C2784, ""en"", ""ko""))"),"아머 올 뉴 카 센트 공기청정 보호제 펌프 스프레이")</f>
        <v>아머 올 뉴 카 센트 공기청정 보호제 펌프 스프레이</v>
      </c>
      <c r="F2784" s="1" t="str">
        <f>IFERROR(__xludf.DUMMYFUNCTION("CONCATENATE(GOOGLETRANSLATE(C2784, ""en"", ""ja""))"),"Armor まったく新しい車の香り芳香保護ポンプ スプレー")</f>
        <v>Armor まったく新しい車の香り芳香保護ポンプ スプレー</v>
      </c>
    </row>
    <row r="2785" ht="15.75" customHeight="1">
      <c r="A2785" s="1">
        <v>7997.0</v>
      </c>
      <c r="B2785" s="1" t="s">
        <v>15</v>
      </c>
      <c r="C2785" s="1" t="s">
        <v>2579</v>
      </c>
      <c r="D2785" s="1" t="str">
        <f>IFERROR(__xludf.DUMMYFUNCTION("CONCATENATE(GOOGLETRANSLATE(C2785, ""en"", ""zh-cn""))"),"汽车护理入门套件，含 Armor 所有原装保护剂和凝灰岩清洁剂")</f>
        <v>汽车护理入门套件，含 Armor 所有原装保护剂和凝灰岩清洁剂</v>
      </c>
      <c r="E2785" s="1" t="str">
        <f>IFERROR(__xludf.DUMMYFUNCTION("CONCATENATE(GOOGLETRANSLATE(C2785, ""en"", ""ko""))"),"Armor All Original 보호제 및 응회암 세척제가 포함된 자동 관리 스타터 키트")</f>
        <v>Armor All Original 보호제 및 응회암 세척제가 포함된 자동 관리 스타터 키트</v>
      </c>
      <c r="F2785" s="1" t="str">
        <f>IFERROR(__xludf.DUMMYFUNCTION("CONCATENATE(GOOGLETRANSLATE(C2785, ""en"", ""ja""))"),"オートケア スターター キット、Armor All オリジナル保護剤と凝灰岩クリーナー付き")</f>
        <v>オートケア スターター キット、Armor All オリジナル保護剤と凝灰岩クリーナー付き</v>
      </c>
    </row>
    <row r="2786" ht="15.75" customHeight="1">
      <c r="A2786" s="1">
        <v>8012.0</v>
      </c>
      <c r="B2786" s="1" t="s">
        <v>15</v>
      </c>
      <c r="C2786" s="1" t="s">
        <v>2580</v>
      </c>
      <c r="D2786" s="1" t="str">
        <f>IFERROR(__xludf.DUMMYFUNCTION("CONCATENATE(GOOGLETRANSLATE(C2786, ""en"", ""zh-cn""))"),"佳得乐柠檬青柠解渴剂")</f>
        <v>佳得乐柠檬青柠解渴剂</v>
      </c>
      <c r="E2786" s="1" t="str">
        <f>IFERROR(__xludf.DUMMYFUNCTION("CONCATENATE(GOOGLETRANSLATE(C2786, ""en"", ""ko""))"),"게토레이 레몬 라임 갈증 해소제")</f>
        <v>게토레이 레몬 라임 갈증 해소제</v>
      </c>
      <c r="F2786" s="1" t="str">
        <f>IFERROR(__xludf.DUMMYFUNCTION("CONCATENATE(GOOGLETRANSLATE(C2786, ""en"", ""ja""))"),"ゲータレード レモン ライム 喉の渇きを潤すもの")</f>
        <v>ゲータレード レモン ライム 喉の渇きを潤すもの</v>
      </c>
    </row>
    <row r="2787" ht="15.75" customHeight="1">
      <c r="A2787" s="1">
        <v>8035.0</v>
      </c>
      <c r="B2787" s="1" t="s">
        <v>15</v>
      </c>
      <c r="C2787" s="1" t="s">
        <v>2581</v>
      </c>
      <c r="D2787" s="1" t="str">
        <f>IFERROR(__xludf.DUMMYFUNCTION("CONCATENATE(GOOGLETRANSLATE(C2787, ""en"", ""zh-cn""))"),"佳得乐冰川樱桃")</f>
        <v>佳得乐冰川樱桃</v>
      </c>
      <c r="E2787" s="1" t="str">
        <f>IFERROR(__xludf.DUMMYFUNCTION("CONCATENATE(GOOGLETRANSLATE(C2787, ""en"", ""ko""))"),"게토레이 글레이셔 체리")</f>
        <v>게토레이 글레이셔 체리</v>
      </c>
      <c r="F2787" s="1" t="str">
        <f>IFERROR(__xludf.DUMMYFUNCTION("CONCATENATE(GOOGLETRANSLATE(C2787, ""en"", ""ja""))"),"ゲータレード グレイシャー チェリー")</f>
        <v>ゲータレード グレイシャー チェリー</v>
      </c>
    </row>
    <row r="2788" ht="15.75" customHeight="1">
      <c r="A2788" s="1">
        <v>8060.0</v>
      </c>
      <c r="B2788" s="1" t="s">
        <v>15</v>
      </c>
      <c r="C2788" s="1" t="s">
        <v>2582</v>
      </c>
      <c r="D2788" s="1" t="str">
        <f>IFERROR(__xludf.DUMMYFUNCTION("CONCATENATE(GOOGLETRANSLATE(C2788, ""en"", ""zh-cn""))"),"宴会大肉无骨鸡肉条")</f>
        <v>宴会大肉无骨鸡肉条</v>
      </c>
      <c r="E2788" s="1" t="str">
        <f>IFERROR(__xludf.DUMMYFUNCTION("CONCATENATE(GOOGLETRANSLATE(C2788, ""en"", ""ko""))"),"연회 메가미트 순살치킨 스트립")</f>
        <v>연회 메가미트 순살치킨 스트립</v>
      </c>
      <c r="F2788" s="1" t="str">
        <f>IFERROR(__xludf.DUMMYFUNCTION("CONCATENATE(GOOGLETRANSLATE(C2788, ""en"", ""ja""))"),"バンケット メガ ミート 骨なしチキン ストリップ")</f>
        <v>バンケット メガ ミート 骨なしチキン ストリップ</v>
      </c>
    </row>
    <row r="2789" ht="15.75" customHeight="1">
      <c r="A2789" s="1">
        <v>8083.0</v>
      </c>
      <c r="B2789" s="1" t="s">
        <v>15</v>
      </c>
      <c r="C2789" s="1" t="s">
        <v>2583</v>
      </c>
      <c r="D2789" s="1" t="str">
        <f>IFERROR(__xludf.DUMMYFUNCTION("CONCATENATE(GOOGLETRANSLATE(C2789, ""en"", ""zh-cn""))"),"宴会超大原味脆皮鸡柳")</f>
        <v>宴会超大原味脆皮鸡柳</v>
      </c>
      <c r="E2789" s="1" t="str">
        <f>IFERROR(__xludf.DUMMYFUNCTION("CONCATENATE(GOOGLETRANSLATE(C2789, ""en"", ""ko""))"),"연회 메가 오리지널 크리스피 치킨 필레")</f>
        <v>연회 메가 오리지널 크리스피 치킨 필레</v>
      </c>
      <c r="F2789" s="1" t="str">
        <f>IFERROR(__xludf.DUMMYFUNCTION("CONCATENATE(GOOGLETRANSLATE(C2789, ""en"", ""ja""))"),"バンケットメガオリジナルクリスピーチキンフィレ")</f>
        <v>バンケットメガオリジナルクリスピーチキンフィレ</v>
      </c>
    </row>
    <row r="2790" ht="15.75" customHeight="1">
      <c r="A2790" s="1">
        <v>8088.0</v>
      </c>
      <c r="B2790" s="1" t="s">
        <v>15</v>
      </c>
      <c r="C2790" s="1" t="s">
        <v>2123</v>
      </c>
      <c r="D2790" s="1" t="str">
        <f>IFERROR(__xludf.DUMMYFUNCTION("CONCATENATE(GOOGLETRANSLATE(C2790, ""en"", ""zh-cn""))"),"宴会经典索尔兹伯里牛排餐")</f>
        <v>宴会经典索尔兹伯里牛排餐</v>
      </c>
      <c r="E2790" s="1" t="str">
        <f>IFERROR(__xludf.DUMMYFUNCTION("CONCATENATE(GOOGLETRANSLATE(C2790, ""en"", ""ko""))"),"연회 클래식 솔즈베리 스테이크 식사")</f>
        <v>연회 클래식 솔즈베리 스테이크 식사</v>
      </c>
      <c r="F2790" s="1" t="str">
        <f>IFERROR(__xludf.DUMMYFUNCTION("CONCATENATE(GOOGLETRANSLATE(C2790, ""en"", ""ja""))"),"バンケットクラシックソールズベリーステーキミール")</f>
        <v>バンケットクラシックソールズベリーステーキミール</v>
      </c>
    </row>
    <row r="2791" ht="15.75" customHeight="1">
      <c r="A2791" s="1">
        <v>8089.0</v>
      </c>
      <c r="B2791" s="1" t="s">
        <v>15</v>
      </c>
      <c r="C2791" s="1" t="s">
        <v>2121</v>
      </c>
      <c r="D2791" s="1" t="str">
        <f>IFERROR(__xludf.DUMMYFUNCTION("CONCATENATE(GOOGLETRANSLATE(C2791, ""en"", ""zh-cn""))"),"宴会原味炸鸡")</f>
        <v>宴会原味炸鸡</v>
      </c>
      <c r="E2791" s="1" t="str">
        <f>IFERROR(__xludf.DUMMYFUNCTION("CONCATENATE(GOOGLETRANSLATE(C2791, ""en"", ""ko""))"),"연회 오리지널 후라이드 치킨")</f>
        <v>연회 오리지널 후라이드 치킨</v>
      </c>
      <c r="F2791" s="1" t="str">
        <f>IFERROR(__xludf.DUMMYFUNCTION("CONCATENATE(GOOGLETRANSLATE(C2791, ""en"", ""ja""))"),"宴会オリジナルフライドチキン")</f>
        <v>宴会オリジナルフライドチキン</v>
      </c>
    </row>
    <row r="2792" ht="15.75" customHeight="1">
      <c r="A2792" s="1">
        <v>8110.0</v>
      </c>
      <c r="B2792" s="1" t="s">
        <v>15</v>
      </c>
      <c r="C2792" s="1" t="s">
        <v>2584</v>
      </c>
      <c r="D2792" s="1" t="str">
        <f>IFERROR(__xludf.DUMMYFUNCTION("CONCATENATE(GOOGLETRANSLATE(C2792, ""en"", ""zh-cn""))"),"宴会经典炸牛排餐鸡肉 10 盎司。")</f>
        <v>宴会经典炸牛排餐鸡肉 10 盎司。</v>
      </c>
      <c r="E2792" s="1" t="str">
        <f>IFERROR(__xludf.DUMMYFUNCTION("CONCATENATE(GOOGLETRANSLATE(C2792, ""en"", ""ko""))"),"연회 클래식 쇠고기 스테이크 식사 닭고기 10 oz.")</f>
        <v>연회 클래식 쇠고기 스테이크 식사 닭고기 10 oz.</v>
      </c>
      <c r="F2792" s="1" t="str">
        <f>IFERROR(__xludf.DUMMYFUNCTION("CONCATENATE(GOOGLETRANSLATE(C2792, ""en"", ""ja""))"),"Banquet Classic フライドビーフステーキミールチキン 10オンス")</f>
        <v>Banquet Classic フライドビーフステーキミールチキン 10オンス</v>
      </c>
    </row>
    <row r="2793" ht="15.75" customHeight="1">
      <c r="A2793" s="1">
        <v>8116.0</v>
      </c>
      <c r="B2793" s="1" t="s">
        <v>15</v>
      </c>
      <c r="C2793" s="1" t="s">
        <v>2585</v>
      </c>
      <c r="D2793" s="1" t="str">
        <f>IFERROR(__xludf.DUMMYFUNCTION("CONCATENATE(GOOGLETRANSLATE(C2793, ""en"", ""zh-cn""))"),"宴会原味脆皮什锦炸鸡，29 盎司 - 每箱 12 块。")</f>
        <v>宴会原味脆皮什锦炸鸡，29 盎司 - 每箱 12 块。</v>
      </c>
      <c r="E2793" s="1" t="str">
        <f>IFERROR(__xludf.DUMMYFUNCTION("CONCATENATE(GOOGLETRANSLATE(C2793, ""en"", ""ko""))"),"연회용 오리지널 바삭한 모듬 조각 프라이드 치킨, 29온스 - 케이스당 12개.")</f>
        <v>연회용 오리지널 바삭한 모듬 조각 프라이드 치킨, 29온스 - 케이스당 12개.</v>
      </c>
      <c r="F2793" s="1" t="str">
        <f>IFERROR(__xludf.DUMMYFUNCTION("CONCATENATE(GOOGLETRANSLATE(C2793, ""en"", ""ja""))"),"Banquet オリジナル クリスピー アソート ピース フライド チキン、29 オンス -- 1 ケースあたり 12 個。")</f>
        <v>Banquet オリジナル クリスピー アソート ピース フライド チキン、29 オンス -- 1 ケースあたり 12 個。</v>
      </c>
    </row>
    <row r="2794" ht="15.75" customHeight="1">
      <c r="A2794" s="1">
        <v>8146.0</v>
      </c>
      <c r="B2794" s="1" t="s">
        <v>15</v>
      </c>
      <c r="C2794" s="1" t="s">
        <v>2586</v>
      </c>
      <c r="D2794" s="1" t="str">
        <f>IFERROR(__xludf.DUMMYFUNCTION("CONCATENATE(GOOGLETRANSLATE(C2794, ""en"", ""zh-cn""))"),"超值肉类馅饼，牛肉，6 - 0.25 磅馅饼 [24 盎司（1.5 磅）]")</f>
        <v>超值肉类馅饼，牛肉，6 - 0.25 磅馅饼 [24 盎司（1.5 磅）]</v>
      </c>
      <c r="E2794" s="1" t="str">
        <f>IFERROR(__xludf.DUMMYFUNCTION("CONCATENATE(GOOGLETRANSLATE(C2794, ""en"", ""ko""))"),"추가 가치 고기 패티, 쇠고기, 6~0.25파운드 패티[24온스(1.5파운드)]")</f>
        <v>추가 가치 고기 패티, 쇠고기, 6~0.25파운드 패티[24온스(1.5파운드)]</v>
      </c>
      <c r="F2794" s="1" t="str">
        <f>IFERROR(__xludf.DUMMYFUNCTION("CONCATENATE(GOOGLETRANSLATE(C2794, ""en"", ""ja""))"),"エクストラ バリュー ミート パティ、ビーフ、6 ～ 0.25 ポンド パティ [24 オンス (1.5 ポンド)]")</f>
        <v>エクストラ バリュー ミート パティ、ビーフ、6 ～ 0.25 ポンド パティ [24 オンス (1.5 ポンド)]</v>
      </c>
    </row>
    <row r="2795" ht="15.75" customHeight="1">
      <c r="A2795" s="1">
        <v>8160.0</v>
      </c>
      <c r="B2795" s="1" t="s">
        <v>15</v>
      </c>
      <c r="C2795" s="1" t="s">
        <v>2587</v>
      </c>
      <c r="D2795" s="1" t="str">
        <f>IFERROR(__xludf.DUMMYFUNCTION("CONCATENATE(GOOGLETRANSLATE(C2795, ""en"", ""zh-cn""))"),"超值咸牛肉 12 盎司罐装 - 5 件装")</f>
        <v>超值咸牛肉 12 盎司罐装 - 5 件装</v>
      </c>
      <c r="E2795" s="1" t="str">
        <f>IFERROR(__xludf.DUMMYFUNCTION("CONCATENATE(GOOGLETRANSLATE(C2795, ""en"", ""ko""))"),"훌륭한 가치의 콘비프 12온스 캔 - 5개 팩")</f>
        <v>훌륭한 가치의 콘비프 12온스 캔 - 5개 팩</v>
      </c>
      <c r="F2795" s="1" t="str">
        <f>IFERROR(__xludf.DUMMYFUNCTION("CONCATENATE(GOOGLETRANSLATE(C2795, ""en"", ""ja""))"),"お買い得なコンビーフ 12 オンス缶 - 5 個パック")</f>
        <v>お買い得なコンビーフ 12 オンス缶 - 5 個パック</v>
      </c>
    </row>
    <row r="2796" ht="15.75" customHeight="1">
      <c r="A2796" s="1">
        <v>8165.0</v>
      </c>
      <c r="B2796" s="1" t="s">
        <v>15</v>
      </c>
      <c r="C2796" s="1" t="s">
        <v>2588</v>
      </c>
      <c r="D2796" s="1" t="str">
        <f>IFERROR(__xludf.DUMMYFUNCTION("CONCATENATE(GOOGLETRANSLATE(C2796, ""en"", ""zh-cn""))"),"仅限肉类和鱼类 - 双人间")</f>
        <v>仅限肉类和鱼类 - 双人间</v>
      </c>
      <c r="E2796" s="1" t="str">
        <f>IFERROR(__xludf.DUMMYFUNCTION("CONCATENATE(GOOGLETRANSLATE(C2796, ""en"", ""ko""))"),"육류 및 생선 전용 - 2인용")</f>
        <v>육류 및 생선 전용 - 2인용</v>
      </c>
      <c r="F2796" s="1" t="str">
        <f>IFERROR(__xludf.DUMMYFUNCTION("CONCATENATE(GOOGLETRANSLATE(C2796, ""en"", ""ja""))"),"肉と魚のみ ダブルシェア")</f>
        <v>肉と魚のみ ダブルシェア</v>
      </c>
    </row>
    <row r="2797" ht="15.75" customHeight="1">
      <c r="A2797" s="1">
        <v>8179.0</v>
      </c>
      <c r="B2797" s="1" t="s">
        <v>15</v>
      </c>
      <c r="C2797" s="1" t="s">
        <v>2589</v>
      </c>
      <c r="D2797" s="1" t="str">
        <f>IFERROR(__xludf.DUMMYFUNCTION("CONCATENATE(GOOGLETRANSLATE(C2797, ""en"", ""zh-cn""))"),"Dowinx 游戏椅，带加热按摩腰部支撑，符合人体工程学的游戏电脑椅，带口袋")</f>
        <v>Dowinx 游戏椅，带加热按摩腰部支撑，符合人体工程学的游戏电脑椅，带口袋</v>
      </c>
      <c r="E2797" s="1" t="str">
        <f>IFERROR(__xludf.DUMMYFUNCTION("CONCATENATE(GOOGLETRANSLATE(C2797, ""en"", ""ko""))"),"가열식 마사지 요추 지지대가 있는 Dowinx 게이밍 의자, 포켓이 있는 인체공학적 게이밍 컴퓨터 의자")</f>
        <v>가열식 마사지 요추 지지대가 있는 Dowinx 게이밍 의자, 포켓이 있는 인체공학적 게이밍 컴퓨터 의자</v>
      </c>
      <c r="F2797" s="1" t="str">
        <f>IFERROR(__xludf.DUMMYFUNCTION("CONCATENATE(GOOGLETRANSLATE(C2797, ""en"", ""ja""))"),"Dowinx ゲーミングチェア、温熱マッサージランバーサポート付き、人間工学に基づいたゲーミングコンピュータチェア、ポケット付き")</f>
        <v>Dowinx ゲーミングチェア、温熱マッサージランバーサポート付き、人間工学に基づいたゲーミングコンピュータチェア、ポケット付き</v>
      </c>
    </row>
    <row r="2798" ht="15.75" customHeight="1">
      <c r="A2798" s="1">
        <v>8180.0</v>
      </c>
      <c r="B2798" s="1" t="s">
        <v>15</v>
      </c>
      <c r="C2798" s="1" t="s">
        <v>2590</v>
      </c>
      <c r="D2798" s="1" t="str">
        <f>IFERROR(__xludf.DUMMYFUNCTION("CONCATENATE(GOOGLETRANSLATE(C2798, ""en"", ""zh-cn""))"),"Dowinx 织物游戏椅，带按摩腰部支撑，高靠背人体工学电脑椅，带脚凳，适合成人，灰色，灰色")</f>
        <v>Dowinx 织物游戏椅，带按摩腰部支撑，高靠背人体工学电脑椅，带脚凳，适合成人，灰色，灰色</v>
      </c>
      <c r="E2798" s="1" t="str">
        <f>IFERROR(__xludf.DUMMYFUNCTION("CONCATENATE(GOOGLETRANSLATE(C2798, ""en"", ""ko""))"),"마사지 요추 지지대가 있는 Dowinx 패브릭 게임 의자, 성인용 발판이 있는 높은 등받이 인체공학적 컴퓨터 의자, 회색, 회색")</f>
        <v>마사지 요추 지지대가 있는 Dowinx 패브릭 게임 의자, 성인용 발판이 있는 높은 등받이 인체공학적 컴퓨터 의자, 회색, 회색</v>
      </c>
      <c r="F2798" s="1" t="str">
        <f>IFERROR(__xludf.DUMMYFUNCTION("CONCATENATE(GOOGLETRANSLATE(C2798, ""en"", ""ja""))"),"Dowinx ファブリックゲーミングチェア マッサージランバーサポート付き ハイバック人間工学に基づいたコンピューターチェア フットレスト付き 大人用 グレー グレー")</f>
        <v>Dowinx ファブリックゲーミングチェア マッサージランバーサポート付き ハイバック人間工学に基づいたコンピューターチェア フットレスト付き 大人用 グレー グレー</v>
      </c>
    </row>
    <row r="2799" ht="15.75" customHeight="1">
      <c r="A2799" s="1">
        <v>8203.0</v>
      </c>
      <c r="B2799" s="1" t="s">
        <v>15</v>
      </c>
      <c r="C2799" s="1" t="s">
        <v>2591</v>
      </c>
      <c r="D2799" s="1" t="str">
        <f>IFERROR(__xludf.DUMMYFUNCTION("CONCATENATE(GOOGLETRANSLATE(C2799, ""en"", ""zh-cn""))"),"Dowinx 游戏椅带袋装弹簧垫，按摩游戏椅皮革带头枕，人体工学电脑椅带脚凳 290 磅，黑色")</f>
        <v>Dowinx 游戏椅带袋装弹簧垫，按摩游戏椅皮革带头枕，人体工学电脑椅带脚凳 290 磅，黑色</v>
      </c>
      <c r="E2799" s="1" t="str">
        <f>IFERROR(__xludf.DUMMYFUNCTION("CONCATENATE(GOOGLETRANSLATE(C2799, ""en"", ""ko""))"),"포켓 스프링 쿠션이 있는 Dowinx 게임 의자, 머리 받침이 있는 마사지 게임 의자 가죽, 발판이 있는 인체공학적 컴퓨터 의자 290LBS, 검정색")</f>
        <v>포켓 스프링 쿠션이 있는 Dowinx 게임 의자, 머리 받침이 있는 마사지 게임 의자 가죽, 발판이 있는 인체공학적 컴퓨터 의자 290LBS, 검정색</v>
      </c>
      <c r="F2799" s="1" t="str">
        <f>IFERROR(__xludf.DUMMYFUNCTION("CONCATENATE(GOOGLETRANSLATE(C2799, ""en"", ""ja""))"),"Dowinx ゲーミングチェア ポケットスプリングクッション付き マッサージゲームチェアレザー ヘッドレスト付き 人間工学に基づいたコンピューターチェア フットレスト付き 290LBS ブラック")</f>
        <v>Dowinx ゲーミングチェア ポケットスプリングクッション付き マッサージゲームチェアレザー ヘッドレスト付き 人間工学に基づいたコンピューターチェア フットレスト付き 290LBS ブラック</v>
      </c>
    </row>
    <row r="2800" ht="15.75" customHeight="1">
      <c r="A2800" s="1">
        <v>8207.0</v>
      </c>
      <c r="B2800" s="1" t="s">
        <v>15</v>
      </c>
      <c r="C2800" s="1" t="s">
        <v>2592</v>
      </c>
      <c r="D2800" s="1" t="str">
        <f>IFERROR(__xludf.DUMMYFUNCTION("CONCATENATE(GOOGLETRANSLATE(C2800, ""en"", ""zh-cn""))"),"Fitrx SmartBell 家庭健身房快速选择可调哑铃")</f>
        <v>Fitrx SmartBell 家庭健身房快速选择可调哑铃</v>
      </c>
      <c r="E2800" s="1" t="str">
        <f>IFERROR(__xludf.DUMMYFUNCTION("CONCATENATE(GOOGLETRANSLATE(C2800, ""en"", ""ko""))"),"홈 체육관용 Fitrx SmartBell Quick-Select 조절식 덤벨")</f>
        <v>홈 체육관용 Fitrx SmartBell Quick-Select 조절식 덤벨</v>
      </c>
      <c r="F2800" s="1" t="str">
        <f>IFERROR(__xludf.DUMMYFUNCTION("CONCATENATE(GOOGLETRANSLATE(C2800, ""en"", ""ja""))"),"Fitrx SmartBell クイックセレクト ホームジム用調節可能なダンベル")</f>
        <v>Fitrx SmartBell クイックセレクト ホームジム用調節可能なダンベル</v>
      </c>
    </row>
    <row r="2801" ht="15.75" customHeight="1">
      <c r="A2801" s="1">
        <v>8208.0</v>
      </c>
      <c r="B2801" s="1" t="s">
        <v>15</v>
      </c>
      <c r="C2801" s="1" t="s">
        <v>2593</v>
      </c>
      <c r="D2801" s="1" t="str">
        <f>IFERROR(__xludf.DUMMYFUNCTION("CONCATENATE(GOOGLETRANSLATE(C2801, ""en"", ""zh-cn""))"),"经典 Active Fitkicks 女鞋")</f>
        <v>经典 Active Fitkicks 女鞋</v>
      </c>
      <c r="E2801" s="1" t="str">
        <f>IFERROR(__xludf.DUMMYFUNCTION("CONCATENATE(GOOGLETRANSLATE(C2801, ""en"", ""ko""))"),"클래식 액티브 Fitkicks 여성 신발")</f>
        <v>클래식 액티브 Fitkicks 여성 신발</v>
      </c>
      <c r="F2801" s="1" t="str">
        <f>IFERROR(__xludf.DUMMYFUNCTION("CONCATENATE(GOOGLETRANSLATE(C2801, ""en"", ""ja""))"),"クラシック アクティブ Fitkicks レディース フットウェア")</f>
        <v>クラシック アクティブ Fitkicks レディース フットウェア</v>
      </c>
    </row>
    <row r="2802" ht="15.75" customHeight="1">
      <c r="A2802" s="1">
        <v>8241.0</v>
      </c>
      <c r="B2802" s="1" t="s">
        <v>15</v>
      </c>
      <c r="C2802" s="1" t="s">
        <v>2594</v>
      </c>
      <c r="D2802" s="1" t="str">
        <f>IFERROR(__xludf.DUMMYFUNCTION("CONCATENATE(GOOGLETRANSLATE(C2802, ""en"", ""zh-cn""))"),"Titan 健身功能训练器")</f>
        <v>Titan 健身功能训练器</v>
      </c>
      <c r="E2802" s="1" t="str">
        <f>IFERROR(__xludf.DUMMYFUNCTION("CONCATENATE(GOOGLETRANSLATE(C2802, ""en"", ""ko""))"),"Titan 피트니스 기능성 트레이너")</f>
        <v>Titan 피트니스 기능성 트레이너</v>
      </c>
      <c r="F2802" s="1" t="str">
        <f>IFERROR(__xludf.DUMMYFUNCTION("CONCATENATE(GOOGLETRANSLATE(C2802, ""en"", ""ja""))"),"Titan フィットネス ファンクショナル トレーナー")</f>
        <v>Titan フィットネス ファンクショナル トレーナー</v>
      </c>
    </row>
    <row r="2803" ht="15.75" customHeight="1">
      <c r="A2803" s="1">
        <v>8256.0</v>
      </c>
      <c r="B2803" s="1" t="s">
        <v>15</v>
      </c>
      <c r="C2803" s="1" t="s">
        <v>2595</v>
      </c>
      <c r="D2803" s="1" t="str">
        <f>IFERROR(__xludf.DUMMYFUNCTION("CONCATENATE(GOOGLETRANSLATE(C2803, ""en"", ""zh-cn""))"),"Balance来自 Fitvids 家庭健身房系统锻炼站，阻力 330 磅，配重片 122.5 磅")</f>
        <v>Balance来自 Fitvids 家庭健身房系统锻炼站，阻力 330 磅，配重片 122.5 磅</v>
      </c>
      <c r="E2803" s="1" t="str">
        <f>IFERROR(__xludf.DUMMYFUNCTION("CONCATENATE(GOOGLETRANSLATE(C2803, ""en"", ""ko""))"),"BalanceFrom Fitvids 홈 체육관 시스템 운동 스테이션(330lb 저항, 122.5LB 중량 스택 포함)")</f>
        <v>BalanceFrom Fitvids 홈 체육관 시스템 운동 스테이션(330lb 저항, 122.5LB 중량 스택 포함)</v>
      </c>
      <c r="F2803" s="1" t="str">
        <f>IFERROR(__xludf.DUMMYFUNCTION("CONCATENATE(GOOGLETRANSLATE(C2803, ""en"", ""ja""))"),"BalanceFrom Fitvids ホームジムシステムワークアウトステーション、330ポンドの抵抗、122.5ポンドのウェイトスタック付き")</f>
        <v>BalanceFrom Fitvids ホームジムシステムワークアウトステーション、330ポンドの抵抗、122.5ポンドのウェイトスタック付き</v>
      </c>
    </row>
    <row r="2804" ht="15.75" customHeight="1">
      <c r="A2804" s="1">
        <v>8268.0</v>
      </c>
      <c r="B2804" s="1" t="s">
        <v>15</v>
      </c>
      <c r="C2804" s="1" t="s">
        <v>2596</v>
      </c>
      <c r="D2804" s="1" t="str">
        <f>IFERROR(__xludf.DUMMYFUNCTION("CONCATENATE(GOOGLETRANSLATE(C2804, ""en"", ""zh-cn""))"),"Fitvids 振动盘运动机")</f>
        <v>Fitvids 振动盘运动机</v>
      </c>
      <c r="E2804" s="1" t="str">
        <f>IFERROR(__xludf.DUMMYFUNCTION("CONCATENATE(GOOGLETRANSLATE(C2804, ""en"", ""ko""))"),"Fitvids 진동판 운동 기계")</f>
        <v>Fitvids 진동판 운동 기계</v>
      </c>
      <c r="F2804" s="1" t="str">
        <f>IFERROR(__xludf.DUMMYFUNCTION("CONCATENATE(GOOGLETRANSLATE(C2804, ""en"", ""ja""))"),"Fitvids 振動プレート エクササイズ マシン")</f>
        <v>Fitvids 振動プレート エクササイズ マシン</v>
      </c>
    </row>
    <row r="2805" ht="15.75" customHeight="1">
      <c r="A2805" s="1">
        <v>8272.0</v>
      </c>
      <c r="B2805" s="1" t="s">
        <v>15</v>
      </c>
      <c r="C2805" s="1" t="s">
        <v>2597</v>
      </c>
      <c r="D2805" s="1" t="str">
        <f>IFERROR(__xludf.DUMMYFUNCTION("CONCATENATE(GOOGLETRANSLATE(C2805, ""en"", ""zh-cn""))"),"Fitvids Complete Workout 家庭健身房 Lx400 可调节奥林匹克锻炼凳，带深蹲架和 100 磅杠铃配重套装，尺寸：长凳和架，带 100 磅")</f>
        <v>Fitvids Complete Workout 家庭健身房 Lx400 可调节奥林匹克锻炼凳，带深蹲架和 100 磅杠铃配重套装，尺寸：长凳和架，带 100 磅</v>
      </c>
      <c r="E2805" s="1" t="str">
        <f>IFERROR(__xludf.DUMMYFUNCTION("CONCATENATE(GOOGLETRANSLATE(C2805, ""en"", ""ko""))"),"Fitvids 완벽한 운동 홈 체육관 Lx400 스쿼트 랙과 100파운드 바벨 웨이트 세트가 포함된 조정 가능한 올림픽 운동 벤치, 크기: 벤치 및 랙(100LB 포함)")</f>
        <v>Fitvids 완벽한 운동 홈 체육관 Lx400 스쿼트 랙과 100파운드 바벨 웨이트 세트가 포함된 조정 가능한 올림픽 운동 벤치, 크기: 벤치 및 랙(100LB 포함)</v>
      </c>
      <c r="F2805" s="1" t="str">
        <f>IFERROR(__xludf.DUMMYFUNCTION("CONCATENATE(GOOGLETRANSLATE(C2805, ""en"", ""ja""))"),"Fitvids コンプリートワークアウトホームジム Lx400 調節可能なオリンピックワークアウトベンチ、スクワットラックと 100 ポンドのバーベルウェイトセット付き、サイズ: ベンチ&amp;ラック、100ポンド付き")</f>
        <v>Fitvids コンプリートワークアウトホームジム Lx400 調節可能なオリンピックワークアウトベンチ、スクワットラックと 100 ポンドのバーベルウェイトセット付き、サイズ: ベンチ&amp;ラック、100ポンド付き</v>
      </c>
    </row>
    <row r="2806" ht="15.75" customHeight="1">
      <c r="A2806" s="1">
        <v>8273.0</v>
      </c>
      <c r="B2806" s="1" t="s">
        <v>15</v>
      </c>
      <c r="C2806" s="1" t="s">
        <v>2598</v>
      </c>
      <c r="D2806" s="1" t="str">
        <f>IFERROR(__xludf.DUMMYFUNCTION("CONCATENATE(GOOGLETRANSLATE(C2806, ""en"", ""zh-cn""))"),"Fitvids 六角哑铃")</f>
        <v>Fitvids 六角哑铃</v>
      </c>
      <c r="E2806" s="1" t="str">
        <f>IFERROR(__xludf.DUMMYFUNCTION("CONCATENATE(GOOGLETRANSLATE(C2806, ""en"", ""ko""))"),"Fitvids 육각 덤벨")</f>
        <v>Fitvids 육각 덤벨</v>
      </c>
      <c r="F2806" s="1" t="str">
        <f>IFERROR(__xludf.DUMMYFUNCTION("CONCATENATE(GOOGLETRANSLATE(C2806, ""en"", ""ja""))"),"Fitvids 六角ダンベル")</f>
        <v>Fitvids 六角ダンベル</v>
      </c>
    </row>
    <row r="2807" ht="15.75" customHeight="1">
      <c r="A2807" s="1">
        <v>8276.0</v>
      </c>
      <c r="B2807" s="1" t="s">
        <v>15</v>
      </c>
      <c r="C2807" s="1" t="s">
        <v>2599</v>
      </c>
      <c r="D2807" s="1" t="str">
        <f>IFERROR(__xludf.DUMMYFUNCTION("CONCATENATE(GOOGLETRANSLATE(C2807, ""en"", ""zh-cn""))"),"Gymshark 日常无缝 T 恤")</f>
        <v>Gymshark 日常无缝 T 恤</v>
      </c>
      <c r="E2807" s="1" t="str">
        <f>IFERROR(__xludf.DUMMYFUNCTION("CONCATENATE(GOOGLETRANSLATE(C2807, ""en"", ""ko""))"),"Gymshark 에브리데이 심리스 티셔츠")</f>
        <v>Gymshark 에브리데이 심리스 티셔츠</v>
      </c>
      <c r="F2807" s="1" t="str">
        <f>IFERROR(__xludf.DUMMYFUNCTION("CONCATENATE(GOOGLETRANSLATE(C2807, ""en"", ""ja""))"),"Gymshark エブリデイ シームレス T シャツ")</f>
        <v>Gymshark エブリデイ シームレス T シャツ</v>
      </c>
    </row>
    <row r="2808" ht="15.75" customHeight="1">
      <c r="A2808" s="1">
        <v>8282.0</v>
      </c>
      <c r="B2808" s="1" t="s">
        <v>15</v>
      </c>
      <c r="C2808" s="1" t="s">
        <v>2600</v>
      </c>
      <c r="D2808" s="1" t="str">
        <f>IFERROR(__xludf.DUMMYFUNCTION("CONCATENATE(GOOGLETRANSLATE(C2808, ""en"", ""zh-cn""))"),"多功能全身家用健身器材")</f>
        <v>多功能全身家用健身器材</v>
      </c>
      <c r="E2808" s="1" t="str">
        <f>IFERROR(__xludf.DUMMYFUNCTION("CONCATENATE(GOOGLETRANSLATE(C2808, ""en"", ""ko""))"),"다기능 전신 홈 체육관 장비")</f>
        <v>다기능 전신 홈 체육관 장비</v>
      </c>
      <c r="F2808" s="1" t="str">
        <f>IFERROR(__xludf.DUMMYFUNCTION("CONCATENATE(GOOGLETRANSLATE(C2808, ""en"", ""ja""))"),"多機能全身ホームジム機器")</f>
        <v>多機能全身ホームジム機器</v>
      </c>
    </row>
    <row r="2809" ht="15.75" customHeight="1">
      <c r="A2809" s="1">
        <v>8283.0</v>
      </c>
      <c r="B2809" s="1" t="s">
        <v>15</v>
      </c>
      <c r="C2809" s="1" t="s">
        <v>2601</v>
      </c>
      <c r="D2809" s="1" t="str">
        <f>IFERROR(__xludf.DUMMYFUNCTION("CONCATENATE(GOOGLETRANSLATE(C2809, ""en"", ""zh-cn""))"),"Fitvids 防滑泡沫平衡垫")</f>
        <v>Fitvids 防滑泡沫平衡垫</v>
      </c>
      <c r="E2809" s="1" t="str">
        <f>IFERROR(__xludf.DUMMYFUNCTION("CONCATENATE(GOOGLETRANSLATE(C2809, ""en"", ""ko""))"),"Fitvids 논슬립 폼 밸런스 패드")</f>
        <v>Fitvids 논슬립 폼 밸런스 패드</v>
      </c>
      <c r="F2809" s="1" t="str">
        <f>IFERROR(__xludf.DUMMYFUNCTION("CONCATENATE(GOOGLETRANSLATE(C2809, ""en"", ""ja""))"),"Fitvids ノンスリップフォームバランスパッド")</f>
        <v>Fitvids ノンスリップフォームバランスパッド</v>
      </c>
    </row>
    <row r="2810" ht="15.75" customHeight="1">
      <c r="A2810" s="1">
        <v>8294.0</v>
      </c>
      <c r="B2810" s="1" t="s">
        <v>15</v>
      </c>
      <c r="C2810" s="1" t="s">
        <v>2602</v>
      </c>
      <c r="D2810" s="1" t="str">
        <f>IFERROR(__xludf.DUMMYFUNCTION("CONCATENATE(GOOGLETRANSLATE(C2810, ""en"", ""zh-cn""))"),"Jonsteen 红枫木种植套件 5805")</f>
        <v>Jonsteen 红枫木种植套件 5805</v>
      </c>
      <c r="E2810" s="1" t="str">
        <f>IFERROR(__xludf.DUMMYFUNCTION("CONCATENATE(GOOGLETRANSLATE(C2810, ""en"", ""ko""))"),"Jonsteen 레드 메이플 재배 키트 5805")</f>
        <v>Jonsteen 레드 메이플 재배 키트 5805</v>
      </c>
      <c r="F2810" s="1" t="str">
        <f>IFERROR(__xludf.DUMMYFUNCTION("CONCATENATE(GOOGLETRANSLATE(C2810, ""en"", ""ja""))"),"ジョンスティーン レッド メープル グロウ キット 5805")</f>
        <v>ジョンスティーン レッド メープル グロウ キット 5805</v>
      </c>
    </row>
    <row r="2811" ht="15.75" customHeight="1">
      <c r="A2811" s="1">
        <v>8299.0</v>
      </c>
      <c r="B2811" s="1" t="s">
        <v>15</v>
      </c>
      <c r="C2811" s="1" t="s">
        <v>2603</v>
      </c>
      <c r="D2811" s="1" t="str">
        <f>IFERROR(__xludf.DUMMYFUNCTION("CONCATENATE(GOOGLETRANSLATE(C2811, ""en"", ""zh-cn""))"),"Burpee 椰壳种子起始颗粒")</f>
        <v>Burpee 椰壳种子起始颗粒</v>
      </c>
      <c r="E2811" s="1" t="str">
        <f>IFERROR(__xludf.DUMMYFUNCTION("CONCATENATE(GOOGLETRANSLATE(C2811, ""en"", ""ko""))"),"버피 코이어 씨드 스타트 ​​펠렛")</f>
        <v>버피 코이어 씨드 스타트 ​​펠렛</v>
      </c>
      <c r="F2811" s="1" t="str">
        <f>IFERROR(__xludf.DUMMYFUNCTION("CONCATENATE(GOOGLETRANSLATE(C2811, ""en"", ""ja""))"),"バーピーコイアシードスターティングペレット")</f>
        <v>バーピーコイアシードスターティングペレット</v>
      </c>
    </row>
    <row r="2812" ht="15.75" customHeight="1">
      <c r="A2812" s="1">
        <v>8301.0</v>
      </c>
      <c r="B2812" s="1" t="s">
        <v>15</v>
      </c>
      <c r="C2812" s="1" t="s">
        <v>2604</v>
      </c>
      <c r="D2812" s="1" t="str">
        <f>IFERROR(__xludf.DUMMYFUNCTION("CONCATENATE(GOOGLETRANSLATE(C2812, ""en"", ""zh-cn""))"),"MySeeds.Co 大包意大利石松种子")</f>
        <v>MySeeds.Co 大包意大利石松种子</v>
      </c>
      <c r="E2812" s="1" t="str">
        <f>IFERROR(__xludf.DUMMYFUNCTION("CONCATENATE(GOOGLETRANSLATE(C2812, ""en"", ""ko""))"),"MySeeds.Co 빅 팩 이탈리아 돌 소나무 씨앗")</f>
        <v>MySeeds.Co 빅 팩 이탈리아 돌 소나무 씨앗</v>
      </c>
      <c r="F2812" s="1" t="str">
        <f>IFERROR(__xludf.DUMMYFUNCTION("CONCATENATE(GOOGLETRANSLATE(C2812, ""en"", ""ja""))"),"MySeeds.Co ビッグパック イタリアン ストーン パインの種子")</f>
        <v>MySeeds.Co ビッグパック イタリアン ストーン パインの種子</v>
      </c>
    </row>
    <row r="2813" ht="15.75" customHeight="1">
      <c r="A2813" s="1">
        <v>8306.0</v>
      </c>
      <c r="B2813" s="1" t="s">
        <v>15</v>
      </c>
      <c r="C2813" s="1" t="s">
        <v>2605</v>
      </c>
      <c r="D2813" s="1" t="str">
        <f>IFERROR(__xludf.DUMMYFUNCTION("CONCATENATE(GOOGLETRANSLATE(C2813, ""en"", ""zh-cn""))"),"Jonsteen Company 海岸红木树种子种植套件")</f>
        <v>Jonsteen Company 海岸红木树种子种植套件</v>
      </c>
      <c r="E2813" s="1" t="str">
        <f>IFERROR(__xludf.DUMMYFUNCTION("CONCATENATE(GOOGLETRANSLATE(C2813, ""en"", ""ko""))"),"Jonsteen Company Coast Redwood 나무 씨앗 성장 키트")</f>
        <v>Jonsteen Company Coast Redwood 나무 씨앗 성장 키트</v>
      </c>
      <c r="F2813" s="1" t="str">
        <f>IFERROR(__xludf.DUMMYFUNCTION("CONCATENATE(GOOGLETRANSLATE(C2813, ""en"", ""ja""))"),"The Jonsteen Company Coast セコイアの木の種子成長キット")</f>
        <v>The Jonsteen Company Coast セコイアの木の種子成長キット</v>
      </c>
    </row>
    <row r="2814" ht="15.75" customHeight="1">
      <c r="A2814" s="1">
        <v>8322.0</v>
      </c>
      <c r="B2814" s="1" t="s">
        <v>15</v>
      </c>
      <c r="C2814" s="1" t="s">
        <v>2606</v>
      </c>
      <c r="D2814" s="1" t="str">
        <f>IFERROR(__xludf.DUMMYFUNCTION("CONCATENATE(GOOGLETRANSLATE(C2814, ""en"", ""zh-cn""))"),"圣约翰面包树种子")</f>
        <v>圣约翰面包树种子</v>
      </c>
      <c r="E2814" s="1" t="str">
        <f>IFERROR(__xludf.DUMMYFUNCTION("CONCATENATE(GOOGLETRANSLATE(C2814, ""en"", ""ko""))"),"세인트 존스 빵나무 씨앗")</f>
        <v>세인트 존스 빵나무 씨앗</v>
      </c>
      <c r="F2814" s="1" t="str">
        <f>IFERROR(__xludf.DUMMYFUNCTION("CONCATENATE(GOOGLETRANSLATE(C2814, ""en"", ""ja""))"),"セントジョンズブレッドツリーの種子")</f>
        <v>セントジョンズブレッドツリーの種子</v>
      </c>
    </row>
    <row r="2815" ht="15.75" customHeight="1">
      <c r="A2815" s="1">
        <v>3150.0</v>
      </c>
      <c r="B2815" s="1" t="s">
        <v>381</v>
      </c>
      <c r="C2815" s="1" t="s">
        <v>2607</v>
      </c>
      <c r="D2815" s="1" t="str">
        <f>IFERROR(__xludf.DUMMYFUNCTION("CONCATENATE(GOOGLETRANSLATE(C2815, ""en"", ""zh-cn""))"),"多功能口罩手机神器机高温消毒器紫外线消毒器指甲消毒盒")</f>
        <v>多功能口罩手机神器机高温消毒器紫外线消毒器指甲消毒盒</v>
      </c>
      <c r="E2815" s="1" t="str">
        <f>IFERROR(__xludf.DUMMYFUNCTION("CONCATENATE(GOOGLETRANSLATE(C2815, ""en"", ""ko""))"),"다기능 마스크 휴대 전화 유물 기계 고온 살균기 UV 살균기 손톱 살균 상자")</f>
        <v>다기능 마스크 휴대 전화 유물 기계 고온 살균기 UV 살균기 손톱 살균 상자</v>
      </c>
      <c r="F2815" s="1" t="str">
        <f>IFERROR(__xludf.DUMMYFUNCTION("CONCATENATE(GOOGLETRANSLATE(C2815, ""en"", ""ja""))"),"多機能マスク携帯電話アーティファクトマシン高温滅菌器UV滅菌器爪滅菌ボックス")</f>
        <v>多機能マスク携帯電話アーティファクトマシン高温滅菌器UV滅菌器爪滅菌ボックス</v>
      </c>
    </row>
    <row r="2816" ht="15.75" customHeight="1">
      <c r="A2816" s="1">
        <v>3157.0</v>
      </c>
      <c r="B2816" s="1" t="s">
        <v>381</v>
      </c>
      <c r="C2816" s="1" t="s">
        <v>2608</v>
      </c>
      <c r="D2816" s="1" t="str">
        <f>IFERROR(__xludf.DUMMYFUNCTION("CONCATENATE(GOOGLETRANSLATE(C2816, ""en"", ""zh-cn""))"),"大眼睛罐子手带陶瓷盖装饰罐烛台储物罐化妆品储物罐笔筒笔架")</f>
        <v>大眼睛罐子手带陶瓷盖装饰罐烛台储物罐化妆品储物罐笔筒笔架</v>
      </c>
      <c r="E2816" s="1" t="str">
        <f>IFERROR(__xludf.DUMMYFUNCTION("CONCATENATE(GOOGLETRANSLATE(C2816, ""en"", ""ko""))"),"큰 눈 항아리 손 세라믹 뚜껑 장식 캔 캔들 홀더 보관 캔 화장품 보관 탱크 펜 연필 홀더")</f>
        <v>큰 눈 항아리 손 세라믹 뚜껑 장식 캔 캔들 홀더 보관 캔 화장품 보관 탱크 펜 연필 홀더</v>
      </c>
      <c r="F2816" s="1" t="str">
        <f>IFERROR(__xludf.DUMMYFUNCTION("CONCATENATE(GOOGLETRANSLATE(C2816, ""en"", ""ja""))"),"ビッグアイズジャー セラミック蓋付きハンド 装飾缶 キャンドルホルダー 保存缶 化粧品保存タンク ペン 鉛筆ホルダー")</f>
        <v>ビッグアイズジャー セラミック蓋付きハンド 装飾缶 キャンドルホルダー 保存缶 化粧品保存タンク ペン 鉛筆ホルダー</v>
      </c>
    </row>
    <row r="2817" ht="15.75" customHeight="1">
      <c r="A2817" s="1">
        <v>3172.0</v>
      </c>
      <c r="B2817" s="1" t="s">
        <v>381</v>
      </c>
      <c r="C2817" s="1" t="s">
        <v>689</v>
      </c>
      <c r="D2817" s="1" t="str">
        <f>IFERROR(__xludf.DUMMYFUNCTION("CONCATENATE(GOOGLETRANSLATE(C2817, ""en"", ""zh-cn""))"),"男式拼色拼布翻盖灯芯绒衬衫夹克")</f>
        <v>男式拼色拼布翻盖灯芯绒衬衫夹克</v>
      </c>
      <c r="E2817" s="1" t="str">
        <f>IFERROR(__xludf.DUMMYFUNCTION("CONCATENATE(GOOGLETRANSLATE(C2817, ""en"", ""ko""))"),"남성용 컬러 블록 패치워크 플랩 포켓 코듀로이 셔츠 재킷")</f>
        <v>남성용 컬러 블록 패치워크 플랩 포켓 코듀로이 셔츠 재킷</v>
      </c>
      <c r="F2817" s="1" t="str">
        <f>IFERROR(__xludf.DUMMYFUNCTION("CONCATENATE(GOOGLETRANSLATE(C2817, ""en"", ""ja""))"),"メンズ カラーブロック パッチワーク フラップ ポケット コーデュロイ シャツ ジャケット")</f>
        <v>メンズ カラーブロック パッチワーク フラップ ポケット コーデュロイ シャツ ジャケット</v>
      </c>
    </row>
    <row r="2818" ht="15.75" customHeight="1">
      <c r="A2818" s="1">
        <v>3201.0</v>
      </c>
      <c r="B2818" s="1" t="s">
        <v>15</v>
      </c>
      <c r="C2818" s="1" t="s">
        <v>1800</v>
      </c>
      <c r="D2818" s="1" t="str">
        <f>IFERROR(__xludf.DUMMYFUNCTION("CONCATENATE(GOOGLETRANSLATE(C2818, ""en"", ""zh-cn""))"),"Acme Vendome 沙发，带 3 个樱桃色 PU 枕头")</f>
        <v>Acme Vendome 沙发，带 3 个樱桃色 PU 枕头</v>
      </c>
      <c r="E2818" s="1" t="str">
        <f>IFERROR(__xludf.DUMMYFUNCTION("CONCATENATE(GOOGLETRANSLATE(C2818, ""en"", ""ko""))"),"체리 PU 소재의 베개 3개를 갖춘 Acme Vendome 소파")</f>
        <v>체리 PU 소재의 베개 3개를 갖춘 Acme Vendome 소파</v>
      </c>
      <c r="F2818" s="1" t="str">
        <f>IFERROR(__xludf.DUMMYFUNCTION("CONCATENATE(GOOGLETRANSLATE(C2818, ""en"", ""ja""))"),"Acme Vendome ソファ 枕 3 個付き チェリー PU")</f>
        <v>Acme Vendome ソファ 枕 3 個付き チェリー PU</v>
      </c>
    </row>
    <row r="2819" ht="15.75" customHeight="1">
      <c r="A2819" s="1">
        <v>3202.0</v>
      </c>
      <c r="B2819" s="1" t="s">
        <v>15</v>
      </c>
      <c r="C2819" s="1" t="s">
        <v>2609</v>
      </c>
      <c r="D2819" s="1" t="str">
        <f>IFERROR(__xludf.DUMMYFUNCTION("CONCATENATE(GOOGLETRANSLATE(C2819, ""en"", ""zh-cn""))"),"Acme Furniture 皮卡第 1 号娱乐中心，古董珍珠")</f>
        <v>Acme Furniture 皮卡第 1 号娱乐中心，古董珍珠</v>
      </c>
      <c r="E2819" s="1" t="str">
        <f>IFERROR(__xludf.DUMMYFUNCTION("CONCATENATE(GOOGLETRANSLATE(C2819, ""en"", ""ko""))"),"Acme Furniture Picardy 1 엔터테인먼트 센터, 골동품 진주")</f>
        <v>Acme Furniture Picardy 1 엔터테인먼트 센터, 골동품 진주</v>
      </c>
      <c r="F2819" s="1" t="str">
        <f>IFERROR(__xludf.DUMMYFUNCTION("CONCATENATE(GOOGLETRANSLATE(C2819, ""en"", ""ja""))"),"Acme Furniture Picardy 1 エンターテイメント センター、アンティーク パール")</f>
        <v>Acme Furniture Picardy 1 エンターテイメント センター、アンティーク パール</v>
      </c>
    </row>
    <row r="2820" ht="15.75" customHeight="1">
      <c r="A2820" s="1">
        <v>3208.0</v>
      </c>
      <c r="B2820" s="1" t="s">
        <v>15</v>
      </c>
      <c r="C2820" s="1" t="s">
        <v>2610</v>
      </c>
      <c r="D2820" s="1" t="str">
        <f>IFERROR(__xludf.DUMMYFUNCTION("CONCATENATE(GOOGLETRANSLATE(C2820, ""en"", ""zh-cn""))"),"ACME Furniture Gorsedd 沙发带 5 个枕头，奶油色面料和仿古白色")</f>
        <v>ACME Furniture Gorsedd 沙发带 5 个枕头，奶油色面料和仿古白色</v>
      </c>
      <c r="E2820" s="1" t="str">
        <f>IFERROR(__xludf.DUMMYFUNCTION("CONCATENATE(GOOGLETRANSLATE(C2820, ""en"", ""ko""))"),"ACME 가구 Gorsedd 소파, 베개 5개, 크림 패브릭 및 앤틱 화이트")</f>
        <v>ACME 가구 Gorsedd 소파, 베개 5개, 크림 패브릭 및 앤틱 화이트</v>
      </c>
      <c r="F2820" s="1" t="str">
        <f>IFERROR(__xludf.DUMMYFUNCTION("CONCATENATE(GOOGLETRANSLATE(C2820, ""en"", ""ja""))"),"ACME Furniture ゴーセッド ソファ 枕 5 個付き、クリーム色生地、アンティーク ホワイト")</f>
        <v>ACME Furniture ゴーセッド ソファ 枕 5 個付き、クリーム色生地、アンティーク ホワイト</v>
      </c>
    </row>
    <row r="2821" ht="15.75" customHeight="1">
      <c r="A2821" s="1">
        <v>3214.0</v>
      </c>
      <c r="B2821" s="1" t="s">
        <v>15</v>
      </c>
      <c r="C2821" s="1" t="s">
        <v>2611</v>
      </c>
      <c r="D2821" s="1" t="str">
        <f>IFERROR(__xludf.DUMMYFUNCTION("CONCATENATE(GOOGLETRANSLATE(C2821, ""en"", ""zh-cn""))"),"Jura S8 自动咖啡机，带 PEP，镀铬，包括牛奶容器、2 个智能滤芯、清洁片和 2 个浓缩咖啡杯套装")</f>
        <v>Jura S8 自动咖啡机，带 PEP，镀铬，包括牛奶容器、2 个智能滤芯、清洁片和 2 个浓缩咖啡杯套装</v>
      </c>
      <c r="E2821" s="1" t="str">
        <f>IFERROR(__xludf.DUMMYFUNCTION("CONCATENATE(GOOGLETRANSLATE(C2821, ""en"", ""ko""))"),"PEP가 포함된 Jura S8 자동 커피 머신, 크롬에는 우유 용기, 스마트 필터 카트리지 2개, 청소용 정제 및 에스프레소 컵 2개가 포함되어 있습니다.")</f>
        <v>PEP가 포함된 Jura S8 자동 커피 머신, 크롬에는 우유 용기, 스마트 필터 카트리지 2개, 청소용 정제 및 에스프레소 컵 2개가 포함되어 있습니다.</v>
      </c>
      <c r="F2821" s="1" t="str">
        <f>IFERROR(__xludf.DUMMYFUNCTION("CONCATENATE(GOOGLETRANSLATE(C2821, ""en"", ""ja""))"),"Jura S8 自動コーヒーマシン、PEP 付き、クロムにはミルクコンテナ、スマートフィルターカートリッジ 2 個、クリーニングタブレット、エスプレッソカップ 2 個のバンドルが含まれます")</f>
        <v>Jura S8 自動コーヒーマシン、PEP 付き、クロムにはミルクコンテナ、スマートフィルターカートリッジ 2 個、クリーニングタブレット、エスプレッソカップ 2 個のバンドルが含まれます</v>
      </c>
    </row>
    <row r="2822" ht="15.75" customHeight="1">
      <c r="A2822" s="1">
        <v>3223.0</v>
      </c>
      <c r="B2822" s="1" t="s">
        <v>15</v>
      </c>
      <c r="C2822" s="1" t="s">
        <v>2612</v>
      </c>
      <c r="D2822" s="1" t="str">
        <f>IFERROR(__xludf.DUMMYFUNCTION("CONCATENATE(GOOGLETRANSLATE(C2822, ""en"", ""zh-cn""))"),"Jura E8 钢琴白自动咖啡机")</f>
        <v>Jura E8 钢琴白自动咖啡机</v>
      </c>
      <c r="E2822" s="1" t="str">
        <f>IFERROR(__xludf.DUMMYFUNCTION("CONCATENATE(GOOGLETRANSLATE(C2822, ""en"", ""ko""))"),"Jura E8 피아노 화이트 자동 커피 머신")</f>
        <v>Jura E8 피아노 화이트 자동 커피 머신</v>
      </c>
      <c r="F2822" s="1" t="str">
        <f>IFERROR(__xludf.DUMMYFUNCTION("CONCATENATE(GOOGLETRANSLATE(C2822, ""en"", ""ja""))"),"Jura E8 ピアノホワイト自動コーヒーマシン")</f>
        <v>Jura E8 ピアノホワイト自動コーヒーマシン</v>
      </c>
    </row>
    <row r="2823" ht="15.75" customHeight="1">
      <c r="A2823" s="1">
        <v>3232.0</v>
      </c>
      <c r="B2823" s="1" t="s">
        <v>15</v>
      </c>
      <c r="C2823" s="1" t="s">
        <v>2613</v>
      </c>
      <c r="D2823" s="1" t="str">
        <f>IFERROR(__xludf.DUMMYFUNCTION("CONCATENATE(GOOGLETRANSLATE(C2823, ""en"", ""zh-cn""))"),"ACME Dresden 东方特大号床 - 23137EK - PU 和樱桃橡木")</f>
        <v>ACME Dresden 东方特大号床 - 23137EK - PU 和樱桃橡木</v>
      </c>
      <c r="E2823" s="1" t="str">
        <f>IFERROR(__xludf.DUMMYFUNCTION("CONCATENATE(GOOGLETRANSLATE(C2823, ""en"", ""ko""))"),"ACME 드레스덴 이스턴 킹 베드 - 23137EK - PU 및 체리 오크")</f>
        <v>ACME 드레스덴 이스턴 킹 베드 - 23137EK - PU 및 체리 오크</v>
      </c>
      <c r="F2823" s="1" t="str">
        <f>IFERROR(__xludf.DUMMYFUNCTION("CONCATENATE(GOOGLETRANSLATE(C2823, ""en"", ""ja""))"),"ACME ドレスデン イースタン キングベッド - 23137EK - PU &amp; チェリー オーク")</f>
        <v>ACME ドレスデン イースタン キングベッド - 23137EK - PU &amp; チェリー オーク</v>
      </c>
    </row>
    <row r="2824" ht="15.75" customHeight="1">
      <c r="A2824" s="1">
        <v>3235.0</v>
      </c>
      <c r="B2824" s="1" t="s">
        <v>15</v>
      </c>
      <c r="C2824" s="1" t="s">
        <v>2614</v>
      </c>
      <c r="D2824" s="1" t="str">
        <f>IFERROR(__xludf.DUMMYFUNCTION("CONCATENATE(GOOGLETRANSLATE(C2824, ""en"", ""zh-cn""))"),"Jura E8 钢琴黑色自动咖啡机，64 盎司")</f>
        <v>Jura E8 钢琴黑色自动咖啡机，64 盎司</v>
      </c>
      <c r="E2824" s="1" t="str">
        <f>IFERROR(__xludf.DUMMYFUNCTION("CONCATENATE(GOOGLETRANSLATE(C2824, ""en"", ""ko""))"),"Jura E8 피아노 블랙 자동 커피 머신, 64온스")</f>
        <v>Jura E8 피아노 블랙 자동 커피 머신, 64온스</v>
      </c>
      <c r="F2824" s="1" t="str">
        <f>IFERROR(__xludf.DUMMYFUNCTION("CONCATENATE(GOOGLETRANSLATE(C2824, ""en"", ""ja""))"),"Jura E8 ピアノブラック自動コーヒーマシン、64 オンス")</f>
        <v>Jura E8 ピアノブラック自動コーヒーマシン、64 オンス</v>
      </c>
    </row>
    <row r="2825" ht="15.75" customHeight="1">
      <c r="A2825" s="1">
        <v>3246.0</v>
      </c>
      <c r="B2825" s="1" t="s">
        <v>15</v>
      </c>
      <c r="C2825" s="1" t="s">
        <v>2615</v>
      </c>
      <c r="D2825" s="1" t="str">
        <f>IFERROR(__xludf.DUMMYFUNCTION("CONCATENATE(GOOGLETRANSLATE(C2825, ""en"", ""zh-cn""))"),"Belffin 模块化组合沙发套装带脚凳 超大 U 形沙发套装带储物座椅 组合沙发长沙发带双面躺椅 现代布艺蓝色")</f>
        <v>Belffin 模块化组合沙发套装带脚凳 超大 U 形沙发套装带储物座椅 组合沙发长沙发带双面躺椅 现代布艺蓝色</v>
      </c>
      <c r="E2825" s="1" t="str">
        <f>IFERROR(__xludf.DUMMYFUNCTION("CONCATENATE(GOOGLETRANSLATE(C2825, ""en"", ""ko""))"),"Belffin 모듈식 단면 소파 세트(오토만 포함) 대형 U자형 소파 세트(수납 시트 포함) 모듈형 소파 소파(양방향 의자 포함) 모던 패브릭 블루")</f>
        <v>Belffin 모듈식 단면 소파 세트(오토만 포함) 대형 U자형 소파 세트(수납 시트 포함) 모듈형 소파 소파(양방향 의자 포함) 모던 패브릭 블루</v>
      </c>
      <c r="F2825" s="1" t="str">
        <f>IFERROR(__xludf.DUMMYFUNCTION("CONCATENATE(GOOGLETRANSLATE(C2825, ""en"", ""ja""))"),"Belffin モジュラーセクショナルソファセット オットマン付き 特大U字型ソファセット 収納シート付き モジュラーソファ カウチ リバーシブル長椅子付き モダンファブリック ブルー")</f>
        <v>Belffin モジュラーセクショナルソファセット オットマン付き 特大U字型ソファセット 収納シート付き モジュラーソファ カウチ リバーシブル長椅子付き モダンファブリック ブルー</v>
      </c>
    </row>
    <row r="2826" ht="15.75" customHeight="1">
      <c r="A2826" s="1">
        <v>3253.0</v>
      </c>
      <c r="B2826" s="1" t="s">
        <v>15</v>
      </c>
      <c r="C2826" s="1" t="s">
        <v>2616</v>
      </c>
      <c r="D2826" s="1" t="str">
        <f>IFERROR(__xludf.DUMMYFUNCTION("CONCATENATE(GOOGLETRANSLATE(C2826, ""en"", ""zh-cn""))"),"Jura ENA Micro 5 自动咖啡机， 1， 银色")</f>
        <v>Jura ENA Micro 5 自动咖啡机， 1， 银色</v>
      </c>
      <c r="E2826" s="1" t="str">
        <f>IFERROR(__xludf.DUMMYFUNCTION("CONCATENATE(GOOGLETRANSLATE(C2826, ""en"", ""ko""))"),"Jura ENA Micro 5 자동 커피 머신, 1, 실버")</f>
        <v>Jura ENA Micro 5 자동 커피 머신, 1, 실버</v>
      </c>
      <c r="F2826" s="1" t="str">
        <f>IFERROR(__xludf.DUMMYFUNCTION("CONCATENATE(GOOGLETRANSLATE(C2826, ""en"", ""ja""))"),"Jura ENA Micro 5 自動コーヒーマシン、1、シルバー")</f>
        <v>Jura ENA Micro 5 自動コーヒーマシン、1、シルバー</v>
      </c>
    </row>
    <row r="2827" ht="15.75" customHeight="1">
      <c r="A2827" s="1">
        <v>3254.0</v>
      </c>
      <c r="B2827" s="1" t="s">
        <v>15</v>
      </c>
      <c r="C2827" s="1" t="s">
        <v>2617</v>
      </c>
      <c r="D2827" s="1" t="str">
        <f>IFERROR(__xludf.DUMMYFUNCTION("CONCATENATE(GOOGLETRANSLATE(C2827, ""en"", ""zh-cn""))"),"Jura ENA 8 自动咖啡机（都市黑）带玻璃牛奶容器套装（2 件）")</f>
        <v>Jura ENA 8 自动咖啡机（都市黑）带玻璃牛奶容器套装（2 件）</v>
      </c>
      <c r="E2827" s="1" t="str">
        <f>IFERROR(__xludf.DUMMYFUNCTION("CONCATENATE(GOOGLETRANSLATE(C2827, ""en"", ""ko""))"),"Jura ENA 8 자동 커피 머신(메트로폴리탄 블랙) 유리 우유 용기 번들 포함(2개 품목)")</f>
        <v>Jura ENA 8 자동 커피 머신(메트로폴리탄 블랙) 유리 우유 용기 번들 포함(2개 품목)</v>
      </c>
      <c r="F2827" s="1" t="str">
        <f>IFERROR(__xludf.DUMMYFUNCTION("CONCATENATE(GOOGLETRANSLATE(C2827, ""en"", ""ja""))"),"Jura ENA 8 自動コーヒーマシン (メトロポリタン ブラック) ガラス製ミルク容器バンドル (2 個) 付き")</f>
        <v>Jura ENA 8 自動コーヒーマシン (メトロポリタン ブラック) ガラス製ミルク容器バンドル (2 個) 付き</v>
      </c>
    </row>
    <row r="2828" ht="15.75" customHeight="1">
      <c r="A2828" s="1">
        <v>3262.0</v>
      </c>
      <c r="B2828" s="1" t="s">
        <v>15</v>
      </c>
      <c r="C2828" s="1" t="s">
        <v>2618</v>
      </c>
      <c r="D2828" s="1" t="str">
        <f>IFERROR(__xludf.DUMMYFUNCTION("CONCATENATE(GOOGLETRANSLATE(C2828, ""en"", ""zh-cn""))"),"HONBAY 组合组合沙发，带奥斯曼布艺组合沙发，带贵妃椅 L 型转角沙发，带储物座椅，水蓝色")</f>
        <v>HONBAY 组合组合沙发，带奥斯曼布艺组合沙发，带贵妃椅 L 型转角沙发，带储物座椅，水蓝色</v>
      </c>
      <c r="E2828" s="1" t="str">
        <f>IFERROR(__xludf.DUMMYFUNCTION("CONCATENATE(GOOGLETRANSLATE(C2828, ""en"", ""ko""))"),"HONBAY 모듈식 단면 소파, 오스만 패브릭 모듈식 소파, 긴 의자 L자형 코너 소파, 수납 시트, 아쿠아 블루")</f>
        <v>HONBAY 모듈식 단면 소파, 오스만 패브릭 모듈식 소파, 긴 의자 L자형 코너 소파, 수납 시트, 아쿠아 블루</v>
      </c>
      <c r="F2828" s="1" t="str">
        <f>IFERROR(__xludf.DUMMYFUNCTION("CONCATENATE(GOOGLETRANSLATE(C2828, ""en"", ""ja""))"),"HONBAY モジュール式セクショナルソファ オットマン付き ファブリックモジュール式ソファ 長椅子付き L字型コーナーソファ 収納シート付き アクアブルー")</f>
        <v>HONBAY モジュール式セクショナルソファ オットマン付き ファブリックモジュール式ソファ 長椅子付き L字型コーナーソファ 収納シート付き アクアブルー</v>
      </c>
    </row>
    <row r="2829" ht="15.75" customHeight="1">
      <c r="A2829" s="1">
        <v>3265.0</v>
      </c>
      <c r="B2829" s="1" t="s">
        <v>15</v>
      </c>
      <c r="C2829" s="1" t="s">
        <v>2619</v>
      </c>
      <c r="D2829" s="1" t="str">
        <f>IFERROR(__xludf.DUMMYFUNCTION("CONCATENATE(GOOGLETRANSLATE(C2829, ""en"", ""zh-cn""))"),"Jura ENA 8 Metropolitan Black 自动咖啡机，37 盎司")</f>
        <v>Jura ENA 8 Metropolitan Black 自动咖啡机，37 盎司</v>
      </c>
      <c r="E2829" s="1" t="str">
        <f>IFERROR(__xludf.DUMMYFUNCTION("CONCATENATE(GOOGLETRANSLATE(C2829, ""en"", ""ko""))"),"Jura ENA 8 메트로폴리탄 블랙 자동 커피 머신, 37온스")</f>
        <v>Jura ENA 8 메트로폴리탄 블랙 자동 커피 머신, 37온스</v>
      </c>
      <c r="F2829" s="1" t="str">
        <f>IFERROR(__xludf.DUMMYFUNCTION("CONCATENATE(GOOGLETRANSLATE(C2829, ""en"", ""ja""))"),"Jura ENA 8 メトロポリタン ブラック自動コーヒー マシン、37 オンス")</f>
        <v>Jura ENA 8 メトロポリタン ブラック自動コーヒー マシン、37 オンス</v>
      </c>
    </row>
    <row r="2830" ht="15.75" customHeight="1">
      <c r="A2830" s="1">
        <v>3273.0</v>
      </c>
      <c r="B2830" s="1" t="s">
        <v>15</v>
      </c>
      <c r="C2830" s="1" t="s">
        <v>2620</v>
      </c>
      <c r="D2830" s="1" t="str">
        <f>IFERROR(__xludf.DUMMYFUNCTION("CONCATENATE(GOOGLETRANSLATE(C2830, ""en"", ""zh-cn""))"),"Acme Furniture Satinka 餐桌，浅灰色印花人造大理石和镜面银色饰面")</f>
        <v>Acme Furniture Satinka 餐桌，浅灰色印花人造大理石和镜面银色饰面</v>
      </c>
      <c r="E2830" s="1" t="str">
        <f>IFERROR(__xludf.DUMMYFUNCTION("CONCATENATE(GOOGLETRANSLATE(C2830, ""en"", ""ko""))"),"Acme 가구 새틴카 식탁, 밝은 회색 인쇄 인조 대리석 및 미러 실버 마감")</f>
        <v>Acme 가구 새틴카 식탁, 밝은 회색 인쇄 인조 대리석 및 미러 실버 마감</v>
      </c>
      <c r="F2830" s="1" t="str">
        <f>IFERROR(__xludf.DUMMYFUNCTION("CONCATENATE(GOOGLETRANSLATE(C2830, ""en"", ""ja""))"),"Acme Furniture サテンカ ダイニング テーブル ライトグレー プリント人造大理石 &amp; ミラーシルバー仕上げ")</f>
        <v>Acme Furniture サテンカ ダイニング テーブル ライトグレー プリント人造大理石 &amp; ミラーシルバー仕上げ</v>
      </c>
    </row>
    <row r="2831" ht="15.75" customHeight="1">
      <c r="A2831" s="1">
        <v>3275.0</v>
      </c>
      <c r="B2831" s="1" t="s">
        <v>15</v>
      </c>
      <c r="C2831" s="1" t="s">
        <v>2621</v>
      </c>
      <c r="D2831" s="1" t="str">
        <f>IFERROR(__xludf.DUMMYFUNCTION("CONCATENATE(GOOGLETRANSLATE(C2831, ""en"", ""zh-cn""))"),"ACME Valeria 沙发 - - 水性皮革")</f>
        <v>ACME Valeria 沙发 - - 水性皮革</v>
      </c>
      <c r="E2831" s="1" t="str">
        <f>IFERROR(__xludf.DUMMYFUNCTION("CONCATENATE(GOOGLETRANSLATE(C2831, ""en"", ""ko""))"),"ACME Valeria 소파 - - 물빛 가죽")</f>
        <v>ACME Valeria 소파 - - 물빛 가죽</v>
      </c>
      <c r="F2831" s="1" t="str">
        <f>IFERROR(__xludf.DUMMYFUNCTION("CONCATENATE(GOOGLETRANSLATE(C2831, ""en"", ""ja""))"),"ACME Valeria ソファ - - ウォーターリーレザー")</f>
        <v>ACME Valeria ソファ - - ウォーターリーレザー</v>
      </c>
    </row>
    <row r="2832" ht="15.75" customHeight="1">
      <c r="A2832" s="1">
        <v>3280.0</v>
      </c>
      <c r="B2832" s="1" t="s">
        <v>15</v>
      </c>
      <c r="C2832" s="1" t="s">
        <v>2622</v>
      </c>
      <c r="D2832" s="1" t="str">
        <f>IFERROR(__xludf.DUMMYFUNCTION("CONCATENATE(GOOGLETRANSLATE(C2832, ""en"", ""zh-cn""))"),"美国骄傲家具现代风格高密度泡沫冷灰色天鹅绒卷臂切斯特菲尔德客厅套装 2 件套带可拆卸坐垫和实木腿 (S5608-5613) 沙发")</f>
        <v>美国骄傲家具现代风格高密度泡沫冷灰色天鹅绒卷臂切斯特菲尔德客厅套装 2 件套带可拆卸坐垫和实木腿 (S5608-5613) 沙发</v>
      </c>
      <c r="E2832" s="1" t="str">
        <f>IFERROR(__xludf.DUMMYFUNCTION("CONCATENATE(GOOGLETRANSLATE(C2832, ""en"", ""ko""))"),"미국 프라이드 가구 모던 스타일 고밀도 폼 쿨 그레이 벨벳 압연 암 체스터필드 거실 세트 2PC 탈착식 쿠션 및 원목 다리 포함(S5608-5613) 소파")</f>
        <v>미국 프라이드 가구 모던 스타일 고밀도 폼 쿨 그레이 벨벳 압연 암 체스터필드 거실 세트 2PC 탈착식 쿠션 및 원목 다리 포함(S5608-5613) 소파</v>
      </c>
      <c r="F2832" s="1" t="str">
        <f>IFERROR(__xludf.DUMMYFUNCTION("CONCATENATE(GOOGLETRANSLATE(C2832, ""en"", ""ja""))"),"USプライド家具 モダンスタイル 高密度フォーム クールグレーベルベット ロールアーム チェスターフィールド リビングルームセット 2 PC 取り外し可能なクッションと無垢材の脚付き (S5608-5613) ソファ")</f>
        <v>USプライド家具 モダンスタイル 高密度フォーム クールグレーベルベット ロールアーム チェスターフィールド リビングルームセット 2 PC 取り外し可能なクッションと無垢材の脚付き (S5608-5613) ソファ</v>
      </c>
    </row>
    <row r="2833" ht="15.75" customHeight="1">
      <c r="A2833" s="1">
        <v>3293.0</v>
      </c>
      <c r="B2833" s="1" t="s">
        <v>15</v>
      </c>
      <c r="C2833" s="1" t="s">
        <v>2623</v>
      </c>
      <c r="D2833" s="1" t="str">
        <f>IFERROR(__xludf.DUMMYFUNCTION("CONCATENATE(GOOGLETRANSLATE(C2833, ""en"", ""zh-cn""))"),"RARZOE 3 件套客厅家具沙发套装，现代人造革切斯特菲尔德沙发&amp;切斯特菲尔德俱乐部椅&amp;切斯特菲尔德双人沙发套装带钉头装饰客厅卷轴臂，深棕色")</f>
        <v>RARZOE 3 件套客厅家具沙发套装，现代人造革切斯特菲尔德沙发&amp;切斯特菲尔德俱乐部椅&amp;切斯特菲尔德双人沙发套装带钉头装饰客厅卷轴臂，深棕色</v>
      </c>
      <c r="E2833" s="1" t="str">
        <f>IFERROR(__xludf.DUMMYFUNCTION("CONCATENATE(GOOGLETRANSLATE(C2833, ""en"", ""ko""))"),"RARZOE 3 조각 거실 가구 소파 세트, 모던 인조 가죽 체스터필드 소파&amp;체스터필드 클럽 의자&amp;체스터필드 러브시트 소파 세트, 거실용 네일헤드 트림 스크롤 암, 다크 브라운")</f>
        <v>RARZOE 3 조각 거실 가구 소파 세트, 모던 인조 가죽 체스터필드 소파&amp;체스터필드 클럽 의자&amp;체스터필드 러브시트 소파 세트, 거실용 네일헤드 트림 스크롤 암, 다크 브라운</v>
      </c>
      <c r="F2833" s="1" t="str">
        <f>IFERROR(__xludf.DUMMYFUNCTION("CONCATENATE(GOOGLETRANSLATE(C2833, ""en"", ""ja""))"),"RARZOE リビングルーム家具ソファ3点セット、モダンフェイクレザーチェスターフィールドソファ&amp;チェスターフィールドクラブチェア&amp;チェスターフィールドラブシートソファセット、ネイルヘッドトリムスクロールアーム付き、リビングルーム用、ダークブラウン")</f>
        <v>RARZOE リビングルーム家具ソファ3点セット、モダンフェイクレザーチェスターフィールドソファ&amp;チェスターフィールドクラブチェア&amp;チェスターフィールドラブシートソファセット、ネイルヘッドトリムスクロールアーム付き、リビングルーム用、ダークブラウン</v>
      </c>
    </row>
    <row r="2834" ht="15.75" customHeight="1">
      <c r="A2834" s="1">
        <v>3297.0</v>
      </c>
      <c r="B2834" s="1" t="s">
        <v>15</v>
      </c>
      <c r="C2834" s="1" t="s">
        <v>2624</v>
      </c>
      <c r="D2834" s="1" t="str">
        <f>IFERROR(__xludf.DUMMYFUNCTION("CONCATENATE(GOOGLETRANSLATE(C2834, ""en"", ""zh-cn""))"),"Jura E6自动咖啡机，1892.71升，白金")</f>
        <v>Jura E6自动咖啡机，1892.71升，白金</v>
      </c>
      <c r="E2834" s="1" t="str">
        <f>IFERROR(__xludf.DUMMYFUNCTION("CONCATENATE(GOOGLETRANSLATE(C2834, ""en"", ""ko""))"),"Jura E6 자동 커피 센터, 1892.71리터, 플래티넘")</f>
        <v>Jura E6 자동 커피 센터, 1892.71리터, 플래티넘</v>
      </c>
      <c r="F2834" s="1" t="str">
        <f>IFERROR(__xludf.DUMMYFUNCTION("CONCATENATE(GOOGLETRANSLATE(C2834, ""en"", ""ja""))"),"Jura E6 自動コーヒーセンター、1892.71 リットル、プラチナ")</f>
        <v>Jura E6 自動コーヒーセンター、1892.71 リットル、プラチナ</v>
      </c>
    </row>
    <row r="2835" ht="15.75" customHeight="1">
      <c r="A2835" s="1">
        <v>3301.0</v>
      </c>
      <c r="B2835" s="1" t="s">
        <v>15</v>
      </c>
      <c r="C2835" s="1" t="s">
        <v>2625</v>
      </c>
      <c r="D2835" s="1" t="str">
        <f>IFERROR(__xludf.DUMMYFUNCTION("CONCATENATE(GOOGLETRANSLATE(C2835, ""en"", ""zh-cn""))"),"Merax 现代大型软垫 U 形组合沙发，客厅超宽躺椅，新款_深灰色")</f>
        <v>Merax 现代大型软垫 U 形组合沙发，客厅超宽躺椅，新款_深灰色</v>
      </c>
      <c r="E2835" s="1" t="str">
        <f>IFERROR(__xludf.DUMMYFUNCTION("CONCATENATE(GOOGLETRANSLATE(C2835, ""en"", ""ko""))"),"Merax 현대적인 대형 덮개를 씌운 U자형 단면 소파, 거실용 초대형 긴 의자 라운지 소파, New_Dark Grey")</f>
        <v>Merax 현대적인 대형 덮개를 씌운 U자형 단면 소파, 거실용 초대형 긴 의자 라운지 소파, New_Dark Grey</v>
      </c>
      <c r="F2835" s="1" t="str">
        <f>IFERROR(__xludf.DUMMYFUNCTION("CONCATENATE(GOOGLETRANSLATE(C2835, ""en"", ""ja""))"),"Merax モダンな大型布張り U 字型セクショナルソファ、リビングルーム用エクストラワイド長椅子、新品_ダークグレー")</f>
        <v>Merax モダンな大型布張り U 字型セクショナルソファ、リビングルーム用エクストラワイド長椅子、新品_ダークグレー</v>
      </c>
    </row>
    <row r="2836" ht="15.75" customHeight="1">
      <c r="A2836" s="1">
        <v>3311.0</v>
      </c>
      <c r="B2836" s="1" t="s">
        <v>15</v>
      </c>
      <c r="C2836" s="1" t="s">
        <v>2626</v>
      </c>
      <c r="D2836" s="1" t="str">
        <f>IFERROR(__xludf.DUMMYFUNCTION("CONCATENATE(GOOGLETRANSLATE(C2836, ""en"", ""zh-cn""))"),"ACME FURNITURE Versailles 柜台高度桌 - 61150 - 骨白色")</f>
        <v>ACME FURNITURE Versailles 柜台高度桌 - 61150 - 骨白色</v>
      </c>
      <c r="E2836" s="1" t="str">
        <f>IFERROR(__xludf.DUMMYFUNCTION("CONCATENATE(GOOGLETRANSLATE(C2836, ""en"", ""ko""))"),"ACME FURNITURE 베르사유 카운터 높이 테이블 - 61150 - 본 화이트")</f>
        <v>ACME FURNITURE 베르사유 카운터 높이 테이블 - 61150 - 본 화이트</v>
      </c>
      <c r="F2836" s="1" t="str">
        <f>IFERROR(__xludf.DUMMYFUNCTION("CONCATENATE(GOOGLETRANSLATE(C2836, ""en"", ""ja""))"),"ACME FURNITURE ベルサイユ カウンター ハイト テーブル - 61150 - ボーン ホワイト")</f>
        <v>ACME FURNITURE ベルサイユ カウンター ハイト テーブル - 61150 - ボーン ホワイト</v>
      </c>
    </row>
    <row r="2837" ht="15.75" customHeight="1">
      <c r="A2837" s="1">
        <v>3325.0</v>
      </c>
      <c r="B2837" s="1" t="s">
        <v>15</v>
      </c>
      <c r="C2837" s="1" t="s">
        <v>2627</v>
      </c>
      <c r="D2837" s="1" t="str">
        <f>IFERROR(__xludf.DUMMYFUNCTION("CONCATENATE(GOOGLETRANSLATE(C2837, ""en"", ""zh-cn""))"),"ACME家具厨房推车，遇险栗子")</f>
        <v>ACME家具厨房推车，遇险栗子</v>
      </c>
      <c r="E2837" s="1" t="str">
        <f>IFERROR(__xludf.DUMMYFUNCTION("CONCATENATE(GOOGLETRANSLATE(C2837, ""en"", ""ko""))"),"ACME 가구 주방 카트, 디스트레스 체스트넛")</f>
        <v>ACME 가구 주방 카트, 디스트레스 체스트넛</v>
      </c>
      <c r="F2837" s="1" t="str">
        <f>IFERROR(__xludf.DUMMYFUNCTION("CONCATENATE(GOOGLETRANSLATE(C2837, ""en"", ""ja""))"),"ACME Furniture キッチンカート ディストレスチェスナット")</f>
        <v>ACME Furniture キッチンカート ディストレスチェスナット</v>
      </c>
    </row>
    <row r="2838" ht="15.75" customHeight="1">
      <c r="A2838" s="1">
        <v>3327.0</v>
      </c>
      <c r="B2838" s="1" t="s">
        <v>15</v>
      </c>
      <c r="C2838" s="1" t="s">
        <v>2628</v>
      </c>
      <c r="D2838" s="1" t="str">
        <f>IFERROR(__xludf.DUMMYFUNCTION("CONCATENATE(GOOGLETRANSLATE(C2838, ""en"", ""zh-cn""))"),"Gaggia Cadorna Prestige 超级自动浓缩咖啡机，中号，60.8 液量盎司")</f>
        <v>Gaggia Cadorna Prestige 超级自动浓缩咖啡机，中号，60.8 液量盎司</v>
      </c>
      <c r="E2838" s="1" t="str">
        <f>IFERROR(__xludf.DUMMYFUNCTION("CONCATENATE(GOOGLETRANSLATE(C2838, ""en"", ""ko""))"),"Gaggia Cadorna 프레스티지 전자동 에스프레소 머신, 미디엄, 60.8 fl.oz.")</f>
        <v>Gaggia Cadorna 프레스티지 전자동 에스프레소 머신, 미디엄, 60.8 fl.oz.</v>
      </c>
      <c r="F2838" s="1" t="str">
        <f>IFERROR(__xludf.DUMMYFUNCTION("CONCATENATE(GOOGLETRANSLATE(C2838, ""en"", ""ja""))"),"Gaggia Cadorna Prestige 超自動エスプレッソマシン、ミディアム、60.8 液量オンス")</f>
        <v>Gaggia Cadorna Prestige 超自動エスプレッソマシン、ミディアム、60.8 液量オンス</v>
      </c>
    </row>
    <row r="2839" ht="15.75" customHeight="1">
      <c r="A2839" s="1">
        <v>3329.0</v>
      </c>
      <c r="B2839" s="1" t="s">
        <v>15</v>
      </c>
      <c r="C2839" s="1" t="s">
        <v>2629</v>
      </c>
      <c r="D2839" s="1" t="str">
        <f>IFERROR(__xludf.DUMMYFUNCTION("CONCATENATE(GOOGLETRANSLATE(C2839, ""en"", ""zh-cn""))"),"ACME 瓦里安梳妆台 - - 镜面")</f>
        <v>ACME 瓦里安梳妆台 - - 镜面</v>
      </c>
      <c r="E2839" s="1" t="str">
        <f>IFERROR(__xludf.DUMMYFUNCTION("CONCATENATE(GOOGLETRANSLATE(C2839, ""en"", ""ko""))"),"ACME Varian 드레서 - - 거울형")</f>
        <v>ACME Varian 드레서 - - 거울형</v>
      </c>
      <c r="F2839" s="1" t="str">
        <f>IFERROR(__xludf.DUMMYFUNCTION("CONCATENATE(GOOGLETRANSLATE(C2839, ""en"", ""ja""))"),"ACME バリアン ドレッサー - - ミラー付き")</f>
        <v>ACME バリアン ドレッサー - - ミラー付き</v>
      </c>
    </row>
    <row r="2840" ht="15.75" customHeight="1">
      <c r="A2840" s="1">
        <v>3330.0</v>
      </c>
      <c r="B2840" s="1" t="s">
        <v>15</v>
      </c>
      <c r="C2840" s="1" t="s">
        <v>2630</v>
      </c>
      <c r="D2840" s="1" t="str">
        <f>IFERROR(__xludf.DUMMYFUNCTION("CONCATENATE(GOOGLETRANSLATE(C2840, ""en"", ""zh-cn""))"),"Ashley Larkinhurst 签名设计仿皮大号沙发床，带钉头饰边和 2 个特色枕头，棕色")</f>
        <v>Ashley Larkinhurst 签名设计仿皮大号沙发床，带钉头饰边和 2 个特色枕头，棕色</v>
      </c>
      <c r="E2840" s="1" t="str">
        <f>IFERROR(__xludf.DUMMYFUNCTION("CONCATENATE(GOOGLETRANSLATE(C2840, ""en"", ""ko""))"),"Ashley Larkinhurst의 시그니처 디자인 인조 가죽 퀸 소파 슬리퍼, 네일헤드 트림 및 액센트 베개 2개, 브라운")</f>
        <v>Ashley Larkinhurst의 시그니처 디자인 인조 가죽 퀸 소파 슬리퍼, 네일헤드 트림 및 액센트 베개 2개, 브라운</v>
      </c>
      <c r="F2840" s="1" t="str">
        <f>IFERROR(__xludf.DUMMYFUNCTION("CONCATENATE(GOOGLETRANSLATE(C2840, ""en"", ""ja""))"),"アシュリー・ラーキンハーストによる署名デザイン、フェイクレザークイーンソファスリーパー、ネイルヘッドトリムとアクセント枕2個付き、ブラウン")</f>
        <v>アシュリー・ラーキンハーストによる署名デザイン、フェイクレザークイーンソファスリーパー、ネイルヘッドトリムとアクセント枕2個付き、ブラウン</v>
      </c>
    </row>
    <row r="2841" ht="15.75" customHeight="1">
      <c r="A2841" s="1">
        <v>3339.0</v>
      </c>
      <c r="B2841" s="1" t="s">
        <v>15</v>
      </c>
      <c r="C2841" s="1" t="s">
        <v>2631</v>
      </c>
      <c r="D2841" s="1" t="str">
        <f>IFERROR(__xludf.DUMMYFUNCTION("CONCATENATE(GOOGLETRANSLATE(C2841, ""en"", ""zh-cn""))"),"亚马逊品牌 – Stone &amp; Beam Balkan 现代卷臂沙发，91W，粉笔")</f>
        <v>亚马逊品牌 – Stone &amp; Beam Balkan 现代卷臂沙发，91W，粉笔</v>
      </c>
      <c r="E2841" s="1" t="str">
        <f>IFERROR(__xludf.DUMMYFUNCTION("CONCATENATE(GOOGLETRANSLATE(C2841, ""en"", ""ko""))"),"아마존 브랜드 – Stone &amp; Beam Balkan 현대식 롤암 소파 소파, 91W, 분필")</f>
        <v>아마존 브랜드 – Stone &amp; Beam Balkan 현대식 롤암 소파 소파, 91W, 분필</v>
      </c>
      <c r="F2841" s="1" t="str">
        <f>IFERROR(__xludf.DUMMYFUNCTION("CONCATENATE(GOOGLETRANSLATE(C2841, ""en"", ""ja""))"),"Amazon ブランド – Stone &amp; Beam Balkan コンテンポラリー ロールドアーム ソファ カウチ、91W、チョーク")</f>
        <v>Amazon ブランド – Stone &amp; Beam Balkan コンテンポラリー ロールドアーム ソファ カウチ、91W、チョーク</v>
      </c>
    </row>
    <row r="2842" ht="15.75" customHeight="1">
      <c r="A2842" s="1">
        <v>3353.0</v>
      </c>
      <c r="B2842" s="1" t="s">
        <v>15</v>
      </c>
      <c r="C2842" s="1" t="s">
        <v>2632</v>
      </c>
      <c r="D2842" s="1" t="str">
        <f>IFERROR(__xludf.DUMMYFUNCTION("CONCATENATE(GOOGLETRANSLATE(C2842, ""en"", ""zh-cn""))"),"Morden Fort Chesterfield 组合式 L 形聚酯布艺沙发，配有右侧贵妃椅簇绒沙发，适用于客厅家具")</f>
        <v>Morden Fort Chesterfield 组合式 L 形聚酯布艺沙发，配有右侧贵妃椅簇绒沙发，适用于客厅家具</v>
      </c>
      <c r="E2842" s="1" t="str">
        <f>IFERROR(__xludf.DUMMYFUNCTION("CONCATENATE(GOOGLETRANSLATE(C2842, ""en"", ""ko""))"),"Morden Fort Chesterfield 거실 가구를 위한 적당한 긴 의자 악센트 술 소파를 가진 부분적인 L 모양 폴리에스테 직물 소파")</f>
        <v>Morden Fort Chesterfield 거실 가구를 위한 적당한 긴 의자 악센트 술 소파를 가진 부분적인 L 모양 폴리에스테 직물 소파</v>
      </c>
      <c r="F2842" s="1" t="str">
        <f>IFERROR(__xludf.DUMMYFUNCTION("CONCATENATE(GOOGLETRANSLATE(C2842, ""en"", ""ja""))"),"モーデンフォートチェスターフィールド 断面L字型ポリエステル生地ソファ 右寝椅子アクセントタフテッドソファ リビングルーム家具用")</f>
        <v>モーデンフォートチェスターフィールド 断面L字型ポリエステル生地ソファ 右寝椅子アクセントタフテッドソファ リビングルーム家具用</v>
      </c>
    </row>
    <row r="2843" ht="15.75" customHeight="1">
      <c r="A2843" s="1">
        <v>3354.0</v>
      </c>
      <c r="B2843" s="1" t="s">
        <v>15</v>
      </c>
      <c r="C2843" s="1" t="s">
        <v>2633</v>
      </c>
      <c r="D2843" s="1" t="str">
        <f>IFERROR(__xludf.DUMMYFUNCTION("CONCATENATE(GOOGLETRANSLATE(C2843, ""en"", ""zh-cn""))"),"Ashley Denoron 标志性设计斜倚电动沙发，深棕色")</f>
        <v>Ashley Denoron 标志性设计斜倚电动沙发，深棕色</v>
      </c>
      <c r="E2843" s="1" t="str">
        <f>IFERROR(__xludf.DUMMYFUNCTION("CONCATENATE(GOOGLETRANSLATE(C2843, ""en"", ""ko""))"),"Ashley Denoron의 시그니처 디자인 리클라이닝 파워 소파, 다크 브라운")</f>
        <v>Ashley Denoron의 시그니처 디자인 리클라이닝 파워 소파, 다크 브라운</v>
      </c>
      <c r="F2843" s="1" t="str">
        <f>IFERROR(__xludf.DUMMYFUNCTION("CONCATENATE(GOOGLETRANSLATE(C2843, ""en"", ""ja""))"),"アシュリー・デノロンによるサインデザイン リクライニングパワーソファ ダークブラウン")</f>
        <v>アシュリー・デノロンによるサインデザイン リクライニングパワーソファ ダークブラウン</v>
      </c>
    </row>
    <row r="2844" ht="15.75" customHeight="1">
      <c r="A2844" s="1">
        <v>3355.0</v>
      </c>
      <c r="B2844" s="1" t="s">
        <v>15</v>
      </c>
      <c r="C2844" s="1" t="s">
        <v>2634</v>
      </c>
      <c r="D2844" s="1" t="str">
        <f>IFERROR(__xludf.DUMMYFUNCTION("CONCATENATE(GOOGLETRANSLATE(C2844, ""en"", ""zh-cn""))"),"Casa Andrea Milano 现代大型天鹅绒面料 U 形组合沙发，双人超宽躺椅沙发，黑色")</f>
        <v>Casa Andrea Milano 现代大型天鹅绒面料 U 形组合沙发，双人超宽躺椅沙发，黑色</v>
      </c>
      <c r="E2844" s="1" t="str">
        <f>IFERROR(__xludf.DUMMYFUNCTION("CONCATENATE(GOOGLETRANSLATE(C2844, ""en"", ""ko""))"),"Casa Andrea Milano 모던한 대형 벨벳 패브릭 U자형 단면 소파, 더블 엑스트라 와이드 긴 의자 라운지 소파, 블랙")</f>
        <v>Casa Andrea Milano 모던한 대형 벨벳 패브릭 U자형 단면 소파, 더블 엑스트라 와이드 긴 의자 라운지 소파, 블랙</v>
      </c>
      <c r="F2844" s="1" t="str">
        <f>IFERROR(__xludf.DUMMYFUNCTION("CONCATENATE(GOOGLETRANSLATE(C2844, ""en"", ""ja""))"),"Casa Andrea Milano モダンな大型ベルベット生地 U 字型セクショナルソファ、ダブルエクストラワイド長椅子、ブラック")</f>
        <v>Casa Andrea Milano モダンな大型ベルベット生地 U 字型セクショナルソファ、ダブルエクストラワイド長椅子、ブラック</v>
      </c>
    </row>
    <row r="2845" ht="15.75" customHeight="1">
      <c r="A2845" s="1">
        <v>3356.0</v>
      </c>
      <c r="B2845" s="1" t="s">
        <v>15</v>
      </c>
      <c r="C2845" s="1" t="s">
        <v>2635</v>
      </c>
      <c r="D2845" s="1" t="str">
        <f>IFERROR(__xludf.DUMMYFUNCTION("CONCATENATE(GOOGLETRANSLATE(C2845, ""en"", ""zh-cn""))"),"WILLIAMSPACE 85 现代客厅沙发，靠背软垫布艺豪华风琴沙发，带 3 个抱枕，适合家庭、办公室、公寓、红酒")</f>
        <v>WILLIAMSPACE 85 现代客厅沙发，靠背软垫布艺豪华风琴沙发，带 3 个抱枕，适合家庭、办公室、公寓、红酒</v>
      </c>
      <c r="E2845" s="1" t="str">
        <f>IFERROR(__xludf.DUMMYFUNCTION("CONCATENATE(GOOGLETRANSLATE(C2845, ""en"", ""ko""))"),"WILLIAMSPACE 85 거실용 현대식 소파 소파, 가정용, 사무실, 아파트, 클라렛용 베개 3개를 갖춘 뒷면 덮개를 씌운 패브릭 럭셔리 오르간 소파")</f>
        <v>WILLIAMSPACE 85 거실용 현대식 소파 소파, 가정용, 사무실, 아파트, 클라렛용 베개 3개를 갖춘 뒷면 덮개를 씌운 패브릭 럭셔리 오르간 소파</v>
      </c>
      <c r="F2845" s="1" t="str">
        <f>IFERROR(__xludf.DUMMYFUNCTION("CONCATENATE(GOOGLETRANSLATE(C2845, ""en"", ""ja""))"),"WILLIAMSPACE 85 リビングルーム用モダンソファカウチ、背もたれ布張りの高級オルガンソファ、3つのクッション付き、自宅、オフィス、アパート、クラレット用")</f>
        <v>WILLIAMSPACE 85 リビングルーム用モダンソファカウチ、背もたれ布張りの高級オルガンソファ、3つのクッション付き、自宅、オフィス、アパート、クラレット用</v>
      </c>
    </row>
    <row r="2846" ht="15.75" customHeight="1">
      <c r="A2846" s="1">
        <v>3360.0</v>
      </c>
      <c r="B2846" s="1" t="s">
        <v>15</v>
      </c>
      <c r="C2846" s="1" t="s">
        <v>2636</v>
      </c>
      <c r="D2846" s="1" t="str">
        <f>IFERROR(__xludf.DUMMYFUNCTION("CONCATENATE(GOOGLETRANSLATE(C2846, ""en"", ""zh-cn""))"),"HONBAY 敞篷组合沙发套 L 型沙发套 4 座沙发组合客厅带储物脚凳，蓝灰色（组合+托盘脚凳）")</f>
        <v>HONBAY 敞篷组合沙发套 L 型沙发套 4 座沙发组合客厅带储物脚凳，蓝灰色（组合+托盘脚凳）</v>
      </c>
      <c r="E2846" s="1" t="str">
        <f>IFERROR(__xludf.DUMMYFUNCTION("CONCATENATE(GOOGLETRANSLATE(C2846, ""en"", ""ko""))"),"HONBAY 컨버터블 단면 소파 소파 세트 L자형 소파 소파 세트 4인용 소파 단면, 거실용 수납 오토만, 청회색(단면 + 트레이 오토만)")</f>
        <v>HONBAY 컨버터블 단면 소파 소파 세트 L자형 소파 소파 세트 4인용 소파 단면, 거실용 수납 오토만, 청회색(단면 + 트레이 오토만)</v>
      </c>
      <c r="F2846" s="1" t="str">
        <f>IFERROR(__xludf.DUMMYFUNCTION("CONCATENATE(GOOGLETRANSLATE(C2846, ""en"", ""ja""))"),"HONBAY コンバーチブルセクショナルソファ カウチセット L字型ソファ カウチセット 4人掛けソファ セクショナルソファ 収納オットマン付き リビングルーム用 ブルーイッシュグレー (セクショナル+トレイオットマン)")</f>
        <v>HONBAY コンバーチブルセクショナルソファ カウチセット L字型ソファ カウチセット 4人掛けソファ セクショナルソファ 収納オットマン付き リビングルーム用 ブルーイッシュグレー (セクショナル+トレイオットマン)</v>
      </c>
    </row>
    <row r="2847" ht="15.75" customHeight="1">
      <c r="A2847" s="1">
        <v>3361.0</v>
      </c>
      <c r="B2847" s="1" t="s">
        <v>15</v>
      </c>
      <c r="C2847" s="1" t="s">
        <v>2637</v>
      </c>
      <c r="D2847" s="1" t="str">
        <f>IFERROR(__xludf.DUMMYFUNCTION("CONCATENATE(GOOGLETRANSLATE(C2847, ""en"", ""zh-cn""))"),"亚马逊品牌 – Stone &amp; Beam Hillman 中世纪沙发，带木底座和腿，78W，象牙色")</f>
        <v>亚马逊品牌 – Stone &amp; Beam Hillman 中世纪沙发，带木底座和腿，78W，象牙色</v>
      </c>
      <c r="E2847" s="1" t="str">
        <f>IFERROR(__xludf.DUMMYFUNCTION("CONCATENATE(GOOGLETRANSLATE(C2847, ""en"", ""ko""))"),"아마존 브랜드 – Stone &amp; Beam Hillman Mid-Century 소파 소파(우드 베이스 및 다리 포함), 78W, 아이보리")</f>
        <v>아마존 브랜드 – Stone &amp; Beam Hillman Mid-Century 소파 소파(우드 베이스 및 다리 포함), 78W, 아이보리</v>
      </c>
      <c r="F2847" s="1" t="str">
        <f>IFERROR(__xludf.DUMMYFUNCTION("CONCATENATE(GOOGLETRANSLATE(C2847, ""en"", ""ja""))"),"Amazon ブランド – Stone &amp; Beam Hillman ミッドセンチュリー ソファ カウチ ウッドベースと脚付き、78W、アイボリー")</f>
        <v>Amazon ブランド – Stone &amp; Beam Hillman ミッドセンチュリー ソファ カウチ ウッドベースと脚付き、78W、アイボリー</v>
      </c>
    </row>
    <row r="2848" ht="15.75" customHeight="1">
      <c r="A2848" s="1">
        <v>3363.0</v>
      </c>
      <c r="B2848" s="1" t="s">
        <v>15</v>
      </c>
      <c r="C2848" s="1" t="s">
        <v>2638</v>
      </c>
      <c r="D2848" s="1" t="str">
        <f>IFERROR(__xludf.DUMMYFUNCTION("CONCATENATE(GOOGLETRANSLATE(C2848, ""en"", ""zh-cn""))"),"DEINPPA 现代口音桶形沙发旋转桶椅带储物脚凳，沙发俱乐部休息室，360° 旋转沙发椅带 3 个枕头软垫客厅（米色+亚麻布+海绵）")</f>
        <v>DEINPPA 现代口音桶形沙发旋转桶椅带储物脚凳，沙发俱乐部休息室，360° 旋转沙发椅带 3 个枕头软垫客厅（米色+亚麻布+海绵）</v>
      </c>
      <c r="E2848" s="1" t="str">
        <f>IFERROR(__xludf.DUMMYFUNCTION("CONCATENATE(GOOGLETRANSLATE(C2848, ""en"", ""ko""))"),"DEINPPA 현대식 악센트 배럴 소파 회전 배럴 의자(수납용 오토만 포함), 소파 클럽 라운지, 360° 회전 소파 의자(베개 3개 포함) 거실용 소프트 쿠션(베이지+린넨 패브릭+스폰지)")</f>
        <v>DEINPPA 현대식 악센트 배럴 소파 회전 배럴 의자(수납용 오토만 포함), 소파 클럽 라운지, 360° 회전 소파 의자(베개 3개 포함) 거실용 소프트 쿠션(베이지+린넨 패브릭+스폰지)</v>
      </c>
      <c r="F2848" s="1" t="str">
        <f>IFERROR(__xludf.DUMMYFUNCTION("CONCATENATE(GOOGLETRANSLATE(C2848, ""en"", ""ja""))"),"DEINPPA モダンアクセントバレルソファ 回転バレルチェア 収納オットマン付き ソファクラブラウンジ 360度回転ソファチェア 枕3個付き リビングルーム用ソフトクッション (ベージュ+リネン生地+スポンジ)")</f>
        <v>DEINPPA モダンアクセントバレルソファ 回転バレルチェア 収納オットマン付き ソファクラブラウンジ 360度回転ソファチェア 枕3個付き リビングルーム用ソフトクッション (ベージュ+リネン生地+スポンジ)</v>
      </c>
    </row>
    <row r="2849" ht="15.75" customHeight="1">
      <c r="A2849" s="1">
        <v>3366.0</v>
      </c>
      <c r="B2849" s="1" t="s">
        <v>15</v>
      </c>
      <c r="C2849" s="1" t="s">
        <v>2639</v>
      </c>
      <c r="D2849" s="1" t="str">
        <f>IFERROR(__xludf.DUMMYFUNCTION("CONCATENATE(GOOGLETRANSLATE(C2849, ""en"", ""zh-cn""))"),"Breville Nespresso Vertuo Creatista 单份咖啡机，浓缩咖啡机，BVE850BSS - 拉丝不锈钢")</f>
        <v>Breville Nespresso Vertuo Creatista 单份咖啡机，浓缩咖啡机，BVE850BSS - 拉丝不锈钢</v>
      </c>
      <c r="E2849" s="1" t="str">
        <f>IFERROR(__xludf.DUMMYFUNCTION("CONCATENATE(GOOGLETRANSLATE(C2849, ""en"", ""ko""))"),"브레빌 네스프레소 Vertuo Creatista 1인용 커피 메이커, 에스프레소 머신, BVE850BSS - 브러시드 스테인레스 스틸")</f>
        <v>브레빌 네스프레소 Vertuo Creatista 1인용 커피 메이커, 에스프레소 머신, BVE850BSS - 브러시드 스테인레스 스틸</v>
      </c>
      <c r="F2849" s="1" t="str">
        <f>IFERROR(__xludf.DUMMYFUNCTION("CONCATENATE(GOOGLETRANSLATE(C2849, ""en"", ""ja""))"),"Breville Nespresso Vertuo Creatista シングルサーブコーヒーメーカー、エスプレッソマシン、BVE850BSS - ブラッシュステンレススチール")</f>
        <v>Breville Nespresso Vertuo Creatista シングルサーブコーヒーメーカー、エスプレッソマシン、BVE850BSS - ブラッシュステンレススチール</v>
      </c>
    </row>
    <row r="2850" ht="15.75" customHeight="1">
      <c r="A2850" s="1">
        <v>3389.0</v>
      </c>
      <c r="B2850" s="1" t="s">
        <v>15</v>
      </c>
      <c r="C2850" s="1" t="s">
        <v>2640</v>
      </c>
      <c r="D2850" s="1" t="str">
        <f>IFERROR(__xludf.DUMMYFUNCTION("CONCATENATE(GOOGLETRANSLATE(C2850, ""en"", ""zh-cn""))"),"HONBAY 敞篷组合沙发，带贵妃天鹅绒 L 形沙发 双面 4 座沙发 客厅组合沙发，蓝色")</f>
        <v>HONBAY 敞篷组合沙发，带贵妃天鹅绒 L 形沙发 双面 4 座沙发 客厅组合沙发，蓝色</v>
      </c>
      <c r="E2850" s="1" t="str">
        <f>IFERROR(__xludf.DUMMYFUNCTION("CONCATENATE(GOOGLETRANSLATE(C2850, ""en"", ""ko""))"),"HONBAY 컨버터블 단면 소파, 긴 의자 벨벳 L자형 소파 양면 4인용 소파 단면 소파, 거실용, 블루")</f>
        <v>HONBAY 컨버터블 단면 소파, 긴 의자 벨벳 L자형 소파 양면 4인용 소파 단면 소파, 거실용, 블루</v>
      </c>
      <c r="F2850" s="1" t="str">
        <f>IFERROR(__xludf.DUMMYFUNCTION("CONCATENATE(GOOGLETRANSLATE(C2850, ""en"", ""ja""))"),"HONBAY コンバーチブルセクショナルソファ 長椅子付き ベルベット L字型カウチ リバーシブル 4人掛けソファ セクショナルソファ リビングルーム用 ブルー")</f>
        <v>HONBAY コンバーチブルセクショナルソファ 長椅子付き ベルベット L字型カウチ リバーシブル 4人掛けソファ セクショナルソファ リビングルーム用 ブルー</v>
      </c>
    </row>
    <row r="2851" ht="15.75" customHeight="1">
      <c r="A2851" s="1">
        <v>3390.0</v>
      </c>
      <c r="B2851" s="1" t="s">
        <v>15</v>
      </c>
      <c r="C2851" s="1" t="s">
        <v>2641</v>
      </c>
      <c r="D2851" s="1" t="str">
        <f>IFERROR(__xludf.DUMMYFUNCTION("CONCATENATE(GOOGLETRANSLATE(C2851, ""en"", ""zh-cn""))"),"Delonghi ECAM23120SB Magnifica S Express 超级自动浓缩咖啡机，60 盎司，银色（续订）")</f>
        <v>Delonghi ECAM23120SB Magnifica S Express 超级自动浓缩咖啡机，60 盎司，银色（续订）</v>
      </c>
      <c r="E2851" s="1" t="str">
        <f>IFERROR(__xludf.DUMMYFUNCTION("CONCATENATE(GOOGLETRANSLATE(C2851, ""en"", ""ko""))"),"Delonghi ECAM23120SB Magnifica S Express 슈퍼 자동 에스프레소 머신, 60온스, 실버(리뉴얼)")</f>
        <v>Delonghi ECAM23120SB Magnifica S Express 슈퍼 자동 에스프레소 머신, 60온스, 실버(리뉴얼)</v>
      </c>
      <c r="F2851" s="1" t="str">
        <f>IFERROR(__xludf.DUMMYFUNCTION("CONCATENATE(GOOGLETRANSLATE(C2851, ""en"", ""ja""))"),"デロンギ ECAM23120SB マグニフィカ S エクスプレス 超自動エスプレッソマシン 60オンス シルバー (リニューアル)")</f>
        <v>デロンギ ECAM23120SB マグニフィカ S エクスプレス 超自動エスプレッソマシン 60オンス シルバー (リニューアル)</v>
      </c>
    </row>
    <row r="2852" ht="15.75" customHeight="1">
      <c r="A2852" s="1">
        <v>3397.0</v>
      </c>
      <c r="B2852" s="1" t="s">
        <v>15</v>
      </c>
      <c r="C2852" s="1" t="s">
        <v>2642</v>
      </c>
      <c r="D2852" s="1" t="str">
        <f>IFERROR(__xludf.DUMMYFUNCTION("CONCATENATE(GOOGLETRANSLATE(C2852, ""en"", ""zh-cn""))"),"Jura Cool Control，85 盎司，黑色")</f>
        <v>Jura Cool Control，85 盎司，黑色</v>
      </c>
      <c r="E2852" s="1" t="str">
        <f>IFERROR(__xludf.DUMMYFUNCTION("CONCATENATE(GOOGLETRANSLATE(C2852, ""en"", ""ko""))"),"Jura Cool Control, 85 온스, 블랙")</f>
        <v>Jura Cool Control, 85 온스, 블랙</v>
      </c>
      <c r="F2852" s="1" t="str">
        <f>IFERROR(__xludf.DUMMYFUNCTION("CONCATENATE(GOOGLETRANSLATE(C2852, ""en"", ""ja""))"),"ジュラ クール コントロール、85 オンス、ブラック")</f>
        <v>ジュラ クール コントロール、85 オンス、ブラック</v>
      </c>
    </row>
    <row r="2853" ht="15.75" customHeight="1">
      <c r="A2853" s="1">
        <v>3423.0</v>
      </c>
      <c r="B2853" s="1" t="s">
        <v>15</v>
      </c>
      <c r="C2853" s="1" t="s">
        <v>2643</v>
      </c>
      <c r="D2853" s="1" t="str">
        <f>IFERROR(__xludf.DUMMYFUNCTION("CONCATENATE(GOOGLETRANSLATE(C2853, ""en"", ""zh-cn""))"),"Breville the Joule Oven 空气炸锅 Pro， BOV950BST， 黑色不锈钢")</f>
        <v>Breville the Joule Oven 空气炸锅 Pro， BOV950BST， 黑色不锈钢</v>
      </c>
      <c r="E2853" s="1" t="str">
        <f>IFERROR(__xludf.DUMMYFUNCTION("CONCATENATE(GOOGLETRANSLATE(C2853, ""en"", ""ko""))"),"브레빌 줄 오븐 에어 프라이어 프로, BOV950BST, 블랙 스테인리스 스틸")</f>
        <v>브레빌 줄 오븐 에어 프라이어 프로, BOV950BST, 블랙 스테인리스 스틸</v>
      </c>
      <c r="F2853" s="1" t="str">
        <f>IFERROR(__xludf.DUMMYFUNCTION("CONCATENATE(GOOGLETRANSLATE(C2853, ""en"", ""ja""))"),"Breville the Joule オーブンエアフライヤー プロ、BOV950BST、ブラックステンレススチール")</f>
        <v>Breville the Joule オーブンエアフライヤー プロ、BOV950BST、ブラックステンレススチール</v>
      </c>
    </row>
    <row r="2854" ht="15.75" customHeight="1">
      <c r="A2854" s="1">
        <v>3442.0</v>
      </c>
      <c r="B2854" s="1" t="s">
        <v>15</v>
      </c>
      <c r="C2854" s="1" t="s">
        <v>1797</v>
      </c>
      <c r="D2854" s="1" t="str">
        <f>IFERROR(__xludf.DUMMYFUNCTION("CONCATENATE(GOOGLETRANSLATE(C2854, ""en"", ""zh-cn""))"),"NOSGA 大沙发，现代 3 座沙发家具，三座沙发经典簇绒切斯特菲尔德长沙发客厅簇绒靠背")</f>
        <v>NOSGA 大沙发，现代 3 座沙发家具，三座沙发经典簇绒切斯特菲尔德长沙发客厅簇绒靠背</v>
      </c>
      <c r="E2854" s="1" t="str">
        <f>IFERROR(__xludf.DUMMYFUNCTION("CONCATENATE(GOOGLETRANSLATE(C2854, ""en"", ""ko""))"),"NOSGA 대형 소파, 모던한 3인용 소파 가구, 3인용 소파 클래식 터프티드 체스터필드 긴 의자 소파, 거실용 뒤로 터프트 처리됨")</f>
        <v>NOSGA 대형 소파, 모던한 3인용 소파 가구, 3인용 소파 클래식 터프티드 체스터필드 긴 의자 소파, 거실용 뒤로 터프트 처리됨</v>
      </c>
      <c r="F2854" s="1" t="str">
        <f>IFERROR(__xludf.DUMMYFUNCTION("CONCATENATE(GOOGLETRANSLATE(C2854, ""en"", ""ja""))"),"NOSGA 大型ソファ、モダンな 3 人掛けソファ家具、3 人掛けソファ クラシック タフト チェスターフィールド 長椅子 ソファ タフト バック リビングルーム用")</f>
        <v>NOSGA 大型ソファ、モダンな 3 人掛けソファ家具、3 人掛けソファ クラシック タフト チェスターフィールド 長椅子 ソファ タフト バック リビングルーム用</v>
      </c>
    </row>
    <row r="2855" ht="15.75" customHeight="1">
      <c r="A2855" s="1">
        <v>3445.0</v>
      </c>
      <c r="B2855" s="1" t="s">
        <v>15</v>
      </c>
      <c r="C2855" s="1" t="s">
        <v>2284</v>
      </c>
      <c r="D2855" s="1" t="str">
        <f>IFERROR(__xludf.DUMMYFUNCTION("CONCATENATE(GOOGLETRANSLATE(C2855, ""en"", ""zh-cn""))"),"XIZZI 敞篷组合沙发 L 形沙发 3 座沙发带贵妃客厅，L 形 83 英寸深棕色右贵妃椅")</f>
        <v>XIZZI 敞篷组合沙发 L 形沙发 3 座沙发带贵妃客厅，L 形 83 英寸深棕色右贵妃椅</v>
      </c>
      <c r="E2855" s="1" t="str">
        <f>IFERROR(__xludf.DUMMYFUNCTION("CONCATENATE(GOOGLETRANSLATE(C2855, ""en"", ""ko""))"),"XIZZI 컨버터블 단면 소파 소파 L 모양 소파 3인용 소파(거실용 의자 포함), L 모양 83인치 다크 브라운 오른쪽 의자")</f>
        <v>XIZZI 컨버터블 단면 소파 소파 L 모양 소파 3인용 소파(거실용 의자 포함), L 모양 83인치 다크 브라운 오른쪽 의자</v>
      </c>
      <c r="F2855" s="1" t="str">
        <f>IFERROR(__xludf.DUMMYFUNCTION("CONCATENATE(GOOGLETRANSLATE(C2855, ""en"", ""ja""))"),"XIZZI コンバーチブルセクショナルソファ カウチ L 字型ソファ 3 人掛けソファ 長椅子付き リビングルーム用 L 字型 83 インチ ダークブラウン 右長椅子")</f>
        <v>XIZZI コンバーチブルセクショナルソファ カウチ L 字型ソファ 3 人掛けソファ 長椅子付き リビングルーム用 L 字型 83 インチ ダークブラウン 右長椅子</v>
      </c>
    </row>
    <row r="2856" ht="15.75" customHeight="1">
      <c r="A2856" s="1">
        <v>3462.0</v>
      </c>
      <c r="B2856" s="1" t="s">
        <v>15</v>
      </c>
      <c r="C2856" s="1" t="s">
        <v>2644</v>
      </c>
      <c r="D2856" s="1" t="str">
        <f>IFERROR(__xludf.DUMMYFUNCTION("CONCATENATE(GOOGLETRANSLATE(C2856, ""en"", ""zh-cn""))"),"Naomi Home Jenny 簇绒组合沙发床带储物躺椅，拉出式沙发带储物，组合沙发床，L 形双面沙发床带储物，空气皮革，灰色")</f>
        <v>Naomi Home Jenny 簇绒组合沙发床带储物躺椅，拉出式沙发带储物，组合沙发床，L 形双面沙发床带储物，空气皮革，灰色</v>
      </c>
      <c r="E2856" s="1" t="str">
        <f>IFERROR(__xludf.DUMMYFUNCTION("CONCATENATE(GOOGLETRANSLATE(C2856, ""en"", ""ko""))"),"나오미 홈 제니 터프트 단면 소파 슬리퍼(수납 의자 포함), 풀아웃 소파(수납 가능), 단면 소파 베드, L자형 양면 슬리퍼 소파(수납 포함), 에어 가죽, 그레이")</f>
        <v>나오미 홈 제니 터프트 단면 소파 슬리퍼(수납 의자 포함), 풀아웃 소파(수납 가능), 단면 소파 베드, L자형 양면 슬리퍼 소파(수납 포함), 에어 가죽, 그레이</v>
      </c>
      <c r="F2856" s="1" t="str">
        <f>IFERROR(__xludf.DUMMYFUNCTION("CONCATENATE(GOOGLETRANSLATE(C2856, ""en"", ""ja""))"),"ナオミ ホーム ジェニー タフテッド セクショナル ソファ スリーパー 収納長椅子付き、引き出し式ソファ 収納付き、セクショナル ソファベッド、L 字型リバーシブル スリーパー ソファ 収納付き、エア レザー、グレー")</f>
        <v>ナオミ ホーム ジェニー タフテッド セクショナル ソファ スリーパー 収納長椅子付き、引き出し式ソファ 収納付き、セクショナル ソファベッド、L 字型リバーシブル スリーパー ソファ 収納付き、エア レザー、グレー</v>
      </c>
    </row>
    <row r="2857" ht="15.75" customHeight="1">
      <c r="A2857" s="1">
        <v>3477.0</v>
      </c>
      <c r="B2857" s="1" t="s">
        <v>15</v>
      </c>
      <c r="C2857" s="1" t="s">
        <v>2645</v>
      </c>
      <c r="D2857" s="1" t="str">
        <f>IFERROR(__xludf.DUMMYFUNCTION("CONCATENATE(GOOGLETRANSLATE(C2857, ""en"", ""zh-cn""))"),"Lenovo ThinkPad P16 Intel Core i9-12900HX， 16C， 16.0 WQUXGA (3840x2400) IPS 600nits 防眩光， NVIDIA RTX A3000 12GB GDDR6， 32GB DDR5 RAM， 1TB NVMe SSD， 背光 KYB， 指纹识别器， Windows Pro")</f>
        <v>Lenovo ThinkPad P16 Intel Core i9-12900HX， 16C， 16.0 WQUXGA (3840x2400) IPS 600nits 防眩光， NVIDIA RTX A3000 12GB GDDR6， 32GB DDR5 RAM， 1TB NVMe SSD， 背光 KYB， 指纹识别器， Windows Pro</v>
      </c>
      <c r="E2857" s="1" t="str">
        <f>IFERROR(__xludf.DUMMYFUNCTION("CONCATENATE(GOOGLETRANSLATE(C2857, ""en"", ""ko""))"),"Lenovo ThinkPad P16 Intel Core i9-12900HX, 16C, 16.0 WQUXGA(3840x2400) IPS 600니트 눈부심 방지, NVIDIA RTX A3000 12GB GDDR6, 32GB DDR5 RAM, 1TB NVMe SSD, 백라이트 KYB, 지문 판독기, Windows Pro")</f>
        <v>Lenovo ThinkPad P16 Intel Core i9-12900HX, 16C, 16.0 WQUXGA(3840x2400) IPS 600니트 눈부심 방지, NVIDIA RTX A3000 12GB GDDR6, 32GB DDR5 RAM, 1TB NVMe SSD, 백라이트 KYB, 지문 판독기, Windows Pro</v>
      </c>
      <c r="F2857" s="1" t="str">
        <f>IFERROR(__xludf.DUMMYFUNCTION("CONCATENATE(GOOGLETRANSLATE(C2857, ""en"", ""ja""))"),"Lenovo ThinkPad P16 Intel Core i9-12900HX、16C、16.0 WQUXGA (3840x2400) IPS 600nits アンチグレア、NVIDIA RTX A3000 12GB GDDR6、32GB DDR5 RAM、1TB NVMe SSD、バックライト付き KYB、指紋リーダー、Windows Pro")</f>
        <v>Lenovo ThinkPad P16 Intel Core i9-12900HX、16C、16.0 WQUXGA (3840x2400) IPS 600nits アンチグレア、NVIDIA RTX A3000 12GB GDDR6、32GB DDR5 RAM、1TB NVMe SSD、バックライト付き KYB、指紋リーダー、Windows Pro</v>
      </c>
    </row>
    <row r="2858" ht="15.75" customHeight="1">
      <c r="A2858" s="1">
        <v>3482.0</v>
      </c>
      <c r="B2858" s="1" t="s">
        <v>15</v>
      </c>
      <c r="C2858" s="1" t="s">
        <v>2646</v>
      </c>
      <c r="D2858" s="1" t="str">
        <f>IFERROR(__xludf.DUMMYFUNCTION("CONCATENATE(GOOGLETRANSLATE(C2858, ""en"", ""zh-cn""))"),"华硕 2022 ROG Strix Scar G533 15.6 英寸 300Hz FHD 游戏笔记本电脑第 12 代英特尔 14 核 i9-12900H 64GB DDR5 2TB SSD NVIDIA GeForce RTX 3060 6GB WiFi 6E Thunderbolt4 RGB 背光 Windows 11 Pro 带 RE USB")</f>
        <v>华硕 2022 ROG Strix Scar G533 15.6 英寸 300Hz FHD 游戏笔记本电脑第 12 代英特尔 14 核 i9-12900H 64GB DDR5 2TB SSD NVIDIA GeForce RTX 3060 6GB WiFi 6E Thunderbolt4 RGB 背光 Windows 11 Pro 带 RE USB</v>
      </c>
      <c r="E2858" s="1" t="str">
        <f>IFERROR(__xludf.DUMMYFUNCTION("CONCATENATE(GOOGLETRANSLATE(C2858, ""en"", ""ko""))"),"ASUS 2022 ROG Strix Scar G533 15.6인치 300Hz FHD 게이밍 노트북 PC 12세대 Intel 14코어 i9-12900H 64GB DDR5 2TB SSD NVIDIA GeForce RTX 3060 6GB WiFi 6E Thunderbolt4 RGB 백라이트 Windows 11 Pro(RE USB 포함)")</f>
        <v>ASUS 2022 ROG Strix Scar G533 15.6인치 300Hz FHD 게이밍 노트북 PC 12세대 Intel 14코어 i9-12900H 64GB DDR5 2TB SSD NVIDIA GeForce RTX 3060 6GB WiFi 6E Thunderbolt4 RGB 백라이트 Windows 11 Pro(RE USB 포함)</v>
      </c>
      <c r="F2858" s="1" t="str">
        <f>IFERROR(__xludf.DUMMYFUNCTION("CONCATENATE(GOOGLETRANSLATE(C2858, ""en"", ""ja""))"),"ASUS 2022 ROG Strix Scar G533 15.6 インチ 300Hz FHD ゲーミング ラップトップ PC 12th Intel 14 コア i9-12900H 64GB DDR5 2TB SSD NVIDIA GeForce RTX 3060 6GB WiFi 6E Thunderbolt4 RGB バックライト付き Windows 11 Pro w/RE USB")</f>
        <v>ASUS 2022 ROG Strix Scar G533 15.6 インチ 300Hz FHD ゲーミング ラップトップ PC 12th Intel 14 コア i9-12900H 64GB DDR5 2TB SSD NVIDIA GeForce RTX 3060 6GB WiFi 6E Thunderbolt4 RGB バックライト付き Windows 11 Pro w/RE USB</v>
      </c>
    </row>
    <row r="2859" ht="15.75" customHeight="1">
      <c r="A2859" s="1">
        <v>3499.0</v>
      </c>
      <c r="B2859" s="1" t="s">
        <v>15</v>
      </c>
      <c r="C2859" s="1" t="s">
        <v>2647</v>
      </c>
      <c r="D2859" s="1" t="str">
        <f>IFERROR(__xludf.DUMMYFUNCTION("CONCATENATE(GOOGLETRANSLATE(C2859, ""en"", ""zh-cn""))"),"Optoma EH340UST 3D 超短焦 DLP 投影仪 - 16:9")</f>
        <v>Optoma EH340UST 3D 超短焦 DLP 投影仪 - 16:9</v>
      </c>
      <c r="E2859" s="1" t="str">
        <f>IFERROR(__xludf.DUMMYFUNCTION("CONCATENATE(GOOGLETRANSLATE(C2859, ""en"", ""ko""))"),"Optoma EH340UST 3D 초단초점 DLP 프로젝터 - 16:9")</f>
        <v>Optoma EH340UST 3D 초단초점 DLP 프로젝터 - 16:9</v>
      </c>
      <c r="F2859" s="1" t="str">
        <f>IFERROR(__xludf.DUMMYFUNCTION("CONCATENATE(GOOGLETRANSLATE(C2859, ""en"", ""ja""))"),"Optoma EH340UST 3D 超短焦点 DLP プロジェクター - 16:9")</f>
        <v>Optoma EH340UST 3D 超短焦点 DLP プロジェクター - 16:9</v>
      </c>
    </row>
    <row r="2860" ht="15.75" customHeight="1">
      <c r="A2860" s="1">
        <v>3509.0</v>
      </c>
      <c r="B2860" s="1" t="s">
        <v>15</v>
      </c>
      <c r="C2860" s="1" t="s">
        <v>2648</v>
      </c>
      <c r="D2860" s="1" t="str">
        <f>IFERROR(__xludf.DUMMYFUNCTION("CONCATENATE(GOOGLETRANSLATE(C2860, ""en"", ""zh-cn""))"),"Talvania 40 英尺充气投影仪屏幕，适合户外和室内电视电影观看，巨大的屏幕，鼓风机，系紧装置，木桩，沙袋和储物袋，快速爆炸，巨型（40 英尺多色）")</f>
        <v>Talvania 40 英尺充气投影仪屏幕，适合户外和室内电视电影观看，巨大的屏幕，鼓风机，系紧装置，木桩，沙袋和储物袋，快速爆炸，巨型（40 英尺多色）</v>
      </c>
      <c r="E2860" s="1" t="str">
        <f>IFERROR(__xludf.DUMMYFUNCTION("CONCATENATE(GOOGLETRANSLATE(C2860, ""en"", ""ko""))"),"야외 및 실내 TV 영화 감상을 위한 탈바니아 40피트 팽창식 프로젝터 스크린, 대형 스크린, 송풍기, 타이 다운, 스테이크, 샌드백 및 보관 가방, 퀵 블로우 업, 점보(40' 멀티컬러)")</f>
        <v>야외 및 실내 TV 영화 감상을 위한 탈바니아 40피트 팽창식 프로젝터 스크린, 대형 스크린, 송풍기, 타이 다운, 스테이크, 샌드백 및 보관 가방, 퀵 블로우 업, 점보(40' 멀티컬러)</v>
      </c>
      <c r="F2860" s="1" t="str">
        <f>IFERROR(__xludf.DUMMYFUNCTION("CONCATENATE(GOOGLETRANSLATE(C2860, ""en"", ""ja""))"),"Talvonia 40 フィート インフレータブル プロジェクター スクリーン 屋外および屋内でのテレビ映画鑑賞用、巨大スクリーン、送風機、タイダウン、杭、土嚢、収納バッグ、クイックブローアップ、ジャンボ (40 フィート マルチカラー)")</f>
        <v>Talvonia 40 フィート インフレータブル プロジェクター スクリーン 屋外および屋内でのテレビ映画鑑賞用、巨大スクリーン、送風機、タイダウン、杭、土嚢、収納バッグ、クイックブローアップ、ジャンボ (40 フィート マルチカラー)</v>
      </c>
    </row>
    <row r="2861" ht="15.75" customHeight="1">
      <c r="A2861" s="1">
        <v>3510.0</v>
      </c>
      <c r="B2861" s="1" t="s">
        <v>15</v>
      </c>
      <c r="C2861" s="1" t="s">
        <v>2649</v>
      </c>
      <c r="D2861" s="1" t="str">
        <f>IFERROR(__xludf.DUMMYFUNCTION("CONCATENATE(GOOGLETRANSLATE(C2861, ""en"", ""zh-cn""))"),"戴尔 Latitude 5530 商务笔记本电脑，15.6 FHD 显示屏，英特尔酷睿 i7-1255U 处理器，32GB RAM，1TB SSD，网络摄像头，HDMI，RJ45，存储卡读卡器，背光键盘，Wi-Fi 6，Windows 11 Pro")</f>
        <v>戴尔 Latitude 5530 商务笔记本电脑，15.6 FHD 显示屏，英特尔酷睿 i7-1255U 处理器，32GB RAM，1TB SSD，网络摄像头，HDMI，RJ45，存储卡读卡器，背光键盘，Wi-Fi 6，Windows 11 Pro</v>
      </c>
      <c r="E2861" s="1" t="str">
        <f>IFERROR(__xludf.DUMMYFUNCTION("CONCATENATE(GOOGLETRANSLATE(C2861, ""en"", ""ko""))"),"Dell Latitude 5530 비즈니스 노트북, 15.6 FHD 디스플레이, Intel Core i7-1255U 프로세서, 32GB RAM, 1TB SSD, 웹캠, HDMI, RJ45, 메모리 카드 리더기, 백라이트 키보드, Wi-Fi 6, Windows 11 Pro")</f>
        <v>Dell Latitude 5530 비즈니스 노트북, 15.6 FHD 디스플레이, Intel Core i7-1255U 프로세서, 32GB RAM, 1TB SSD, 웹캠, HDMI, RJ45, 메모리 카드 리더기, 백라이트 키보드, Wi-Fi 6, Windows 11 Pro</v>
      </c>
      <c r="F2861" s="1" t="str">
        <f>IFERROR(__xludf.DUMMYFUNCTION("CONCATENATE(GOOGLETRANSLATE(C2861, ""en"", ""ja""))"),"Dell Latitude 5530 ビジネス ノートパソコン、15.6 FHD ディスプレイ、Intel Core i7-1255U プロセッサ、32GB RAM、1TB SSD、ウェブカメラ、HDMI、RJ45、メモリカード リーダー、バックライト付きキーボード、Wi-Fi 6、Windows 11 Pro")</f>
        <v>Dell Latitude 5530 ビジネス ノートパソコン、15.6 FHD ディスプレイ、Intel Core i7-1255U プロセッサ、32GB RAM、1TB SSD、ウェブカメラ、HDMI、RJ45、メモリカード リーダー、バックライト付きキーボード、Wi-Fi 6、Windows 11 Pro</v>
      </c>
    </row>
    <row r="2862" ht="15.75" customHeight="1">
      <c r="A2862" s="1">
        <v>3512.0</v>
      </c>
      <c r="B2862" s="1" t="s">
        <v>15</v>
      </c>
      <c r="C2862" s="1" t="s">
        <v>2650</v>
      </c>
      <c r="D2862" s="1" t="str">
        <f>IFERROR(__xludf.DUMMYFUNCTION("CONCATENATE(GOOGLETRANSLATE(C2862, ""en"", ""zh-cn""))"),"Tripp Lite SmartOnline 120V 2.2kVA 1.8kW 双转换 UPS，塔式，延长运行，网络管理卡插槽，LCD，USB，DB9，2 年保修和 250，000 美元保险 (SU2200XLCD)，黑色")</f>
        <v>Tripp Lite SmartOnline 120V 2.2kVA 1.8kW 双转换 UPS，塔式，延长运行，网络管理卡插槽，LCD，USB，DB9，2 年保修和 250，000 美元保险 (SU2200XLCD)，黑色</v>
      </c>
      <c r="E2862" s="1" t="str">
        <f>IFERROR(__xludf.DUMMYFUNCTION("CONCATENATE(GOOGLETRANSLATE(C2862, ""en"", ""ko""))"),"Tripp Lite SmartOnline 120V 2.2kVA 1.8kW 이중 변환 UPS, 타워, 확장 실행, 네트워크 관리 카드 슬롯, LCD, USB, DB9, 2년 보증 및 $250,000 보험(SU2200XLCD), 블랙")</f>
        <v>Tripp Lite SmartOnline 120V 2.2kVA 1.8kW 이중 변환 UPS, 타워, 확장 실행, 네트워크 관리 카드 슬롯, LCD, USB, DB9, 2년 보증 및 $250,000 보험(SU2200XLCD), 블랙</v>
      </c>
      <c r="F2862" s="1" t="str">
        <f>IFERROR(__xludf.DUMMYFUNCTION("CONCATENATE(GOOGLETRANSLATE(C2862, ""en"", ""ja""))"),"Tripp Lite SmartOnline 120V 2.2kVA 1.8kW ダブルコンバージョン UPS、タワー、拡張実行、ネットワーク管理カード スロット、LCD、USB、DB9、2 年保証 &amp; 250,000 ドルの保険 (SU2200XLCD)、ブラック")</f>
        <v>Tripp Lite SmartOnline 120V 2.2kVA 1.8kW ダブルコンバージョン UPS、タワー、拡張実行、ネットワーク管理カード スロット、LCD、USB、DB9、2 年保証 &amp; 250,000 ドルの保険 (SU2200XLCD)、ブラック</v>
      </c>
    </row>
    <row r="2863" ht="15.75" customHeight="1">
      <c r="A2863" s="1">
        <v>3515.0</v>
      </c>
      <c r="B2863" s="1" t="s">
        <v>15</v>
      </c>
      <c r="C2863" s="1" t="s">
        <v>2651</v>
      </c>
      <c r="D2863" s="1" t="str">
        <f>IFERROR(__xludf.DUMMYFUNCTION("CONCATENATE(GOOGLETRANSLATE(C2863, ""en"", ""zh-cn""))"),"宏碁 Nitro 5 AN517-55-72R4 游戏笔记本电脑 |英特尔酷睿 i7-12700H | NVIDIA GeForce RTX 3050 Ti 笔记本电脑 GPU | 17.3 FHD 144Hz IPS 显示屏 | 16GB DDR4 | 16GB DDR4 1TB PCIe 第 4 代 SSD |杀手 Wi-Fi 6 |红色背光KB")</f>
        <v>宏碁 Nitro 5 AN517-55-72R4 游戏笔记本电脑 |英特尔酷睿 i7-12700H | NVIDIA GeForce RTX 3050 Ti 笔记本电脑 GPU | 17.3 FHD 144Hz IPS 显示屏 | 16GB DDR4 | 16GB DDR4 1TB PCIe 第 4 代 SSD |杀手 Wi-Fi 6 |红色背光KB</v>
      </c>
      <c r="E2863" s="1" t="str">
        <f>IFERROR(__xludf.DUMMYFUNCTION("CONCATENATE(GOOGLETRANSLATE(C2863, ""en"", ""ko""))"),"Acer Nitro 5 AN517-55-72R4 게이밍 노트북 | 인텔 코어 i7-12700H | NVIDIA GeForce RTX 3050 Ti 노트북 GPU | 17.3 FHD 144Hz IPS 디스플레이 | 16GB DDR4 | 1TB PCIe 4세대 SSD | 킬러 Wi-Fi 6 | 빨간색 백라이트 KB")</f>
        <v>Acer Nitro 5 AN517-55-72R4 게이밍 노트북 | 인텔 코어 i7-12700H | NVIDIA GeForce RTX 3050 Ti 노트북 GPU | 17.3 FHD 144Hz IPS 디스플레이 | 16GB DDR4 | 1TB PCIe 4세대 SSD | 킬러 Wi-Fi 6 | 빨간색 백라이트 KB</v>
      </c>
      <c r="F2863" s="1" t="str">
        <f>IFERROR(__xludf.DUMMYFUNCTION("CONCATENATE(GOOGLETRANSLATE(C2863, ""en"", ""ja""))"),"Acer Nitro 5 AN517-55-72R4 ゲーミング ノートパソコン |インテル Core i7-12700H | NVIDIA GeForce RTX 3050 Ti ラップトップ GPU | 17.3 FHD 144Hz IPS ディスプレイ | 16GB DDR4 | 1TB PCIe Gen 4 SSD |キラー Wi-Fi 6 |赤色のバックライト付きKB")</f>
        <v>Acer Nitro 5 AN517-55-72R4 ゲーミング ノートパソコン |インテル Core i7-12700H | NVIDIA GeForce RTX 3050 Ti ラップトップ GPU | 17.3 FHD 144Hz IPS ディスプレイ | 16GB DDR4 | 1TB PCIe Gen 4 SSD |キラー Wi-Fi 6 |赤色のバックライト付きKB</v>
      </c>
    </row>
    <row r="2864" ht="15.75" customHeight="1">
      <c r="A2864" s="1">
        <v>3518.0</v>
      </c>
      <c r="B2864" s="1" t="s">
        <v>15</v>
      </c>
      <c r="C2864" s="1" t="s">
        <v>2652</v>
      </c>
      <c r="D2864" s="1" t="str">
        <f>IFERROR(__xludf.DUMMYFUNCTION("CONCATENATE(GOOGLETRANSLATE(C2864, ""en"", ""zh-cn""))"),"Akia 屏幕上拉式投影仪屏幕电动遥控，落地式投影仪屏幕标签张力 102 英寸 16:9 室内电影视频家庭影院影院办公室，CineWhite，黑色外壳 ​​AK-FMT102UH2")</f>
        <v>Akia 屏幕上拉式投影仪屏幕电动遥控，落地式投影仪屏幕标签张力 102 英寸 16:9 室内电影视频家庭影院影院办公室，CineWhite，黑色外壳 ​​AK-FMT102UH2</v>
      </c>
      <c r="E2864" s="1" t="str">
        <f>IFERROR(__xludf.DUMMYFUNCTION("CONCATENATE(GOOGLETRANSLATE(C2864, ""en"", ""ko""))"),"Akia 스크린은 리모컨으로 구동되는 프로젝터 스크린, 바닥 상승형 프로젝터 스크린 탭 장력 102인치 16:9 실내 영화 비디오 홈 시어터 시네마 사무실, CineWhite, 검정색 케이스 AK-FMT102UH2")</f>
        <v>Akia 스크린은 리모컨으로 구동되는 프로젝터 스크린, 바닥 상승형 프로젝터 스크린 탭 장력 102인치 16:9 실내 영화 비디오 홈 시어터 시네마 사무실, CineWhite, 검정색 케이스 AK-FMT102UH2</v>
      </c>
      <c r="F2864" s="1" t="str">
        <f>IFERROR(__xludf.DUMMYFUNCTION("CONCATENATE(GOOGLETRANSLATE(C2864, ""en"", ""ja""))"),"Akia Screens プルアップ プロジェクター スクリーン 電動 リモコン付き 床上昇 プロジェクター スクリーン タブ テンション 102 インチ 16:9 屋内 映画 ビデオ ホーム シアター シネマ オフィス、シネホワイト、ブラック ケーシング AK-FMT102UH2")</f>
        <v>Akia Screens プルアップ プロジェクター スクリーン 電動 リモコン付き 床上昇 プロジェクター スクリーン タブ テンション 102 インチ 16:9 屋内 映画 ビデオ ホーム シアター シネマ オフィス、シネホワイト、ブラック ケーシング AK-FMT102UH2</v>
      </c>
    </row>
    <row r="2865" ht="15.75" customHeight="1">
      <c r="A2865" s="1">
        <v>3529.0</v>
      </c>
      <c r="B2865" s="1" t="s">
        <v>15</v>
      </c>
      <c r="C2865" s="1" t="s">
        <v>2653</v>
      </c>
      <c r="D2865" s="1" t="str">
        <f>IFERROR(__xludf.DUMMYFUNCTION("CONCATENATE(GOOGLETRANSLATE(C2865, ""en"", ""zh-cn""))"),"RecPro RV 玻璃纤维/Filon 屋顶 |北极白| 102宽|屋顶维修/更换（40 英尺）")</f>
        <v>RecPro RV 玻璃纤维/Filon 屋顶 |北极白| 102宽|屋顶维修/更换（40 英尺）</v>
      </c>
      <c r="E2865" s="1" t="str">
        <f>IFERROR(__xludf.DUMMYFUNCTION("CONCATENATE(GOOGLETRANSLATE(C2865, ""en"", ""ko""))"),"RecPro RV 유리섬유/필론 루핑 | 북극 화이트 | 102 와이드 | 지붕 수리/교체(40피트)")</f>
        <v>RecPro RV 유리섬유/필론 루핑 | 북극 화이트 | 102 와이드 | 지붕 수리/교체(40피트)</v>
      </c>
      <c r="F2865" s="1" t="str">
        <f>IFERROR(__xludf.DUMMYFUNCTION("CONCATENATE(GOOGLETRANSLATE(C2865, ""en"", ""ja""))"),"RecPro RV グラスファイバー/ファイロン屋根 |アークティックホワイト | 102ワイド |屋根の修理/交換 (40 フィート)")</f>
        <v>RecPro RV グラスファイバー/ファイロン屋根 |アークティックホワイト | 102ワイド |屋根の修理/交換 (40 フィート)</v>
      </c>
    </row>
    <row r="2866" ht="15.75" customHeight="1">
      <c r="A2866" s="1">
        <v>3532.0</v>
      </c>
      <c r="B2866" s="1" t="s">
        <v>15</v>
      </c>
      <c r="C2866" s="1" t="s">
        <v>2654</v>
      </c>
      <c r="D2866" s="1" t="str">
        <f>IFERROR(__xludf.DUMMYFUNCTION("CONCATENATE(GOOGLETRANSLATE(C2866, ""en"", ""zh-cn""))"),"Cyber​​Power OL1500RTXL2U 智能应用在线UPS系统，1500VA/1350W，8个插座，2U机架/塔式")</f>
        <v>Cyber​​Power OL1500RTXL2U 智能应用在线UPS系统，1500VA/1350W，8个插座，2U机架/塔式</v>
      </c>
      <c r="E2866" s="1" t="str">
        <f>IFERROR(__xludf.DUMMYFUNCTION("CONCATENATE(GOOGLETRANSLATE(C2866, ""en"", ""ko""))"),"CyberPower OL1500RTXL2U 스마트 앱 온라인 UPS 시스템, 1500VA/1350W, 콘센트 8개, 2U 랙/타워")</f>
        <v>CyberPower OL1500RTXL2U 스마트 앱 온라인 UPS 시스템, 1500VA/1350W, 콘센트 8개, 2U 랙/타워</v>
      </c>
      <c r="F2866" s="1" t="str">
        <f>IFERROR(__xludf.DUMMYFUNCTION("CONCATENATE(GOOGLETRANSLATE(C2866, ""en"", ""ja""))"),"Cyber​​Power OL1500RTXL2U スマート アプリ オンライン UPS システム、1500VA/1350W、8 コンセント、2U ラック/タワー")</f>
        <v>Cyber​​Power OL1500RTXL2U スマート アプリ オンライン UPS システム、1500VA/1350W、8 コンセント、2U ラック/タワー</v>
      </c>
    </row>
    <row r="2867" ht="15.75" customHeight="1">
      <c r="A2867" s="1">
        <v>3541.0</v>
      </c>
      <c r="B2867" s="1" t="s">
        <v>15</v>
      </c>
      <c r="C2867" s="1" t="s">
        <v>2655</v>
      </c>
      <c r="D2867" s="1" t="str">
        <f>IFERROR(__xludf.DUMMYFUNCTION("CONCATENATE(GOOGLETRANSLATE(C2867, ""en"", ""zh-cn""))"),"戴尔 Inspiron 灵越 13 5310，13.3 英寸 QHD 非触控笔记本电脑 - Intel Core i7-11390H，16GB LPDDR4x RAM，512GB SSD，NVIDIA GeForce MX450 带 2GB GDDR6，Windows 11 Home - 白金银")</f>
        <v>戴尔 Inspiron 灵越 13 5310，13.3 英寸 QHD 非触控笔记本电脑 - Intel Core i7-11390H，16GB LPDDR4x RAM，512GB SSD，NVIDIA GeForce MX450 带 2GB GDDR6，Windows 11 Home - 白金银</v>
      </c>
      <c r="E2867" s="1" t="str">
        <f>IFERROR(__xludf.DUMMYFUNCTION("CONCATENATE(GOOGLETRANSLATE(C2867, ""en"", ""ko""))"),"Dell Inspiron 13 5310, 13.3인치 QHD 터치 기능 미지원 노트북 - Intel Core i7-11390H, 16GB LPDDR4x RAM, 512GB SSD, NVIDIA GeForce MX450(2GB GDDR6 포함), Windows 11 Home - 플래티넘 실버")</f>
        <v>Dell Inspiron 13 5310, 13.3인치 QHD 터치 기능 미지원 노트북 - Intel Core i7-11390H, 16GB LPDDR4x RAM, 512GB SSD, NVIDIA GeForce MX450(2GB GDDR6 포함), Windows 11 Home - 플래티넘 실버</v>
      </c>
      <c r="F2867" s="1" t="str">
        <f>IFERROR(__xludf.DUMMYFUNCTION("CONCATENATE(GOOGLETRANSLATE(C2867, ""en"", ""ja""))"),"Dell Inspiron 13 5310、13.3 インチ QHD 非タッチ ノートパソコン - Intel Core i7-11390H、16GB LPDDR4x RAM、512GB SSD、NVIDIA GeForce MX450 (2GB GDDR6 搭載)、Windows 11 Home - プラチナ シルバー")</f>
        <v>Dell Inspiron 13 5310、13.3 インチ QHD 非タッチ ノートパソコン - Intel Core i7-11390H、16GB LPDDR4x RAM、512GB SSD、NVIDIA GeForce MX450 (2GB GDDR6 搭載)、Windows 11 Home - プラチナ シルバー</v>
      </c>
    </row>
    <row r="2868" ht="15.75" customHeight="1">
      <c r="A2868" s="1">
        <v>3546.0</v>
      </c>
      <c r="B2868" s="1" t="s">
        <v>15</v>
      </c>
      <c r="C2868" s="1" t="s">
        <v>2656</v>
      </c>
      <c r="D2868" s="1" t="str">
        <f>IFERROR(__xludf.DUMMYFUNCTION("CONCATENATE(GOOGLETRANSLATE(C2868, ""en"", ""zh-cn""))"),"MADISON PARK SIGNATURE MPS137-0117 维多利亚卧室梳妆台 6 抽屉媒体控制台柜，特色客厅储物收纳柜，19 宽")</f>
        <v>MADISON PARK SIGNATURE MPS137-0117 维多利亚卧室梳妆台 6 抽屉媒体控制台柜，特色客厅储物收纳柜，19 宽</v>
      </c>
      <c r="E2868" s="1" t="str">
        <f>IFERROR(__xludf.DUMMYFUNCTION("CONCATENATE(GOOGLETRANSLATE(C2868, ""en"", ""ko""))"),"MADISON PARK SIGNATURE MPS137-0117 침실용 빅토리아 서랍장 6 서랍 미디어 콘솔 캐비닛, 액센트 거실 수납 정리함, 19 폭")</f>
        <v>MADISON PARK SIGNATURE MPS137-0117 침실용 빅토리아 서랍장 6 서랍 미디어 콘솔 캐비닛, 액센트 거실 수납 정리함, 19 폭</v>
      </c>
      <c r="F2868" s="1" t="str">
        <f>IFERROR(__xludf.DUMMYFUNCTION("CONCATENATE(GOOGLETRANSLATE(C2868, ""en"", ""ja""))"),"マディソンパーク シグネチャー MPS137-0117 ビクトリアドレッサー 寝室用 6引き出しメディアコンソールキャビネット、アクセントリビングルームストレージオーガナイザー、幅19")</f>
        <v>マディソンパーク シグネチャー MPS137-0117 ビクトリアドレッサー 寝室用 6引き出しメディアコンソールキャビネット、アクセントリビングルームストレージオーガナイザー、幅19</v>
      </c>
    </row>
    <row r="2869" ht="15.75" customHeight="1">
      <c r="A2869" s="1">
        <v>3550.0</v>
      </c>
      <c r="B2869" s="1" t="s">
        <v>15</v>
      </c>
      <c r="C2869" s="1" t="s">
        <v>2657</v>
      </c>
      <c r="D2869" s="1" t="str">
        <f>IFERROR(__xludf.DUMMYFUNCTION("CONCATENATE(GOOGLETRANSLATE(C2869, ""en"", ""zh-cn""))"),"Agon AG493UCX2 超宽曲面游戏显示器，双 QHD 5120x1440，165Hz 1ms，FreeSync Premium，DisplayHDR 400，USB-C 扩展坞和 KVM，高度可调")</f>
        <v>Agon AG493UCX2 超宽曲面游戏显示器，双 QHD 5120x1440，165Hz 1ms，FreeSync Premium，DisplayHDR 400，USB-C 扩展坞和 KVM，高度可调</v>
      </c>
      <c r="E2869" s="1" t="str">
        <f>IFERROR(__xludf.DUMMYFUNCTION("CONCATENATE(GOOGLETRANSLATE(C2869, ""en"", ""ko""))"),"Agon AG493UCX2 슈퍼 와이드 곡선 게이밍 모니터, 듀얼 QHD 5120x1440, 165Hz 1ms, FreeSync Premium, DisplayHDR 400, USB-C 도킹 및 KVM, 높이 조절 가능")</f>
        <v>Agon AG493UCX2 슈퍼 와이드 곡선 게이밍 모니터, 듀얼 QHD 5120x1440, 165Hz 1ms, FreeSync Premium, DisplayHDR 400, USB-C 도킹 및 KVM, 높이 조절 가능</v>
      </c>
      <c r="F2869" s="1" t="str">
        <f>IFERROR(__xludf.DUMMYFUNCTION("CONCATENATE(GOOGLETRANSLATE(C2869, ""en"", ""ja""))"),"Agon AG493UCX2 スーパーワイド曲面ゲーミングモニター、デュアル QHD 5120x1440、165Hz 1ms、FreeSync Premium、DisplayHDR 400、USB-C ドッキング &amp; KVM、高さ調整可能")</f>
        <v>Agon AG493UCX2 スーパーワイド曲面ゲーミングモニター、デュアル QHD 5120x1440、165Hz 1ms、FreeSync Premium、DisplayHDR 400、USB-C ドッキング &amp; KVM、高さ調整可能</v>
      </c>
    </row>
    <row r="2870" ht="15.75" customHeight="1">
      <c r="A2870" s="1">
        <v>3555.0</v>
      </c>
      <c r="B2870" s="1" t="s">
        <v>15</v>
      </c>
      <c r="C2870" s="1" t="s">
        <v>2658</v>
      </c>
      <c r="D2870" s="1" t="str">
        <f>IFERROR(__xludf.DUMMYFUNCTION("CONCATENATE(GOOGLETRANSLATE(C2870, ""en"", ""zh-cn""))"),"Sysracks 服务器机架网络机柜 37U 锁深服务器机柜 32 英寸深度落地网络机架轮子便携式电脑柜 - 4 个风扇 - 恒温器 - PDU - LCD 屏幕 - 传感器 - 架子")</f>
        <v>Sysracks 服务器机架网络机柜 37U 锁深服务器机柜 32 英寸深度落地网络机架轮子便携式电脑柜 - 4 个风扇 - 恒温器 - PDU - LCD 屏幕 - 传感器 - 架子</v>
      </c>
      <c r="E2870" s="1" t="str">
        <f>IFERROR(__xludf.DUMMYFUNCTION("CONCATENATE(GOOGLETRANSLATE(C2870, ""en"", ""ko""))"),"Sysracks 서버 랙 네트워크 캐비닛 37U 잠금 깊은 서버 캐비닛 바퀴가 달린 32인치 깊이 바닥 네트워크 랙 휴대용 컴퓨터 캐비닛 - 팬 4개 - 온도 조절 장치 - PDU - LCD 화면 - 센서 - 선반")</f>
        <v>Sysracks 서버 랙 네트워크 캐비닛 37U 잠금 깊은 서버 캐비닛 바퀴가 달린 32인치 깊이 바닥 네트워크 랙 휴대용 컴퓨터 캐비닛 - 팬 4개 - 온도 조절 장치 - PDU - LCD 화면 - 센서 - 선반</v>
      </c>
      <c r="F2870" s="1" t="str">
        <f>IFERROR(__xludf.DUMMYFUNCTION("CONCATENATE(GOOGLETRANSLATE(C2870, ""en"", ""ja""))"),"Sysracks サーバー ラック ネットワーク キャビネット 37U ロックディープ サーバー キャビネット 奥行き 32 インチ フロア ネットワーク ラック キャスター付き ポータブル コンピュータ キャビネット - 4 X ファン - サーモスタット - PDU - LCD スクリーン - センサー - シェルフ")</f>
        <v>Sysracks サーバー ラック ネットワーク キャビネット 37U ロックディープ サーバー キャビネット 奥行き 32 インチ フロア ネットワーク ラック キャスター付き ポータブル コンピュータ キャビネット - 4 X ファン - サーモスタット - PDU - LCD スクリーン - センサー - シェルフ</v>
      </c>
    </row>
    <row r="2871" ht="15.75" customHeight="1">
      <c r="A2871" s="1">
        <v>3561.0</v>
      </c>
      <c r="B2871" s="1" t="s">
        <v>15</v>
      </c>
      <c r="C2871" s="1" t="s">
        <v>2659</v>
      </c>
      <c r="D2871" s="1" t="str">
        <f>IFERROR(__xludf.DUMMYFUNCTION("CONCATENATE(GOOGLETRANSLATE(C2871, ""en"", ""zh-cn""))"),"NovaScreen Spectrum Tab-Tension，110英寸，Active 3D 1080 8K超高清[16:9]。电动投影仪屏幕，家庭影院室内/室外投影仪电影屏幕。")</f>
        <v>NovaScreen Spectrum Tab-Tension，110英寸，Active 3D 1080 8K超高清[16:9]。电动投影仪屏幕，家庭影院室内/室外投影仪电影屏幕。</v>
      </c>
      <c r="E2871" s="1" t="str">
        <f>IFERROR(__xludf.DUMMYFUNCTION("CONCATENATE(GOOGLETRANSLATE(C2871, ""en"", ""ko""))"),"NovaScreen 스펙트럼 탭-텐션, 110인치, Active 3D 1080 8K Ultra HD[16:9]. 전동식 프로젝터 스크린, 홈시어터용 실내/실외 프로젝터 영화 스크린.")</f>
        <v>NovaScreen 스펙트럼 탭-텐션, 110인치, Active 3D 1080 8K Ultra HD[16:9]. 전동식 프로젝터 스크린, 홈시어터용 실내/실외 프로젝터 영화 스크린.</v>
      </c>
      <c r="F2871" s="1" t="str">
        <f>IFERROR(__xludf.DUMMYFUNCTION("CONCATENATE(GOOGLETRANSLATE(C2871, ""en"", ""ja""))"),"NovaScreen Spectrum Tab-Tension、110 インチ、アクティブ 3D 1080 8K Ultra HD [16:9]。電動プロジェクタースクリーン、ホームシアター用の屋内/屋外プロジェクタームービースクリーン。")</f>
        <v>NovaScreen Spectrum Tab-Tension、110 インチ、アクティブ 3D 1080 8K Ultra HD [16:9]。電動プロジェクタースクリーン、ホームシアター用の屋内/屋外プロジェクタームービースクリーン。</v>
      </c>
    </row>
    <row r="2872" ht="15.75" customHeight="1">
      <c r="A2872" s="1">
        <v>3573.0</v>
      </c>
      <c r="B2872" s="1" t="s">
        <v>15</v>
      </c>
      <c r="C2872" s="1" t="s">
        <v>2660</v>
      </c>
      <c r="D2872" s="1" t="str">
        <f>IFERROR(__xludf.DUMMYFUNCTION("CONCATENATE(GOOGLETRANSLATE(C2872, ""en"", ""zh-cn""))"),"MSI Pulse GL66 15.6 144Hz 3ms FHD 游戏笔记本电脑英特尔酷睿 i7-11800H RTX3050 16GB 1TBNVMe SSD Win11 - 灰色 (11UCK-1249)")</f>
        <v>MSI Pulse GL66 15.6 144Hz 3ms FHD 游戏笔记本电脑英特尔酷睿 i7-11800H RTX3050 16GB 1TBNVMe SSD Win11 - 灰色 (11UCK-1249)</v>
      </c>
      <c r="E2872" s="1" t="str">
        <f>IFERROR(__xludf.DUMMYFUNCTION("CONCATENATE(GOOGLETRANSLATE(C2872, ""en"", ""ko""))"),"MSI Pulse GL66 15.6 144Hz 3ms FHD 게이밍 노트북 인텔 코어 i7-11800H RTX3050 16GB 1TBNVMe SSD Win11 - 그레이(11UCK-1249)")</f>
        <v>MSI Pulse GL66 15.6 144Hz 3ms FHD 게이밍 노트북 인텔 코어 i7-11800H RTX3050 16GB 1TBNVMe SSD Win11 - 그레이(11UCK-1249)</v>
      </c>
      <c r="F2872" s="1" t="str">
        <f>IFERROR(__xludf.DUMMYFUNCTION("CONCATENATE(GOOGLETRANSLATE(C2872, ""en"", ""ja""))"),"MSI Pulse GL66 15.6 144Hz 3ms FHD ゲーミング ノートパソコン Intel Core i7-11800H RTX3050 16GB 1TBNVMe SSD Win11 - グレー (11UCK-1249)")</f>
        <v>MSI Pulse GL66 15.6 144Hz 3ms FHD ゲーミング ノートパソコン Intel Core i7-11800H RTX3050 16GB 1TBNVMe SSD Win11 - グレー (11UCK-1249)</v>
      </c>
    </row>
    <row r="2873" ht="15.75" customHeight="1">
      <c r="A2873" s="1">
        <v>3574.0</v>
      </c>
      <c r="B2873" s="1" t="s">
        <v>15</v>
      </c>
      <c r="C2873" s="1" t="s">
        <v>2661</v>
      </c>
      <c r="D2873" s="1" t="str">
        <f>IFERROR(__xludf.DUMMYFUNCTION("CONCATENATE(GOOGLETRANSLATE(C2873, ""en"", ""zh-cn""))"),"戴尔 2023 款最新 Inspiron 灵越 14 5425 笔记本电脑，14 FHD 显示屏，AMD Ryzen 7 5825U，32GB RAM，1TB SSD，AMD Radeon 显卡，Wi-Fi 6，蓝牙，Pebble Green，Window 11 Pro，捆绑 JAWFOAL")</f>
        <v>戴尔 2023 款最新 Inspiron 灵越 14 5425 笔记本电脑，14 FHD 显示屏，AMD Ryzen 7 5825U，32GB RAM，1TB SSD，AMD Radeon 显卡，Wi-Fi 6，蓝牙，Pebble Green，Window 11 Pro，捆绑 JAWFOAL</v>
      </c>
      <c r="E2873" s="1" t="str">
        <f>IFERROR(__xludf.DUMMYFUNCTION("CONCATENATE(GOOGLETRANSLATE(C2873, ""en"", ""ko""))"),"Dell 2023 최신 Inspiron 14 5425 노트북, 14 FHD 디스플레이, AMD Ryzen 7 5825U, 32GB RAM, 1TB SSD, AMD Radeon 그래픽, Wi-Fi 6, Bluetooth, Pebble Green, Window 11 Pro, JAWFOAL 번들")</f>
        <v>Dell 2023 최신 Inspiron 14 5425 노트북, 14 FHD 디스플레이, AMD Ryzen 7 5825U, 32GB RAM, 1TB SSD, AMD Radeon 그래픽, Wi-Fi 6, Bluetooth, Pebble Green, Window 11 Pro, JAWFOAL 번들</v>
      </c>
      <c r="F2873" s="1" t="str">
        <f>IFERROR(__xludf.DUMMYFUNCTION("CONCATENATE(GOOGLETRANSLATE(C2873, ""en"", ""ja""))"),"Dell 2023 最新 Inspiron 14 5425 ラップトップ、14 FHD ディスプレイ、AMD Ryzen 7 5825U、32GB RAM、1TB SSD、AMD Radeon グラフィックス、Wi-Fi 6、Bluetooth、ペブル グリーン、Window 11 Pro、JAWFOAL バンドル")</f>
        <v>Dell 2023 最新 Inspiron 14 5425 ラップトップ、14 FHD ディスプレイ、AMD Ryzen 7 5825U、32GB RAM、1TB SSD、AMD Radeon グラフィックス、Wi-Fi 6、Bluetooth、ペブル グリーン、Window 11 Pro、JAWFOAL バンドル</v>
      </c>
    </row>
    <row r="2874" ht="15.75" customHeight="1">
      <c r="A2874" s="1">
        <v>3582.0</v>
      </c>
      <c r="B2874" s="1" t="s">
        <v>15</v>
      </c>
      <c r="C2874" s="1" t="s">
        <v>2662</v>
      </c>
      <c r="D2874" s="1" t="str">
        <f>IFERROR(__xludf.DUMMYFUNCTION("CONCATENATE(GOOGLETRANSLATE(C2874, ""en"", ""zh-cn""))"),"Lenovo Slim 7i - 2022 - 超薄轻薄笔记本电脑 - Windows 11 Home - 16 显示屏 - 16GB 内存 - 1TB 存储 - Intel i7 第 12 代 - 风暴灰")</f>
        <v>Lenovo Slim 7i - 2022 - 超薄轻薄笔记本电脑 - Windows 11 Home - 16 显示屏 - 16GB 内存 - 1TB 存储 - Intel i7 第 12 代 - 风暴灰</v>
      </c>
      <c r="E2874" s="1" t="str">
        <f>IFERROR(__xludf.DUMMYFUNCTION("CONCATENATE(GOOGLETRANSLATE(C2874, ""en"", ""ko""))"),"Lenovo Slim 7i - 2022 - 슬림하고 가벼운 노트북 - Windows 11 Home - 16 디스플레이 - 16GB 메모리 - 1TB 스토리지 - Intel i7 12세대 - 스톰 그레이")</f>
        <v>Lenovo Slim 7i - 2022 - 슬림하고 가벼운 노트북 - Windows 11 Home - 16 디스플레이 - 16GB 메모리 - 1TB 스토리지 - Intel i7 12세대 - 스톰 그레이</v>
      </c>
      <c r="F2874" s="1" t="str">
        <f>IFERROR(__xludf.DUMMYFUNCTION("CONCATENATE(GOOGLETRANSLATE(C2874, ""en"", ""ja""))"),"Lenovo Slim 7i - 2022 - スリム&amp;軽量ラップトップ - Windows 11 Home - 16 ディスプレイ - 16GB メモリ - 1TB ストレージ - Intel i7 第 12 世代 - ストームグレー")</f>
        <v>Lenovo Slim 7i - 2022 - スリム&amp;軽量ラップトップ - Windows 11 Home - 16 ディスプレイ - 16GB メモリ - 1TB ストレージ - Intel i7 第 12 世代 - ストームグレー</v>
      </c>
    </row>
    <row r="2875" ht="15.75" customHeight="1">
      <c r="A2875" s="1">
        <v>3589.0</v>
      </c>
      <c r="B2875" s="1" t="s">
        <v>15</v>
      </c>
      <c r="C2875" s="1" t="s">
        <v>2663</v>
      </c>
      <c r="D2875" s="1" t="str">
        <f>IFERROR(__xludf.DUMMYFUNCTION("CONCATENATE(GOOGLETRANSLATE(C2875, ""en"", ""zh-cn""))"),"当天发货新款联想 ThinkCentre AIO PC i7-7700T 四核 16GB RAM，512GB SSD 带网络摄像头，选择 24 英寸全高清 IPS Matt，扬声器，Wifi，windows 11 pro，未使用，新键盘和鼠标")</f>
        <v>当天发货新款联想 ThinkCentre AIO PC i7-7700T 四核 16GB RAM，512GB SSD 带网络摄像头，选择 24 英寸全高清 IPS Matt，扬声器，Wifi，windows 11 pro，未使用，新键盘和鼠标</v>
      </c>
      <c r="E2875" s="1" t="str">
        <f>IFERROR(__xludf.DUMMYFUNCTION("CONCATENATE(GOOGLETRANSLATE(C2875, ""en"", ""ko""))"),"당일 배송 새 모델 Lenovo ThinkCentre AIO PC i7-7700T 쿼드 코어 16GB RAM, 웹캠이 포함된 512GB SSD, 24인치 FullHD IPS 매트 선택, 스피커, Wi-Fi, Windows 11 pro, 미사용, 새 키보드 및 마우스")</f>
        <v>당일 배송 새 모델 Lenovo ThinkCentre AIO PC i7-7700T 쿼드 코어 16GB RAM, 웹캠이 포함된 512GB SSD, 24인치 FullHD IPS 매트 선택, 스피커, Wi-Fi, Windows 11 pro, 미사용, 새 키보드 및 마우스</v>
      </c>
      <c r="F2875" s="1" t="str">
        <f>IFERROR(__xludf.DUMMYFUNCTION("CONCATENATE(GOOGLETRANSLATE(C2875, ""en"", ""ja""))"),"即日発送 新型 Lenovo ThinkCentre AIO PC i7-7700T クアッドコア 16GB RAM、512GB SSD、Web カメラ付き、24 インチ フルHD IPS マットを選択、スピーカー、Wifi、Windows 11 Pro、未使用、新品キーボードとマウス")</f>
        <v>即日発送 新型 Lenovo ThinkCentre AIO PC i7-7700T クアッドコア 16GB RAM、512GB SSD、Web カメラ付き、24 インチ フルHD IPS マットを選択、スピーカー、Wifi、Windows 11 Pro、未使用、新品キーボードとマウス</v>
      </c>
    </row>
    <row r="2876" ht="15.75" customHeight="1">
      <c r="A2876" s="1">
        <v>3591.0</v>
      </c>
      <c r="B2876" s="1" t="s">
        <v>15</v>
      </c>
      <c r="C2876" s="1" t="s">
        <v>2664</v>
      </c>
      <c r="D2876" s="1" t="str">
        <f>IFERROR(__xludf.DUMMYFUNCTION("CONCATENATE(GOOGLETRANSLATE(C2876, ""en"", ""zh-cn""))"),"[PINK GAMER] RYZEN 5 5600G RGB 游戏台式机和电脑 - VEGA/ RX 显卡选项")</f>
        <v>[PINK GAMER] RYZEN 5 5600G RGB 游戏台式机和电脑 - VEGA/ RX 显卡选项</v>
      </c>
      <c r="E2876" s="1" t="str">
        <f>IFERROR(__xludf.DUMMYFUNCTION("CONCATENATE(GOOGLETRANSLATE(C2876, ""en"", ""ko""))"),"[핑크 게이머] RYZEN 5 5600G RGB 게이밍 데스크탑 및 컴퓨터 - VEGA/ RX 그래픽 옵션")</f>
        <v>[핑크 게이머] RYZEN 5 5600G RGB 게이밍 데스크탑 및 컴퓨터 - VEGA/ RX 그래픽 옵션</v>
      </c>
      <c r="F2876" s="1" t="str">
        <f>IFERROR(__xludf.DUMMYFUNCTION("CONCATENATE(GOOGLETRANSLATE(C2876, ""en"", ""ja""))"),"[PINK GAMER] RYZEN 5 5600G RGB ゲーミング デスクトップ &amp; コンピューター - VEGA/RX グラフィック オプション")</f>
        <v>[PINK GAMER] RYZEN 5 5600G RGB ゲーミング デスクトップ &amp; コンピューター - VEGA/RX グラフィック オプション</v>
      </c>
    </row>
    <row r="2877" ht="15.75" customHeight="1">
      <c r="A2877" s="1">
        <v>3597.0</v>
      </c>
      <c r="B2877" s="1" t="s">
        <v>15</v>
      </c>
      <c r="C2877" s="1" t="s">
        <v>2665</v>
      </c>
      <c r="D2877" s="1" t="str">
        <f>IFERROR(__xludf.DUMMYFUNCTION("CONCATENATE(GOOGLETRANSLATE(C2877, ""en"", ""zh-cn""))"),"Lenovo ThinkPad T14 14 FHD（16GB RAM，256GB PCIe SSD，AMD 6 核 Ryzen 5 Pro 4650U（Beats i7-1165G7），IPS 防眩光）商务笔记本电脑，背光键盘，Type-C，网络摄像头，Win 10 Pro / Win 11 Pro")</f>
        <v>Lenovo ThinkPad T14 14 FHD（16GB RAM，256GB PCIe SSD，AMD 6 核 Ryzen 5 Pro 4650U（Beats i7-1165G7），IPS 防眩光）商务笔记本电脑，背光键盘，Type-C，网络摄像头，Win 10 Pro / Win 11 Pro</v>
      </c>
      <c r="E2877" s="1" t="str">
        <f>IFERROR(__xludf.DUMMYFUNCTION("CONCATENATE(GOOGLETRANSLATE(C2877, ""en"", ""ko""))"),"Lenovo ThinkPad T14 14 FHD(16GB RAM, 256GB PCIe SSD, AMD 6코어 Ryzen 5 Pro 4650U(Beats i7-1165G7), IPS 눈부심 방지) 비즈니스 노트북, 백라이트 키보드, Type-C, 웹캠, Win 10 Pro / Win 11 Pro")</f>
        <v>Lenovo ThinkPad T14 14 FHD(16GB RAM, 256GB PCIe SSD, AMD 6코어 Ryzen 5 Pro 4650U(Beats i7-1165G7), IPS 눈부심 방지) 비즈니스 노트북, 백라이트 키보드, Type-C, 웹캠, Win 10 Pro / Win 11 Pro</v>
      </c>
      <c r="F2877" s="1" t="str">
        <f>IFERROR(__xludf.DUMMYFUNCTION("CONCATENATE(GOOGLETRANSLATE(C2877, ""en"", ""ja""))"),"Lenovo ThinkPad T14 14 FHD (16GB RAM、256GB PCIe SSD、AMD 6 コア Ryzen 5 Pro 4650U (Beats i7-1165G7)、IPS アンチグレア) ビジネス ノートパソコン、バックライト付きキーボード、Type-C、Web カメラ、Win 10 Pro / Win 11 Pro")</f>
        <v>Lenovo ThinkPad T14 14 FHD (16GB RAM、256GB PCIe SSD、AMD 6 コア Ryzen 5 Pro 4650U (Beats i7-1165G7)、IPS アンチグレア) ビジネス ノートパソコン、バックライト付きキーボード、Type-C、Web カメラ、Win 10 Pro / Win 11 Pro</v>
      </c>
    </row>
    <row r="2878" ht="15.75" customHeight="1">
      <c r="A2878" s="1">
        <v>3601.0</v>
      </c>
      <c r="B2878" s="1" t="s">
        <v>15</v>
      </c>
      <c r="C2878" s="1" t="s">
        <v>2666</v>
      </c>
      <c r="D2878" s="1" t="str">
        <f>IFERROR(__xludf.DUMMYFUNCTION("CONCATENATE(GOOGLETRANSLATE(C2878, ""en"", ""zh-cn""))"),"2020 Apple iPad Pro（12.9 英寸，Wi-Fi，512GB）- 深空灰色（续订）")</f>
        <v>2020 Apple iPad Pro（12.9 英寸，Wi-Fi，512GB）- 深空灰色（续订）</v>
      </c>
      <c r="E2878" s="1" t="str">
        <f>IFERROR(__xludf.DUMMYFUNCTION("CONCATENATE(GOOGLETRANSLATE(C2878, ""en"", ""ko""))"),"2020 애플 아이패드 프로(12.9인치, Wi-Fi, 512GB) - 스페이스 그레이(리뉴얼)")</f>
        <v>2020 애플 아이패드 프로(12.9인치, Wi-Fi, 512GB) - 스페이스 그레이(리뉴얼)</v>
      </c>
      <c r="F2878" s="1" t="str">
        <f>IFERROR(__xludf.DUMMYFUNCTION("CONCATENATE(GOOGLETRANSLATE(C2878, ""en"", ""ja""))"),"2020 Apple iPad Pro (12.9 インチ、Wi-Fi、512GB) - スペース グレイ (リニューアル)")</f>
        <v>2020 Apple iPad Pro (12.9 インチ、Wi-Fi、512GB) - スペース グレイ (リニューアル)</v>
      </c>
    </row>
    <row r="2879" ht="15.75" customHeight="1">
      <c r="A2879" s="1">
        <v>3605.0</v>
      </c>
      <c r="B2879" s="1" t="s">
        <v>15</v>
      </c>
      <c r="C2879" s="1" t="s">
        <v>2667</v>
      </c>
      <c r="D2879" s="1" t="str">
        <f>IFERROR(__xludf.DUMMYFUNCTION("CONCATENATE(GOOGLETRANSLATE(C2879, ""en"", ""zh-cn""))"),"三星 Galaxy Tab S7+ Plus 12.4 英寸 Android 平板电脑 128GB Wi-Fi 蓝牙 S Pen 快速充电 USB-C 端口，神秘银")</f>
        <v>三星 Galaxy Tab S7+ Plus 12.4 英寸 Android 平板电脑 128GB Wi-Fi 蓝牙 S Pen 快速充电 USB-C 端口，神秘银</v>
      </c>
      <c r="E2879" s="1" t="str">
        <f>IFERROR(__xludf.DUMMYFUNCTION("CONCATENATE(GOOGLETRANSLATE(C2879, ""en"", ""ko""))"),"SAMSUNG 갤럭시 탭 S7+ 플러스 12.4인치 안드로이드 태블릿 128GB Wi-Fi 블루투스 S펜 고속 충전 USB-C 포트, 미스틱 실버")</f>
        <v>SAMSUNG 갤럭시 탭 S7+ 플러스 12.4인치 안드로이드 태블릿 128GB Wi-Fi 블루투스 S펜 고속 충전 USB-C 포트, 미스틱 실버</v>
      </c>
      <c r="F2879" s="1" t="str">
        <f>IFERROR(__xludf.DUMMYFUNCTION("CONCATENATE(GOOGLETRANSLATE(C2879, ""en"", ""ja""))"),"SAMSUNG Galaxy Tab S7+ Plus 12.4 インチ Android タブレット 128GB Wi-Fi Bluetooth S ペン高速充電 USB-C ポート、ミスティック シルバー")</f>
        <v>SAMSUNG Galaxy Tab S7+ Plus 12.4 インチ Android タブレット 128GB Wi-Fi Bluetooth S ペン高速充電 USB-C ポート、ミスティック シルバー</v>
      </c>
    </row>
    <row r="2880" ht="15.75" customHeight="1">
      <c r="A2880" s="1">
        <v>3606.0</v>
      </c>
      <c r="B2880" s="1" t="s">
        <v>15</v>
      </c>
      <c r="C2880" s="1" t="s">
        <v>2668</v>
      </c>
      <c r="D2880" s="1" t="str">
        <f>IFERROR(__xludf.DUMMYFUNCTION("CONCATENATE(GOOGLETRANSLATE(C2880, ""en"", ""zh-cn""))"),"戴尔 Latitude 3520 商务笔记本电脑黑色（英特尔 i5-1135G7 4 核，16GB RAM，256GB PCIe SSD，英特尔 UHD，15.6 全高清 (1920x1080)，WiFi，蓝牙，网络摄像头，1xUSB 3.2，1xHDMI，SD 卡，Win 10 Pro）")</f>
        <v>戴尔 Latitude 3520 商务笔记本电脑黑色（英特尔 i5-1135G7 4 核，16GB RAM，256GB PCIe SSD，英特尔 UHD，15.6 全高清 (1920x1080)，WiFi，蓝牙，网络摄像头，1xUSB 3.2，1xHDMI，SD 卡，Win 10 Pro）</v>
      </c>
      <c r="E2880" s="1" t="str">
        <f>IFERROR(__xludf.DUMMYFUNCTION("CONCATENATE(GOOGLETRANSLATE(C2880, ""en"", ""ko""))"),"Dell Latitude 3520 비즈니스 노트북 블랙(Intel i5-1135G7 4코어, 16GB RAM, 256GB PCIe SSD, Intel UHD, 15.6 풀 HD(1920x1080), WiFi, Bluetooth, 웹캠, 1xUSB 3.2, 1xHDMI, SD 카드, Win 10 Pro)")</f>
        <v>Dell Latitude 3520 비즈니스 노트북 블랙(Intel i5-1135G7 4코어, 16GB RAM, 256GB PCIe SSD, Intel UHD, 15.6 풀 HD(1920x1080), WiFi, Bluetooth, 웹캠, 1xUSB 3.2, 1xHDMI, SD 카드, Win 10 Pro)</v>
      </c>
      <c r="F2880" s="1" t="str">
        <f>IFERROR(__xludf.DUMMYFUNCTION("CONCATENATE(GOOGLETRANSLATE(C2880, ""en"", ""ja""))"),"Dell Latitude 3520 ビジネス ラップトップ ブラック (Intel i5-1135G7 4 コア、16GB RAM、256GB PCIe SSD、Intel UHD、15.6 フル HD (1920x1080)、WiFi、Bluetooth、ウェブカメラ、1xUSB 3.2、1xHDMI、SD カード、Win 10 Pro)")</f>
        <v>Dell Latitude 3520 ビジネス ラップトップ ブラック (Intel i5-1135G7 4 コア、16GB RAM、256GB PCIe SSD、Intel UHD、15.6 フル HD (1920x1080)、WiFi、Bluetooth、ウェブカメラ、1xUSB 3.2、1xHDMI、SD カード、Win 10 Pro)</v>
      </c>
    </row>
    <row r="2881" ht="15.75" customHeight="1">
      <c r="A2881" s="1">
        <v>3609.0</v>
      </c>
      <c r="B2881" s="1" t="s">
        <v>15</v>
      </c>
      <c r="C2881" s="1" t="s">
        <v>2669</v>
      </c>
      <c r="D2881" s="1" t="str">
        <f>IFERROR(__xludf.DUMMYFUNCTION("CONCATENATE(GOOGLETRANSLATE(C2881, ""en"", ""zh-cn""))"),"三星 SP-LSP3BLAXZA 30-100 HDR 自由式智能便携式投影仪，配有三星 VG-FSA3BA 适用于自由式投影仪的自由式插座适配器 (2022)")</f>
        <v>三星 SP-LSP3BLAXZA 30-100 HDR 自由式智能便携式投影仪，配有三星 VG-FSA3BA 适用于自由式投影仪的自由式插座适配器 (2022)</v>
      </c>
      <c r="E2881" s="1" t="str">
        <f>IFERROR(__xludf.DUMMYFUNCTION("CONCATENATE(GOOGLETRANSLATE(C2881, ""en"", ""ko""))"),"Samsung SP-LSP3BLAXZA 30-100 HDR 프리스타일 스마트 휴대용 프로젝터(삼성 VG-FSA3BA 포함) 프리스타일 프로젝터용 프리스타일 소켓 어댑터(2022)")</f>
        <v>Samsung SP-LSP3BLAXZA 30-100 HDR 프리스타일 스마트 휴대용 프로젝터(삼성 VG-FSA3BA 포함) 프리스타일 프로젝터용 프리스타일 소켓 어댑터(2022)</v>
      </c>
      <c r="F2881" s="1" t="str">
        <f>IFERROR(__xludf.DUMMYFUNCTION("CONCATENATE(GOOGLETRANSLATE(C2881, ""en"", ""ja""))"),"Samsung SP-LSP3BLAXZA 30-100 HDR フリースタイル スマート ポータブル プロジェクター、Samsung VG-FSA3BA 付きフリースタイル プロジェクター用フリースタイル ソケット アダプター (2022)")</f>
        <v>Samsung SP-LSP3BLAXZA 30-100 HDR フリースタイル スマート ポータブル プロジェクター、Samsung VG-FSA3BA 付きフリースタイル プロジェクター用フリースタイル ソケット アダプター (2022)</v>
      </c>
    </row>
    <row r="2882" ht="15.75" customHeight="1">
      <c r="A2882" s="1">
        <v>3622.0</v>
      </c>
      <c r="B2882" s="1" t="s">
        <v>15</v>
      </c>
      <c r="C2882" s="1" t="s">
        <v>2670</v>
      </c>
      <c r="D2882" s="1" t="str">
        <f>IFERROR(__xludf.DUMMYFUNCTION("CONCATENATE(GOOGLETRANSLATE(C2882, ""en"", ""zh-cn""))"),"Armaggeddon 雷电 5600G 超级全套入门游戏台式机/雷电 5600G 游戏台式机")</f>
        <v>Armaggeddon 雷电 5600G 超级全套入门游戏台式机/雷电 5600G 游戏台式机</v>
      </c>
      <c r="E2882" s="1" t="str">
        <f>IFERROR(__xludf.DUMMYFUNCTION("CONCATENATE(GOOGLETRANSLATE(C2882, ""en"", ""ko""))"),"Armaggeddon Thunderbolt 5600G 슈퍼 풀 세트 엔트리 게임 데스크탑/Thunderbolt 5600G 게임 데스크탑")</f>
        <v>Armaggeddon Thunderbolt 5600G 슈퍼 풀 세트 엔트리 게임 데스크탑/Thunderbolt 5600G 게임 데스크탑</v>
      </c>
      <c r="F2882" s="1" t="str">
        <f>IFERROR(__xludf.DUMMYFUNCTION("CONCATENATE(GOOGLETRANSLATE(C2882, ""en"", ""ja""))"),"Armaggeddon Thunderbolt 5600G スーパー フルセット エントリー ゲーミング デスクトップ / Thunderbolt 5600G ゲーミング デスクトップ")</f>
        <v>Armaggeddon Thunderbolt 5600G スーパー フルセット エントリー ゲーミング デスクトップ / Thunderbolt 5600G ゲーミング デスクトップ</v>
      </c>
    </row>
    <row r="2883" ht="15.75" customHeight="1">
      <c r="A2883" s="1">
        <v>3635.0</v>
      </c>
      <c r="B2883" s="1" t="s">
        <v>15</v>
      </c>
      <c r="C2883" s="1" t="s">
        <v>2671</v>
      </c>
      <c r="D2883" s="1" t="str">
        <f>IFERROR(__xludf.DUMMYFUNCTION("CONCATENATE(GOOGLETRANSLATE(C2883, ""en"", ""zh-cn""))"),"Fitnessandfun 33 英尺巨大户外充气电影屏幕，包括鼓风机 - 无缝正投影和背投影 - 便携式吹爆投影仪屏幕，适用于教堂、盛大派对、后院泳池乐趣（33 英尺）")</f>
        <v>Fitnessandfun 33 英尺巨大户外充气电影屏幕，包括鼓风机 - 无缝正投影和背投影 - 便携式吹爆投影仪屏幕，适用于教堂、盛大派对、后院泳池乐趣（33 英尺）</v>
      </c>
      <c r="E2883" s="1" t="str">
        <f>IFERROR(__xludf.DUMMYFUNCTION("CONCATENATE(GOOGLETRANSLATE(C2883, ""en"", ""ko""))"),"Fitnessandfun 33' 야외용 대형 풍선 영화 스크린 송풍기 포함 - 원활한 전면 및 후면 프로젝션 - 교회, 대규모 파티, 뒷마당 수영장 놀이용 휴대용 팽창 프로젝터 스크린(33피트)")</f>
        <v>Fitnessandfun 33' 야외용 대형 풍선 영화 스크린 송풍기 포함 - 원활한 전면 및 후면 프로젝션 - 교회, 대규모 파티, 뒷마당 수영장 놀이용 휴대용 팽창 프로젝터 스크린(33피트)</v>
      </c>
      <c r="F2883" s="1" t="str">
        <f>IFERROR(__xludf.DUMMYFUNCTION("CONCATENATE(GOOGLETRANSLATE(C2883, ""en"", ""ja""))"),"fitnessandfun 33フィートの巨大なインフレータブルムービースクリーン屋外用送風機付き - シームレスなフロントとリアの投影 - 教会、グランドパーティー、裏庭のプールファン用のポータブルブローアッププロジェクタースクリーン(33フィート)")</f>
        <v>fitnessandfun 33フィートの巨大なインフレータブルムービースクリーン屋外用送風機付き - シームレスなフロントとリアの投影 - 教会、グランドパーティー、裏庭のプールファン用のポータブルブローアッププロジェクタースクリーン(33フィート)</v>
      </c>
    </row>
    <row r="2884" ht="15.75" customHeight="1">
      <c r="A2884" s="1">
        <v>3651.0</v>
      </c>
      <c r="B2884" s="1" t="s">
        <v>15</v>
      </c>
      <c r="C2884" s="1" t="s">
        <v>2672</v>
      </c>
      <c r="D2884" s="1" t="str">
        <f>IFERROR(__xludf.DUMMYFUNCTION("CONCATENATE(GOOGLETRANSLATE(C2884, ""en"", ""zh-cn""))"),"FEELWORLD 17.3 英寸抽拉式机架式显示器 1RU 全高清 HDMI 1920x1080 FW173-HD (HDMI)")</f>
        <v>FEELWORLD 17.3 英寸抽拉式机架式显示器 1RU 全高清 HDMI 1920x1080 FW173-HD (HDMI)</v>
      </c>
      <c r="E2884" s="1" t="str">
        <f>IFERROR(__xludf.DUMMYFUNCTION("CONCATENATE(GOOGLETRANSLATE(C2884, ""en"", ""ko""))"),"FEELWORLD 17.3인치 풀아웃 랙마운트 모니터 1RU 풀 HD HDMI 1920x1080 FW173-HD(HDMI)")</f>
        <v>FEELWORLD 17.3인치 풀아웃 랙마운트 모니터 1RU 풀 HD HDMI 1920x1080 FW173-HD(HDMI)</v>
      </c>
      <c r="F2884" s="1" t="str">
        <f>IFERROR(__xludf.DUMMYFUNCTION("CONCATENATE(GOOGLETRANSLATE(C2884, ""en"", ""ja""))"),"FEELWORLD 17.3 インチ 引き出し式ラックマウント モニター 1RU フル HD HDMI 1920x1080 FW173-HD (HDMI)")</f>
        <v>FEELWORLD 17.3 インチ 引き出し式ラックマウント モニター 1RU フル HD HDMI 1920x1080 FW173-HD (HDMI)</v>
      </c>
    </row>
    <row r="2885" ht="15.75" customHeight="1">
      <c r="A2885" s="1">
        <v>3653.0</v>
      </c>
      <c r="B2885" s="1" t="s">
        <v>15</v>
      </c>
      <c r="C2885" s="1" t="s">
        <v>2673</v>
      </c>
      <c r="D2885" s="1" t="str">
        <f>IFERROR(__xludf.DUMMYFUNCTION("CONCATENATE(GOOGLETRANSLATE(C2885, ""en"", ""zh-cn""))"),"戴尔 Inspiron 灵越 3891 紧凑型塔式台式机 - Intel Core i5，16GB DDR4 RAM，256GB SSD，1TB SATA HDD，Intel UHD Graphics 630，2 年现场服务，6 个月迁移服务，Windows 11 Home")</f>
        <v>戴尔 Inspiron 灵越 3891 紧凑型塔式台式机 - Intel Core i5，16GB DDR4 RAM，256GB SSD，1TB SATA HDD，Intel UHD Graphics 630，2 年现场服务，6 个月迁移服务，Windows 11 Home</v>
      </c>
      <c r="E2885" s="1" t="str">
        <f>IFERROR(__xludf.DUMMYFUNCTION("CONCATENATE(GOOGLETRANSLATE(C2885, ""en"", ""ko""))"),"Dell Inspiron 3891 컴팩트 타워 데스크탑 - Intel Core i5, 16GB DDR4 RAM, 256GB SSD, 1TB SATA HDD, Intel UHD 그래픽 630, 2년 방문 서비스, 6개월 마이그레이션 서비스, Windows 11 Home")</f>
        <v>Dell Inspiron 3891 컴팩트 타워 데스크탑 - Intel Core i5, 16GB DDR4 RAM, 256GB SSD, 1TB SATA HDD, Intel UHD 그래픽 630, 2년 방문 서비스, 6개월 마이그레이션 서비스, Windows 11 Home</v>
      </c>
      <c r="F2885" s="1" t="str">
        <f>IFERROR(__xludf.DUMMYFUNCTION("CONCATENATE(GOOGLETRANSLATE(C2885, ""en"", ""ja""))"),"Dell Inspiron 3891 コンパクト タワー デスクトップ - Intel Core i5、16GB DDR4 RAM、256GB SSD、1TB SATA HDD、Intel UHD Graphics 630、2 年間のオンサイト、6 か月の移行サービス、Windows 11 Home")</f>
        <v>Dell Inspiron 3891 コンパクト タワー デスクトップ - Intel Core i5、16GB DDR4 RAM、256GB SSD、1TB SATA HDD、Intel UHD Graphics 630、2 年間のオンサイト、6 か月の移行サービス、Windows 11 Home</v>
      </c>
    </row>
    <row r="2886" ht="15.75" customHeight="1">
      <c r="A2886" s="1">
        <v>3658.0</v>
      </c>
      <c r="B2886" s="1" t="s">
        <v>15</v>
      </c>
      <c r="C2886" s="1" t="s">
        <v>2674</v>
      </c>
      <c r="D2886" s="1" t="str">
        <f>IFERROR(__xludf.DUMMYFUNCTION("CONCATENATE(GOOGLETRANSLATE(C2886, ""en"", ""zh-cn""))"),"2020 Apple iPad Pro 第二代（11 英寸，Wi-Fi，128GB）银色（续订）")</f>
        <v>2020 Apple iPad Pro 第二代（11 英寸，Wi-Fi，128GB）银色（续订）</v>
      </c>
      <c r="E2886" s="1" t="str">
        <f>IFERROR(__xludf.DUMMYFUNCTION("CONCATENATE(GOOGLETRANSLATE(C2886, ""en"", ""ko""))"),"2020 애플 아이패드 프로 2세대(11인치, Wi-Fi, 128GB) 실버(리뉴얼)")</f>
        <v>2020 애플 아이패드 프로 2세대(11인치, Wi-Fi, 128GB) 실버(리뉴얼)</v>
      </c>
      <c r="F2886" s="1" t="str">
        <f>IFERROR(__xludf.DUMMYFUNCTION("CONCATENATE(GOOGLETRANSLATE(C2886, ""en"", ""ja""))"),"2020 Apple iPad Pro 第 2 世代 (11 インチ、Wi-Fi、128GB) シルバー (新品)")</f>
        <v>2020 Apple iPad Pro 第 2 世代 (11 インチ、Wi-Fi、128GB) シルバー (新品)</v>
      </c>
    </row>
    <row r="2887" ht="15.75" customHeight="1">
      <c r="A2887" s="1">
        <v>3659.0</v>
      </c>
      <c r="B2887" s="1" t="s">
        <v>15</v>
      </c>
      <c r="C2887" s="1" t="s">
        <v>2675</v>
      </c>
      <c r="D2887" s="1" t="str">
        <f>IFERROR(__xludf.DUMMYFUNCTION("CONCATENATE(GOOGLETRANSLATE(C2887, ""en"", ""zh-cn""))"),"Microsoft Surface Laptop Go 2 - 12.4 触摸屏 - Intel Core i5 8GB 内存 - 128 SSD - 白金（最新型号）")</f>
        <v>Microsoft Surface Laptop Go 2 - 12.4 触摸屏 - Intel Core i5 8GB 内存 - 128 SSD - 白金（最新型号）</v>
      </c>
      <c r="E2887" s="1" t="str">
        <f>IFERROR(__xludf.DUMMYFUNCTION("CONCATENATE(GOOGLETRANSLATE(C2887, ""en"", ""ko""))"),"마이크로소프트 서피스 노트북 Go 2 - 12.4 터치스크린 - 인텔 코어 i5 8GB 메모리 - 128 SSD - 플래티넘(최신 모델)")</f>
        <v>마이크로소프트 서피스 노트북 Go 2 - 12.4 터치스크린 - 인텔 코어 i5 8GB 메모리 - 128 SSD - 플래티넘(최신 모델)</v>
      </c>
      <c r="F2887" s="1" t="str">
        <f>IFERROR(__xludf.DUMMYFUNCTION("CONCATENATE(GOOGLETRANSLATE(C2887, ""en"", ""ja""))"),"Microsoft Surface Laptop Go 2 - 12.4 タッチスクリーン - Intel Core i5 8GB メモリ - 128 SSD - プラチナ (最新モデル)")</f>
        <v>Microsoft Surface Laptop Go 2 - 12.4 タッチスクリーン - Intel Core i5 8GB メモリ - 128 SSD - プラチナ (最新モデル)</v>
      </c>
    </row>
    <row r="2888" ht="15.75" customHeight="1">
      <c r="A2888" s="1">
        <v>3680.0</v>
      </c>
      <c r="B2888" s="1" t="s">
        <v>15</v>
      </c>
      <c r="C2888" s="1" t="s">
        <v>2676</v>
      </c>
      <c r="D2888" s="1" t="str">
        <f>IFERROR(__xludf.DUMMYFUNCTION("CONCATENATE(GOOGLETRANSLATE(C2888, ""en"", ""zh-cn""))"),"戴尔 Inspiron 灵越 13 5000 5310 高端笔记本电脑 I 13.3 英寸全高清+（300 尼特） I 第 11 代英特尔 4 核 i5-11320H I 16GB DDR4 512GB SSD I 英特尔 Iris Xe 显卡 I Thunderbolt HDMI 背光 WiFi6 Win10 银色")</f>
        <v>戴尔 Inspiron 灵越 13 5000 5310 高端笔记本电脑 I 13.3 英寸全高清+（300 尼特） I 第 11 代英特尔 4 核 i5-11320H I 16GB DDR4 512GB SSD I 英特尔 Iris Xe 显卡 I Thunderbolt HDMI 背光 WiFi6 Win10 银色</v>
      </c>
      <c r="E2888" s="1" t="str">
        <f>IFERROR(__xludf.DUMMYFUNCTION("CONCATENATE(GOOGLETRANSLATE(C2888, ""en"", ""ko""))"),"Dell Inspiron 13 5000 5310 프리미엄 노트북 I 13.3인치 풀 HD+(300Nits) I 11세대 Intel 4코어 i5-11320H I 16GB DDR4 512GB SSD I Intel Iris Xe 그래픽 I Thunderbolt HDMI 백라이트 WiFi6 Win10 실버")</f>
        <v>Dell Inspiron 13 5000 5310 프리미엄 노트북 I 13.3인치 풀 HD+(300Nits) I 11세대 Intel 4코어 i5-11320H I 16GB DDR4 512GB SSD I Intel Iris Xe 그래픽 I Thunderbolt HDMI 백라이트 WiFi6 Win10 실버</v>
      </c>
      <c r="F2888" s="1" t="str">
        <f>IFERROR(__xludf.DUMMYFUNCTION("CONCATENATE(GOOGLETRANSLATE(C2888, ""en"", ""ja""))"),"Dell Inspiron 13 5000 5310 プレミアム ノートパソコン I 13.3 インチ フル HD+ (300 ニット) I 第 11 世代 Intel 4 コア i5-11320H I 16GB DDR4 512GB SSD I Intel Iris Xe グラフィックス I Thunderbolt HDMI バックライト付き WiFi6 Win10 シルバー")</f>
        <v>Dell Inspiron 13 5000 5310 プレミアム ノートパソコン I 13.3 インチ フル HD+ (300 ニット) I 第 11 世代 Intel 4 コア i5-11320H I 16GB DDR4 512GB SSD I Intel Iris Xe グラフィックス I Thunderbolt HDMI バックライト付き WiFi6 Win10 シルバー</v>
      </c>
    </row>
    <row r="2889" ht="15.75" customHeight="1">
      <c r="A2889" s="1">
        <v>3682.0</v>
      </c>
      <c r="B2889" s="1" t="s">
        <v>15</v>
      </c>
      <c r="C2889" s="1" t="s">
        <v>2677</v>
      </c>
      <c r="D2889" s="1" t="str">
        <f>IFERROR(__xludf.DUMMYFUNCTION("CONCATENATE(GOOGLETRANSLATE(C2889, ""en"", ""zh-cn""))"),"069H 069 墨粉盒 4 件装兼容替换件适用于佳能 069H 墨粉盒适用于佳能 imageCLASS MF753Cdw MF751Cdw LBP674Cdw 系列打印机墨水")</f>
        <v>069H 069 墨粉盒 4 件装兼容替换件适用于佳能 069H 墨粉盒适用于佳能 imageCLASS MF753Cdw MF751Cdw LBP674Cdw 系列打印机墨水</v>
      </c>
      <c r="E2889" s="1" t="str">
        <f>IFERROR(__xludf.DUMMYFUNCTION("CONCATENATE(GOOGLETRANSLATE(C2889, ""en"", ""ko""))"),"069H 069 토너 카트리지 Canon imageCLASS MF753Cdw MF751Cdw LBP674Cdw 시리즈 프린터 잉크 용 Canon 069H 토너 카트리지 용 4 팩 호환 교체품")</f>
        <v>069H 069 토너 카트리지 Canon imageCLASS MF753Cdw MF751Cdw LBP674Cdw 시리즈 프린터 잉크 용 Canon 069H 토너 카트리지 용 4 팩 호환 교체품</v>
      </c>
      <c r="F2889" s="1" t="str">
        <f>IFERROR(__xludf.DUMMYFUNCTION("CONCATENATE(GOOGLETRANSLATE(C2889, ""en"", ""ja""))"),"069H 069 トナー カートリッジ 4 パック 互換交換品 Canon 069H トナー カートリッジ Canon imageCLASS MF753Cdw MF751Cdw LBP674Cdw シリーズ プリンター インク用")</f>
        <v>069H 069 トナー カートリッジ 4 パック 互換交換品 Canon 069H トナー カートリッジ Canon imageCLASS MF753Cdw MF751Cdw LBP674Cdw シリーズ プリンター インク用</v>
      </c>
    </row>
    <row r="2890" ht="15.75" customHeight="1">
      <c r="A2890" s="1">
        <v>3699.0</v>
      </c>
      <c r="B2890" s="1" t="s">
        <v>15</v>
      </c>
      <c r="C2890" s="1" t="s">
        <v>2678</v>
      </c>
      <c r="D2890" s="1" t="str">
        <f>IFERROR(__xludf.DUMMYFUNCTION("CONCATENATE(GOOGLETRANSLATE(C2890, ""en"", ""zh-cn""))"),"Xtreme Power Conversion J60-600 600VA/360W 120V 锂离子 UPS")</f>
        <v>Xtreme Power Conversion J60-600 600VA/360W 120V 锂离子 UPS</v>
      </c>
      <c r="E2890" s="1" t="str">
        <f>IFERROR(__xludf.DUMMYFUNCTION("CONCATENATE(GOOGLETRANSLATE(C2890, ""en"", ""ko""))"),"익스트림 전력 변환 J60-600 600VA/360W 120V 리튬 이온 UPS")</f>
        <v>익스트림 전력 변환 J60-600 600VA/360W 120V 리튬 이온 UPS</v>
      </c>
      <c r="F2890" s="1" t="str">
        <f>IFERROR(__xludf.DUMMYFUNCTION("CONCATENATE(GOOGLETRANSLATE(C2890, ""en"", ""ja""))"),"エクストリーム パワー コンバージョン J60-600 600VA/360W 120V リチウム イオン UPS")</f>
        <v>エクストリーム パワー コンバージョン J60-600 600VA/360W 120V リチウム イオン UPS</v>
      </c>
    </row>
    <row r="2891" ht="15.75" customHeight="1">
      <c r="A2891" s="1">
        <v>3701.0</v>
      </c>
      <c r="B2891" s="1" t="s">
        <v>15</v>
      </c>
      <c r="C2891" s="1" t="s">
        <v>2679</v>
      </c>
      <c r="D2891" s="1" t="str">
        <f>IFERROR(__xludf.DUMMYFUNCTION("CONCATENATE(GOOGLETRANSLATE(C2891, ""en"", ""zh-cn""))"),"ScanSnap SV600 顶置式书籍和文档扫描仪")</f>
        <v>ScanSnap SV600 顶置式书籍和文档扫描仪</v>
      </c>
      <c r="E2891" s="1" t="str">
        <f>IFERROR(__xludf.DUMMYFUNCTION("CONCATENATE(GOOGLETRANSLATE(C2891, ""en"", ""ko""))"),"ScanSnap SV600 오버헤드 책 및 문서 스캐너")</f>
        <v>ScanSnap SV600 오버헤드 책 및 문서 스캐너</v>
      </c>
      <c r="F2891" s="1" t="str">
        <f>IFERROR(__xludf.DUMMYFUNCTION("CONCATENATE(GOOGLETRANSLATE(C2891, ""en"", ""ja""))"),"ScanSnap SV600 オーバーヘッド ブックおよびドキュメント スキャナー")</f>
        <v>ScanSnap SV600 オーバーヘッド ブックおよびドキュメント スキャナー</v>
      </c>
    </row>
    <row r="2892" ht="15.75" customHeight="1">
      <c r="A2892" s="1">
        <v>3703.0</v>
      </c>
      <c r="B2892" s="1" t="s">
        <v>15</v>
      </c>
      <c r="C2892" s="1" t="s">
        <v>2680</v>
      </c>
      <c r="D2892" s="1" t="str">
        <f>IFERROR(__xludf.DUMMYFUNCTION("CONCATENATE(GOOGLETRANSLATE(C2892, ""en"", ""zh-cn""))"),"Microsoft Surface Laptop 3 15 Touch 16GB 512GB AMD Ryzen 7 3780U，白金（续订）")</f>
        <v>Microsoft Surface Laptop 3 15 Touch 16GB 512GB AMD Ryzen 7 3780U，白金（续订）</v>
      </c>
      <c r="E2892" s="1" t="str">
        <f>IFERROR(__xludf.DUMMYFUNCTION("CONCATENATE(GOOGLETRANSLATE(C2892, ""en"", ""ko""))"),"마이크로소프트 서피스 노트북 3 15 터치 16GB 512GB AMD 라이젠 7 3780U, 플래티넘(리뉴얼)")</f>
        <v>마이크로소프트 서피스 노트북 3 15 터치 16GB 512GB AMD 라이젠 7 3780U, 플래티넘(리뉴얼)</v>
      </c>
      <c r="F2892" s="1" t="str">
        <f>IFERROR(__xludf.DUMMYFUNCTION("CONCATENATE(GOOGLETRANSLATE(C2892, ""en"", ""ja""))"),"Microsoft Surface Laptop 3 15 Touch 16GB 512GB AMD Ryzen 7 3780U、プラチナ（更新済み）")</f>
        <v>Microsoft Surface Laptop 3 15 Touch 16GB 512GB AMD Ryzen 7 3780U、プラチナ（更新済み）</v>
      </c>
    </row>
    <row r="2893" ht="15.75" customHeight="1">
      <c r="A2893" s="1">
        <v>3714.0</v>
      </c>
      <c r="B2893" s="1" t="s">
        <v>15</v>
      </c>
      <c r="C2893" s="1" t="s">
        <v>2681</v>
      </c>
      <c r="D2893" s="1" t="str">
        <f>IFERROR(__xludf.DUMMYFUNCTION("CONCATENATE(GOOGLETRANSLATE(C2893, ""en"", ""zh-cn""))"),"映科4K机架式HDMI矩阵8x8，4K@30Hz 8进8出矩阵切换器和分配器支持EDID HDCP，弧形背光按钮/IR/RS232/LAN开关")</f>
        <v>映科4K机架式HDMI矩阵8x8，4K@30Hz 8进8出矩阵切换器和分配器支持EDID HDCP，弧形背光按钮/IR/RS232/LAN开关</v>
      </c>
      <c r="E2893" s="1" t="str">
        <f>IFERROR(__xludf.DUMMYFUNCTION("CONCATENATE(GOOGLETRANSLATE(C2893, ""en"", ""ko""))"),"Yinker 4K 랙 마운트 HDMI 매트릭스 8x8, 4K@30Hz 8 in 8 출력 Matirx 스위처 및 분배기는 EDID HDCP, Arcylic 백라이트 버튼/IR/RS232/LAN 스위치를 지원합니다.")</f>
        <v>Yinker 4K 랙 마운트 HDMI 매트릭스 8x8, 4K@30Hz 8 in 8 출력 Matirx 스위처 및 분배기는 EDID HDCP, Arcylic 백라이트 버튼/IR/RS232/LAN 스위치를 지원합니다.</v>
      </c>
      <c r="F2893" s="1" t="str">
        <f>IFERROR(__xludf.DUMMYFUNCTION("CONCATENATE(GOOGLETRANSLATE(C2893, ""en"", ""ja""))"),"yingker 4K ラックマウント HDMI マトリックス 8x8、4K@30Hz 8 イン 8 アウト Matirx スイッチャー &amp; スプリッター EDID HDCP、円環式バックライト ボタン/IR/RS232/LAN スイッチをサポート")</f>
        <v>yingker 4K ラックマウント HDMI マトリックス 8x8、4K@30Hz 8 イン 8 アウト Matirx スイッチャー &amp; スプリッター EDID HDCP、円環式バックライト ボタン/IR/RS232/LAN スイッチをサポート</v>
      </c>
    </row>
    <row r="2894" ht="15.75" customHeight="1">
      <c r="A2894" s="1">
        <v>3715.0</v>
      </c>
      <c r="B2894" s="1" t="s">
        <v>15</v>
      </c>
      <c r="C2894" s="1" t="s">
        <v>2682</v>
      </c>
      <c r="D2894" s="1" t="str">
        <f>IFERROR(__xludf.DUMMYFUNCTION("CONCATENATE(GOOGLETRANSLATE(C2894, ""en"", ""zh-cn""))"),"联想 2022 旗舰 IdeaPad 14 FHD IPS 笔记本电脑，英特尔四核 i5-10210U（高达 4.2 GHz，击败 i7-8665U），8GB RAM，512GB PCIe SSD，UHD 显卡，蓝牙，HDMI，网络摄像头，Windows 11+Marxsol配件")</f>
        <v>联想 2022 旗舰 IdeaPad 14 FHD IPS 笔记本电脑，英特尔四核 i5-10210U（高达 4.2 GHz，击败 i7-8665U），8GB RAM，512GB PCIe SSD，UHD 显卡，蓝牙，HDMI，网络摄像头，Windows 11+Marxsol配件</v>
      </c>
      <c r="E2894" s="1" t="str">
        <f>IFERROR(__xludf.DUMMYFUNCTION("CONCATENATE(GOOGLETRANSLATE(C2894, ""en"", ""ko""))"),"Lenovo 2022 플래그십 IdeaPad 14 FHD IPS 노트북, Intel Quad Core i5-10210U(최대 4.2GHz, Beat i7-8665U), 8GB RAM, 512GB PCIe SSD, UHD 그래픽, Bluetooth, HDMI, 웹캠, Windows 11+Marxsol액세서리")</f>
        <v>Lenovo 2022 플래그십 IdeaPad 14 FHD IPS 노트북, Intel Quad Core i5-10210U(최대 4.2GHz, Beat i7-8665U), 8GB RAM, 512GB PCIe SSD, UHD 그래픽, Bluetooth, HDMI, 웹캠, Windows 11+Marxsol액세서리</v>
      </c>
      <c r="F2894" s="1" t="str">
        <f>IFERROR(__xludf.DUMMYFUNCTION("CONCATENATE(GOOGLETRANSLATE(C2894, ""en"", ""ja""))"),"Lenovo 2022 フラッグシップ IdeaPad 14 FHD IPS ラップトップ、Intel クアッドコア i5-10210U (最大 4.2 GHz、Beat i7-8665U)、8GB RAM、512GB PCIe SSD、UHD グラフィックス、Bluetooth、HDMI、ウェブカメラ、Windows 11+Marxsol アクセサリ")</f>
        <v>Lenovo 2022 フラッグシップ IdeaPad 14 FHD IPS ラップトップ、Intel クアッドコア i5-10210U (最大 4.2 GHz、Beat i7-8665U)、8GB RAM、512GB PCIe SSD、UHD グラフィックス、Bluetooth、HDMI、ウェブカメラ、Windows 11+Marxsol アクセサリ</v>
      </c>
    </row>
    <row r="2895" ht="15.75" customHeight="1">
      <c r="A2895" s="1">
        <v>3730.0</v>
      </c>
      <c r="B2895" s="1" t="s">
        <v>15</v>
      </c>
      <c r="C2895" s="1" t="s">
        <v>2683</v>
      </c>
      <c r="D2895" s="1" t="str">
        <f>IFERROR(__xludf.DUMMYFUNCTION("CONCATENATE(GOOGLETRANSLATE(C2895, ""en"", ""zh-cn""))"),"Acumen Disc 1 至 7 SD 复印机 - 多个安全数字和 MicroSD SDHC SDXC 微型闪存驱动器存储卡复印机和消毒器（符合 DOD）系统 - 每秒 35mb")</f>
        <v>Acumen Disc 1 至 7 SD 复印机 - 多个安全数字和 MicroSD SDHC SDXC 微型闪存驱动器存储卡复印机和消毒器（符合 DOD）系统 - 每秒 35mb</v>
      </c>
      <c r="E2895" s="1" t="str">
        <f>IFERROR(__xludf.DUMMYFUNCTION("CONCATENATE(GOOGLETRANSLATE(C2895, ""en"", ""ko""))"),"Acumen 디스크 1~7 SD 복사기 - 다중 보안 디지털 및 MicroSD SDHC SDXC 마이크로 플래시 드라이브 메모리 카드 복사기 및 소독기(DOD 준수) 시스템 - 초당 35mb")</f>
        <v>Acumen 디스크 1~7 SD 복사기 - 다중 보안 디지털 및 MicroSD SDHC SDXC 마이크로 플래시 드라이브 메모리 카드 복사기 및 소독기(DOD 준수) 시스템 - 초당 35mb</v>
      </c>
      <c r="F2895" s="1" t="str">
        <f>IFERROR(__xludf.DUMMYFUNCTION("CONCATENATE(GOOGLETRANSLATE(C2895, ""en"", ""ja""))"),"Acumen ディスク 1 ～ 7 SD デュプリケーター - マルチ セキュア デジタル &amp; MicroSD SDHC SDXC マイクロ フラッシュ ドライブ メモリ カード コピー機 &amp; サニタイザー (国防総省準拠) システム - 35MB/秒")</f>
        <v>Acumen ディスク 1 ～ 7 SD デュプリケーター - マルチ セキュア デジタル &amp; MicroSD SDHC SDXC マイクロ フラッシュ ドライブ メモリ カード コピー機 &amp; サニタイザー (国防総省準拠) システム - 35MB/秒</v>
      </c>
    </row>
    <row r="2896" ht="15.75" customHeight="1">
      <c r="A2896" s="1">
        <v>3738.0</v>
      </c>
      <c r="B2896" s="1" t="s">
        <v>15</v>
      </c>
      <c r="C2896" s="1" t="s">
        <v>2684</v>
      </c>
      <c r="D2896" s="1" t="str">
        <f>IFERROR(__xludf.DUMMYFUNCTION("CONCATENATE(GOOGLETRANSLATE(C2896, ""en"", ""zh-cn""))"),"Uniden BCD536HP HomePatrol 系列扫描仪，带 Wi-Fi、TrunkTracker V、背光键盘和 LCD、仅控制通道扫描、S.A.M.E.天气警报，美国/加拿大广播数据库")</f>
        <v>Uniden BCD536HP HomePatrol 系列扫描仪，带 Wi-Fi、TrunkTracker V、背光键盘和 LCD、仅控制通道扫描、S.A.M.E.天气警报，美国/加拿大广播数据库</v>
      </c>
      <c r="E2896" s="1" t="str">
        <f>IFERROR(__xludf.DUMMYFUNCTION("CONCATENATE(GOOGLETRANSLATE(C2896, ""en"", ""ko""))"),"Uniden BCD536HP HomePatrol 시리즈 스캐너, Wi-Fi, TrunkTracker V, 백라이트 키패드 및 LCD, 제어 채널 전용 스캔, S.A.M.E. 날씨 경보, 미국/캐나다 라디오 데이터베이스")</f>
        <v>Uniden BCD536HP HomePatrol 시리즈 스캐너, Wi-Fi, TrunkTracker V, 백라이트 키패드 및 LCD, 제어 채널 전용 스캔, S.A.M.E. 날씨 경보, 미국/캐나다 라디오 데이터베이스</v>
      </c>
      <c r="F2896" s="1" t="str">
        <f>IFERROR(__xludf.DUMMYFUNCTION("CONCATENATE(GOOGLETRANSLATE(C2896, ""en"", ""ja""))"),"Uniden BCD536HP HomePatrol シリーズ スキャナ、Wi-Fi、TrunkTracker V、バックライト付きキーパッドと LCD、制御チャネルのみスキャン、S.A.M.E.気象警報、米国/カナダラジオデータベース")</f>
        <v>Uniden BCD536HP HomePatrol シリーズ スキャナ、Wi-Fi、TrunkTracker V、バックライト付きキーパッドと LCD、制御チャネルのみスキャン、S.A.M.E.気象警報、米国/カナダラジオデータベース</v>
      </c>
    </row>
    <row r="2897" ht="15.75" customHeight="1">
      <c r="A2897" s="1">
        <v>3749.0</v>
      </c>
      <c r="B2897" s="1" t="s">
        <v>15</v>
      </c>
      <c r="C2897" s="1" t="s">
        <v>2685</v>
      </c>
      <c r="D2897" s="1" t="str">
        <f>IFERROR(__xludf.DUMMYFUNCTION("CONCATENATE(GOOGLETRANSLATE(C2897, ""en"", ""zh-cn""))"),"Microsoft Surface Pro X， 13 PixelSense 触摸屏显示器， SQ1， 8GB 内存， 256GB 固态硬盘， Qualcomm Adreno 685 GPU， Windows 10 Pro， E8A-00001， 白金（续订）")</f>
        <v>Microsoft Surface Pro X， 13 PixelSense 触摸屏显示器， SQ1， 8GB 内存， 256GB 固态硬盘， Qualcomm Adreno 685 GPU， Windows 10 Pro， E8A-00001， 白金（续订）</v>
      </c>
      <c r="E2897" s="1" t="str">
        <f>IFERROR(__xludf.DUMMYFUNCTION("CONCATENATE(GOOGLETRANSLATE(C2897, ""en"", ""ko""))"),"Microsoft Surface Pro X, 13 PixelSense 터치스크린 디스플레이, SQ1, 8GB 메모리, 256GB 솔리드 스테이트 드라이브, Qualcomm Adreno 685 GPU, Windows 10 Pro, E8A-00001, 플래티넘(갱신)")</f>
        <v>Microsoft Surface Pro X, 13 PixelSense 터치스크린 디스플레이, SQ1, 8GB 메모리, 256GB 솔리드 스테이트 드라이브, Qualcomm Adreno 685 GPU, Windows 10 Pro, E8A-00001, 플래티넘(갱신)</v>
      </c>
      <c r="F2897" s="1" t="str">
        <f>IFERROR(__xludf.DUMMYFUNCTION("CONCATENATE(GOOGLETRANSLATE(C2897, ""en"", ""ja""))"),"Microsoft Surface Pro X、13 PixelSense タッチスクリーン ディスプレイ、SQ1、8GB メモリ、256GB ソリッド ステート ドライブ、Qualcomm Adreno 685 GPU、Windows 10 Pro、E8A-00001、プラチナ (更新済み)")</f>
        <v>Microsoft Surface Pro X、13 PixelSense タッチスクリーン ディスプレイ、SQ1、8GB メモリ、256GB ソリッド ステート ドライブ、Qualcomm Adreno 685 GPU、Windows 10 Pro、E8A-00001、プラチナ (更新済み)</v>
      </c>
    </row>
    <row r="2898" ht="15.75" customHeight="1">
      <c r="A2898" s="1">
        <v>3758.0</v>
      </c>
      <c r="B2898" s="1" t="s">
        <v>15</v>
      </c>
      <c r="C2898" s="1" t="s">
        <v>2686</v>
      </c>
      <c r="D2898" s="1" t="str">
        <f>IFERROR(__xludf.DUMMYFUNCTION("CONCATENATE(GOOGLETRANSLATE(C2898, ""en"", ""zh-cn""))"),"带内置网络摄像头的新型号 hp School connect HP 22-c0063w AIO 22"" 全高清 Celeron G4900T 2.9GHz 8GB RAM 选择 500 GB SSD/240GB/ 1TB HDD Win 11 惠普原装盒装/1 年保修（带新键盘）")</f>
        <v>带内置网络摄像头的新型号 hp School connect HP 22-c0063w AIO 22" 全高清 Celeron G4900T 2.9GHz 8GB RAM 选择 500 GB SSD/240GB/ 1TB HDD Win 11 惠普原装盒装/1 年保修（带新键盘）</v>
      </c>
      <c r="E2898" s="1" t="str">
        <f>IFERROR(__xludf.DUMMYFUNCTION("CONCATENATE(GOOGLETRANSLATE(C2898, ""en"", ""ko""))"),"웹캠이 내장된 새 모델 hp School connect HP 22-c0063w AIO 22"" FullHD Celeron G4900T 2.9GHz 8GB RAM HP 정품 박스에 500GB SSD/240GB/ 1TB HDD Win 11 선택/ 새 키보드 포함 1년 보증")</f>
        <v>웹캠이 내장된 새 모델 hp School connect HP 22-c0063w AIO 22" FullHD Celeron G4900T 2.9GHz 8GB RAM HP 정품 박스에 500GB SSD/240GB/ 1TB HDD Win 11 선택/ 새 키보드 포함 1년 보증</v>
      </c>
      <c r="F2898" s="1" t="str">
        <f>IFERROR(__xludf.DUMMYFUNCTION("CONCATENATE(GOOGLETRANSLATE(C2898, ""en"", ""ja""))"),"内蔵 Web カメラ付き新モデル hp School connect HP 22-c0063w AIO 22 インチ FullHD Celeron G4900T 2.9GHz 8GB RAM 500 GB SSD/240GB/ 1TB HDD から選択 Win 11 in HP オリジナルボックス/ 1 年保証、新しいキーボード付き")</f>
        <v>内蔵 Web カメラ付き新モデル hp School connect HP 22-c0063w AIO 22 インチ FullHD Celeron G4900T 2.9GHz 8GB RAM 500 GB SSD/240GB/ 1TB HDD から選択 Win 11 in HP オリジナルボックス/ 1 年保証、新しいキーボード付き</v>
      </c>
    </row>
    <row r="2899" ht="15.75" customHeight="1">
      <c r="A2899" s="1">
        <v>3763.0</v>
      </c>
      <c r="B2899" s="1" t="s">
        <v>15</v>
      </c>
      <c r="C2899" s="1" t="s">
        <v>2687</v>
      </c>
      <c r="D2899" s="1" t="str">
        <f>IFERROR(__xludf.DUMMYFUNCTION("CONCATENATE(GOOGLETRANSLATE(C2899, ""en"", ""zh-cn""))"),"HP Pavilion 笔记本电脑（2022 款）， 15.6 英寸高清显示屏， Intel Celeron 四核处理器， 16GB DDR4 RAM， 1TB SSD， 在线会议， 网络摄像头， HDMI， 蓝牙， WiFi， Windows 11， 猩红色")</f>
        <v>HP Pavilion 笔记本电脑（2022 款）， 15.6 英寸高清显示屏， Intel Celeron 四核处理器， 16GB DDR4 RAM， 1TB SSD， 在线会议， 网络摄像头， HDMI， 蓝牙， WiFi， Windows 11， 猩红色</v>
      </c>
      <c r="E2899" s="1" t="str">
        <f>IFERROR(__xludf.DUMMYFUNCTION("CONCATENATE(GOOGLETRANSLATE(C2899, ""en"", ""ko""))"),"HP Pavilion 노트북(2022 모델), 15.6인치 HD 디스플레이, Intel Celeron 쿼드 코어 프로세서, 16GB DDR4 RAM, 1TB SSD, 온라인 회의, 웹캠, HDMI, Bluetooth, WiFi, Windows 11, Scarlet Red")</f>
        <v>HP Pavilion 노트북(2022 모델), 15.6인치 HD 디스플레이, Intel Celeron 쿼드 코어 프로세서, 16GB DDR4 RAM, 1TB SSD, 온라인 회의, 웹캠, HDMI, Bluetooth, WiFi, Windows 11, Scarlet Red</v>
      </c>
      <c r="F2899" s="1" t="str">
        <f>IFERROR(__xludf.DUMMYFUNCTION("CONCATENATE(GOOGLETRANSLATE(C2899, ""en"", ""ja""))"),"HP Pavilion ラップトップ (2022 モデル)、15.6 インチ HD ディスプレイ、Intel Celeron クアッドコア プロセッサー、16GB DDR4 RAM、1TB SSD、オンライン会議、ウェブカメラ、HDMI、Bluetooth、WiFi、Windows 11、スカーレット レッド")</f>
        <v>HP Pavilion ラップトップ (2022 モデル)、15.6 インチ HD ディスプレイ、Intel Celeron クアッドコア プロセッサー、16GB DDR4 RAM、1TB SSD、オンライン会議、ウェブカメラ、HDMI、Bluetooth、WiFi、Windows 11、スカーレット レッド</v>
      </c>
    </row>
    <row r="2900" ht="15.75" customHeight="1">
      <c r="A2900" s="1">
        <v>3777.0</v>
      </c>
      <c r="B2900" s="1" t="s">
        <v>15</v>
      </c>
      <c r="C2900" s="1" t="s">
        <v>2688</v>
      </c>
      <c r="D2900" s="1" t="str">
        <f>IFERROR(__xludf.DUMMYFUNCTION("CONCATENATE(GOOGLETRANSLATE(C2900, ""en"", ""zh-cn""))"),"联想 ThinkCentre M910q 微型台式机英特尔酷睿 i7-7700T 2.90GHz 8-32GB DDR4 256/512GB NVMe SSD WiFi HDMI Win10Pro 二手-乐图科技")</f>
        <v>联想 ThinkCentre M910q 微型台式机英特尔酷睿 i7-7700T 2.90GHz 8-32GB DDR4 256/512GB NVMe SSD WiFi HDMI Win10Pro 二手-乐图科技</v>
      </c>
      <c r="E2900" s="1" t="str">
        <f>IFERROR(__xludf.DUMMYFUNCTION("CONCATENATE(GOOGLETRANSLATE(C2900, ""en"", ""ko""))"),"LENOVO ThinkCentre M910q 초소형 데스크탑 인텔 코어 i7-7700T 2.90GHz 8-32GB DDR4 256/512GB NVMe SSD WiFi HDMI Win10Pro 중고- LeInfotech")</f>
        <v>LENOVO ThinkCentre M910q 초소형 데스크탑 인텔 코어 i7-7700T 2.90GHz 8-32GB DDR4 256/512GB NVMe SSD WiFi HDMI Win10Pro 중고- LeInfotech</v>
      </c>
      <c r="F2900" s="1" t="str">
        <f>IFERROR(__xludf.DUMMYFUNCTION("CONCATENATE(GOOGLETRANSLATE(C2900, ""en"", ""ja""))"),"LENOVO ThinkCentre M910q Tiny デスクトップ Intel Core i7-7700T 2.90GHz 8-32GB DDR4 256/512GB NVMe SSD WiFi HDMI Win10Pro 中古 - LeInfotech")</f>
        <v>LENOVO ThinkCentre M910q Tiny デスクトップ Intel Core i7-7700T 2.90GHz 8-32GB DDR4 256/512GB NVMe SSD WiFi HDMI Win10Pro 中古 - LeInfotech</v>
      </c>
    </row>
    <row r="2901" ht="15.75" customHeight="1">
      <c r="A2901" s="1">
        <v>3781.0</v>
      </c>
      <c r="B2901" s="1" t="s">
        <v>15</v>
      </c>
      <c r="C2901" s="1" t="s">
        <v>2689</v>
      </c>
      <c r="D2901" s="1" t="str">
        <f>IFERROR(__xludf.DUMMYFUNCTION("CONCATENATE(GOOGLETRANSLATE(C2901, ""en"", ""zh-cn""))"),"212A 碳粉盒 4 件装兼容替换件适用于 HP 212A 212X W2120A W2120X 适用于 HP Color Enterprise M555dn M554dn M555x MFP M578f M578dn Flow MFP M578c M578z 打印机（黑色、青色、黄色、洋红色）")</f>
        <v>212A 碳粉盒 4 件装兼容替换件适用于 HP 212A 212X W2120A W2120X 适用于 HP Color Enterprise M555dn M554dn M555x MFP M578f M578dn Flow MFP M578c M578z 打印机（黑色、青色、黄色、洋红色）</v>
      </c>
      <c r="E2901" s="1" t="str">
        <f>IFERROR(__xludf.DUMMYFUNCTION("CONCATENATE(GOOGLETRANSLATE(C2901, ""en"", ""ko""))"),"212A 토너 카트리지 4 팩 호환 교체 HP 212A 212X W2120A W2120X HP Color Enterprise M555dn M554dn M555x MFP M578f M578dn Flow MFP M578c M578z 프린터(검은색 청록색 노란색 마젠타색)")</f>
        <v>212A 토너 카트리지 4 팩 호환 교체 HP 212A 212X W2120A W2120X HP Color Enterprise M555dn M554dn M555x MFP M578f M578dn Flow MFP M578c M578z 프린터(검은색 청록색 노란색 마젠타색)</v>
      </c>
      <c r="F2901" s="1" t="str">
        <f>IFERROR(__xludf.DUMMYFUNCTION("CONCATENATE(GOOGLETRANSLATE(C2901, ""en"", ""ja""))"),"212A トナー カートリッジ 4 パック 互換交換用 HP 212A 212X W2120A W2120X HP Color Enterprise M555dn M554dn M555x MFP M578f M578dn Flow MFP M578c M578z プリンター用 (ブラック シアン イエロー マゼンタ)")</f>
        <v>212A トナー カートリッジ 4 パック 互換交換用 HP 212A 212X W2120A W2120X HP Color Enterprise M555dn M554dn M555x MFP M578f M578dn Flow MFP M578c M578z プリンター用 (ブラック シアン イエロー マゼンタ)</v>
      </c>
    </row>
    <row r="2902" ht="15.75" customHeight="1">
      <c r="A2902" s="1">
        <v>3784.0</v>
      </c>
      <c r="B2902" s="1" t="s">
        <v>15</v>
      </c>
      <c r="C2902" s="1" t="s">
        <v>2690</v>
      </c>
      <c r="D2902" s="1" t="str">
        <f>IFERROR(__xludf.DUMMYFUNCTION("CONCATENATE(GOOGLETRANSLATE(C2902, ""en"", ""zh-cn""))"),"APC UPS 1500VA 电池后备浪涌保护器， BR1500G 后备电池电源，带 AVR 和 UPS 1000VA UPS 电池后备和浪涌保护器， BX1000M 后备电池电源")</f>
        <v>APC UPS 1500VA 电池后备浪涌保护器， BR1500G 后备电池电源，带 AVR 和 UPS 1000VA UPS 电池后备和浪涌保护器， BX1000M 后备电池电源</v>
      </c>
      <c r="E2902" s="1" t="str">
        <f>IFERROR(__xludf.DUMMYFUNCTION("CONCATENATE(GOOGLETRANSLATE(C2902, ""en"", ""ko""))"),"APC UPS 1500VA 배터리 백업 서지 보호기, BR1500G 백업 배터리 전원 공급 장치(AVR 및 UPS 포함) 1000VA UPS 배터리 백업 및 서지 보호기, BX1000M 백업 배터리 전원 공급 장치")</f>
        <v>APC UPS 1500VA 배터리 백업 서지 보호기, BR1500G 백업 배터리 전원 공급 장치(AVR 및 UPS 포함) 1000VA UPS 배터리 백업 및 서지 보호기, BX1000M 백업 배터리 전원 공급 장치</v>
      </c>
      <c r="F2902" s="1" t="str">
        <f>IFERROR(__xludf.DUMMYFUNCTION("CONCATENATE(GOOGLETRANSLATE(C2902, ""en"", ""ja""))"),"APC UPS 1500VA バッテリー バックアップ サージ プロテクター、AVR および UPS 付き BR1500G バックアップ バッテリー電源 1000VA UPS バッテリー バックアップおよびサージ プロテクター、BX1000M バックアップ バッテリー電源")</f>
        <v>APC UPS 1500VA バッテリー バックアップ サージ プロテクター、AVR および UPS 付き BR1500G バックアップ バッテリー電源 1000VA UPS バッテリー バックアップおよびサージ プロテクター、BX1000M バックアップ バッテリー電源</v>
      </c>
    </row>
    <row r="2903" ht="15.75" customHeight="1">
      <c r="A2903" s="1">
        <v>3787.0</v>
      </c>
      <c r="B2903" s="1" t="s">
        <v>15</v>
      </c>
      <c r="C2903" s="1" t="s">
        <v>2691</v>
      </c>
      <c r="D2903" s="1" t="str">
        <f>IFERROR(__xludf.DUMMYFUNCTION("CONCATENATE(GOOGLETRANSLATE(C2903, ""en"", ""zh-cn""))"),"OKD 酒吧柜，中世纪现代厨房厨柜储物柜，带酒杯架、储物架和抽屉，家庭厨房、餐厅自助餐餐边柜，樱桃")</f>
        <v>OKD 酒吧柜，中世纪现代厨房厨柜储物柜，带酒杯架、储物架和抽屉，家庭厨房、餐厅自助餐餐边柜，樱桃</v>
      </c>
      <c r="E2903" s="1" t="str">
        <f>IFERROR(__xludf.DUMMYFUNCTION("CONCATENATE(GOOGLETRANSLATE(C2903, ""en"", ""ko""))"),"OKD 바 캐비닛, 와인 및 유리 랙이 포함된 중세 현대식 주방 허치 보관 캐비닛, 보관 선반 및 서랍, 가정용 주방용 뷔페 찬장 캐비닛, 식당, 체리")</f>
        <v>OKD 바 캐비닛, 와인 및 유리 랙이 포함된 중세 현대식 주방 허치 보관 캐비닛, 보관 선반 및 서랍, 가정용 주방용 뷔페 찬장 캐비닛, 식당, 체리</v>
      </c>
      <c r="F2903" s="1" t="str">
        <f>IFERROR(__xludf.DUMMYFUNCTION("CONCATENATE(GOOGLETRANSLATE(C2903, ""en"", ""ja""))"),"OKD バーキャビネット、ミッドセンチュリーモダンキッチンハッチ収納キャビネット、ワインとグラスラック、収納棚、引き出し付き、ビュッフェサイドボードキャビネット、ホームキッチン、ダイニングルーム、チェリー")</f>
        <v>OKD バーキャビネット、ミッドセンチュリーモダンキッチンハッチ収納キャビネット、ワインとグラスラック、収納棚、引き出し付き、ビュッフェサイドボードキャビネット、ホームキッチン、ダイニングルーム、チェリー</v>
      </c>
    </row>
    <row r="2904" ht="15.75" customHeight="1">
      <c r="A2904" s="1">
        <v>3795.0</v>
      </c>
      <c r="B2904" s="1" t="s">
        <v>15</v>
      </c>
      <c r="C2904" s="1" t="s">
        <v>2692</v>
      </c>
      <c r="D2904" s="1" t="str">
        <f>IFERROR(__xludf.DUMMYFUNCTION("CONCATENATE(GOOGLETRANSLATE(C2904, ""en"", ""zh-cn""))"),"联想 15.6 IdeaPad 1 笔记本电脑，AMD 双核处理器，15.6 高清防眩光显示屏，Wi-Fi 6 和蓝牙 5.0，HDMI，Windows 11 Home S 模式（20GB RAM | 1TB SSD）")</f>
        <v>联想 15.6 IdeaPad 1 笔记本电脑，AMD 双核处理器，15.6 高清防眩光显示屏，Wi-Fi 6 和蓝牙 5.0，HDMI，Windows 11 Home S 模式（20GB RAM | 1TB SSD）</v>
      </c>
      <c r="E2904" s="1" t="str">
        <f>IFERROR(__xludf.DUMMYFUNCTION("CONCATENATE(GOOGLETRANSLATE(C2904, ""en"", ""ko""))"),"Lenovo 15.6 IdeaPad 1 노트북, AMD 듀얼 코어 프로세서, 15.6 HD 눈부심 방지 디스플레이, Wi-Fi 6 및 Bluetooth 5.0, HDMI, Windows 11 Home S 모드(20GB RAM | 1TB SSD)")</f>
        <v>Lenovo 15.6 IdeaPad 1 노트북, AMD 듀얼 코어 프로세서, 15.6 HD 눈부심 방지 디스플레이, Wi-Fi 6 및 Bluetooth 5.0, HDMI, Windows 11 Home S 모드(20GB RAM | 1TB SSD)</v>
      </c>
      <c r="F2904" s="1" t="str">
        <f>IFERROR(__xludf.DUMMYFUNCTION("CONCATENATE(GOOGLETRANSLATE(C2904, ""en"", ""ja""))"),"Lenovo 15.6 IdeaPad 1 ラップトップ、AMD デュアルコア プロセッサー、15.6 HD アンチグレア ディスプレイ、Wi-Fi 6 および Bluetooth 5.0、HDMI、S モードの Windows 11 Home(20GB RAM | 1TB SSD)")</f>
        <v>Lenovo 15.6 IdeaPad 1 ラップトップ、AMD デュアルコア プロセッサー、15.6 HD アンチグレア ディスプレイ、Wi-Fi 6 および Bluetooth 5.0、HDMI、S モードの Windows 11 Home(20GB RAM | 1TB SSD)</v>
      </c>
    </row>
    <row r="2905" ht="15.75" customHeight="1">
      <c r="A2905" s="1">
        <v>3801.0</v>
      </c>
      <c r="B2905" s="1" t="s">
        <v>15</v>
      </c>
      <c r="C2905" s="1" t="s">
        <v>2693</v>
      </c>
      <c r="D2905" s="1" t="str">
        <f>IFERROR(__xludf.DUMMYFUNCTION("CONCATENATE(GOOGLETRANSLATE(C2905, ""en"", ""zh-cn""))"),"MoNiBloom 大型多层鞋柜，带百叶门，竹鞋落地储物整理架，适合 31-35 双入口走廊泥房，棕色")</f>
        <v>MoNiBloom 大型多层鞋柜，带百叶门，竹鞋落地储物整理架，适合 31-35 双入口走廊泥房，棕色</v>
      </c>
      <c r="E2905" s="1" t="str">
        <f>IFERROR(__xludf.DUMMYFUNCTION("CONCATENATE(GOOGLETRANSLATE(C2905, ""en"", ""ko""))"),"MoNiBloom 셔터 도어가 있는 대형 다층 신발 보관 캐비닛, 31-35쌍용 대나무 신발 바닥 보관 정리 랙 입구 복도 머드룸, 브라운")</f>
        <v>MoNiBloom 셔터 도어가 있는 대형 다층 신발 보관 캐비닛, 31-35쌍용 대나무 신발 바닥 보관 정리 랙 입구 복도 머드룸, 브라운</v>
      </c>
      <c r="F2905" s="1" t="str">
        <f>IFERROR(__xludf.DUMMYFUNCTION("CONCATENATE(GOOGLETRANSLATE(C2905, ""en"", ""ja""))"),"MoNiBloom 大型多層靴収納キャビネット シャッタードア付き 竹製靴床収納オーガナイザーラック 31～35足用 玄関 廊下 マッドルーム ブラウン")</f>
        <v>MoNiBloom 大型多層靴収納キャビネット シャッタードア付き 竹製靴床収納オーガナイザーラック 31～35足用 玄関 廊下 マッドルーム ブラウン</v>
      </c>
    </row>
    <row r="2906" ht="15.75" customHeight="1">
      <c r="A2906" s="1">
        <v>3804.0</v>
      </c>
      <c r="B2906" s="1" t="s">
        <v>15</v>
      </c>
      <c r="C2906" s="1" t="s">
        <v>2694</v>
      </c>
      <c r="D2906" s="1" t="str">
        <f>IFERROR(__xludf.DUMMYFUNCTION("CONCATENATE(GOOGLETRANSLATE(C2906, ""en"", ""zh-cn""))"),"HP 2022 15.6 英寸高清 BrightView 笔记本电脑，英特尔奔腾银牌 N5030 处理器，8GB RAM，256GB PCIe SSD，英特尔高清显卡 605，720p 高清网络摄像头，立体声扬声器，银色，Windows 11，32GB USB 卡")</f>
        <v>HP 2022 15.6 英寸高清 BrightView 笔记本电脑，英特尔奔腾银牌 N5030 处理器，8GB RAM，256GB PCIe SSD，英特尔高清显卡 605，720p 高清网络摄像头，立体声扬声器，银色，Windows 11，32GB USB 卡</v>
      </c>
      <c r="E2906" s="1" t="str">
        <f>IFERROR(__xludf.DUMMYFUNCTION("CONCATENATE(GOOGLETRANSLATE(C2906, ""en"", ""ko""))"),"HP 2022 15.6 HD BrightView 노트북, Intel Pentium Silver N5030 프로세서, 8GB RAM, 256GB PCIe SSD, Intel HD 그래픽 605, 720p HD 웹캠, 스테레오 스피커, 실버, Windows 11, 32GB USB 카드")</f>
        <v>HP 2022 15.6 HD BrightView 노트북, Intel Pentium Silver N5030 프로세서, 8GB RAM, 256GB PCIe SSD, Intel HD 그래픽 605, 720p HD 웹캠, 스테레오 스피커, 실버, Windows 11, 32GB USB 카드</v>
      </c>
      <c r="F2906" s="1" t="str">
        <f>IFERROR(__xludf.DUMMYFUNCTION("CONCATENATE(GOOGLETRANSLATE(C2906, ""en"", ""ja""))"),"HP 2022 15.6 HD BrightView ラップトップ、インテル Pentium シルバー N5030 プロセッサー、8GB RAM、256GB PCIe SSD、インテル HD グラフィックス 605、720p HD ウェブカメラ、ステレオ スピーカー、シルバー、Windows 11、32GB USB カード")</f>
        <v>HP 2022 15.6 HD BrightView ラップトップ、インテル Pentium シルバー N5030 プロセッサー、8GB RAM、256GB PCIe SSD、インテル HD グラフィックス 605、720p HD ウェブカメラ、ステレオ スピーカー、シルバー、Windows 11、32GB USB カード</v>
      </c>
    </row>
    <row r="2907" ht="15.75" customHeight="1">
      <c r="A2907" s="1">
        <v>3805.0</v>
      </c>
      <c r="B2907" s="1" t="s">
        <v>15</v>
      </c>
      <c r="C2907" s="1" t="s">
        <v>2695</v>
      </c>
      <c r="D2907" s="1" t="str">
        <f>IFERROR(__xludf.DUMMYFUNCTION("CONCATENATE(GOOGLETRANSLATE(C2907, ""en"", ""zh-cn""))"),"Apple iPad mini 7.9 英寸（2019 年初）256GB，仅 WiFi - 深空灰色（续订）")</f>
        <v>Apple iPad mini 7.9 英寸（2019 年初）256GB，仅 WiFi - 深空灰色（续订）</v>
      </c>
      <c r="E2907" s="1" t="str">
        <f>IFERROR(__xludf.DUMMYFUNCTION("CONCATENATE(GOOGLETRANSLATE(C2907, ""en"", ""ko""))"),"Apple 아이패드 미니 7.9인치(2019년 상반기) 256GB, WiFi 전용 - 스페이스 그레이(리뉴얼)")</f>
        <v>Apple 아이패드 미니 7.9인치(2019년 상반기) 256GB, WiFi 전용 - 스페이스 그레이(리뉴얼)</v>
      </c>
      <c r="F2907" s="1" t="str">
        <f>IFERROR(__xludf.DUMMYFUNCTION("CONCATENATE(GOOGLETRANSLATE(C2907, ""en"", ""ja""))"),"Apple iPad mini 7.9 インチ (Early 2019 ) 256GB、WiFi のみ - スペース グレイ (リニューアル)")</f>
        <v>Apple iPad mini 7.9 インチ (Early 2019 ) 256GB、WiFi のみ - スペース グレイ (リニューアル)</v>
      </c>
    </row>
    <row r="2908" ht="15.75" customHeight="1">
      <c r="A2908" s="1">
        <v>3808.0</v>
      </c>
      <c r="B2908" s="1" t="s">
        <v>15</v>
      </c>
      <c r="C2908" s="1" t="s">
        <v>2696</v>
      </c>
      <c r="D2908" s="1" t="str">
        <f>IFERROR(__xludf.DUMMYFUNCTION("CONCATENATE(GOOGLETRANSLATE(C2908, ""en"", ""zh-cn""))"),"戴尔 Latitude 7490 英特尔酷睿 i7-8650U 16GB DDR4 RAM，512GB SSD 14 FHD Windows 10 Pro 笔记本电脑（续订）")</f>
        <v>戴尔 Latitude 7490 英特尔酷睿 i7-8650U 16GB DDR4 RAM，512GB SSD 14 FHD Windows 10 Pro 笔记本电脑（续订）</v>
      </c>
      <c r="E2908" s="1" t="str">
        <f>IFERROR(__xludf.DUMMYFUNCTION("CONCATENATE(GOOGLETRANSLATE(C2908, ""en"", ""ko""))"),"델 래티튜드 7490 인텔 코어 i7-8650U 16GB DDR4 RAM, 512GB SSD 14 FHD 윈도우 10 프로 노트북(리뉴얼)")</f>
        <v>델 래티튜드 7490 인텔 코어 i7-8650U 16GB DDR4 RAM, 512GB SSD 14 FHD 윈도우 10 프로 노트북(리뉴얼)</v>
      </c>
      <c r="F2908" s="1" t="str">
        <f>IFERROR(__xludf.DUMMYFUNCTION("CONCATENATE(GOOGLETRANSLATE(C2908, ""en"", ""ja""))"),"Dell Latitude 7490 Intel Core i7-8650U 16GB DDR4 RAM、512GB SSD 14 FHD Windows 10 Pro ラップトップ (新品)")</f>
        <v>Dell Latitude 7490 Intel Core i7-8650U 16GB DDR4 RAM、512GB SSD 14 FHD Windows 10 Pro ラップトップ (新品)</v>
      </c>
    </row>
    <row r="2909" ht="15.75" customHeight="1">
      <c r="A2909" s="1">
        <v>3891.0</v>
      </c>
      <c r="B2909" s="1" t="s">
        <v>15</v>
      </c>
      <c r="C2909" s="1" t="s">
        <v>2697</v>
      </c>
      <c r="D2909" s="1" t="str">
        <f>IFERROR(__xludf.DUMMYFUNCTION("CONCATENATE(GOOGLETRANSLATE(C2909, ""en"", ""zh-cn""))"),"Apple iPhone 14 Plus，128GB，（产品）红色 - 已解锁（续订）")</f>
        <v>Apple iPhone 14 Plus，128GB，（产品）红色 - 已解锁（续订）</v>
      </c>
      <c r="E2909" s="1" t="str">
        <f>IFERROR(__xludf.DUMMYFUNCTION("CONCATENATE(GOOGLETRANSLATE(C2909, ""en"", ""ko""))"),"Apple iPhone 14 Plus, 128GB, (제품) 레드 - 공기계 (리뉴얼)")</f>
        <v>Apple iPhone 14 Plus, 128GB, (제품) 레드 - 공기계 (리뉴얼)</v>
      </c>
      <c r="F2909" s="1" t="str">
        <f>IFERROR(__xludf.DUMMYFUNCTION("CONCATENATE(GOOGLETRANSLATE(C2909, ""en"", ""ja""))"),"Apple iPhone 14 Plus、128GB、(製品) レッド - ロック解除済み (更新済み)")</f>
        <v>Apple iPhone 14 Plus、128GB、(製品) レッド - ロック解除済み (更新済み)</v>
      </c>
    </row>
    <row r="2910" ht="15.75" customHeight="1">
      <c r="A2910" s="1">
        <v>3911.0</v>
      </c>
      <c r="B2910" s="1" t="s">
        <v>15</v>
      </c>
      <c r="C2910" s="1" t="s">
        <v>2698</v>
      </c>
      <c r="D2910" s="1" t="str">
        <f>IFERROR(__xludf.DUMMYFUNCTION("CONCATENATE(GOOGLETRANSLATE(C2910, ""en"", ""zh-cn""))"),"Apple iPhone 11 Pro Max，64GB，深空灰色 - 解锁（续订）")</f>
        <v>Apple iPhone 11 Pro Max，64GB，深空灰色 - 解锁（续订）</v>
      </c>
      <c r="E2910" s="1" t="str">
        <f>IFERROR(__xludf.DUMMYFUNCTION("CONCATENATE(GOOGLETRANSLATE(C2910, ""en"", ""ko""))"),"Apple iPhone 11 Pro Max, 64GB, 스페이스 그레이 - 공기계(리뉴얼)")</f>
        <v>Apple iPhone 11 Pro Max, 64GB, 스페이스 그레이 - 공기계(리뉴얼)</v>
      </c>
      <c r="F2910" s="1" t="str">
        <f>IFERROR(__xludf.DUMMYFUNCTION("CONCATENATE(GOOGLETRANSLATE(C2910, ""en"", ""ja""))"),"Apple iPhone 11 Pro Max、64GB、スペースグレイ - ロック解除済み (更新済み)")</f>
        <v>Apple iPhone 11 Pro Max、64GB、スペースグレイ - ロック解除済み (更新済み)</v>
      </c>
    </row>
    <row r="2911" ht="15.75" customHeight="1">
      <c r="A2911" s="1">
        <v>3920.0</v>
      </c>
      <c r="B2911" s="1" t="s">
        <v>15</v>
      </c>
      <c r="C2911" s="1" t="s">
        <v>2699</v>
      </c>
      <c r="D2911" s="1" t="str">
        <f>IFERROR(__xludf.DUMMYFUNCTION("CONCATENATE(GOOGLETRANSLATE(C2911, ""en"", ""zh-cn""))"),"三星 Galaxy S21+ 5G，美版，128GB，幻影黑 - 已解锁（续订）")</f>
        <v>三星 Galaxy S21+ 5G，美版，128GB，幻影黑 - 已解锁（续订）</v>
      </c>
      <c r="E2911" s="1" t="str">
        <f>IFERROR(__xludf.DUMMYFUNCTION("CONCATENATE(GOOGLETRANSLATE(C2911, ""en"", ""ko""))"),"삼성 갤럭시 S21+ 5G, 미국 버전, 128GB, 팬텀 블랙 - 공기계(리뉴얼)")</f>
        <v>삼성 갤럭시 S21+ 5G, 미국 버전, 128GB, 팬텀 블랙 - 공기계(리뉴얼)</v>
      </c>
      <c r="F2911" s="1" t="str">
        <f>IFERROR(__xludf.DUMMYFUNCTION("CONCATENATE(GOOGLETRANSLATE(C2911, ""en"", ""ja""))"),"Samsung Galaxy S21+ 5G、US バージョン、128GB、ファントム ブラック - ロック解除 (更新)")</f>
        <v>Samsung Galaxy S21+ 5G、US バージョン、128GB、ファントム ブラック - ロック解除 (更新)</v>
      </c>
    </row>
    <row r="2912" ht="15.75" customHeight="1">
      <c r="A2912" s="1">
        <v>3928.0</v>
      </c>
      <c r="B2912" s="1" t="s">
        <v>15</v>
      </c>
      <c r="C2912" s="1" t="s">
        <v>2700</v>
      </c>
      <c r="D2912" s="1" t="str">
        <f>IFERROR(__xludf.DUMMYFUNCTION("CONCATENATE(GOOGLETRANSLATE(C2912, ""en"", ""zh-cn""))"),"京瓷 DuraForce Ultra 5G UW E7110 |适用于 Verizon 宽带网络的超坚固 5G 智能手机，黑色（更新版）")</f>
        <v>京瓷 DuraForce Ultra 5G UW E7110 |适用于 Verizon 宽带网络的超坚固 5G 智能手机，黑色（更新版）</v>
      </c>
      <c r="E2912" s="1" t="str">
        <f>IFERROR(__xludf.DUMMYFUNCTION("CONCATENATE(GOOGLETRANSLATE(C2912, ""en"", ""ko""))"),"교세라 DuraForce Ultra 5G UW E7110 | Verizon 광대역 네트워크에서 사용할 수 있는 울트라 러기드 5G 스마트폰(블랙)(리뉴얼)")</f>
        <v>교세라 DuraForce Ultra 5G UW E7110 | Verizon 광대역 네트워크에서 사용할 수 있는 울트라 러기드 5G 스마트폰(블랙)(리뉴얼)</v>
      </c>
      <c r="F2912" s="1" t="str">
        <f>IFERROR(__xludf.DUMMYFUNCTION("CONCATENATE(GOOGLETRANSLATE(C2912, ""en"", ""ja""))"),"京セラ DuraForce Ultra 5G UW E7110 | Verizon ワイドバンド ネットワークで使用するための超堅牢な 5G スマートフォン、ブラック (リニューアル)")</f>
        <v>京セラ DuraForce Ultra 5G UW E7110 | Verizon ワイドバンド ネットワークで使用するための超堅牢な 5G スマートフォン、ブラック (リニューアル)</v>
      </c>
    </row>
    <row r="2913" ht="15.75" customHeight="1">
      <c r="A2913" s="1">
        <v>3930.0</v>
      </c>
      <c r="B2913" s="1" t="s">
        <v>15</v>
      </c>
      <c r="C2913" s="1" t="s">
        <v>2701</v>
      </c>
      <c r="D2913" s="1" t="str">
        <f>IFERROR(__xludf.DUMMYFUNCTION("CONCATENATE(GOOGLETRANSLATE(C2913, ""en"", ""zh-cn""))"),"Apple iPhone XR，64GB，黑色，适用于 T-Mobile（续订）")</f>
        <v>Apple iPhone XR，64GB，黑色，适用于 T-Mobile（续订）</v>
      </c>
      <c r="E2913" s="1" t="str">
        <f>IFERROR(__xludf.DUMMYFUNCTION("CONCATENATE(GOOGLETRANSLATE(C2913, ""en"", ""ko""))"),"Apple iPhone XR, 64GB, T-Mobile용 블랙(리뉴얼)")</f>
        <v>Apple iPhone XR, 64GB, T-Mobile용 블랙(리뉴얼)</v>
      </c>
      <c r="F2913" s="1" t="str">
        <f>IFERROR(__xludf.DUMMYFUNCTION("CONCATENATE(GOOGLETRANSLATE(C2913, ""en"", ""ja""))"),"Apple iPhone XR、64GB、T-Mobile 用ブラック (リニューアル)")</f>
        <v>Apple iPhone XR、64GB、T-Mobile 用ブラック (リニューアル)</v>
      </c>
    </row>
    <row r="2914" ht="15.75" customHeight="1">
      <c r="A2914" s="1">
        <v>3945.0</v>
      </c>
      <c r="B2914" s="1" t="s">
        <v>15</v>
      </c>
      <c r="C2914" s="1" t="s">
        <v>2702</v>
      </c>
      <c r="D2914" s="1" t="str">
        <f>IFERROR(__xludf.DUMMYFUNCTION("CONCATENATE(GOOGLETRANSLATE(C2914, ""en"", ""zh-cn""))"),"欧米茄超霸’57同轴计时码表")</f>
        <v>欧米茄超霸’57同轴计时码表</v>
      </c>
      <c r="E2914" s="1" t="str">
        <f>IFERROR(__xludf.DUMMYFUNCTION("CONCATENATE(GOOGLETRANSLATE(C2914, ""en"", ""ko""))"),"오메가 스피드마스터 ’57 코-액시얼 크로노그래프")</f>
        <v>오메가 스피드마스터 ’57 코-액시얼 크로노그래프</v>
      </c>
      <c r="F2914" s="1" t="str">
        <f>IFERROR(__xludf.DUMMYFUNCTION("CONCATENATE(GOOGLETRANSLATE(C2914, ""en"", ""ja""))"),"オメガ スピードマスター '57 コーアクシャル クロノグラフ")</f>
        <v>オメガ スピードマスター '57 コーアクシャル クロノグラフ</v>
      </c>
    </row>
    <row r="2915" ht="15.75" customHeight="1">
      <c r="A2915" s="1">
        <v>3955.0</v>
      </c>
      <c r="B2915" s="1" t="s">
        <v>15</v>
      </c>
      <c r="C2915" s="1" t="s">
        <v>2703</v>
      </c>
      <c r="D2915" s="1" t="str">
        <f>IFERROR(__xludf.DUMMYFUNCTION("CONCATENATE(GOOGLETRANSLATE(C2915, ""en"", ""zh-cn""))"),"欧米茄男士 31130423001005 超霸模拟显示机械手动上链银色黑色表盘手表")</f>
        <v>欧米茄男士 31130423001005 超霸模拟显示机械手动上链银色黑色表盘手表</v>
      </c>
      <c r="E2915" s="1" t="str">
        <f>IFERROR(__xludf.DUMMYFUNCTION("CONCATENATE(GOOGLETRANSLATE(C2915, ""en"", ""ko""))"),"오메가 남성용 31130423001005 스피드마스터 아날로그 디스플레이 기계식 핸드 윈드 실버 및 블랙 다이얼 시계")</f>
        <v>오메가 남성용 31130423001005 스피드마스터 아날로그 디스플레이 기계식 핸드 윈드 실버 및 블랙 다이얼 시계</v>
      </c>
      <c r="F2915" s="1" t="str">
        <f>IFERROR(__xludf.DUMMYFUNCTION("CONCATENATE(GOOGLETRANSLATE(C2915, ""en"", ""ja""))"),"オメガ メンズ 31130423001005 スピードマスター アナログ表示 機械式手巻き シルバー ブラックダイヤルウォッチ")</f>
        <v>オメガ メンズ 31130423001005 スピードマスター アナログ表示 機械式手巻き シルバー ブラックダイヤルウォッチ</v>
      </c>
    </row>
    <row r="2916" ht="15.75" customHeight="1">
      <c r="A2916" s="1">
        <v>3956.0</v>
      </c>
      <c r="B2916" s="1" t="s">
        <v>15</v>
      </c>
      <c r="C2916" s="1" t="s">
        <v>2704</v>
      </c>
      <c r="D2916" s="1" t="str">
        <f>IFERROR(__xludf.DUMMYFUNCTION("CONCATENATE(GOOGLETRANSLATE(C2916, ""en"", ""zh-cn""))"),"欧米茄海马海洋宇宙自动男式手表 215.30.44.21.03.001")</f>
        <v>欧米茄海马海洋宇宙自动男式手表 215.30.44.21.03.001</v>
      </c>
      <c r="E2916" s="1" t="str">
        <f>IFERROR(__xludf.DUMMYFUNCTION("CONCATENATE(GOOGLETRANSLATE(C2916, ""en"", ""ko""))"),"오메가 씨마스터 플래닛 오션 오토매틱 남성용 시계 215.30.44.21.03.001")</f>
        <v>오메가 씨마스터 플래닛 오션 오토매틱 남성용 시계 215.30.44.21.03.001</v>
      </c>
      <c r="F2916" s="1" t="str">
        <f>IFERROR(__xludf.DUMMYFUNCTION("CONCATENATE(GOOGLETRANSLATE(C2916, ""en"", ""ja""))"),"オメガ シーマスター プラネット オーシャン 自動巻き メンズ 腕時計 215.30.44.21.03.001")</f>
        <v>オメガ シーマスター プラネット オーシャン 自動巻き メンズ 腕時計 215.30.44.21.03.001</v>
      </c>
    </row>
    <row r="2917" ht="15.75" customHeight="1">
      <c r="A2917" s="1">
        <v>3960.0</v>
      </c>
      <c r="B2917" s="1" t="s">
        <v>15</v>
      </c>
      <c r="C2917" s="1" t="s">
        <v>2705</v>
      </c>
      <c r="D2917" s="1" t="str">
        <f>IFERROR(__xludf.DUMMYFUNCTION("CONCATENATE(GOOGLETRANSLATE(C2917, ""en"", ""zh-cn""))"),"欧米茄超霸 38 计时男士手表 324.30.38.50.01.001")</f>
        <v>欧米茄超霸 38 计时男士手表 324.30.38.50.01.001</v>
      </c>
      <c r="E2917" s="1" t="str">
        <f>IFERROR(__xludf.DUMMYFUNCTION("CONCATENATE(GOOGLETRANSLATE(C2917, ""en"", ""ko""))"),"오메가 스피드마스터 38 크로노그래프 남성용 시계 324.30.38.50.01.001")</f>
        <v>오메가 스피드마스터 38 크로노그래프 남성용 시계 324.30.38.50.01.001</v>
      </c>
      <c r="F2917" s="1" t="str">
        <f>IFERROR(__xludf.DUMMYFUNCTION("CONCATENATE(GOOGLETRANSLATE(C2917, ""en"", ""ja""))"),"オメガ スピードマスター 38 クロノグラフ メンズ時計 324.30.38.50.01.001")</f>
        <v>オメガ スピードマスター 38 クロノグラフ メンズ時計 324.30.38.50.01.001</v>
      </c>
    </row>
    <row r="2918" ht="15.75" customHeight="1">
      <c r="A2918" s="1">
        <v>3964.0</v>
      </c>
      <c r="B2918" s="1" t="s">
        <v>15</v>
      </c>
      <c r="C2918" s="1" t="s">
        <v>2706</v>
      </c>
      <c r="D2918" s="1" t="str">
        <f>IFERROR(__xludf.DUMMYFUNCTION("CONCATENATE(GOOGLETRANSLATE(C2918, ""en"", ""zh-cn""))"),"欧米茄男士 326.32.40.50.06.001 Speed Master 赛车模拟显示瑞士自动黑色手表")</f>
        <v>欧米茄男士 326.32.40.50.06.001 Speed Master 赛车模拟显示瑞士自动黑色手表</v>
      </c>
      <c r="E2918" s="1" t="str">
        <f>IFERROR(__xludf.DUMMYFUNCTION("CONCATENATE(GOOGLETRANSLATE(C2918, ""en"", ""ko""))"),"오메가 남성용 326.32.40.50.06.001 스피드 마스터 레이싱 아날로그 디스플레이 스위스 오토매틱 블랙 시계")</f>
        <v>오메가 남성용 326.32.40.50.06.001 스피드 마스터 레이싱 아날로그 디스플레이 스위스 오토매틱 블랙 시계</v>
      </c>
      <c r="F2918" s="1" t="str">
        <f>IFERROR(__xludf.DUMMYFUNCTION("CONCATENATE(GOOGLETRANSLATE(C2918, ""en"", ""ja""))"),"オメガ メンズ 326.32.40.50.06.001 スピード マスター レーシング アナログ ディスプレイ スイス製自動巻き ブラック ウォッチ")</f>
        <v>オメガ メンズ 326.32.40.50.06.001 スピード マスター レーシング アナログ ディスプレイ スイス製自動巻き ブラック ウォッチ</v>
      </c>
    </row>
    <row r="2919" ht="15.75" customHeight="1">
      <c r="A2919" s="1">
        <v>3976.0</v>
      </c>
      <c r="B2919" s="1" t="s">
        <v>15</v>
      </c>
      <c r="C2919" s="1" t="s">
        <v>2707</v>
      </c>
      <c r="D2919" s="1" t="str">
        <f>IFERROR(__xludf.DUMMYFUNCTION("CONCATENATE(GOOGLETRANSLATE(C2919, ""en"", ""zh-cn""))"),"CASIO G-SHOCK GMW-B5000V-1JR 电波太阳能手表（日本国内正品）")</f>
        <v>CASIO G-SHOCK GMW-B5000V-1JR 电波太阳能手表（日本国内正品）</v>
      </c>
      <c r="E2919" s="1" t="str">
        <f>IFERROR(__xludf.DUMMYFUNCTION("CONCATENATE(GOOGLETRANSLATE(C2919, ""en"", ""ko""))"),"CASIO G-SHOCK GMW-B5000V-1JR Radio Solar 시계(일본 국내 정품 제품)")</f>
        <v>CASIO G-SHOCK GMW-B5000V-1JR Radio Solar 시계(일본 국내 정품 제품)</v>
      </c>
      <c r="F2919" s="1" t="str">
        <f>IFERROR(__xludf.DUMMYFUNCTION("CONCATENATE(GOOGLETRANSLATE(C2919, ""en"", ""ja""))"),"CASIO G-SHOCK GMW-B5000V-1JR 電波ソーラー時計 (日本国内正規品)")</f>
        <v>CASIO G-SHOCK GMW-B5000V-1JR 電波ソーラー時計 (日本国内正規品)</v>
      </c>
    </row>
    <row r="2920" ht="15.75" customHeight="1">
      <c r="A2920" s="1">
        <v>3982.0</v>
      </c>
      <c r="B2920" s="1" t="s">
        <v>15</v>
      </c>
      <c r="C2920" s="1" t="s">
        <v>2708</v>
      </c>
      <c r="D2920" s="1" t="str">
        <f>IFERROR(__xludf.DUMMYFUNCTION("CONCATENATE(GOOGLETRANSLATE(C2920, ""en"", ""zh-cn""))"),"汉密尔顿美国经典 Intra-Matic 机械计时 H 手表 40 毫米表壳，黑色表盘，黑色皮表带（型号：H38429730）")</f>
        <v>汉密尔顿美国经典 Intra-Matic 机械计时 H 手表 40 毫米表壳，黑色表盘，黑色皮表带（型号：H38429730）</v>
      </c>
      <c r="E2920" s="1" t="str">
        <f>IFERROR(__xludf.DUMMYFUNCTION("CONCATENATE(GOOGLETRANSLATE(C2920, ""en"", ""ko""))"),"해밀턴 아메리칸 클래식 Intra-Matic 기계식 크로노그래프 H 시계 40mm 케이스, 블랙 다이얼, 블랙 가죽 스트랩 (모델: H38429730)")</f>
        <v>해밀턴 아메리칸 클래식 Intra-Matic 기계식 크로노그래프 H 시계 40mm 케이스, 블랙 다이얼, 블랙 가죽 스트랩 (모델: H38429730)</v>
      </c>
      <c r="F2920" s="1" t="str">
        <f>IFERROR(__xludf.DUMMYFUNCTION("CONCATENATE(GOOGLETRANSLATE(C2920, ""en"", ""ja""))"),"ハミルトン アメリカン クラシック イントラマティック メカニカル クロノグラフ H ウォッチ 40mm ケース、ブラック ダイヤル、ブラック レザー ストラップ (モデル: H38429730)")</f>
        <v>ハミルトン アメリカン クラシック イントラマティック メカニカル クロノグラフ H ウォッチ 40mm ケース、ブラック ダイヤル、ブラック レザー ストラップ (モデル: H38429730)</v>
      </c>
    </row>
    <row r="2921" ht="15.75" customHeight="1">
      <c r="A2921" s="1">
        <v>4000.0</v>
      </c>
      <c r="B2921" s="1" t="s">
        <v>15</v>
      </c>
      <c r="C2921" s="1" t="s">
        <v>2709</v>
      </c>
      <c r="D2921" s="1" t="str">
        <f>IFERROR(__xludf.DUMMYFUNCTION("CONCATENATE(GOOGLETRANSLATE(C2921, ""en"", ""zh-cn""))"),"精工 Prospex Turtle Diver 2020 型号 SPB151J1")</f>
        <v>精工 Prospex Turtle Diver 2020 型号 SPB151J1</v>
      </c>
      <c r="E2921" s="1" t="str">
        <f>IFERROR(__xludf.DUMMYFUNCTION("CONCATENATE(GOOGLETRANSLATE(C2921, ""en"", ""ko""))"),"세이코 Prospex Turtle 다이버 2020 모델 SPB151J1")</f>
        <v>세이코 Prospex Turtle 다이버 2020 모델 SPB151J1</v>
      </c>
      <c r="F2921" s="1" t="str">
        <f>IFERROR(__xludf.DUMMYFUNCTION("CONCATENATE(GOOGLETRANSLATE(C2921, ""en"", ""ja""))"),"セイコー プロスペックス タートルダイバー 2020年モデル SPB151J1")</f>
        <v>セイコー プロスペックス タートルダイバー 2020年モデル SPB151J1</v>
      </c>
    </row>
    <row r="2922" ht="15.75" customHeight="1">
      <c r="A2922" s="1">
        <v>4008.0</v>
      </c>
      <c r="B2922" s="1" t="s">
        <v>15</v>
      </c>
      <c r="C2922" s="1" t="s">
        <v>2710</v>
      </c>
      <c r="D2922" s="1" t="str">
        <f>IFERROR(__xludf.DUMMYFUNCTION("CONCATENATE(GOOGLETRANSLATE(C2922, ""en"", ""zh-cn""))"),"Luminox 男士 9441 P-38 Lightning 9420 系列模拟显示模拟石英黑色手表")</f>
        <v>Luminox 男士 9441 P-38 Lightning 9420 系列模拟显示模拟石英黑色手表</v>
      </c>
      <c r="E2922" s="1" t="str">
        <f>IFERROR(__xludf.DUMMYFUNCTION("CONCATENATE(GOOGLETRANSLATE(C2922, ""en"", ""ko""))"),"루미녹스 남성용 9441 P-38 라이트닝 9420 시리즈 아날로그 디스플레이 아날로그 쿼츠 블랙 시계")</f>
        <v>루미녹스 남성용 9441 P-38 라이트닝 9420 시리즈 아날로그 디스플레이 아날로그 쿼츠 블랙 시계</v>
      </c>
      <c r="F2922" s="1" t="str">
        <f>IFERROR(__xludf.DUMMYFUNCTION("CONCATENATE(GOOGLETRANSLATE(C2922, ""en"", ""ja""))"),"ルミノックス メンズ 9441 P-38 ライトニング 9420 シリーズ アナログ ディスプレイ アナログ クォーツ ブラック ウォッチ")</f>
        <v>ルミノックス メンズ 9441 P-38 ライトニング 9420 シリーズ アナログ ディスプレイ アナログ クォーツ ブラック ウォッチ</v>
      </c>
    </row>
    <row r="2923" ht="15.75" customHeight="1">
      <c r="A2923" s="1">
        <v>4012.0</v>
      </c>
      <c r="B2923" s="1" t="s">
        <v>15</v>
      </c>
      <c r="C2923" s="1" t="s">
        <v>2711</v>
      </c>
      <c r="D2923" s="1" t="str">
        <f>IFERROR(__xludf.DUMMYFUNCTION("CONCATENATE(GOOGLETRANSLATE(C2923, ""en"", ""zh-cn""))"),"汉密尔顿男士卡其野战钛金属腕表 H70575733")</f>
        <v>汉密尔顿男士卡其野战钛金属腕表 H70575733</v>
      </c>
      <c r="E2923" s="1" t="str">
        <f>IFERROR(__xludf.DUMMYFUNCTION("CONCATENATE(GOOGLETRANSLATE(C2923, ""en"", ""ko""))"),"남성용 해밀턴 카키 필드 티타늄 시계 H70575733")</f>
        <v>남성용 해밀턴 카키 필드 티타늄 시계 H70575733</v>
      </c>
      <c r="F2923" s="1" t="str">
        <f>IFERROR(__xludf.DUMMYFUNCTION("CONCATENATE(GOOGLETRANSLATE(C2923, ""en"", ""ja""))"),"メンズ ハミルトン カーキ フィールド チタン ウォッチ H70575733")</f>
        <v>メンズ ハミルトン カーキ フィールド チタン ウォッチ H70575733</v>
      </c>
    </row>
    <row r="2924" ht="15.75" customHeight="1">
      <c r="A2924" s="1">
        <v>4015.0</v>
      </c>
      <c r="B2924" s="1" t="s">
        <v>15</v>
      </c>
      <c r="C2924" s="1" t="s">
        <v>2712</v>
      </c>
      <c r="D2924" s="1" t="str">
        <f>IFERROR(__xludf.DUMMYFUNCTION("CONCATENATE(GOOGLETRANSLATE(C2924, ""en"", ""zh-cn""))"),"汉密尔顿男士 H42415731 永恒经典模拟显示瑞士自动黑色手表")</f>
        <v>汉密尔顿男士 H42415731 永恒经典模拟显示瑞士自动黑色手表</v>
      </c>
      <c r="E2924" s="1" t="str">
        <f>IFERROR(__xludf.DUMMYFUNCTION("CONCATENATE(GOOGLETRANSLATE(C2924, ""en"", ""ko""))"),"해밀턴 남성용 H42415731 시대를 초월한 클래식 아날로그 디스플레이 스위스 오토매틱 블랙 시계")</f>
        <v>해밀턴 남성용 H42415731 시대를 초월한 클래식 아날로그 디스플레이 스위스 오토매틱 블랙 시계</v>
      </c>
      <c r="F2924" s="1" t="str">
        <f>IFERROR(__xludf.DUMMYFUNCTION("CONCATENATE(GOOGLETRANSLATE(C2924, ""en"", ""ja""))"),"ハミルトン メンズ H42415731 タイムレス クラシック アナログ ディスプレイ スイス製自動巻き ブラック ウォッチ")</f>
        <v>ハミルトン メンズ H42415731 タイムレス クラシック アナログ ディスプレイ スイス製自動巻き ブラック ウォッチ</v>
      </c>
    </row>
    <row r="2925" ht="15.75" customHeight="1">
      <c r="A2925" s="1">
        <v>4016.0</v>
      </c>
      <c r="B2925" s="1" t="s">
        <v>15</v>
      </c>
      <c r="C2925" s="1" t="s">
        <v>2713</v>
      </c>
      <c r="D2925" s="1" t="str">
        <f>IFERROR(__xludf.DUMMYFUNCTION("CONCATENATE(GOOGLETRANSLATE(C2925, ""en"", ""zh-cn""))"),"汉密尔顿卡其航空 X-Wind GMT 瑞士计时石英手表 46 毫米表壳，蓝色表盘，银色不锈钢表链（型号：H77922141）")</f>
        <v>汉密尔顿卡其航空 X-Wind GMT 瑞士计时石英手表 46 毫米表壳，蓝色表盘，银色不锈钢表链（型号：H77922141）</v>
      </c>
      <c r="E2925" s="1" t="str">
        <f>IFERROR(__xludf.DUMMYFUNCTION("CONCATENATE(GOOGLETRANSLATE(C2925, ""en"", ""ko""))"),"해밀턴 Khaki Aviation X-Wind GMT 스위스 크로노그래프 쿼츠 시계 46mm 케이스, 블루 다이얼, 실버 스테인레스 스틸 팔찌(모델: H77922141)")</f>
        <v>해밀턴 Khaki Aviation X-Wind GMT 스위스 크로노그래프 쿼츠 시계 46mm 케이스, 블루 다이얼, 실버 스테인레스 스틸 팔찌(모델: H77922141)</v>
      </c>
      <c r="F2925" s="1" t="str">
        <f>IFERROR(__xludf.DUMMYFUNCTION("CONCATENATE(GOOGLETRANSLATE(C2925, ""en"", ""ja""))"),"ハミルトン カーキ アビエーション X-ウィンド GMT スイス クロノグラフ クォーツ ウォッチ 46mm ケース、ブルー ダイヤル、シルバー ステンレス スチール ブレスレット (モデル: H77922141)")</f>
        <v>ハミルトン カーキ アビエーション X-ウィンド GMT スイス クロノグラフ クォーツ ウォッチ 46mm ケース、ブルー ダイヤル、シルバー ステンレス スチール ブレスレット (モデル: H77922141)</v>
      </c>
    </row>
    <row r="2926" ht="15.75" customHeight="1">
      <c r="A2926" s="1">
        <v>4030.0</v>
      </c>
      <c r="B2926" s="1" t="s">
        <v>15</v>
      </c>
      <c r="C2926" s="1" t="s">
        <v>2714</v>
      </c>
      <c r="D2926" s="1" t="str">
        <f>IFERROR(__xludf.DUMMYFUNCTION("CONCATENATE(GOOGLETRANSLATE(C2926, ""en"", ""zh-cn""))"),"精工 Prospex Alpinist 限量版 型号 SBDC091 日本制造")</f>
        <v>精工 Prospex Alpinist 限量版 型号 SBDC091 日本制造</v>
      </c>
      <c r="E2926" s="1" t="str">
        <f>IFERROR(__xludf.DUMMYFUNCTION("CONCATENATE(GOOGLETRANSLATE(C2926, ""en"", ""ko""))"),"세이코 프로스펙스 알피니스트 한정 모델 SBDC091 일본산")</f>
        <v>세이코 프로스펙스 알피니스트 한정 모델 SBDC091 일본산</v>
      </c>
      <c r="F2926" s="1" t="str">
        <f>IFERROR(__xludf.DUMMYFUNCTION("CONCATENATE(GOOGLETRANSLATE(C2926, ""en"", ""ja""))"),"セイコー プロスペックス アルピニスト 限定モデル SBDC091 日本製")</f>
        <v>セイコー プロスペックス アルピニスト 限定モデル SBDC091 日本製</v>
      </c>
    </row>
    <row r="2927" ht="15.75" customHeight="1">
      <c r="A2927" s="1">
        <v>4035.0</v>
      </c>
      <c r="B2927" s="1" t="s">
        <v>15</v>
      </c>
      <c r="C2927" s="1" t="s">
        <v>2715</v>
      </c>
      <c r="D2927" s="1" t="str">
        <f>IFERROR(__xludf.DUMMYFUNCTION("CONCATENATE(GOOGLETRANSLATE(C2927, ""en"", ""zh-cn""))"),"SEIKO PROSPEX 男式拯救海洋潜水员 200M 武士海浪蓝色手表 SRPD09K1")</f>
        <v>SEIKO PROSPEX 男式拯救海洋潜水员 200M 武士海浪蓝色手表 SRPD09K1</v>
      </c>
      <c r="E2927" s="1" t="str">
        <f>IFERROR(__xludf.DUMMYFUNCTION("CONCATENATE(GOOGLETRANSLATE(C2927, ""en"", ""ko""))"),"SEIKO PROSPEX 남성용 세이브 디 오션 다이버 200MS사무라이 웨이브 블루 시계 SRPD09K1")</f>
        <v>SEIKO PROSPEX 남성용 세이브 디 오션 다이버 200MS사무라이 웨이브 블루 시계 SRPD09K1</v>
      </c>
      <c r="F2927" s="1" t="str">
        <f>IFERROR(__xludf.DUMMYFUNCTION("CONCATENATE(GOOGLETRANSLATE(C2927, ""en"", ""ja""))"),"セイコー プロスペックス メンズ Save The Ocean Diver 200MSamurai Wave Blue 腕時計 SRPD09K1")</f>
        <v>セイコー プロスペックス メンズ Save The Ocean Diver 200MSamurai Wave Blue 腕時計 SRPD09K1</v>
      </c>
    </row>
    <row r="2928" ht="15.75" customHeight="1">
      <c r="A2928" s="1">
        <v>4036.0</v>
      </c>
      <c r="B2928" s="1" t="s">
        <v>15</v>
      </c>
      <c r="C2928" s="1" t="s">
        <v>2716</v>
      </c>
      <c r="D2928" s="1" t="str">
        <f>IFERROR(__xludf.DUMMYFUNCTION("CONCATENATE(GOOGLETRANSLATE(C2928, ""en"", ""zh-cn""))"),"CASIO G-SHOCK 格罗斯黑系列 GW-M5610BB-1JF 男士日本进口")</f>
        <v>CASIO G-SHOCK 格罗斯黑系列 GW-M5610BB-1JF 男士日本进口</v>
      </c>
      <c r="E2928" s="1" t="str">
        <f>IFERROR(__xludf.DUMMYFUNCTION("CONCATENATE(GOOGLETRANSLATE(C2928, ""en"", ""ko""))"),"CASIO G-SHOCK 그로시 블랙 시리즈 GW-M5610BB-1JF 남성 일본 수입")</f>
        <v>CASIO G-SHOCK 그로시 블랙 시리즈 GW-M5610BB-1JF 남성 일본 수입</v>
      </c>
      <c r="F2928" s="1" t="str">
        <f>IFERROR(__xludf.DUMMYFUNCTION("CONCATENATE(GOOGLETRANSLATE(C2928, ""en"", ""ja""))"),"CASIO G-SHOCK グロッシーブラックシリーズ GW-M5610BB-1JF メンズ 日本輸入")</f>
        <v>CASIO G-SHOCK グロッシーブラックシリーズ GW-M5610BB-1JF メンズ 日本輸入</v>
      </c>
    </row>
    <row r="2929" ht="15.75" customHeight="1">
      <c r="A2929" s="1">
        <v>4038.0</v>
      </c>
      <c r="B2929" s="1" t="s">
        <v>15</v>
      </c>
      <c r="C2929" s="1" t="s">
        <v>2717</v>
      </c>
      <c r="D2929" s="1" t="str">
        <f>IFERROR(__xludf.DUMMYFUNCTION("CONCATENATE(GOOGLETRANSLATE(C2929, ""en"", ""zh-cn""))"),"[卡西欧] 手表 G-Shock 配备蓝牙 无线电太阳能 GMW-B5000GD-4JF 男士 粉红金")</f>
        <v>[卡西欧] 手表 G-Shock 配备蓝牙 无线电太阳能 GMW-B5000GD-4JF 男士 粉红金</v>
      </c>
      <c r="E2929" s="1" t="str">
        <f>IFERROR(__xludf.DUMMYFUNCTION("CONCATENATE(GOOGLETRANSLATE(C2929, ""en"", ""ko""))"),"[카시오] 시계 지샥 블루투스 탑재 라디오 솔라 GMW-B5000GD-4JF 남성용 핑크 골드")</f>
        <v>[카시오] 시계 지샥 블루투스 탑재 라디오 솔라 GMW-B5000GD-4JF 남성용 핑크 골드</v>
      </c>
      <c r="F2929" s="1" t="str">
        <f>IFERROR(__xludf.DUMMYFUNCTION("CONCATENATE(GOOGLETRANSLATE(C2929, ""en"", ""ja""))"),"[カシオ] 腕時計 Gショック Bluetooth搭載 電波ソーラー GMW-B5000GD-4JF メンズ ピンクゴールド")</f>
        <v>[カシオ] 腕時計 Gショック Bluetooth搭載 電波ソーラー GMW-B5000GD-4JF メンズ ピンクゴールド</v>
      </c>
    </row>
    <row r="2930" ht="15.75" customHeight="1">
      <c r="A2930" s="1">
        <v>4044.0</v>
      </c>
      <c r="B2930" s="1" t="s">
        <v>15</v>
      </c>
      <c r="C2930" s="1" t="s">
        <v>2718</v>
      </c>
      <c r="D2930" s="1" t="str">
        <f>IFERROR(__xludf.DUMMYFUNCTION("CONCATENATE(GOOGLETRANSLATE(C2930, ""en"", ""zh-cn""))"),"Luminox 男士海军海豹红色橡胶表带黑色表盘军事潜水手表")</f>
        <v>Luminox 男士海军海豹红色橡胶表带黑色表盘军事潜水手表</v>
      </c>
      <c r="E2930" s="1" t="str">
        <f>IFERROR(__xludf.DUMMYFUNCTION("CONCATENATE(GOOGLETRANSLATE(C2930, ""en"", ""ko""))"),"루미녹스 남성용 네이비 씰 레드 러버 스트랩 블랙 다이얼 밀리터리 다이브 시계")</f>
        <v>루미녹스 남성용 네이비 씰 레드 러버 스트랩 블랙 다이얼 밀리터리 다이브 시계</v>
      </c>
      <c r="F2930" s="1" t="str">
        <f>IFERROR(__xludf.DUMMYFUNCTION("CONCATENATE(GOOGLETRANSLATE(C2930, ""en"", ""ja""))"),"ルミノックス メンズ ネイビー シール レッド ラバー ストラップ ブラック ダイヤル ミリタリー ダイバーウォッチ")</f>
        <v>ルミノックス メンズ ネイビー シール レッド ラバー ストラップ ブラック ダイヤル ミリタリー ダイバーウォッチ</v>
      </c>
    </row>
    <row r="2931" ht="15.75" customHeight="1">
      <c r="A2931" s="1">
        <v>4052.0</v>
      </c>
      <c r="B2931" s="1" t="s">
        <v>15</v>
      </c>
      <c r="C2931" s="1" t="s">
        <v>2719</v>
      </c>
      <c r="D2931" s="1" t="str">
        <f>IFERROR(__xludf.DUMMYFUNCTION("CONCATENATE(GOOGLETRANSLATE(C2931, ""en"", ""zh-cn""))"),"Hamilton Jazzmaster Intra-Matic 自动男士手表 H38735501")</f>
        <v>Hamilton Jazzmaster Intra-Matic 自动男士手表 H38735501</v>
      </c>
      <c r="E2931" s="1" t="str">
        <f>IFERROR(__xludf.DUMMYFUNCTION("CONCATENATE(GOOGLETRANSLATE(C2931, ""en"", ""ko""))"),"해밀턴 Jazzmaster Intra-Matic 자동 남성용 시계 H38735501")</f>
        <v>해밀턴 Jazzmaster Intra-Matic 자동 남성용 시계 H38735501</v>
      </c>
      <c r="F2931" s="1" t="str">
        <f>IFERROR(__xludf.DUMMYFUNCTION("CONCATENATE(GOOGLETRANSLATE(C2931, ""en"", ""ja""))"),"ハミルトン ジャズマスター イントラマティック 自動巻き メンズ 腕時計 H38735501")</f>
        <v>ハミルトン ジャズマスター イントラマティック 自動巻き メンズ 腕時計 H38735501</v>
      </c>
    </row>
    <row r="2932" ht="15.75" customHeight="1">
      <c r="A2932" s="1">
        <v>4060.0</v>
      </c>
      <c r="B2932" s="1" t="s">
        <v>15</v>
      </c>
      <c r="C2932" s="1" t="s">
        <v>2720</v>
      </c>
      <c r="D2932" s="1" t="str">
        <f>IFERROR(__xludf.DUMMYFUNCTION("CONCATENATE(GOOGLETRANSLATE(C2932, ""en"", ""zh-cn""))"),"Lum-Tec Comat B45 GMT 腕表米色 | |尼龙带")</f>
        <v>Lum-Tec Comat B45 GMT 腕表米色 | |尼龙带</v>
      </c>
      <c r="E2932" s="1" t="str">
        <f>IFERROR(__xludf.DUMMYFUNCTION("CONCATENATE(GOOGLETRANSLATE(C2932, ""en"", ""ko""))"),"Lum-Tec Comat B45 GMT 손목시계 베이지 | 나일론 스트랩")</f>
        <v>Lum-Tec Comat B45 GMT 손목시계 베이지 | 나일론 스트랩</v>
      </c>
      <c r="F2932" s="1" t="str">
        <f>IFERROR(__xludf.DUMMYFUNCTION("CONCATENATE(GOOGLETRANSLATE(C2932, ""en"", ""ja""))"),"Lum-Tec Comat B45 GMT 腕時計 ベージュ |ナイロンストラップ")</f>
        <v>Lum-Tec Comat B45 GMT 腕時計 ベージュ |ナイロンストラップ</v>
      </c>
    </row>
    <row r="2933" ht="15.75" customHeight="1">
      <c r="A2933" s="1">
        <v>4064.0</v>
      </c>
      <c r="B2933" s="1" t="s">
        <v>15</v>
      </c>
      <c r="C2933" s="1" t="s">
        <v>2721</v>
      </c>
      <c r="D2933" s="1" t="str">
        <f>IFERROR(__xludf.DUMMYFUNCTION("CONCATENATE(GOOGLETRANSLATE(C2933, ""en"", ""zh-cn""))"),"精工 Prospex Monster 不锈钢蓝色表盘")</f>
        <v>精工 Prospex Monster 不锈钢蓝色表盘</v>
      </c>
      <c r="E2933" s="1" t="str">
        <f>IFERROR(__xludf.DUMMYFUNCTION("CONCATENATE(GOOGLETRANSLATE(C2933, ""en"", ""ko""))"),"세이코 Prospex Monster 스테인레스 스틸 블루 다이얼")</f>
        <v>세이코 Prospex Monster 스테인레스 스틸 블루 다이얼</v>
      </c>
      <c r="F2933" s="1" t="str">
        <f>IFERROR(__xludf.DUMMYFUNCTION("CONCATENATE(GOOGLETRANSLATE(C2933, ""en"", ""ja""))"),"セイコー プロスペックス モンスター ステンレススチール ブルーダイヤル")</f>
        <v>セイコー プロスペックス モンスター ステンレススチール ブルーダイヤル</v>
      </c>
    </row>
    <row r="2934" ht="15.75" customHeight="1">
      <c r="A2934" s="1">
        <v>4067.0</v>
      </c>
      <c r="B2934" s="1" t="s">
        <v>15</v>
      </c>
      <c r="C2934" s="1" t="s">
        <v>2722</v>
      </c>
      <c r="D2934" s="1" t="str">
        <f>IFERROR(__xludf.DUMMYFUNCTION("CONCATENATE(GOOGLETRANSLATE(C2934, ""en"", ""zh-cn""))"),"卡西欧 G-shock Love The Sea and The Earth GW-9405KJ-5JR 限量版男士")</f>
        <v>卡西欧 G-shock Love The Sea and The Earth GW-9405KJ-5JR 限量版男士</v>
      </c>
      <c r="E2934" s="1" t="str">
        <f>IFERROR(__xludf.DUMMYFUNCTION("CONCATENATE(GOOGLETRANSLATE(C2934, ""en"", ""ko""))"),"카시오 G-쇼크 Love The Sea and The Earth GW-9405KJ-5JR 한정판 남성용")</f>
        <v>카시오 G-쇼크 Love The Sea and The Earth GW-9405KJ-5JR 한정판 남성용</v>
      </c>
      <c r="F2934" s="1" t="str">
        <f>IFERROR(__xludf.DUMMYFUNCTION("CONCATENATE(GOOGLETRANSLATE(C2934, ""en"", ""ja""))"),"カシオ G-SHOCK LOVE THE SEA AND THE EARTH GW-9405KJ-5JR 限定モデル メンズ")</f>
        <v>カシオ G-SHOCK LOVE THE SEA AND THE EARTH GW-9405KJ-5JR 限定モデル メンズ</v>
      </c>
    </row>
    <row r="2935" ht="15.75" customHeight="1">
      <c r="A2935" s="1">
        <v>4069.0</v>
      </c>
      <c r="B2935" s="1" t="s">
        <v>15</v>
      </c>
      <c r="C2935" s="1" t="s">
        <v>2723</v>
      </c>
      <c r="D2935" s="1" t="str">
        <f>IFERROR(__xludf.DUMMYFUNCTION("CONCATENATE(GOOGLETRANSLATE(C2935, ""en"", ""zh-cn""))"),"Luminox 男士腕表 Scott Cassell Deep Dive 1551：45 毫米黑色显示屏不锈钢表背 300 M 防水")</f>
        <v>Luminox 男士腕表 Scott Cassell Deep Dive 1551：45 毫米黑色显示屏不锈钢表背 300 M 防水</v>
      </c>
      <c r="E2935" s="1" t="str">
        <f>IFERROR(__xludf.DUMMYFUNCTION("CONCATENATE(GOOGLETRANSLATE(C2935, ""en"", ""ko""))"),"Luminox 남성용 손목 시계 Scott Cassell 딥 다이브 1551: 45mm 블랙 디스플레이 스테인리스 스틸 케이스백 300M 방수")</f>
        <v>Luminox 남성용 손목 시계 Scott Cassell 딥 다이브 1551: 45mm 블랙 디스플레이 스테인리스 스틸 케이스백 300M 방수</v>
      </c>
      <c r="F2935" s="1" t="str">
        <f>IFERROR(__xludf.DUMMYFUNCTION("CONCATENATE(GOOGLETRANSLATE(C2935, ""en"", ""ja""))"),"ルミノックス メンズ 腕時計 スコット カッセル ディープ ダイブ 1551: 45mm ブラック ディスプレイ ステンレス スチール ケースバック 300 M 防水")</f>
        <v>ルミノックス メンズ 腕時計 スコット カッセル ディープ ダイブ 1551: 45mm ブラック ディスプレイ ステンレス スチール ケースバック 300 M 防水</v>
      </c>
    </row>
    <row r="2936" ht="15.75" customHeight="1">
      <c r="A2936" s="1">
        <v>4073.0</v>
      </c>
      <c r="B2936" s="1" t="s">
        <v>15</v>
      </c>
      <c r="C2936" s="1" t="s">
        <v>2724</v>
      </c>
      <c r="D2936" s="1" t="str">
        <f>IFERROR(__xludf.DUMMYFUNCTION("CONCATENATE(GOOGLETRANSLATE(C2936, ""en"", ""zh-cn""))"),"三星 Galaxy Watch Pro 5 45 毫米 LTE 智能手表带身体、健康、健身和睡眠追踪器，改进的电池，蓝宝石水晶玻璃，GPS 路线跟踪，钛金属框架，美国版，黑色")</f>
        <v>三星 Galaxy Watch Pro 5 45 毫米 LTE 智能手表带身体、健康、健身和睡眠追踪器，改进的电池，蓝宝石水晶玻璃，GPS 路线跟踪，钛金属框架，美国版，黑色</v>
      </c>
      <c r="E2936" s="1" t="str">
        <f>IFERROR(__xludf.DUMMYFUNCTION("CONCATENATE(GOOGLETRANSLATE(C2936, ""en"", ""ko""))"),"SAMSUNG Galaxy Watch Pro 5 45mm LTE 스마트워치 신체, 건강, 피트니스 및 수면 추적기 포함, 향상된 배터리, 사파이어 크리스탈 유리, GPS 경로 추적, 티타늄 프레임, 미국 버전, 블랙")</f>
        <v>SAMSUNG Galaxy Watch Pro 5 45mm LTE 스마트워치 신체, 건강, 피트니스 및 수면 추적기 포함, 향상된 배터리, 사파이어 크리스탈 유리, GPS 경로 추적, 티타늄 프레임, 미국 버전, 블랙</v>
      </c>
      <c r="F2936" s="1" t="str">
        <f>IFERROR(__xludf.DUMMYFUNCTION("CONCATENATE(GOOGLETRANSLATE(C2936, ""en"", ""ja""))"),"SAMSUNG Galaxy Watch Pro 5 45mm LTE スマートウォッチ、ボディ、健康、フィットネス、睡眠トラッカー、改良されたバッテリー、サファイアクリスタルガラス、GPS ルート追跡、チタンフレーム、米国バージョン、ブラック")</f>
        <v>SAMSUNG Galaxy Watch Pro 5 45mm LTE スマートウォッチ、ボディ、健康、フィットネス、睡眠トラッカー、改良されたバッテリー、サファイアクリスタルガラス、GPS ルート追跡、チタンフレーム、米国バージョン、ブラック</v>
      </c>
    </row>
    <row r="2937" ht="15.75" customHeight="1">
      <c r="A2937" s="1">
        <v>4074.0</v>
      </c>
      <c r="B2937" s="1" t="s">
        <v>15</v>
      </c>
      <c r="C2937" s="1" t="s">
        <v>2725</v>
      </c>
      <c r="D2937" s="1" t="str">
        <f>IFERROR(__xludf.DUMMYFUNCTION("CONCATENATE(GOOGLETRANSLATE(C2937, ""en"", ""zh-cn""))"),"SEIKO Prospex 特别版 SRPG21 黑色硅胶自动潜水手表")</f>
        <v>SEIKO Prospex 特别版 SRPG21 黑色硅胶自动潜水手表</v>
      </c>
      <c r="E2937" s="1" t="str">
        <f>IFERROR(__xludf.DUMMYFUNCTION("CONCATENATE(GOOGLETRANSLATE(C2937, ""en"", ""ko""))"),"SEIKO Prospex 스페셜 에디션 SRPG21 블랙 실리콘 오토매틱 다이버 시계")</f>
        <v>SEIKO Prospex 스페셜 에디션 SRPG21 블랙 실리콘 오토매틱 다이버 시계</v>
      </c>
      <c r="F2937" s="1" t="str">
        <f>IFERROR(__xludf.DUMMYFUNCTION("CONCATENATE(GOOGLETRANSLATE(C2937, ""en"", ""ja""))"),"セイコー プロスペックス スペシャルエディション SRPG21 ブラックシリコン 自動巻きダイバーズウォッチ")</f>
        <v>セイコー プロスペックス スペシャルエディション SRPG21 ブラックシリコン 自動巻きダイバーズウォッチ</v>
      </c>
    </row>
    <row r="2938" ht="15.75" customHeight="1">
      <c r="A2938" s="1">
        <v>4076.0</v>
      </c>
      <c r="B2938" s="1" t="s">
        <v>15</v>
      </c>
      <c r="C2938" s="1" t="s">
        <v>2726</v>
      </c>
      <c r="D2938" s="1" t="str">
        <f>IFERROR(__xludf.DUMMYFUNCTION("CONCATENATE(GOOGLETRANSLATE(C2938, ""en"", ""zh-cn""))"),"SEIKO 男士飞行员闹铃计时腕表")</f>
        <v>SEIKO 男士飞行员闹铃计时腕表</v>
      </c>
      <c r="E2938" s="1" t="str">
        <f>IFERROR(__xludf.DUMMYFUNCTION("CONCATENATE(GOOGLETRANSLATE(C2938, ""en"", ""ko""))"),"SEIKO 남성용 파일럿 시계 알람 크로노그래프")</f>
        <v>SEIKO 남성용 파일럿 시계 알람 크로노그래프</v>
      </c>
      <c r="F2938" s="1" t="str">
        <f>IFERROR(__xludf.DUMMYFUNCTION("CONCATENATE(GOOGLETRANSLATE(C2938, ""en"", ""ja""))"),"セイコー メンズ パイロットウォッチ アラーム クロノグラフ")</f>
        <v>セイコー メンズ パイロットウォッチ アラーム クロノグラフ</v>
      </c>
    </row>
    <row r="2939" ht="15.75" customHeight="1">
      <c r="A2939" s="1">
        <v>4104.0</v>
      </c>
      <c r="B2939" s="1" t="s">
        <v>15</v>
      </c>
      <c r="C2939" s="1" t="s">
        <v>2727</v>
      </c>
      <c r="D2939" s="1" t="str">
        <f>IFERROR(__xludf.DUMMYFUNCTION("CONCATENATE(GOOGLETRANSLATE(C2939, ""en"", ""zh-cn""))"),"SEIKO SRPF03 Prospex 男士手表银色 44 毫米不锈钢")</f>
        <v>SEIKO SRPF03 Prospex 男士手表银色 44 毫米不锈钢</v>
      </c>
      <c r="E2939" s="1" t="str">
        <f>IFERROR(__xludf.DUMMYFUNCTION("CONCATENATE(GOOGLETRANSLATE(C2939, ""en"", ""ko""))"),"SEIKO SRPF03 Prospex 남성용 시계 실버톤 44mm 스테인리스 스틸")</f>
        <v>SEIKO SRPF03 Prospex 남성용 시계 실버톤 44mm 스테인리스 스틸</v>
      </c>
      <c r="F2939" s="1" t="str">
        <f>IFERROR(__xludf.DUMMYFUNCTION("CONCATENATE(GOOGLETRANSLATE(C2939, ""en"", ""ja""))"),"セイコー SRPF03 プロスペックス メンズ 腕時計 シルバートーン 44mm ステンレススチール")</f>
        <v>セイコー SRPF03 プロスペックス メンズ 腕時計 シルバートーン 44mm ステンレススチール</v>
      </c>
    </row>
    <row r="2940" ht="15.75" customHeight="1">
      <c r="A2940" s="1">
        <v>4117.0</v>
      </c>
      <c r="B2940" s="1" t="s">
        <v>15</v>
      </c>
      <c r="C2940" s="1" t="s">
        <v>2728</v>
      </c>
      <c r="D2940" s="1" t="str">
        <f>IFERROR(__xludf.DUMMYFUNCTION("CONCATENATE(GOOGLETRANSLATE(C2940, ""en"", ""zh-cn""))"),"Luminox 男士 3052 Colormark Navy Seal 黑色树脂手表")</f>
        <v>Luminox 男士 3052 Colormark Navy Seal 黑色树脂手表</v>
      </c>
      <c r="E2940" s="1" t="str">
        <f>IFERROR(__xludf.DUMMYFUNCTION("CONCATENATE(GOOGLETRANSLATE(C2940, ""en"", ""ko""))"),"루미녹스 남성용 3052 컬러마크 네이비 씰 블랙 레진 시계")</f>
        <v>루미녹스 남성용 3052 컬러마크 네이비 씰 블랙 레진 시계</v>
      </c>
      <c r="F2940" s="1" t="str">
        <f>IFERROR(__xludf.DUMMYFUNCTION("CONCATENATE(GOOGLETRANSLATE(C2940, ""en"", ""ja""))"),"ルミノックス メンズ 3052 カラーマーク ネイビー シール ブラック レジン ウォッチ")</f>
        <v>ルミノックス メンズ 3052 カラーマーク ネイビー シール ブラック レジン ウォッチ</v>
      </c>
    </row>
    <row r="2941" ht="15.75" customHeight="1">
      <c r="A2941" s="1">
        <v>4122.0</v>
      </c>
      <c r="B2941" s="1" t="s">
        <v>15</v>
      </c>
      <c r="C2941" s="1" t="s">
        <v>2729</v>
      </c>
      <c r="D2941" s="1" t="str">
        <f>IFERROR(__xludf.DUMMYFUNCTION("CONCATENATE(GOOGLETRANSLATE(C2941, ""en"", ""zh-cn""))"),"Luminox Atacama Adventurer Field XL.1764 男士手表 42 毫米 - 军用手表银色/蓝色日期功能 200 米防水蓝宝石玻璃")</f>
        <v>Luminox Atacama Adventurer Field XL.1764 男士手表 42 毫米 - 军用手表银色/蓝色日期功能 200 米防水蓝宝石玻璃</v>
      </c>
      <c r="E2941" s="1" t="str">
        <f>IFERROR(__xludf.DUMMYFUNCTION("CONCATENATE(GOOGLETRANSLATE(C2941, ""en"", ""ko""))"),"Luminox Atacama Adventurer Field XL.1764 남성용 시계 42mm - 실버/블루 날짜 기능 200m 방수 사파이어 글래스 군용 시계")</f>
        <v>Luminox Atacama Adventurer Field XL.1764 남성용 시계 42mm - 실버/블루 날짜 기능 200m 방수 사파이어 글래스 군용 시계</v>
      </c>
      <c r="F2941" s="1" t="str">
        <f>IFERROR(__xludf.DUMMYFUNCTION("CONCATENATE(GOOGLETRANSLATE(C2941, ""en"", ""ja""))"),"ルミノックス アタカマ アドベンチャラー フィールド XL.1764 メンズ ウォッチ 42mm - ミリタリーウォッチ シルバー/ブルー 日付機能 200m 防水 サファイアガラス")</f>
        <v>ルミノックス アタカマ アドベンチャラー フィールド XL.1764 メンズ ウォッチ 42mm - ミリタリーウォッチ シルバー/ブルー 日付機能 200m 防水 サファイアガラス</v>
      </c>
    </row>
    <row r="2942" ht="15.75" customHeight="1">
      <c r="A2942" s="1">
        <v>4125.0</v>
      </c>
      <c r="B2942" s="1" t="s">
        <v>15</v>
      </c>
      <c r="C2942" s="1" t="s">
        <v>2730</v>
      </c>
      <c r="D2942" s="1" t="str">
        <f>IFERROR(__xludf.DUMMYFUNCTION("CONCATENATE(GOOGLETRANSLATE(C2942, ""en"", ""zh-cn""))"),"Luminox Bear Grylls Survival XB.3729 男士手表 42 毫米 - 黑色军用手表日期功能 200m 防水")</f>
        <v>Luminox Bear Grylls Survival XB.3729 男士手表 42 毫米 - 黑色军用手表日期功能 200m 防水</v>
      </c>
      <c r="E2942" s="1" t="str">
        <f>IFERROR(__xludf.DUMMYFUNCTION("CONCATENATE(GOOGLETRANSLATE(C2942, ""en"", ""ko""))"),"Luminox Bear Grylls Survival XB.3729 남성용 시계 42mm - 블랙 날짜 기능 200m 방수 군용 시계")</f>
        <v>Luminox Bear Grylls Survival XB.3729 남성용 시계 42mm - 블랙 날짜 기능 200m 방수 군용 시계</v>
      </c>
      <c r="F2942" s="1" t="str">
        <f>IFERROR(__xludf.DUMMYFUNCTION("CONCATENATE(GOOGLETRANSLATE(C2942, ""en"", ""ja""))"),"ルミノックス ベア グリルズ サバイバル XB.3729 メンズ ウォッチ 42mm - ミリタリー ウォッチ ブラック 日付機能 200m 防水")</f>
        <v>ルミノックス ベア グリルズ サバイバル XB.3729 メンズ ウォッチ 42mm - ミリタリー ウォッチ ブラック 日付機能 200m 防水</v>
      </c>
    </row>
    <row r="2943" ht="15.75" customHeight="1">
      <c r="A2943" s="1">
        <v>4147.0</v>
      </c>
      <c r="B2943" s="1" t="s">
        <v>15</v>
      </c>
      <c r="C2943" s="1" t="s">
        <v>2731</v>
      </c>
      <c r="D2943" s="1" t="str">
        <f>IFERROR(__xludf.DUMMYFUNCTION("CONCATENATE(GOOGLETRANSLATE(C2943, ""en"", ""zh-cn""))"),"BOSS 男士不锈钢石英手表带硅胶表带，黑色，22（型号：1513716）")</f>
        <v>BOSS 男士不锈钢石英手表带硅胶表带，黑色，22（型号：1513716）</v>
      </c>
      <c r="E2943" s="1" t="str">
        <f>IFERROR(__xludf.DUMMYFUNCTION("CONCATENATE(GOOGLETRANSLATE(C2943, ""en"", ""ko""))"),"BOSS 남성용 스테인리스 스틸 쿼츠 시계, 실리콘 스트랩 포함, 블랙, 22(모델: 1513716)")</f>
        <v>BOSS 남성용 스테인리스 스틸 쿼츠 시계, 실리콘 스트랩 포함, 블랙, 22(모델: 1513716)</v>
      </c>
      <c r="F2943" s="1" t="str">
        <f>IFERROR(__xludf.DUMMYFUNCTION("CONCATENATE(GOOGLETRANSLATE(C2943, ""en"", ""ja""))"),"BOSS メンズ ステンレススチール クォーツ時計 シリコンストラップ付き ブラック 22 (モデル: 1513716)")</f>
        <v>BOSS メンズ ステンレススチール クォーツ時計 シリコンストラップ付き ブラック 22 (モデル: 1513716)</v>
      </c>
    </row>
    <row r="2944" ht="15.75" customHeight="1">
      <c r="A2944" s="1">
        <v>4151.0</v>
      </c>
      <c r="B2944" s="1" t="s">
        <v>15</v>
      </c>
      <c r="C2944" s="1" t="s">
        <v>2732</v>
      </c>
      <c r="D2944" s="1" t="str">
        <f>IFERROR(__xludf.DUMMYFUNCTION("CONCATENATE(GOOGLETRANSLATE(C2944, ""en"", ""zh-cn""))"),"Luminox Atacama Adventurer Field XL.1768 男士手表 42 毫米 - 自动腕表，博朗日期功能 200 米防水蓝宝石玻璃")</f>
        <v>Luminox Atacama Adventurer Field XL.1768 男士手表 42 毫米 - 自动腕表，博朗日期功能 200 米防水蓝宝石玻璃</v>
      </c>
      <c r="E2944" s="1" t="str">
        <f>IFERROR(__xludf.DUMMYFUNCTION("CONCATENATE(GOOGLETRANSLATE(C2944, ""en"", ""ko""))"),"Luminox Atacama Adventurer Field XL.1768 남성용 시계 42mm - 브라운 날짜 기능 200m 방수 사파이어 글래스 자동 시계")</f>
        <v>Luminox Atacama Adventurer Field XL.1768 남성용 시계 42mm - 브라운 날짜 기능 200m 방수 사파이어 글래스 자동 시계</v>
      </c>
      <c r="F2944" s="1" t="str">
        <f>IFERROR(__xludf.DUMMYFUNCTION("CONCATENATE(GOOGLETRANSLATE(C2944, ""en"", ""ja""))"),"ルミノックス アタカマ アドベンチャラー フィールド XL.1768 メンズ ウォッチ 42mm - ブラウン自動巻き時計 日付機能 200m 防水 サファイアガラス")</f>
        <v>ルミノックス アタカマ アドベンチャラー フィールド XL.1768 メンズ ウォッチ 42mm - ブラウン自動巻き時計 日付機能 200m 防水 サファイアガラス</v>
      </c>
    </row>
    <row r="2945" ht="15.75" customHeight="1">
      <c r="A2945" s="1">
        <v>4166.0</v>
      </c>
      <c r="B2945" s="1" t="s">
        <v>15</v>
      </c>
      <c r="C2945" s="1" t="s">
        <v>2733</v>
      </c>
      <c r="D2945" s="1" t="str">
        <f>IFERROR(__xludf.DUMMYFUNCTION("CONCATENATE(GOOGLETRANSLATE(C2945, ""en"", ""zh-cn""))"),"TAKA 珠宝 Cresta 钻石项链 9K")</f>
        <v>TAKA 珠宝 Cresta 钻石项链 9K</v>
      </c>
      <c r="E2945" s="1" t="str">
        <f>IFERROR(__xludf.DUMMYFUNCTION("CONCATENATE(GOOGLETRANSLATE(C2945, ""en"", ""ko""))"),"TAKA 주얼리 크레스타 다이아몬드 목걸이 9K")</f>
        <v>TAKA 주얼리 크레스타 다이아몬드 목걸이 9K</v>
      </c>
      <c r="F2945" s="1" t="str">
        <f>IFERROR(__xludf.DUMMYFUNCTION("CONCATENATE(GOOGLETRANSLATE(C2945, ""en"", ""ja""))"),"TAKA ジュエリー クレスタ ダイヤモンド ネックレス 9K")</f>
        <v>TAKA ジュエリー クレスタ ダイヤモンド ネックレス 9K</v>
      </c>
    </row>
    <row r="2946" ht="15.75" customHeight="1">
      <c r="A2946" s="1">
        <v>4174.0</v>
      </c>
      <c r="B2946" s="1" t="s">
        <v>15</v>
      </c>
      <c r="C2946" s="1" t="s">
        <v>2734</v>
      </c>
      <c r="D2946" s="1" t="str">
        <f>IFERROR(__xludf.DUMMYFUNCTION("CONCATENATE(GOOGLETRANSLATE(C2946, ""en"", ""zh-cn""))"),"Luminox 3051 BLACKOUT EVO 海豹突击队瑞士潜水手表")</f>
        <v>Luminox 3051 BLACKOUT EVO 海豹突击队瑞士潜水手表</v>
      </c>
      <c r="E2946" s="1" t="str">
        <f>IFERROR(__xludf.DUMMYFUNCTION("CONCATENATE(GOOGLETRANSLATE(C2946, ""en"", ""ko""))"),"Luminox 3051 BLACKOUT EVO Navy SEAL 스위스 다이브 시계")</f>
        <v>Luminox 3051 BLACKOUT EVO Navy SEAL 스위스 다이브 시계</v>
      </c>
      <c r="F2946" s="1" t="str">
        <f>IFERROR(__xludf.DUMMYFUNCTION("CONCATENATE(GOOGLETRANSLATE(C2946, ""en"", ""ja""))"),"ルミノックス 3051 ブラックアウト EVO 海軍特殊部隊スイス ダイバーズ ウォッチ")</f>
        <v>ルミノックス 3051 ブラックアウト EVO 海軍特殊部隊スイス ダイバーズ ウォッチ</v>
      </c>
    </row>
    <row r="2947" ht="15.75" customHeight="1">
      <c r="A2947" s="1">
        <v>4178.0</v>
      </c>
      <c r="B2947" s="1" t="s">
        <v>15</v>
      </c>
      <c r="C2947" s="1" t="s">
        <v>2735</v>
      </c>
      <c r="D2947" s="1" t="str">
        <f>IFERROR(__xludf.DUMMYFUNCTION("CONCATENATE(GOOGLETRANSLATE(C2947, ""en"", ""zh-cn""))"),"Timex 男士 Navi XL 自动 41 毫米手表 – 黑色不锈钢表壳和表盘 蓝黑色顶环搭配黑色真皮表带")</f>
        <v>Timex 男士 Navi XL 自动 41 毫米手表 – 黑色不锈钢表壳和表盘 蓝黑色顶环搭配黑色真皮表带</v>
      </c>
      <c r="E2947" s="1" t="str">
        <f>IFERROR(__xludf.DUMMYFUNCTION("CONCATENATE(GOOGLETRANSLATE(C2947, ""en"", ""ko""))"),"Timex 남성용 Navi XL 자동 41mm 시계 – 블랙 스테인레스 스틸 케이스 및 다이얼 블루 블랙 탑 링, 블랙 정품 가죽 스트랩")</f>
        <v>Timex 남성용 Navi XL 자동 41mm 시계 – 블랙 스테인레스 스틸 케이스 및 다이얼 블루 블랙 탑 링, 블랙 정품 가죽 스트랩</v>
      </c>
      <c r="F2947" s="1" t="str">
        <f>IFERROR(__xludf.DUMMYFUNCTION("CONCATENATE(GOOGLETRANSLATE(C2947, ""en"", ""ja""))"),"Timex メンズ Navi XL 自動巻き 41mm ウォッチ – ブラックのステンレススチールケースとダイヤルブルーブラックのトップリング、ブラックの本革ストラップ")</f>
        <v>Timex メンズ Navi XL 自動巻き 41mm ウォッチ – ブラックのステンレススチールケースとダイヤルブルーブラックのトップリング、ブラックの本革ストラップ</v>
      </c>
    </row>
    <row r="2948" ht="15.75" customHeight="1">
      <c r="A2948" s="1">
        <v>4182.0</v>
      </c>
      <c r="B2948" s="1" t="s">
        <v>15</v>
      </c>
      <c r="C2948" s="1" t="s">
        <v>2736</v>
      </c>
      <c r="D2948" s="1" t="str">
        <f>IFERROR(__xludf.DUMMYFUNCTION("CONCATENATE(GOOGLETRANSLATE(C2948, ""en"", ""zh-cn""))"),"施华洛世奇天使水晶珠宝系列，玫瑰金和金色饰面")</f>
        <v>施华洛世奇天使水晶珠宝系列，玫瑰金和金色饰面</v>
      </c>
      <c r="E2948" s="1" t="str">
        <f>IFERROR(__xludf.DUMMYFUNCTION("CONCATENATE(GOOGLETRANSLATE(C2948, ""en"", ""ko""))"),"SWAROVSKI 엔젤릭 크리스탈 주얼리 컬렉션, 로즈 골드 &amp; 골드 톤 마감")</f>
        <v>SWAROVSKI 엔젤릭 크리스탈 주얼리 컬렉션, 로즈 골드 &amp; 골드 톤 마감</v>
      </c>
      <c r="F2948" s="1" t="str">
        <f>IFERROR(__xludf.DUMMYFUNCTION("CONCATENATE(GOOGLETRANSLATE(C2948, ""en"", ""ja""))"),"スワロフスキー アンジェリック クリスタル ジュエリー コレクション、ローズゴールド &amp; ゴールドトーン仕上げ")</f>
        <v>スワロフスキー アンジェリック クリスタル ジュエリー コレクション、ローズゴールド &amp; ゴールドトーン仕上げ</v>
      </c>
    </row>
    <row r="2949" ht="15.75" customHeight="1">
      <c r="A2949" s="1">
        <v>4196.0</v>
      </c>
      <c r="B2949" s="1" t="s">
        <v>15</v>
      </c>
      <c r="C2949" s="1" t="s">
        <v>2737</v>
      </c>
      <c r="D2949" s="1" t="str">
        <f>IFERROR(__xludf.DUMMYFUNCTION("CONCATENATE(GOOGLETRANSLATE(C2949, ""en"", ""zh-cn""))"),"施华洛世奇朗讯单晶耳环珠宝系列")</f>
        <v>施华洛世奇朗讯单晶耳环珠宝系列</v>
      </c>
      <c r="E2949" s="1" t="str">
        <f>IFERROR(__xludf.DUMMYFUNCTION("CONCATENATE(GOOGLETRANSLATE(C2949, ""en"", ""ko""))"),"스와로브스키 루센트 단결정 귀걸이 주얼리 컬렉션")</f>
        <v>스와로브스키 루센트 단결정 귀걸이 주얼리 컬렉션</v>
      </c>
      <c r="F2949" s="1" t="str">
        <f>IFERROR(__xludf.DUMMYFUNCTION("CONCATENATE(GOOGLETRANSLATE(C2949, ""en"", ""ja""))"),"スワロフスキー ルーセント シングル クリスタル イヤリング ジュエリー コレクション")</f>
        <v>スワロフスキー ルーセント シングル クリスタル イヤリング ジュエリー コレクション</v>
      </c>
    </row>
    <row r="2950" ht="15.75" customHeight="1">
      <c r="A2950" s="1">
        <v>4197.0</v>
      </c>
      <c r="B2950" s="1" t="s">
        <v>15</v>
      </c>
      <c r="C2950" s="1" t="s">
        <v>2738</v>
      </c>
      <c r="D2950" s="1" t="str">
        <f>IFERROR(__xludf.DUMMYFUNCTION("CONCATENATE(GOOGLETRANSLATE(C2950, ""en"", ""zh-cn""))"),"Luminox Leatherback SEA Turtle Giant XS.0323.L 44 毫米 - 军用手表黑色/蓝色日期功能 100m 防水")</f>
        <v>Luminox Leatherback SEA Turtle Giant XS.0323.L 44 毫米 - 军用手表黑色/蓝色日期功能 100m 防水</v>
      </c>
      <c r="E2950" s="1" t="str">
        <f>IFERROR(__xludf.DUMMYFUNCTION("CONCATENATE(GOOGLETRANSLATE(C2950, ""en"", ""ko""))"),"Luminox Leatherback SEA Turtle Giant XS.0323.L 44mm - 블랙/블루 날짜 기능 100m 방수 군용 시계")</f>
        <v>Luminox Leatherback SEA Turtle Giant XS.0323.L 44mm - 블랙/블루 날짜 기능 100m 방수 군용 시계</v>
      </c>
      <c r="F2950" s="1" t="str">
        <f>IFERROR(__xludf.DUMMYFUNCTION("CONCATENATE(GOOGLETRANSLATE(C2950, ""en"", ""ja""))"),"ルミノックス レザーバック SEA タートル ジャイアント XS.0323.L 44mm - ミリタリー ウォッチ ブラック/ブルー 日付機能 100m 防水")</f>
        <v>ルミノックス レザーバック SEA タートル ジャイアント XS.0323.L 44mm - ミリタリー ウォッチ ブラック/ブルー 日付機能 100m 防水</v>
      </c>
    </row>
    <row r="2951" ht="15.75" customHeight="1">
      <c r="A2951" s="1">
        <v>4208.0</v>
      </c>
      <c r="B2951" s="1" t="s">
        <v>15</v>
      </c>
      <c r="C2951" s="1" t="s">
        <v>2739</v>
      </c>
      <c r="D2951" s="1" t="str">
        <f>IFERROR(__xludf.DUMMYFUNCTION("CONCATENATE(GOOGLETRANSLATE(C2951, ""en"", ""zh-cn""))"),"施华洛世奇 Curiosa 项链和耳环珠宝系列，粉色水晶")</f>
        <v>施华洛世奇 Curiosa 项链和耳环珠宝系列，粉色水晶</v>
      </c>
      <c r="E2951" s="1" t="str">
        <f>IFERROR(__xludf.DUMMYFUNCTION("CONCATENATE(GOOGLETRANSLATE(C2951, ""en"", ""ko""))"),"스와로브스키 큐리오사 목걸이 및 귀걸이 주얼리 컬렉션, 핑크 크리스털")</f>
        <v>스와로브스키 큐리오사 목걸이 및 귀걸이 주얼리 컬렉션, 핑크 크리스털</v>
      </c>
      <c r="F2951" s="1" t="str">
        <f>IFERROR(__xludf.DUMMYFUNCTION("CONCATENATE(GOOGLETRANSLATE(C2951, ""en"", ""ja""))"),"スワロフスキー キュリオサ ネックレスとイヤリング ジュエリー コレクション、ピンク クリスタル")</f>
        <v>スワロフスキー キュリオサ ネックレスとイヤリング ジュエリー コレクション、ピンク クリスタル</v>
      </c>
    </row>
    <row r="2952" ht="15.75" customHeight="1">
      <c r="A2952" s="1">
        <v>4245.0</v>
      </c>
      <c r="B2952" s="1" t="s">
        <v>15</v>
      </c>
      <c r="C2952" s="1" t="s">
        <v>2740</v>
      </c>
      <c r="D2952" s="1" t="str">
        <f>IFERROR(__xludf.DUMMYFUNCTION("CONCATENATE(GOOGLETRANSLATE(C2952, ""en"", ""zh-cn""))"),"施华洛世奇大西洋海雀雕像深色多款一种尺寸")</f>
        <v>施华洛世奇大西洋海雀雕像深色多款一种尺寸</v>
      </c>
      <c r="E2952" s="1" t="str">
        <f>IFERROR(__xludf.DUMMYFUNCTION("CONCATENATE(GOOGLETRANSLATE(C2952, ""en"", ""ko""))"),"SWAROVSKI 대서양 퍼핀 피규어 다크 멀티 원 사이즈")</f>
        <v>SWAROVSKI 대서양 퍼핀 피규어 다크 멀티 원 사이즈</v>
      </c>
      <c r="F2952" s="1" t="str">
        <f>IFERROR(__xludf.DUMMYFUNCTION("CONCATENATE(GOOGLETRANSLATE(C2952, ""en"", ""ja""))"),"スワロフスキー Atlantic Puffins 置物 ダークマルチ フリーサイズ")</f>
        <v>スワロフスキー Atlantic Puffins 置物 ダークマルチ フリーサイズ</v>
      </c>
    </row>
    <row r="2953" ht="15.75" customHeight="1">
      <c r="A2953" s="1">
        <v>4249.0</v>
      </c>
      <c r="B2953" s="1" t="s">
        <v>15</v>
      </c>
      <c r="C2953" s="1" t="s">
        <v>2741</v>
      </c>
      <c r="D2953" s="1" t="str">
        <f>IFERROR(__xludf.DUMMYFUNCTION("CONCATENATE(GOOGLETRANSLATE(C2953, ""en"", ""zh-cn""))"),"男士 SNK805 SEIKO 5 自动不锈钢手表，带绿色帆布")</f>
        <v>男士 SNK805 SEIKO 5 自动不锈钢手表，带绿色帆布</v>
      </c>
      <c r="E2953" s="1" t="str">
        <f>IFERROR(__xludf.DUMMYFUNCTION("CONCATENATE(GOOGLETRANSLATE(C2953, ""en"", ""ko""))"),"남성용 SNK805 SEIKO 5 자동 스테인리스 스틸 시계(그린 캔버스 포함)")</f>
        <v>남성용 SNK805 SEIKO 5 자동 스테인리스 스틸 시계(그린 캔버스 포함)</v>
      </c>
      <c r="F2953" s="1" t="str">
        <f>IFERROR(__xludf.DUMMYFUNCTION("CONCATENATE(GOOGLETRANSLATE(C2953, ""en"", ""ja""))"),"メンズ SNK805 SEIKO 5 自動巻きステンレススチールウォッチ、グリーン キャンバス")</f>
        <v>メンズ SNK805 SEIKO 5 自動巻きステンレススチールウォッチ、グリーン キャンバス</v>
      </c>
    </row>
    <row r="2954" ht="15.75" customHeight="1">
      <c r="A2954" s="1">
        <v>4258.0</v>
      </c>
      <c r="B2954" s="1" t="s">
        <v>15</v>
      </c>
      <c r="C2954" s="1" t="s">
        <v>2742</v>
      </c>
      <c r="D2954" s="1" t="str">
        <f>IFERROR(__xludf.DUMMYFUNCTION("CONCATENATE(GOOGLETRANSLATE(C2954, ""en"", ""zh-cn""))"),"FEICE 中性方形手表男士包豪斯自动手表机械手表模拟腕表 -蓝宝石镜面 -34 毫米表壳 -FM301")</f>
        <v>FEICE 中性方形手表男士包豪斯自动手表机械手表模拟腕表 -蓝宝石镜面 -34 毫米表壳 -FM301</v>
      </c>
      <c r="E2954" s="1" t="str">
        <f>IFERROR(__xludf.DUMMYFUNCTION("CONCATENATE(GOOGLETRANSLATE(C2954, ""en"", ""ko""))"),"FEICE 유니섹스 스퀘어 시계 남성용 바우하우스 자동 시계 기계식 시계 아날로그 손목시계 -사파이어 미러 -34mm 케이스 -FM301")</f>
        <v>FEICE 유니섹스 스퀘어 시계 남성용 바우하우스 자동 시계 기계식 시계 아날로그 손목시계 -사파이어 미러 -34mm 케이스 -FM301</v>
      </c>
      <c r="F2954" s="1" t="str">
        <f>IFERROR(__xludf.DUMMYFUNCTION("CONCATENATE(GOOGLETRANSLATE(C2954, ""en"", ""ja""))"),"FEICE ユニセックス スクエアウォッチ メンズ バウハウス 自動巻き 機械式時計 アナログ腕時計 - サファイア ミラー - 34mm ケース - FM301")</f>
        <v>FEICE ユニセックス スクエアウォッチ メンズ バウハウス 自動巻き 機械式時計 アナログ腕時計 - サファイア ミラー - 34mm ケース - FM301</v>
      </c>
    </row>
    <row r="2955" ht="15.75" customHeight="1">
      <c r="A2955" s="1">
        <v>4263.0</v>
      </c>
      <c r="B2955" s="1" t="s">
        <v>15</v>
      </c>
      <c r="C2955" s="1" t="s">
        <v>2743</v>
      </c>
      <c r="D2955" s="1" t="str">
        <f>IFERROR(__xludf.DUMMYFUNCTION("CONCATENATE(GOOGLETRANSLATE(C2955, ""en"", ""zh-cn""))"),"卡西欧 G-Shock G Shock GM-5600LC-7JF [G-Shock Precious Heart Selection] 男士手表 日本发货 2022 年 11 月 型号")</f>
        <v>卡西欧 G-Shock G Shock GM-5600LC-7JF [G-Shock Precious Heart Selection] 男士手表 日本发货 2022 年 11 月 型号</v>
      </c>
      <c r="E2955" s="1" t="str">
        <f>IFERROR(__xludf.DUMMYFUNCTION("CONCATENATE(GOOGLETRANSLATE(C2955, ""en"", ""ko""))"),"카시오 G-Shock G Shock GM-5600LC-7JF [G-Shock Precious Heart Selection] 남성용 시계 Shipped from Japan Nov 2022 Model")</f>
        <v>카시오 G-Shock G Shock GM-5600LC-7JF [G-Shock Precious Heart Selection] 남성용 시계 Shipped from Japan Nov 2022 Model</v>
      </c>
      <c r="F2955" s="1" t="str">
        <f>IFERROR(__xludf.DUMMYFUNCTION("CONCATENATE(GOOGLETRANSLATE(C2955, ""en"", ""ja""))"),"カシオ G-SHOCK Gショック GM-5600LC-7JF 【G-SHOCK プレシャスハートセレクション】 メンズ 腕時計 国内発送 2022年11月モデル")</f>
        <v>カシオ G-SHOCK Gショック GM-5600LC-7JF 【G-SHOCK プレシャスハートセレクション】 メンズ 腕時計 国内発送 2022年11月モデル</v>
      </c>
    </row>
    <row r="2956" ht="15.75" customHeight="1">
      <c r="A2956" s="1">
        <v>4269.0</v>
      </c>
      <c r="B2956" s="1" t="s">
        <v>15</v>
      </c>
      <c r="C2956" s="1" t="s">
        <v>2744</v>
      </c>
      <c r="D2956" s="1" t="str">
        <f>IFERROR(__xludf.DUMMYFUNCTION("CONCATENATE(GOOGLETRANSLATE(C2956, ""en"", ""zh-cn""))"),"施华洛世奇女士 Millenia 穿孔环形耳环系列，镀铑饰面，透明水晶")</f>
        <v>施华洛世奇女士 Millenia 穿孔环形耳环系列，镀铑饰面，透明水晶</v>
      </c>
      <c r="E2956" s="1" t="str">
        <f>IFERROR(__xludf.DUMMYFUNCTION("CONCATENATE(GOOGLETRANSLATE(C2956, ""en"", ""ko""))"),"SWAROVSKI 여성용 밀레니아 피어싱 후프 귀걸이 컬렉션, 로듐 마감, 클리어 크리스털")</f>
        <v>SWAROVSKI 여성용 밀레니아 피어싱 후프 귀걸이 컬렉션, 로듐 마감, 클리어 크리스털</v>
      </c>
      <c r="F2956" s="1" t="str">
        <f>IFERROR(__xludf.DUMMYFUNCTION("CONCATENATE(GOOGLETRANSLATE(C2956, ""en"", ""ja""))"),"スワロフスキー レディース ミレニア ピアス フープ イヤリング コレクション、ロジウム仕上げ、クリア クリスタル")</f>
        <v>スワロフスキー レディース ミレニア ピアス フープ イヤリング コレクション、ロジウム仕上げ、クリア クリスタル</v>
      </c>
    </row>
    <row r="2957" ht="15.75" customHeight="1">
      <c r="A2957" s="1">
        <v>4275.0</v>
      </c>
      <c r="B2957" s="1" t="s">
        <v>15</v>
      </c>
      <c r="C2957" s="1" t="s">
        <v>2745</v>
      </c>
      <c r="D2957" s="1" t="str">
        <f>IFERROR(__xludf.DUMMYFUNCTION("CONCATENATE(GOOGLETRANSLATE(C2957, ""en"", ""zh-cn""))"),"OLEVS 男士皮革手表自动机械镂空陀飞轮钻石豪华自动上链正装腕表月相防水夜光")</f>
        <v>OLEVS 男士皮革手表自动机械镂空陀飞轮钻石豪华自动上链正装腕表月相防水夜光</v>
      </c>
      <c r="E2957" s="1" t="str">
        <f>IFERROR(__xludf.DUMMYFUNCTION("CONCATENATE(GOOGLETRANSLATE(C2957, ""en"", ""ko""))"),"OLEVS 남성용 가죽 시계 자동 기계식 스켈레톤 뚜르비옹 다이아몬드 럭셔리 셀프 와인딩 드레스 손목 시계 달의 위상 방수 발광")</f>
        <v>OLEVS 남성용 가죽 시계 자동 기계식 스켈레톤 뚜르비옹 다이아몬드 럭셔리 셀프 와인딩 드레스 손목 시계 달의 위상 방수 발광</v>
      </c>
      <c r="F2957" s="1" t="str">
        <f>IFERROR(__xludf.DUMMYFUNCTION("CONCATENATE(GOOGLETRANSLATE(C2957, ""en"", ""ja""))"),"OLEVS メンズレザーウォッチ自動機械式スケルトントゥールビヨンダイヤモンド高級自動巻きドレス腕時計ムーンフェイズ防水発光")</f>
        <v>OLEVS メンズレザーウォッチ自動機械式スケルトントゥールビヨンダイヤモンド高級自動巻きドレス腕時計ムーンフェイズ防水発光</v>
      </c>
    </row>
    <row r="2958" ht="15.75" customHeight="1">
      <c r="A2958" s="1">
        <v>4283.0</v>
      </c>
      <c r="B2958" s="1" t="s">
        <v>15</v>
      </c>
      <c r="C2958" s="1" t="s">
        <v>2746</v>
      </c>
      <c r="D2958" s="1" t="str">
        <f>IFERROR(__xludf.DUMMYFUNCTION("CONCATENATE(GOOGLETRANSLATE(C2958, ""en"", ""zh-cn""))"),"Timex 正装手表（型号：TW2U78400VQ）")</f>
        <v>Timex 正装手表（型号：TW2U78400VQ）</v>
      </c>
      <c r="E2958" s="1" t="str">
        <f>IFERROR(__xludf.DUMMYFUNCTION("CONCATENATE(GOOGLETRANSLATE(C2958, ""en"", ""ko""))"),"타이멕스 드레스 워치 (모델: TW2U78400VQ)")</f>
        <v>타이멕스 드레스 워치 (모델: TW2U78400VQ)</v>
      </c>
      <c r="F2958" s="1" t="str">
        <f>IFERROR(__xludf.DUMMYFUNCTION("CONCATENATE(GOOGLETRANSLATE(C2958, ""en"", ""ja""))"),"タイメックス ドレスウォッチ (モデル: TW2U78400VQ)")</f>
        <v>タイメックス ドレスウォッチ (モデル: TW2U78400VQ)</v>
      </c>
    </row>
    <row r="2959" ht="15.75" customHeight="1">
      <c r="A2959" s="1">
        <v>4292.0</v>
      </c>
      <c r="B2959" s="1" t="s">
        <v>15</v>
      </c>
      <c r="C2959" s="1" t="s">
        <v>2747</v>
      </c>
      <c r="D2959" s="1" t="str">
        <f>IFERROR(__xludf.DUMMYFUNCTION("CONCATENATE(GOOGLETRANSLATE(C2959, ""en"", ""zh-cn""))"),"施华洛世奇石手镯系列，透明水晶，粉色水晶")</f>
        <v>施华洛世奇石手镯系列，透明水晶，粉色水晶</v>
      </c>
      <c r="E2959" s="1" t="str">
        <f>IFERROR(__xludf.DUMMYFUNCTION("CONCATENATE(GOOGLETRANSLATE(C2959, ""en"", ""ko""))"),"스와로브스키 스톤 뱅글 브레이슬릿 컬렉션, 클리어 크리스털, 핑크 크리스털")</f>
        <v>스와로브스키 스톤 뱅글 브레이슬릿 컬렉션, 클리어 크리스털, 핑크 크리스털</v>
      </c>
      <c r="F2959" s="1" t="str">
        <f>IFERROR(__xludf.DUMMYFUNCTION("CONCATENATE(GOOGLETRANSLATE(C2959, ""en"", ""ja""))"),"スワロフスキー ストーン バングル ブレスレット コレクション、クリア クリスタル、ピンク クリスタル")</f>
        <v>スワロフスキー ストーン バングル ブレスレット コレクション、クリア クリスタル、ピンク クリスタル</v>
      </c>
    </row>
    <row r="2960" ht="15.75" customHeight="1">
      <c r="A2960" s="1">
        <v>4297.0</v>
      </c>
      <c r="B2960" s="1" t="s">
        <v>15</v>
      </c>
      <c r="C2960" s="1" t="s">
        <v>2748</v>
      </c>
      <c r="D2960" s="1" t="str">
        <f>IFERROR(__xludf.DUMMYFUNCTION("CONCATENATE(GOOGLETRANSLATE(C2960, ""en"", ""zh-cn""))"),"施华洛世奇阿拉丁阿布雕像，配有彩色施华洛世奇水晶，属于施华洛世奇阿拉丁系列的一部分")</f>
        <v>施华洛世奇阿拉丁阿布雕像，配有彩色施华洛世奇水晶，属于施华洛世奇阿拉丁系列的一部分</v>
      </c>
      <c r="E2960" s="1" t="str">
        <f>IFERROR(__xludf.DUMMYFUNCTION("CONCATENATE(GOOGLETRANSLATE(C2960, ""en"", ""ko""))"),"다양한 색상의 스와로브스키 크리스털이 있는 스와로브스키 알라딘 아부 조각상, 스와로브스키 알라딘 컬렉션의 일부")</f>
        <v>다양한 색상의 스와로브스키 크리스털이 있는 스와로브스키 알라딘 아부 조각상, 스와로브스키 알라딘 컬렉션의 일부</v>
      </c>
      <c r="F2960" s="1" t="str">
        <f>IFERROR(__xludf.DUMMYFUNCTION("CONCATENATE(GOOGLETRANSLATE(C2960, ""en"", ""ja""))"),"マルチカラーのスワロフスキー クリスタルを使用したスワロフスキー アラジン アブ フィギュア、スワロフスキー アラジン コレクションの一部")</f>
        <v>マルチカラーのスワロフスキー クリスタルを使用したスワロフスキー アラジン アブ フィギュア、スワロフスキー アラジン コレクションの一部</v>
      </c>
    </row>
    <row r="2961" ht="15.75" customHeight="1">
      <c r="A2961" s="1">
        <v>4311.0</v>
      </c>
      <c r="B2961" s="1" t="s">
        <v>15</v>
      </c>
      <c r="C2961" s="1" t="s">
        <v>2749</v>
      </c>
      <c r="D2961" s="1" t="str">
        <f>IFERROR(__xludf.DUMMYFUNCTION("CONCATENATE(GOOGLETRANSLATE(C2961, ""en"", ""zh-cn""))"),"Kendra Scott 德克萨斯吊坠项链")</f>
        <v>Kendra Scott 德克萨斯吊坠项链</v>
      </c>
      <c r="E2961" s="1" t="str">
        <f>IFERROR(__xludf.DUMMYFUNCTION("CONCATENATE(GOOGLETRANSLATE(C2961, ""en"", ""ko""))"),"Kendra Scott 텍사스 펜던트 목걸이")</f>
        <v>Kendra Scott 텍사스 펜던트 목걸이</v>
      </c>
      <c r="F2961" s="1" t="str">
        <f>IFERROR(__xludf.DUMMYFUNCTION("CONCATENATE(GOOGLETRANSLATE(C2961, ""en"", ""ja""))"),"ケンドラ スコット テキサス ペンダント ネックレス")</f>
        <v>ケンドラ スコット テキサス ペンダント ネックレス</v>
      </c>
    </row>
    <row r="2962" ht="15.75" customHeight="1">
      <c r="A2962" s="1">
        <v>4313.0</v>
      </c>
      <c r="B2962" s="1" t="s">
        <v>15</v>
      </c>
      <c r="C2962" s="1" t="s">
        <v>2750</v>
      </c>
      <c r="D2962" s="1" t="str">
        <f>IFERROR(__xludf.DUMMYFUNCTION("CONCATENATE(GOOGLETRANSLATE(C2962, ""en"", ""zh-cn""))"),"卡西欧 DW-5600CA-2JF [G-Shock DIAL CAMO Utility 系列] 手表 日本发货 2022 年 1 月发布")</f>
        <v>卡西欧 DW-5600CA-2JF [G-Shock DIAL CAMO Utility 系列] 手表 日本发货 2022 年 1 月发布</v>
      </c>
      <c r="E2962" s="1" t="str">
        <f>IFERROR(__xludf.DUMMYFUNCTION("CONCATENATE(GOOGLETRANSLATE(C2962, ""en"", ""ko""))"),"카시오 DW-5600CA-2JF [G-Shock DIAL CAMO 유틸리티 시리즈] 시계 2022년 1월 일본에서 출시")</f>
        <v>카시오 DW-5600CA-2JF [G-Shock DIAL CAMO 유틸리티 시리즈] 시계 2022년 1월 일본에서 출시</v>
      </c>
      <c r="F2962" s="1" t="str">
        <f>IFERROR(__xludf.DUMMYFUNCTION("CONCATENATE(GOOGLETRANSLATE(C2962, ""en"", ""ja""))"),"カシオ DW-5600CA-2JF [G-Shock DIAL CAMO Utility Series] 腕時計 日本発送 2022年1月発売")</f>
        <v>カシオ DW-5600CA-2JF [G-Shock DIAL CAMO Utility Series] 腕時計 日本発送 2022年1月発売</v>
      </c>
    </row>
    <row r="2963" ht="15.75" customHeight="1">
      <c r="A2963" s="1">
        <v>4324.0</v>
      </c>
      <c r="B2963" s="1" t="s">
        <v>15</v>
      </c>
      <c r="C2963" s="1" t="s">
        <v>2751</v>
      </c>
      <c r="D2963" s="1" t="str">
        <f>IFERROR(__xludf.DUMMYFUNCTION("CONCATENATE(GOOGLETRANSLATE(C2963, ""en"", ""zh-cn""))"),"施华洛世奇女士闪亮舞蹈珠宝系列，镀铑饰面，绿色水晶，透明水晶")</f>
        <v>施华洛世奇女士闪亮舞蹈珠宝系列，镀铑饰面，绿色水晶，透明水晶</v>
      </c>
      <c r="E2963" s="1" t="str">
        <f>IFERROR(__xludf.DUMMYFUNCTION("CONCATENATE(GOOGLETRANSLATE(C2963, ""en"", ""ko""))"),"스와로브스키 여성용 스파클링 댄스 주얼리 컬렉션, 로듐 마감, 그린 크리스털, 클리어 크리스털")</f>
        <v>스와로브스키 여성용 스파클링 댄스 주얼리 컬렉션, 로듐 마감, 그린 크리스털, 클리어 크리스털</v>
      </c>
      <c r="F2963" s="1" t="str">
        <f>IFERROR(__xludf.DUMMYFUNCTION("CONCATENATE(GOOGLETRANSLATE(C2963, ""en"", ""ja""))"),"スワロフスキー レディース スパークリング ダンス ジュエリー コレクション、ロジウム仕上げ、グリーン クリスタル、クリア クリスタル")</f>
        <v>スワロフスキー レディース スパークリング ダンス ジュエリー コレクション、ロジウム仕上げ、グリーン クリスタル、クリア クリスタル</v>
      </c>
    </row>
    <row r="2964" ht="15.75" customHeight="1">
      <c r="A2964" s="1">
        <v>4327.0</v>
      </c>
      <c r="B2964" s="1" t="s">
        <v>15</v>
      </c>
      <c r="C2964" s="1" t="s">
        <v>2752</v>
      </c>
      <c r="D2964" s="1" t="str">
        <f>IFERROR(__xludf.DUMMYFUNCTION("CONCATENATE(GOOGLETRANSLATE(C2964, ""en"", ""zh-cn""))"),"卡西欧男士手表 G-SHOCK DW-5600M-8JF")</f>
        <v>卡西欧男士手表 G-SHOCK DW-5600M-8JF</v>
      </c>
      <c r="E2964" s="1" t="str">
        <f>IFERROR(__xludf.DUMMYFUNCTION("CONCATENATE(GOOGLETRANSLATE(C2964, ""en"", ""ko""))"),"CASIO 남성용 시계 G-SHOCK DW-5600M-8JF")</f>
        <v>CASIO 남성용 시계 G-SHOCK DW-5600M-8JF</v>
      </c>
      <c r="F2964" s="1" t="str">
        <f>IFERROR(__xludf.DUMMYFUNCTION("CONCATENATE(GOOGLETRANSLATE(C2964, ""en"", ""ja""))"),"[カシオ] 腕時計 G-SHOCK メンズ DW-5600M-8JF")</f>
        <v>[カシオ] 腕時計 G-SHOCK メンズ DW-5600M-8JF</v>
      </c>
    </row>
    <row r="2965" ht="15.75" customHeight="1">
      <c r="A2965" s="1">
        <v>4329.0</v>
      </c>
      <c r="B2965" s="1" t="s">
        <v>15</v>
      </c>
      <c r="C2965" s="1" t="s">
        <v>2753</v>
      </c>
      <c r="D2965" s="1" t="str">
        <f>IFERROR(__xludf.DUMMYFUNCTION("CONCATENATE(GOOGLETRANSLATE(C2965, ""en"", ""zh-cn""))"),"卡西欧 G-Shock DW-5700TH-1JF [复古 1990 年代]")</f>
        <v>卡西欧 G-Shock DW-5700TH-1JF [复古 1990 年代]</v>
      </c>
      <c r="E2965" s="1" t="str">
        <f>IFERROR(__xludf.DUMMYFUNCTION("CONCATENATE(GOOGLETRANSLATE(C2965, ""en"", ""ko""))"),"CASIO G-Shock DW-5700TH-1JF [1990년대 회상]")</f>
        <v>CASIO G-Shock DW-5700TH-1JF [1990년대 회상]</v>
      </c>
      <c r="F2965" s="1" t="str">
        <f>IFERROR(__xludf.DUMMYFUNCTION("CONCATENATE(GOOGLETRANSLATE(C2965, ""en"", ""ja""))"),"CASIO Gショック DW-5700TH-1JF 【1990年代】")</f>
        <v>CASIO Gショック DW-5700TH-1JF 【1990年代】</v>
      </c>
    </row>
    <row r="2966" ht="15.75" customHeight="1">
      <c r="A2966" s="1">
        <v>4336.0</v>
      </c>
      <c r="B2966" s="1" t="s">
        <v>15</v>
      </c>
      <c r="C2966" s="1" t="s">
        <v>2754</v>
      </c>
      <c r="D2966" s="1" t="str">
        <f>IFERROR(__xludf.DUMMYFUNCTION("CONCATENATE(GOOGLETRANSLATE(C2966, ""en"", ""zh-cn""))"),"LOREO 男士银色不锈钢蓝宝石玻璃黑色旋转表圈男士自动手表")</f>
        <v>LOREO 男士银色不锈钢蓝宝石玻璃黑色旋转表圈男士自动手表</v>
      </c>
      <c r="E2966" s="1" t="str">
        <f>IFERROR(__xludf.DUMMYFUNCTION("CONCATENATE(GOOGLETRANSLATE(C2966, ""en"", ""ko""))"),"LOREO 남성용 실버 스테인레스 스틸 사파이어 글라스 블랙 회전 베젤 남성용 자동 시계")</f>
        <v>LOREO 남성용 실버 스테인레스 스틸 사파이어 글라스 블랙 회전 베젤 남성용 자동 시계</v>
      </c>
      <c r="F2966" s="1" t="str">
        <f>IFERROR(__xludf.DUMMYFUNCTION("CONCATENATE(GOOGLETRANSLATE(C2966, ""en"", ""ja""))"),"LOREO メンズ シルバー ステンレススチール サファイア ガラス ブラック 回転ベゼル メンズ自動巻き時計")</f>
        <v>LOREO メンズ シルバー ステンレススチール サファイア ガラス ブラック 回転ベゼル メンズ自動巻き時計</v>
      </c>
    </row>
    <row r="2967" ht="15.75" customHeight="1">
      <c r="A2967" s="1">
        <v>4346.0</v>
      </c>
      <c r="B2967" s="1" t="s">
        <v>15</v>
      </c>
      <c r="C2967" s="1" t="s">
        <v>2755</v>
      </c>
      <c r="D2967" s="1" t="str">
        <f>IFERROR(__xludf.DUMMYFUNCTION("CONCATENATE(GOOGLETRANSLATE(C2967, ""en"", ""zh-cn""))"),"Invicta 男士 25852 Pro Diver 模拟显示石英金色手表")</f>
        <v>Invicta 男士 25852 Pro Diver 模拟显示石英金色手表</v>
      </c>
      <c r="E2967" s="1" t="str">
        <f>IFERROR(__xludf.DUMMYFUNCTION("CONCATENATE(GOOGLETRANSLATE(C2967, ""en"", ""ko""))"),"인빅타 남성용 25852 프로 다이버 아날로그 디스플레이 쿼츠 골드 시계")</f>
        <v>인빅타 남성용 25852 프로 다이버 아날로그 디스플레이 쿼츠 골드 시계</v>
      </c>
      <c r="F2967" s="1" t="str">
        <f>IFERROR(__xludf.DUMMYFUNCTION("CONCATENATE(GOOGLETRANSLATE(C2967, ""en"", ""ja""))"),"インヴィクタ メンズ 25852 プロ ダイバー アナログ ディスプレイ クォーツ ゴールド ウォッチ")</f>
        <v>インヴィクタ メンズ 25852 プロ ダイバー アナログ ディスプレイ クォーツ ゴールド ウォッチ</v>
      </c>
    </row>
    <row r="2968" ht="15.75" customHeight="1">
      <c r="A2968" s="1">
        <v>4353.0</v>
      </c>
      <c r="B2968" s="1" t="s">
        <v>15</v>
      </c>
      <c r="C2968" s="1" t="s">
        <v>2756</v>
      </c>
      <c r="D2968" s="1" t="str">
        <f>IFERROR(__xludf.DUMMYFUNCTION("CONCATENATE(GOOGLETRANSLATE(C2968, ""en"", ""zh-cn""))"),"施华洛世奇珠宝夜光项链，黑色")</f>
        <v>施华洛世奇珠宝夜光项链，黑色</v>
      </c>
      <c r="E2968" s="1" t="str">
        <f>IFERROR(__xludf.DUMMYFUNCTION("CONCATENATE(GOOGLETRANSLATE(C2968, ""en"", ""ko""))"),"SWAROVSKI 주얼리 빛나는 달 목걸이, 블랙")</f>
        <v>SWAROVSKI 주얼리 빛나는 달 목걸이, 블랙</v>
      </c>
      <c r="F2968" s="1" t="str">
        <f>IFERROR(__xludf.DUMMYFUNCTION("CONCATENATE(GOOGLETRANSLATE(C2968, ""en"", ""ja""))"),"スワロフスキー ジュエリー グローイング ムーン ネックレス、ブラック")</f>
        <v>スワロフスキー ジュエリー グローイング ムーン ネックレス、ブラック</v>
      </c>
    </row>
    <row r="2969" ht="15.75" customHeight="1">
      <c r="A2969" s="1">
        <v>4364.0</v>
      </c>
      <c r="B2969" s="1" t="s">
        <v>15</v>
      </c>
      <c r="C2969" s="1" t="s">
        <v>2757</v>
      </c>
      <c r="D2969" s="1" t="str">
        <f>IFERROR(__xludf.DUMMYFUNCTION("CONCATENATE(GOOGLETRANSLATE(C2969, ""en"", ""zh-cn""))"),"JACH 104 敞篷组合沙发，简约中世纪天鹅绒沙发，豪华现代 3 座宽沙发组合客厅卧室办公公寓（绿色）")</f>
        <v>JACH 104 敞篷组合沙发，简约中世纪天鹅绒沙发，豪华现代 3 座宽沙发组合客厅卧室办公公寓（绿色）</v>
      </c>
      <c r="E2969" s="1" t="str">
        <f>IFERROR(__xludf.DUMMYFUNCTION("CONCATENATE(GOOGLETRANSLATE(C2969, ""en"", ""ko""))"),"JACH 104 컨버터블 모듈식 단면 소파, 미니멀리스트 세기 중반 벨벳 소파 소파, 거실 침실 사무실 아파트용 럭셔리 모던 3인용 와이드 소파 단면(녹색)")</f>
        <v>JACH 104 컨버터블 모듈식 단면 소파, 미니멀리스트 세기 중반 벨벳 소파 소파, 거실 침실 사무실 아파트용 럭셔리 모던 3인용 와이드 소파 단면(녹색)</v>
      </c>
      <c r="F2969" s="1" t="str">
        <f>IFERROR(__xludf.DUMMYFUNCTION("CONCATENATE(GOOGLETRANSLATE(C2969, ""en"", ""ja""))"),"JACH 104 コンバーチブルモジュール式セクショナルソファ、ミニマリストミッドセンチュリーベルベットソファカウチ、豪華でモダンな3人掛けワイドソファセクショナルリビングルームベッドルームオフィスアパートメント用 (グリーン)")</f>
        <v>JACH 104 コンバーチブルモジュール式セクショナルソファ、ミニマリストミッドセンチュリーベルベットソファカウチ、豪華でモダンな3人掛けワイドソファセクショナルリビングルームベッドルームオフィスアパートメント用 (グリーン)</v>
      </c>
    </row>
    <row r="2970" ht="15.75" customHeight="1">
      <c r="A2970" s="1">
        <v>4365.0</v>
      </c>
      <c r="B2970" s="1" t="s">
        <v>15</v>
      </c>
      <c r="C2970" s="1" t="s">
        <v>2758</v>
      </c>
      <c r="D2970" s="1" t="str">
        <f>IFERROR(__xludf.DUMMYFUNCTION("CONCATENATE(GOOGLETRANSLATE(C2970, ""en"", ""zh-cn""))"),"MELLCOM 柔软亚麻布艺沙发，带双人宽躺椅，现代 U 形组合沙发，带现代金属脚的公寓客厅沙发，蓝色")</f>
        <v>MELLCOM 柔软亚麻布艺沙发，带双人宽躺椅，现代 U 形组合沙发，带现代金属脚的公寓客厅沙发，蓝色</v>
      </c>
      <c r="E2970" s="1" t="str">
        <f>IFERROR(__xludf.DUMMYFUNCTION("CONCATENATE(GOOGLETRANSLATE(C2970, ""en"", ""ko""))"),"MELLCOM 부드러운 리넨 패브릭 소파(더블 와이드 긴 의자 라운지 포함), 아파트 거실용 현대적인 금속 피트가 있는 현대적인 U자형 단면 소파 소파, 블루")</f>
        <v>MELLCOM 부드러운 리넨 패브릭 소파(더블 와이드 긴 의자 라운지 포함), 아파트 거실용 현대적인 금속 피트가 있는 현대적인 U자형 단면 소파 소파, 블루</v>
      </c>
      <c r="F2970" s="1" t="str">
        <f>IFERROR(__xludf.DUMMYFUNCTION("CONCATENATE(GOOGLETRANSLATE(C2970, ""en"", ""ja""))"),"MELLCOM ソフトリネン生地ソファ ダブルワイド寝椅子付き モダンな U 字型セクショナルソファ カウチ モダンな金属足付き アパートリビングルーム用 ブルー")</f>
        <v>MELLCOM ソフトリネン生地ソファ ダブルワイド寝椅子付き モダンな U 字型セクショナルソファ カウチ モダンな金属足付き アパートリビングルーム用 ブルー</v>
      </c>
    </row>
    <row r="2971" ht="15.75" customHeight="1">
      <c r="A2971" s="1">
        <v>4366.0</v>
      </c>
      <c r="B2971" s="1" t="s">
        <v>15</v>
      </c>
      <c r="C2971" s="1" t="s">
        <v>2180</v>
      </c>
      <c r="D2971" s="1" t="str">
        <f>IFERROR(__xludf.DUMMYFUNCTION("CONCATENATE(GOOGLETRANSLATE(C2971, ""en"", ""zh-cn""))"),"UBGO 3 件套现代纽扣簇绒软垫，客厅家具，3 座扶手，双人沙发套装，单人沙发，办公室沙发和沙发，组合（浅灰色）")</f>
        <v>UBGO 3 件套现代纽扣簇绒软垫，客厅家具，3 座扶手，双人沙发套装，单人沙发，办公室沙发和沙发，组合（浅灰色）</v>
      </c>
      <c r="E2971" s="1" t="str">
        <f>IFERROR(__xludf.DUMMYFUNCTION("CONCATENATE(GOOGLETRANSLATE(C2971, ""en"", ""ko""))"),"UBGO 3피스 모던 버튼 장식 덮개, 거실 가구, 3인용 팔걸이, 2인용 의자 세트, 싱글 소파, 사무실용 소파 및 소파, 단면(밝은 회색)")</f>
        <v>UBGO 3피스 모던 버튼 장식 덮개, 거실 가구, 3인용 팔걸이, 2인용 의자 세트, 싱글 소파, 사무실용 소파 및 소파, 단면(밝은 회색)</v>
      </c>
      <c r="F2971" s="1" t="str">
        <f>IFERROR(__xludf.DUMMYFUNCTION("CONCATENATE(GOOGLETRANSLATE(C2971, ""en"", ""ja""))"),"UBGO 3ピース モダンボタンタフテッド布張り、リビングルーム家具、3人掛けアームレスト、二人掛けセット、シングルソファ、オフィス用ソファ&amp;ソファ、組立式(ライトグレー)")</f>
        <v>UBGO 3ピース モダンボタンタフテッド布張り、リビングルーム家具、3人掛けアームレスト、二人掛けセット、シングルソファ、オフィス用ソファ&amp;ソファ、組立式(ライトグレー)</v>
      </c>
    </row>
    <row r="2972" ht="15.75" customHeight="1">
      <c r="A2972" s="1">
        <v>4368.0</v>
      </c>
      <c r="B2972" s="1" t="s">
        <v>15</v>
      </c>
      <c r="C2972" s="1" t="s">
        <v>2640</v>
      </c>
      <c r="D2972" s="1" t="str">
        <f>IFERROR(__xludf.DUMMYFUNCTION("CONCATENATE(GOOGLETRANSLATE(C2972, ""en"", ""zh-cn""))"),"HONBAY 敞篷组合沙发，带贵妃天鹅绒 L 形沙发 双面 4 座沙发 客厅组合沙发，蓝色")</f>
        <v>HONBAY 敞篷组合沙发，带贵妃天鹅绒 L 形沙发 双面 4 座沙发 客厅组合沙发，蓝色</v>
      </c>
      <c r="E2972" s="1" t="str">
        <f>IFERROR(__xludf.DUMMYFUNCTION("CONCATENATE(GOOGLETRANSLATE(C2972, ""en"", ""ko""))"),"HONBAY 컨버터블 단면 소파, 긴 의자 벨벳 L자형 소파 양면 4인용 소파 단면 소파, 거실용, 블루")</f>
        <v>HONBAY 컨버터블 단면 소파, 긴 의자 벨벳 L자형 소파 양면 4인용 소파 단면 소파, 거실용, 블루</v>
      </c>
      <c r="F2972" s="1" t="str">
        <f>IFERROR(__xludf.DUMMYFUNCTION("CONCATENATE(GOOGLETRANSLATE(C2972, ""en"", ""ja""))"),"HONBAY コンバーチブルセクショナルソファ 長椅子付き ベルベット L字型カウチ リバーシブル 4人掛けソファ セクショナルソファ リビングルーム用 ブルー")</f>
        <v>HONBAY コンバーチブルセクショナルソファ 長椅子付き ベルベット L字型カウチ リバーシブル 4人掛けソファ セクショナルソファ リビングルーム用 ブルー</v>
      </c>
    </row>
    <row r="2973" ht="15.75" customHeight="1">
      <c r="A2973" s="1">
        <v>4372.0</v>
      </c>
      <c r="B2973" s="1" t="s">
        <v>15</v>
      </c>
      <c r="C2973" s="1" t="s">
        <v>1677</v>
      </c>
      <c r="D2973" s="1" t="str">
        <f>IFERROR(__xludf.DUMMYFUNCTION("CONCATENATE(GOOGLETRANSLATE(C2973, ""en"", ""zh-cn""))"),"HONBAY 仿皮组合沙发 双面 L 形沙发 4 座沙发 组合沙发 适合小公寓")</f>
        <v>HONBAY 仿皮组合沙发 双面 L 形沙发 4 座沙发 组合沙发 适合小公寓</v>
      </c>
      <c r="E2973" s="1" t="str">
        <f>IFERROR(__xludf.DUMMYFUNCTION("CONCATENATE(GOOGLETRANSLATE(C2973, ""en"", ""ko""))"),"HONBAY 인조 가죽 단면 소파 소파 가역 L 형 소파 소파 4 석 소파 소형 아파트 용 단면 소파")</f>
        <v>HONBAY 인조 가죽 단면 소파 소파 가역 L 형 소파 소파 4 석 소파 소형 아파트 용 단면 소파</v>
      </c>
      <c r="F2973" s="1" t="str">
        <f>IFERROR(__xludf.DUMMYFUNCTION("CONCATENATE(GOOGLETRANSLATE(C2973, ""en"", ""ja""))"),"HONBAY フェイクレザー セクショナルソファ カウチ リバーシブル L 字型カウチソファ 4 人掛けソファ セクショナルソファ 小さなアパート用")</f>
        <v>HONBAY フェイクレザー セクショナルソファ カウチ リバーシブル L 字型カウチソファ 4 人掛けソファ セクショナルソファ 小さなアパート用</v>
      </c>
    </row>
    <row r="2974" ht="15.75" customHeight="1">
      <c r="A2974" s="1">
        <v>4376.0</v>
      </c>
      <c r="B2974" s="1" t="s">
        <v>15</v>
      </c>
      <c r="C2974" s="1" t="s">
        <v>2759</v>
      </c>
      <c r="D2974" s="1" t="str">
        <f>IFERROR(__xludf.DUMMYFUNCTION("CONCATENATE(GOOGLETRANSLATE(C2974, ""en"", ""zh-cn""))"),"LEVNARY 天鹅绒组合沙发，带躺椅，拉出沙发床簇绒软垫 3 座沙发床，带厚垫，78 英寸 L 形客厅沙发（灰色）")</f>
        <v>LEVNARY 天鹅绒组合沙发，带躺椅，拉出沙发床簇绒软垫 3 座沙发床，带厚垫，78 英寸 L 形客厅沙发（灰色）</v>
      </c>
      <c r="E2974" s="1" t="str">
        <f>IFERROR(__xludf.DUMMYFUNCTION("CONCATENATE(GOOGLETRANSLATE(C2974, ""en"", ""ko""))"),"긴 의자 라운지가 있는 LEVNARY 벨벳 단면 소파, 두꺼운 쿠션이 있는 덮개를 씌운 풀아웃 소파 베드, 가정용 거실용 78인치 L자형 소파(회색)")</f>
        <v>긴 의자 라운지가 있는 LEVNARY 벨벳 단면 소파, 두꺼운 쿠션이 있는 덮개를 씌운 풀아웃 소파 베드, 가정용 거실용 78인치 L자형 소파(회색)</v>
      </c>
      <c r="F2974" s="1" t="str">
        <f>IFERROR(__xludf.DUMMYFUNCTION("CONCATENATE(GOOGLETRANSLATE(C2974, ""en"", ""ja""))"),"LEVNARY ベルベットセクショナルソファ 長椅子付き 引き出し式ソファベッド タフト布張り 3人掛けスリーパーソファ 厚いクッション付き 78インチ L字型ソファ リビングルーム ホーム用 (グレー)")</f>
        <v>LEVNARY ベルベットセクショナルソファ 長椅子付き 引き出し式ソファベッド タフト布張り 3人掛けスリーパーソファ 厚いクッション付き 78インチ L字型ソファ リビングルーム ホーム用 (グレー)</v>
      </c>
    </row>
    <row r="2975" ht="15.75" customHeight="1">
      <c r="A2975" s="1">
        <v>4382.0</v>
      </c>
      <c r="B2975" s="1" t="s">
        <v>15</v>
      </c>
      <c r="C2975" s="1" t="s">
        <v>2181</v>
      </c>
      <c r="D2975" s="1" t="str">
        <f>IFERROR(__xludf.DUMMYFUNCTION("CONCATENATE(GOOGLETRANSLATE(C2975, ""en"", ""zh-cn""))"),"Casa Andrea Milano 现代大型天鹅绒面料 U 形组合沙发，双人超宽躺椅沙发，灰色")</f>
        <v>Casa Andrea Milano 现代大型天鹅绒面料 U 形组合沙发，双人超宽躺椅沙发，灰色</v>
      </c>
      <c r="E2975" s="1" t="str">
        <f>IFERROR(__xludf.DUMMYFUNCTION("CONCATENATE(GOOGLETRANSLATE(C2975, ""en"", ""ko""))"),"Casa Andrea Milano 현대적인 대형 벨벳 패브릭 U자형 단면 소파, 더블 엑스트라 와이드 긴 의자 라운지 소파, 그레이")</f>
        <v>Casa Andrea Milano 현대적인 대형 벨벳 패브릭 U자형 단면 소파, 더블 엑스트라 와이드 긴 의자 라운지 소파, 그레이</v>
      </c>
      <c r="F2975" s="1" t="str">
        <f>IFERROR(__xludf.DUMMYFUNCTION("CONCATENATE(GOOGLETRANSLATE(C2975, ""en"", ""ja""))"),"Casa Andrea Milano モダンな大型ベルベット生地 U 字型セクショナルソファ、ダブルエクストラワイド長椅子、グレー")</f>
        <v>Casa Andrea Milano モダンな大型ベルベット生地 U 字型セクショナルソファ、ダブルエクストラワイド長椅子、グレー</v>
      </c>
    </row>
    <row r="2976" ht="15.75" customHeight="1">
      <c r="A2976" s="1">
        <v>4386.0</v>
      </c>
      <c r="B2976" s="1" t="s">
        <v>15</v>
      </c>
      <c r="C2976" s="1" t="s">
        <v>2760</v>
      </c>
      <c r="D2976" s="1" t="str">
        <f>IFERROR(__xludf.DUMMYFUNCTION("CONCATENATE(GOOGLETRANSLATE(C2976, ""en"", ""zh-cn""))"),"CHITA 中世纪沙发家具 73.2 英寸宽人造革沙发套，适用于客厅公寓，干邑棕色")</f>
        <v>CHITA 中世纪沙发家具 73.2 英寸宽人造革沙发套，适用于客厅公寓，干邑棕色</v>
      </c>
      <c r="E2976" s="1" t="str">
        <f>IFERROR(__xludf.DUMMYFUNCTION("CONCATENATE(GOOGLETRANSLATE(C2976, ""en"", ""ko""))"),"CHITA Mid-Century 소파 가구 73.2''W 인조 가죽 소파 소파 세트 거실 아파트, 코냑 브라운")</f>
        <v>CHITA Mid-Century 소파 가구 73.2''W 인조 가죽 소파 소파 세트 거실 아파트, 코냑 브라운</v>
      </c>
      <c r="F2976" s="1" t="str">
        <f>IFERROR(__xludf.DUMMYFUNCTION("CONCATENATE(GOOGLETRANSLATE(C2976, ""en"", ""ja""))"),"CHITA ミッドセンチュリーソファ家具 73.2 インチ W フェイクレザーソファカウチセット リビングルームアパートメント用 コニャックブラウン")</f>
        <v>CHITA ミッドセンチュリーソファ家具 73.2 インチ W フェイクレザーソファカウチセット リビングルームアパートメント用 コニャックブラウン</v>
      </c>
    </row>
    <row r="2977" ht="15.75" customHeight="1">
      <c r="A2977" s="1">
        <v>4391.0</v>
      </c>
      <c r="B2977" s="1" t="s">
        <v>15</v>
      </c>
      <c r="C2977" s="1" t="s">
        <v>1679</v>
      </c>
      <c r="D2977" s="1" t="str">
        <f>IFERROR(__xludf.DUMMYFUNCTION("CONCATENATE(GOOGLETRANSLATE(C2977, ""en"", ""zh-cn""))"),"CHITA 中世纪现代沙发，客厅布艺沙发，实木腿，免工具组装，72.8 英寸宽，象牙色")</f>
        <v>CHITA 中世纪现代沙发，客厅布艺沙发，实木腿，免工具组装，72.8 英寸宽，象牙色</v>
      </c>
      <c r="E2977" s="1" t="str">
        <f>IFERROR(__xludf.DUMMYFUNCTION("CONCATENATE(GOOGLETRANSLATE(C2977, ""en"", ""ko""))"),"CHITA 세기 중반 모던 소파, 원목 다리가 있는 거실용 패브릭 소파, 도구 없이 조립 가능, 72.8''W, 아이보리")</f>
        <v>CHITA 세기 중반 모던 소파, 원목 다리가 있는 거실용 패브릭 소파, 도구 없이 조립 가능, 72.8''W, 아이보리</v>
      </c>
      <c r="F2977" s="1" t="str">
        <f>IFERROR(__xludf.DUMMYFUNCTION("CONCATENATE(GOOGLETRANSLATE(C2977, ""en"", ""ja""))"),"CHITA ミッドセンチュリーモダンソファ、リビングルーム用ファブリックソファ、無垢材脚付き、工具不要組み立て、幅72.8インチ、アイボリー")</f>
        <v>CHITA ミッドセンチュリーモダンソファ、リビングルーム用ファブリックソファ、無垢材脚付き、工具不要組み立て、幅72.8インチ、アイボリー</v>
      </c>
    </row>
    <row r="2978" ht="15.75" customHeight="1">
      <c r="A2978" s="1">
        <v>4396.0</v>
      </c>
      <c r="B2978" s="1" t="s">
        <v>15</v>
      </c>
      <c r="C2978" s="1" t="s">
        <v>2761</v>
      </c>
      <c r="D2978" s="1" t="str">
        <f>IFERROR(__xludf.DUMMYFUNCTION("CONCATENATE(GOOGLETRANSLATE(C2978, ""en"", ""zh-cn""))"),"Devion Furniture 83 宽双面布艺沙发床和储物躺椅 - 深灰色")</f>
        <v>Devion Furniture 83 宽双面布艺沙发床和储物躺椅 - 深灰色</v>
      </c>
      <c r="E2978" s="1" t="str">
        <f>IFERROR(__xludf.DUMMYFUNCTION("CONCATENATE(GOOGLETRANSLATE(C2978, ""en"", ""ko""))"),"Devion Furniture 83 와이드 양면 패브릭 슬리퍼 소파 베드 및 수납 의자 - 다크 그레이")</f>
        <v>Devion Furniture 83 와이드 양면 패브릭 슬리퍼 소파 베드 및 수납 의자 - 다크 그레이</v>
      </c>
      <c r="F2978" s="1" t="str">
        <f>IFERROR(__xludf.DUMMYFUNCTION("CONCATENATE(GOOGLETRANSLATE(C2978, ""en"", ""ja""))"),"Devion Furniture 83 幅 リバーシブル ファブリック スリーパー ソファベッド &amp; 収納長椅子 - ダークグレー")</f>
        <v>Devion Furniture 83 幅 リバーシブル ファブリック スリーパー ソファベッド &amp; 収納長椅子 - ダークグレー</v>
      </c>
    </row>
    <row r="2979" ht="15.75" customHeight="1">
      <c r="A2979" s="1">
        <v>4413.0</v>
      </c>
      <c r="B2979" s="1" t="s">
        <v>15</v>
      </c>
      <c r="C2979" s="1" t="s">
        <v>2762</v>
      </c>
      <c r="D2979" s="1" t="str">
        <f>IFERROR(__xludf.DUMMYFUNCTION("CONCATENATE(GOOGLETRANSLATE(C2979, ""en"", ""zh-cn""))"),"NOSGA 现代切斯特菲尔德织物 3 座沙发家具，带卷臂的深纽扣簇绒切斯特菲尔德天鹅绒沙发，客厅软垫钉头装饰沙发沙发（灰色）")</f>
        <v>NOSGA 现代切斯特菲尔德织物 3 座沙发家具，带卷臂的深纽扣簇绒切斯特菲尔德天鹅绒沙发，客厅软垫钉头装饰沙发沙发（灰色）</v>
      </c>
      <c r="E2979" s="1" t="str">
        <f>IFERROR(__xludf.DUMMYFUNCTION("CONCATENATE(GOOGLETRANSLATE(C2979, ""en"", ""ko""))"),"NOSGA 모던 체스터필드 패브릭 3인용 소파 가구, 스크롤 암이 있는 깊은 버튼 터프트 체스터필드 벨벳 소파, 거실용 장식품 네일헤드 트림 소파 소파(회색)")</f>
        <v>NOSGA 모던 체스터필드 패브릭 3인용 소파 가구, 스크롤 암이 있는 깊은 버튼 터프트 체스터필드 벨벳 소파, 거실용 장식품 네일헤드 트림 소파 소파(회색)</v>
      </c>
      <c r="F2979" s="1" t="str">
        <f>IFERROR(__xludf.DUMMYFUNCTION("CONCATENATE(GOOGLETRANSLATE(C2979, ""en"", ""ja""))"),"NOSGA モダンなチェスターフィールドファブリック 3人掛けソファ家具、深いボタンタフテッドチェスターフィールドベルベットソファ、スクロールアーム付き、室内装飾ネイルヘッドトリムソファソファ、リビングルーム用(グレー)")</f>
        <v>NOSGA モダンなチェスターフィールドファブリック 3人掛けソファ家具、深いボタンタフテッドチェスターフィールドベルベットソファ、スクロールアーム付き、室内装飾ネイルヘッドトリムソファソファ、リビングルーム用(グレー)</v>
      </c>
    </row>
    <row r="2980" ht="15.75" customHeight="1">
      <c r="A2980" s="1">
        <v>4414.0</v>
      </c>
      <c r="B2980" s="1" t="s">
        <v>15</v>
      </c>
      <c r="C2980" s="1" t="s">
        <v>2763</v>
      </c>
      <c r="D2980" s="1" t="str">
        <f>IFERROR(__xludf.DUMMYFUNCTION("CONCATENATE(GOOGLETRANSLATE(C2980, ""en"", ""zh-cn""))"),"Lilola Home 双面组合沙发带储物躺椅和口袋，深灰色")</f>
        <v>Lilola Home 双面组合沙发带储物躺椅和口袋，深灰色</v>
      </c>
      <c r="E2980" s="1" t="str">
        <f>IFERROR(__xludf.DUMMYFUNCTION("CONCATENATE(GOOGLETRANSLATE(C2980, ""en"", ""ko""))"),"Lilola 홈 양면 슬리퍼 단면 소파(수납 의자 및 포켓 포함), 다크 그레이")</f>
        <v>Lilola 홈 양면 슬리퍼 단면 소파(수납 의자 및 포켓 포함), 다크 그레이</v>
      </c>
      <c r="F2980" s="1" t="str">
        <f>IFERROR(__xludf.DUMMYFUNCTION("CONCATENATE(GOOGLETRANSLATE(C2980, ""en"", ""ja""))"),"Lilola Home リバーシブルスリーパーセクショナルソファ 収納寝椅子とポケット付き ダークグレー")</f>
        <v>Lilola Home リバーシブルスリーパーセクショナルソファ 収納寝椅子とポケット付き ダークグレー</v>
      </c>
    </row>
    <row r="2981" ht="15.75" customHeight="1">
      <c r="A2981" s="1">
        <v>4443.0</v>
      </c>
      <c r="B2981" s="1" t="s">
        <v>15</v>
      </c>
      <c r="C2981" s="1" t="s">
        <v>2764</v>
      </c>
      <c r="D2981" s="1" t="str">
        <f>IFERROR(__xludf.DUMMYFUNCTION("CONCATENATE(GOOGLETRANSLATE(C2981, ""en"", ""zh-cn""))"),"香奈儿 Sublimage 基础精华 40 毫升")</f>
        <v>香奈儿 Sublimage 基础精华 40 毫升</v>
      </c>
      <c r="E2981" s="1" t="str">
        <f>IFERROR(__xludf.DUMMYFUNCTION("CONCATENATE(GOOGLETRANSLATE(C2981, ""en"", ""ko""))"),"샤넬 수블리마지 레상스 퐁다멘탈 40ml")</f>
        <v>샤넬 수블리마지 레상스 퐁다멘탈 40ml</v>
      </c>
      <c r="F2981" s="1" t="str">
        <f>IFERROR(__xludf.DUMMYFUNCTION("CONCATENATE(GOOGLETRANSLATE(C2981, ""en"", ""ja""))"),"シャネル サブリマージュ レサンス フォンダメンターレ 40ml")</f>
        <v>シャネル サブリマージュ レサンス フォンダメンターレ 40ml</v>
      </c>
    </row>
    <row r="2982" ht="15.75" customHeight="1">
      <c r="A2982" s="1">
        <v>4446.0</v>
      </c>
      <c r="B2982" s="1" t="s">
        <v>15</v>
      </c>
      <c r="C2982" s="1" t="s">
        <v>2765</v>
      </c>
      <c r="D2982" s="1" t="str">
        <f>IFERROR(__xludf.DUMMYFUNCTION("CONCATENATE(GOOGLETRANSLATE(C2982, ""en"", ""zh-cn""))"),"香奈儿 Sublimage Le Fluide 终极肌肤再生精华液")</f>
        <v>香奈儿 Sublimage Le Fluide 终极肌肤再生精华液</v>
      </c>
      <c r="E2982" s="1" t="str">
        <f>IFERROR(__xludf.DUMMYFUNCTION("CONCATENATE(GOOGLETRANSLATE(C2982, ""en"", ""ko""))"),"샤넬 수블리마지 르 플루이드 얼티밋 스킨 리제너레이션 세럼")</f>
        <v>샤넬 수블리마지 르 플루이드 얼티밋 스킨 리제너레이션 세럼</v>
      </c>
      <c r="F2982" s="1" t="str">
        <f>IFERROR(__xludf.DUMMYFUNCTION("CONCATENATE(GOOGLETRANSLATE(C2982, ""en"", ""ja""))"),"シャネル サブリマージュ ル フルイド アルティメット スキン リジェネレーション セラム")</f>
        <v>シャネル サブリマージュ ル フルイド アルティメット スキン リジェネレーション セラム</v>
      </c>
    </row>
    <row r="2983" ht="15.75" customHeight="1">
      <c r="A2983" s="1">
        <v>4459.0</v>
      </c>
      <c r="B2983" s="1" t="s">
        <v>15</v>
      </c>
      <c r="C2983" s="1" t="s">
        <v>2766</v>
      </c>
      <c r="D2983" s="1" t="str">
        <f>IFERROR(__xludf.DUMMYFUNCTION("CONCATENATE(GOOGLETRANSLATE(C2983, ""en"", ""zh-cn""))"),"Chanel Sublimage La Lotion Supreme Ultimate 4.2 盎司皮肤再生")</f>
        <v>Chanel Sublimage La Lotion Supreme Ultimate 4.2 盎司皮肤再生</v>
      </c>
      <c r="E2983" s="1" t="str">
        <f>IFERROR(__xludf.DUMMYFUNCTION("CONCATENATE(GOOGLETRANSLATE(C2983, ""en"", ""ko""))"),"샤넬 수블리마지 라 로션 슈프림 얼티밋 4.2온스 스킨 리제너레이션")</f>
        <v>샤넬 수블리마지 라 로션 슈프림 얼티밋 4.2온스 스킨 리제너레이션</v>
      </c>
      <c r="F2983" s="1" t="str">
        <f>IFERROR(__xludf.DUMMYFUNCTION("CONCATENATE(GOOGLETRANSLATE(C2983, ""en"", ""ja""))"),"シャネル サブリマージュ ラ ローション シュプリーム アルティメット 4.2 オンス スキン リジェネレーション")</f>
        <v>シャネル サブリマージュ ラ ローション シュプリーム アルティメット 4.2 オンス スキン リジェネレーション</v>
      </c>
    </row>
    <row r="2984" ht="15.75" customHeight="1">
      <c r="A2984" s="1">
        <v>4475.0</v>
      </c>
      <c r="B2984" s="1" t="s">
        <v>15</v>
      </c>
      <c r="C2984" s="1" t="s">
        <v>2767</v>
      </c>
      <c r="D2984" s="1" t="str">
        <f>IFERROR(__xludf.DUMMYFUNCTION("CONCATENATE(GOOGLETRANSLATE(C2984, ""en"", ""zh-cn""))"),"CHANEL Le Lift Creme Riche 保湿霜，1.7 盎司")</f>
        <v>CHANEL Le Lift Creme Riche 保湿霜，1.7 盎司</v>
      </c>
      <c r="E2984" s="1" t="str">
        <f>IFERROR(__xludf.DUMMYFUNCTION("CONCATENATE(GOOGLETRANSLATE(C2984, ""en"", ""ko""))"),"CHANEL 모이스처라이저 르 리프트 크렘 리치, 1.7온스")</f>
        <v>CHANEL 모이스처라이저 르 리프트 크렘 리치, 1.7온스</v>
      </c>
      <c r="F2984" s="1" t="str">
        <f>IFERROR(__xludf.DUMMYFUNCTION("CONCATENATE(GOOGLETRANSLATE(C2984, ""en"", ""ja""))"),"シャネル モイスチャライザー ル リフト クレーム リッチ、1.7 オンス")</f>
        <v>シャネル モイスチャライザー ル リフト クレーム リッチ、1.7 オンス</v>
      </c>
    </row>
    <row r="2985" ht="15.75" customHeight="1">
      <c r="A2985" s="1">
        <v>4485.0</v>
      </c>
      <c r="B2985" s="1" t="s">
        <v>15</v>
      </c>
      <c r="C2985" s="1" t="s">
        <v>2768</v>
      </c>
      <c r="D2985" s="1" t="str">
        <f>IFERROR(__xludf.DUMMYFUNCTION("CONCATENATE(GOOGLETRANSLATE(C2985, ""en"", ""zh-cn""))"),"SISLEY 热带树脂强化精华液，1 盎司，30 粒/热带树脂强化精华液 - 用于 (3473311415905)")</f>
        <v>SISLEY 热带树脂强化精华液，1 盎司，30 粒/热带树脂强化精华液 - 用于 (3473311415905)</v>
      </c>
      <c r="E2985" s="1" t="str">
        <f>IFERROR(__xludf.DUMMYFUNCTION("CONCATENATE(GOOGLETRANSLATE(C2985, ""en"", ""ko""))"),"시슬리 인텐시브 세럼 위드 트로피컬 레진, 1온스, 30/트로피컬 레진 인텐시브 세럼 - (3473311415905)")</f>
        <v>시슬리 인텐시브 세럼 위드 트로피컬 레진, 1온스, 30/트로피컬 레진 인텐시브 세럼 - (3473311415905)</v>
      </c>
      <c r="F2985" s="1" t="str">
        <f>IFERROR(__xludf.DUMMYFUNCTION("CONCATENATE(GOOGLETRANSLATE(C2985, ""en"", ""ja""))"),"シスレー インテンシブ セラム ウィズ トロピカル レジン、1 オンス、30/インテンシブ セラム ウィズ トロピカル レジン - (3473311415905)")</f>
        <v>シスレー インテンシブ セラム ウィズ トロピカル レジン、1 オンス、30/インテンシブ セラム ウィズ トロピカル レジン - (3473311415905)</v>
      </c>
    </row>
    <row r="2986" ht="15.75" customHeight="1">
      <c r="A2986" s="1">
        <v>4489.0</v>
      </c>
      <c r="B2986" s="1" t="s">
        <v>15</v>
      </c>
      <c r="C2986" s="1" t="s">
        <v>2769</v>
      </c>
      <c r="D2986" s="1" t="str">
        <f>IFERROR(__xludf.DUMMYFUNCTION("CONCATENATE(GOOGLETRANSLATE(C2986, ""en"", ""zh-cn""))"),"Sisley Phyto-Teint No. 2 女士柔和米色专家粉底，1 盎司")</f>
        <v>Sisley Phyto-Teint No. 2 女士柔和米色专家粉底，1 盎司</v>
      </c>
      <c r="E2986" s="1" t="str">
        <f>IFERROR(__xludf.DUMMYFUNCTION("CONCATENATE(GOOGLETRANSLATE(C2986, ""en"", ""ko""))"),"시슬리 피토-떼인 No. 2 소프트 베이지 엑스퍼트 파운데이션 포 여성용, 1온스")</f>
        <v>시슬리 피토-떼인 No. 2 소프트 베이지 엑스퍼트 파운데이션 포 여성용, 1온스</v>
      </c>
      <c r="F2986" s="1" t="str">
        <f>IFERROR(__xludf.DUMMYFUNCTION("CONCATENATE(GOOGLETRANSLATE(C2986, ""en"", ""ja""))"),"シスレー フィトテント No. 2 ソフトベージュ エキスパート ファンデーション 女性用、1オンス")</f>
        <v>シスレー フィトテント No. 2 ソフトベージュ エキスパート ファンデーション 女性用、1オンス</v>
      </c>
    </row>
    <row r="2987" ht="15.75" customHeight="1">
      <c r="A2987" s="1">
        <v>4492.0</v>
      </c>
      <c r="B2987" s="1" t="s">
        <v>15</v>
      </c>
      <c r="C2987" s="1" t="s">
        <v>2770</v>
      </c>
      <c r="D2987" s="1" t="str">
        <f>IFERROR(__xludf.DUMMYFUNCTION("CONCATENATE(GOOGLETRANSLATE(C2987, ""en"", ""zh-cn""))"),"SISLEY 黑玫瑰珍贵面部油，0.84 盎司")</f>
        <v>SISLEY 黑玫瑰珍贵面部油，0.84 盎司</v>
      </c>
      <c r="E2987" s="1" t="str">
        <f>IFERROR(__xludf.DUMMYFUNCTION("CONCATENATE(GOOGLETRANSLATE(C2987, ""en"", ""ko""))"),"시슬리 블랙 로즈 프레셔스 페이스 오일, 0.84온스")</f>
        <v>시슬리 블랙 로즈 프레셔스 페이스 오일, 0.84온스</v>
      </c>
      <c r="F2987" s="1" t="str">
        <f>IFERROR(__xludf.DUMMYFUNCTION("CONCATENATE(GOOGLETRANSLATE(C2987, ""en"", ""ja""))"),"シスレー ブラック ローズ プレシャス フェイス オイル、0.84 オンス")</f>
        <v>シスレー ブラック ローズ プレシャス フェイス オイル、0.84 オンス</v>
      </c>
    </row>
    <row r="2988" ht="15.75" customHeight="1">
      <c r="A2988" s="1">
        <v>4494.0</v>
      </c>
      <c r="B2988" s="1" t="s">
        <v>15</v>
      </c>
      <c r="C2988" s="1" t="s">
        <v>2771</v>
      </c>
      <c r="D2988" s="1" t="str">
        <f>IFERROR(__xludf.DUMMYFUNCTION("CONCATENATE(GOOGLETRANSLATE(C2988, ""en"", ""zh-cn""))"),"Sisley 女士 Phyto-Touche 防晒凝胶，1 盎司")</f>
        <v>Sisley 女士 Phyto-Touche 防晒凝胶，1 盎司</v>
      </c>
      <c r="E2988" s="1" t="str">
        <f>IFERROR(__xludf.DUMMYFUNCTION("CONCATENATE(GOOGLETRANSLATE(C2988, ""en"", ""ko""))"),"시슬리 여성용 휘토-터치 선 글로우 젤, 1온스")</f>
        <v>시슬리 여성용 휘토-터치 선 글로우 젤, 1온스</v>
      </c>
      <c r="F2988" s="1" t="str">
        <f>IFERROR(__xludf.DUMMYFUNCTION("CONCATENATE(GOOGLETRANSLATE(C2988, ""en"", ""ja""))"),"シスレー レディース フィトタッチ サン グロウ ジェル、1 オンス")</f>
        <v>シスレー レディース フィトタッチ サン グロウ ジェル、1 オンス</v>
      </c>
    </row>
    <row r="2989" ht="15.75" customHeight="1">
      <c r="A2989" s="1">
        <v>4500.0</v>
      </c>
      <c r="B2989" s="1" t="s">
        <v>15</v>
      </c>
      <c r="C2989" s="1" t="s">
        <v>2772</v>
      </c>
      <c r="D2989" s="1" t="str">
        <f>IFERROR(__xludf.DUMMYFUNCTION("CONCATENATE(GOOGLETRANSLATE(C2989, ""en"", ""zh-cn""))"),"sisley paris 女士修复身体霜，6.7 盎司")</f>
        <v>sisley paris 女士修复身体霜，6.7 盎司</v>
      </c>
      <c r="E2989" s="1" t="str">
        <f>IFERROR(__xludf.DUMMYFUNCTION("CONCATENATE(GOOGLETRANSLATE(C2989, ""en"", ""ko""))"),"시슬리 파리 여성용 회복 바디 크림, 6.7온스")</f>
        <v>시슬리 파리 여성용 회복 바디 크림, 6.7온스</v>
      </c>
      <c r="F2989" s="1" t="str">
        <f>IFERROR(__xludf.DUMMYFUNCTION("CONCATENATE(GOOGLETRANSLATE(C2989, ""en"", ""ja""))"),"sisley paris 女性用リストラティブ ボディ クリーム、6.7 オンス")</f>
        <v>sisley paris 女性用リストラティブ ボディ クリーム、6.7 オンス</v>
      </c>
    </row>
    <row r="2990" ht="15.75" customHeight="1">
      <c r="A2990" s="1">
        <v>4518.0</v>
      </c>
      <c r="B2990" s="1" t="s">
        <v>15</v>
      </c>
      <c r="C2990" s="1" t="s">
        <v>2773</v>
      </c>
      <c r="D2990" s="1" t="str">
        <f>IFERROR(__xludf.DUMMYFUNCTION("CONCATENATE(GOOGLETRANSLATE(C2990, ""en"", ""zh-cn""))"),"CHANEL 水润美容凝胶霜 50 克/1.7 盎司")</f>
        <v>CHANEL 水润美容凝胶霜 50 克/1.7 盎司</v>
      </c>
      <c r="E2990" s="1" t="str">
        <f>IFERROR(__xludf.DUMMYFUNCTION("CONCATENATE(GOOGLETRANSLATE(C2990, ""en"", ""ko""))"),"샤넬 이드라 뷰티 젤 크림 50g/1.7 OZ")</f>
        <v>샤넬 이드라 뷰티 젤 크림 50g/1.7 OZ</v>
      </c>
      <c r="F2990" s="1" t="str">
        <f>IFERROR(__xludf.DUMMYFUNCTION("CONCATENATE(GOOGLETRANSLATE(C2990, ""en"", ""ja""))"),"シャネル イドラ ビューティ ジェル クレーム 50g/1.7 オンス")</f>
        <v>シャネル イドラ ビューティ ジェル クレーム 50g/1.7 オンス</v>
      </c>
    </row>
    <row r="2991" ht="15.75" customHeight="1">
      <c r="A2991" s="1">
        <v>4523.0</v>
      </c>
      <c r="B2991" s="1" t="s">
        <v>15</v>
      </c>
      <c r="C2991" s="1" t="s">
        <v>2774</v>
      </c>
      <c r="D2991" s="1" t="str">
        <f>IFERROR(__xludf.DUMMYFUNCTION("CONCATENATE(GOOGLETRANSLATE(C2991, ""en"", ""zh-cn""))"),"香奈儿 Vitalumiere Aqua 超轻盈肌肤完美彩妆 SPF 15-30 毫升，No.40 米色")</f>
        <v>香奈儿 Vitalumiere Aqua 超轻盈肌肤完美彩妆 SPF 15-30 毫升，No.40 米色</v>
      </c>
      <c r="E2991" s="1" t="str">
        <f>IFERROR(__xludf.DUMMYFUNCTION("CONCATENATE(GOOGLETRANSLATE(C2991, ""en"", ""ko""))"),"샤넬 비탈뤼미에르 아쿠아 울트라 라이트 스킨 퍼펙팅 메이크업 SPF 15-30ml, No.40 베이지")</f>
        <v>샤넬 비탈뤼미에르 아쿠아 울트라 라이트 스킨 퍼펙팅 메이크업 SPF 15-30ml, No.40 베이지</v>
      </c>
      <c r="F2991" s="1" t="str">
        <f>IFERROR(__xludf.DUMMYFUNCTION("CONCATENATE(GOOGLETRANSLATE(C2991, ""en"", ""ja""))"),"シャネル ヴィタルミエール アクア ウルトラ ライト スキン パーフェクティング メイクアップ SPF 15-30 ml、No.40 ベージュ")</f>
        <v>シャネル ヴィタルミエール アクア ウルトラ ライト スキン パーフェクティング メイクアップ SPF 15-30 ml、No.40 ベージュ</v>
      </c>
    </row>
    <row r="2992" ht="15.75" customHeight="1">
      <c r="A2992" s="1">
        <v>4528.0</v>
      </c>
      <c r="B2992" s="1" t="s">
        <v>15</v>
      </c>
      <c r="C2992" s="1" t="s">
        <v>2775</v>
      </c>
      <c r="D2992" s="1" t="str">
        <f>IFERROR(__xludf.DUMMYFUNCTION("CONCATENATE(GOOGLETRANSLATE(C2992, ""en"", ""zh-cn""))"),"SK II 面部护理面膜 - 6 片")</f>
        <v>SK II 面部护理面膜 - 6 片</v>
      </c>
      <c r="E2992" s="1" t="str">
        <f>IFERROR(__xludf.DUMMYFUNCTION("CONCATENATE(GOOGLETRANSLATE(C2992, ""en"", ""ko""))"),"SK II 페이셜 트리트먼트 마스크 - 6매")</f>
        <v>SK II 페이셜 트리트먼트 마스크 - 6매</v>
      </c>
      <c r="F2992" s="1" t="str">
        <f>IFERROR(__xludf.DUMMYFUNCTION("CONCATENATE(GOOGLETRANSLATE(C2992, ""en"", ""ja""))"),"SK II フェイシャル トリートメント マスク 6枚入")</f>
        <v>SK II フェイシャル トリートメント マスク 6枚入</v>
      </c>
    </row>
    <row r="2993" ht="15.75" customHeight="1">
      <c r="A2993" s="1">
        <v>4529.0</v>
      </c>
      <c r="B2993" s="1" t="s">
        <v>15</v>
      </c>
      <c r="C2993" s="1" t="s">
        <v>2776</v>
      </c>
      <c r="D2993" s="1" t="str">
        <f>IFERROR(__xludf.DUMMYFUNCTION("CONCATENATE(GOOGLETRANSLATE(C2993, ""en"", ""zh-cn""))"),"Dermalogica 多种维生素强力恢复面膜（2.5 液体盎司）抗衰老面膜，含维生素 C 和乳酸 - 恢复和修复压力、老化皮肤")</f>
        <v>Dermalogica 多种维生素强力恢复面膜（2.5 液体盎司）抗衰老面膜，含维生素 C 和乳酸 - 恢复和修复压力、老化皮肤</v>
      </c>
      <c r="E2993" s="1" t="str">
        <f>IFERROR(__xludf.DUMMYFUNCTION("CONCATENATE(GOOGLETRANSLATE(C2993, ""en"", ""ko""))"),"Dermalogica 멀티비타민 파워 리커버리 마스크(2.5 Fl Oz) 비타민 C와 젖산이 함유된 안티 에이징 페이스 마스크 - 스트레스를 받고 노화된 피부를 회복하고 복구")</f>
        <v>Dermalogica 멀티비타민 파워 리커버리 마스크(2.5 Fl Oz) 비타민 C와 젖산이 함유된 안티 에이징 페이스 마스크 - 스트레스를 받고 노화된 피부를 회복하고 복구</v>
      </c>
      <c r="F2993" s="1" t="str">
        <f>IFERROR(__xludf.DUMMYFUNCTION("CONCATENATE(GOOGLETRANSLATE(C2993, ""en"", ""ja""))"),"Dermalogica マルチビタミン パワー リカバリー マスク (2.5 液量オンス) ビタミン C と乳酸を配合したアンチエイジング フェイス マスク - ストレスを受けた老化した肌を回復し修復します")</f>
        <v>Dermalogica マルチビタミン パワー リカバリー マスク (2.5 液量オンス) ビタミン C と乳酸を配合したアンチエイジング フェイス マスク - ストレスを受けた老化した肌を回復し修復します</v>
      </c>
    </row>
    <row r="2994" ht="15.75" customHeight="1">
      <c r="A2994" s="1">
        <v>4531.0</v>
      </c>
      <c r="B2994" s="1" t="s">
        <v>15</v>
      </c>
      <c r="C2994" s="1" t="s">
        <v>2777</v>
      </c>
      <c r="D2994" s="1" t="str">
        <f>IFERROR(__xludf.DUMMYFUNCTION("CONCATENATE(GOOGLETRANSLATE(C2994, ""en"", ""zh-cn""))"),"Sisley 植物磨砂洁面啫哩，3.3 盎司管")</f>
        <v>Sisley 植物磨砂洁面啫哩，3.3 盎司管</v>
      </c>
      <c r="E2994" s="1" t="str">
        <f>IFERROR(__xludf.DUMMYFUNCTION("CONCATENATE(GOOGLETRANSLATE(C2994, ""en"", ""ko""))"),"시슬리 보태니컬 버프 앤 워시 페이셜 젤, 3.3온스 튜브")</f>
        <v>시슬리 보태니컬 버프 앤 워시 페이셜 젤, 3.3온스 튜브</v>
      </c>
      <c r="F2994" s="1" t="str">
        <f>IFERROR(__xludf.DUMMYFUNCTION("CONCATENATE(GOOGLETRANSLATE(C2994, ""en"", ""ja""))"),"シスレー ボタニカル バフ &amp; ウォッシュ フェイシャル ジェル、3.3 オンス チューブ")</f>
        <v>シスレー ボタニカル バフ &amp; ウォッシュ フェイシャル ジェル、3.3 オンス チューブ</v>
      </c>
    </row>
    <row r="2995" ht="15.75" customHeight="1">
      <c r="A2995" s="1">
        <v>4533.0</v>
      </c>
      <c r="B2995" s="1" t="s">
        <v>15</v>
      </c>
      <c r="C2995" s="1" t="s">
        <v>2778</v>
      </c>
      <c r="D2995" s="1" t="str">
        <f>IFERROR(__xludf.DUMMYFUNCTION("CONCATENATE(GOOGLETRANSLATE(C2995, ""en"", ""zh-cn""))"),"Christopher 博士的 MindTrac 16 盎司 Pwd")</f>
        <v>Christopher 博士的 MindTrac 16 盎司 Pwd</v>
      </c>
      <c r="E2995" s="1" t="str">
        <f>IFERROR(__xludf.DUMMYFUNCTION("CONCATENATE(GOOGLETRANSLATE(C2995, ""en"", ""ko""))"),"크리스토퍼 박사의 MindTrac 16oz Pwd")</f>
        <v>크리스토퍼 박사의 MindTrac 16oz Pwd</v>
      </c>
      <c r="F2995" s="1" t="str">
        <f>IFERROR(__xludf.DUMMYFUNCTION("CONCATENATE(GOOGLETRANSLATE(C2995, ""en"", ""ja""))"),"クリストファー博士のマインドトラック 16オンス パウダー")</f>
        <v>クリストファー博士のマインドトラック 16オンス パウダー</v>
      </c>
    </row>
    <row r="2996" ht="15.75" customHeight="1">
      <c r="A2996" s="1">
        <v>4545.0</v>
      </c>
      <c r="B2996" s="1" t="s">
        <v>15</v>
      </c>
      <c r="C2996" s="1" t="s">
        <v>2779</v>
      </c>
      <c r="D2996" s="1" t="str">
        <f>IFERROR(__xludf.DUMMYFUNCTION("CONCATENATE(GOOGLETRANSLATE(C2996, ""en"", ""zh-cn""))"),"Sisley Phyto Eye Twist 防水眼影，1 托帕石，0.05 盎司")</f>
        <v>Sisley Phyto Eye Twist 防水眼影，1 托帕石，0.05 盎司</v>
      </c>
      <c r="E2996" s="1" t="str">
        <f>IFERROR(__xludf.DUMMYFUNCTION("CONCATENATE(GOOGLETRANSLATE(C2996, ""en"", ""ko""))"),"시슬리 피토 아이 트위스트 워터프루프 아이섀도우, 토파즈 1개, 0.05온스")</f>
        <v>시슬리 피토 아이 트위스트 워터프루프 아이섀도우, 토파즈 1개, 0.05온스</v>
      </c>
      <c r="F2996" s="1" t="str">
        <f>IFERROR(__xludf.DUMMYFUNCTION("CONCATENATE(GOOGLETRANSLATE(C2996, ""en"", ""ja""))"),"シスレー フィト アイ ツイスト ウォータープルーフ アイシャドウ、1 トパーズ、0.05 オンス")</f>
        <v>シスレー フィト アイ ツイスト ウォータープルーフ アイシャドウ、1 トパーズ、0.05 オンス</v>
      </c>
    </row>
    <row r="2997" ht="15.75" customHeight="1">
      <c r="A2997" s="1">
        <v>4548.0</v>
      </c>
      <c r="B2997" s="1" t="s">
        <v>15</v>
      </c>
      <c r="C2997" s="1" t="s">
        <v>2780</v>
      </c>
      <c r="D2997" s="1" t="str">
        <f>IFERROR(__xludf.DUMMYFUNCTION("CONCATENATE(GOOGLETRANSLATE(C2997, ""en"", ""zh-cn""))"),"Sisley 植物花卉爽肤乳液，不含酒精 8.4 盎司")</f>
        <v>Sisley 植物花卉爽肤乳液，不含酒精 8.4 盎司</v>
      </c>
      <c r="E2997" s="1" t="str">
        <f>IFERROR(__xludf.DUMMYFUNCTION("CONCATENATE(GOOGLETRANSLATE(C2997, ""en"", ""ko""))"),"시슬리 보태니컬 플로럴 토닝 로션 무알코올 8.4온스")</f>
        <v>시슬리 보태니컬 플로럴 토닝 로션 무알코올 8.4온스</v>
      </c>
      <c r="F2997" s="1" t="str">
        <f>IFERROR(__xludf.DUMMYFUNCTION("CONCATENATE(GOOGLETRANSLATE(C2997, ""en"", ""ja""))"),"シスレー ボタニカル フローラル トーニング ローション アルコールフリー 8.4 オンス")</f>
        <v>シスレー ボタニカル フローラル トーニング ローション アルコールフリー 8.4 オンス</v>
      </c>
    </row>
    <row r="2998" ht="15.75" customHeight="1">
      <c r="A2998" s="1">
        <v>4555.0</v>
      </c>
      <c r="B2998" s="1" t="s">
        <v>15</v>
      </c>
      <c r="C2998" s="1" t="s">
        <v>2781</v>
      </c>
      <c r="D2998" s="1" t="str">
        <f>IFERROR(__xludf.DUMMYFUNCTION("CONCATENATE(GOOGLETRANSLATE(C2998, ""en"", ""zh-cn""))"),"Caudalie 即时排毒泥面膜 - 10 分钟内清洁并明显收紧毛孔，2.5 盎司。")</f>
        <v>Caudalie 即时排毒泥面膜 - 10 分钟内清洁并明显收紧毛孔，2.5 盎司。</v>
      </c>
      <c r="E2998" s="1" t="str">
        <f>IFERROR(__xludf.DUMMYFUNCTION("CONCATENATE(GOOGLETRANSLATE(C2998, ""en"", ""ko""))"),"Caudalie 인스턴트 디톡스 클레이 마스크 - 10분 안에 모공을 깨끗이 하고 눈에 띄게 조여줍니다(2.5oz).")</f>
        <v>Caudalie 인스턴트 디톡스 클레이 마스크 - 10분 안에 모공을 깨끗이 하고 눈에 띄게 조여줍니다(2.5oz).</v>
      </c>
      <c r="F2998" s="1" t="str">
        <f>IFERROR(__xludf.DUMMYFUNCTION("CONCATENATE(GOOGLETRANSLATE(C2998, ""en"", ""ja""))"),"Caudalie インスタント デトックス クレイ マスク - 10 分で毛穴をクレンジングし、目に見えて引き締めます、2.5 オンス。")</f>
        <v>Caudalie インスタント デトックス クレイ マスク - 10 分で毛穴をクレンジングし、目に見えて引き締めます、2.5 オンス。</v>
      </c>
    </row>
    <row r="2999" ht="15.75" customHeight="1">
      <c r="A2999" s="1">
        <v>4559.0</v>
      </c>
      <c r="B2999" s="1" t="s">
        <v>15</v>
      </c>
      <c r="C2999" s="1" t="s">
        <v>2782</v>
      </c>
      <c r="D2999" s="1" t="str">
        <f>IFERROR(__xludf.DUMMYFUNCTION("CONCATENATE(GOOGLETRANSLATE(C2999, ""en"", ""zh-cn""))"),"IMAGE Skincare，AGELESS 全面焕肤面膜，抗衰老去角质平滑面膜，2 盎司")</f>
        <v>IMAGE Skincare，AGELESS 全面焕肤面膜，抗衰老去角质平滑面膜，2 盎司</v>
      </c>
      <c r="E2999" s="1" t="str">
        <f>IFERROR(__xludf.DUMMYFUNCTION("CONCATENATE(GOOGLETRANSLATE(C2999, ""en"", ""ko""))"),"IMAGE 스킨케어, AGELESS 토탈 리서페이싱 마스크, 안티에이징 엑스폴리에이팅 스무딩 페이셜 마스크, 2온스")</f>
        <v>IMAGE 스킨케어, AGELESS 토탈 리서페이싱 마스크, 안티에이징 엑스폴리에이팅 스무딩 페이셜 마스크, 2온스</v>
      </c>
      <c r="F2999" s="1" t="str">
        <f>IFERROR(__xludf.DUMMYFUNCTION("CONCATENATE(GOOGLETRANSLATE(C2999, ""en"", ""ja""))"),"IMAGE スキンケア、エイジレス トータル リサーフェシング マスク、アンチエイジング エクスフォリエイティング スムージング フェイシャル マスク、2 オンス")</f>
        <v>IMAGE スキンケア、エイジレス トータル リサーフェシング マスク、アンチエイジング エクスフォリエイティング スムージング フェイシャル マスク、2 オンス</v>
      </c>
    </row>
    <row r="3000" ht="15.75" customHeight="1">
      <c r="A3000" s="1">
        <v>4560.0</v>
      </c>
      <c r="B3000" s="1" t="s">
        <v>15</v>
      </c>
      <c r="C3000" s="1" t="s">
        <v>2783</v>
      </c>
      <c r="D3000" s="1" t="str">
        <f>IFERROR(__xludf.DUMMYFUNCTION("CONCATENATE(GOOGLETRANSLATE(C3000, ""en"", ""zh-cn""))"),"【Apptoys智能调色板】- 1000+绘画内容 l 4-10岁STEM玩具 l 学习绘画游戏 |互动绘画游戏|给孩子的礼物（适用于 iPad、iPhone、三星平板电脑/手机 6.0+）")</f>
        <v>【Apptoys智能调色板】- 1000+绘画内容 l 4-10岁STEM玩具 l 学习绘画游戏 |互动绘画游戏|给孩子的礼物（适用于 iPad、iPhone、三星平板电脑/手机 6.0+）</v>
      </c>
      <c r="E3000" s="1" t="str">
        <f>IFERROR(__xludf.DUMMYFUNCTION("CONCATENATE(GOOGLETRANSLATE(C3000, ""en"", ""ko""))"),"[Apptoys 스마트 팔레트] - 1000개 이상의 그림 컨텐츠 l 4~10세 STEM 장난감 l 그림 학습 게임 | 인터랙티브 페인팅 게임 | 어린이를 위한 선물(아이패드, 아이폰, 삼성 탭/폰 6.0+에서 작동)")</f>
        <v>[Apptoys 스마트 팔레트] - 1000개 이상의 그림 컨텐츠 l 4~10세 STEM 장난감 l 그림 학습 게임 | 인터랙티브 페인팅 게임 | 어린이를 위한 선물(아이패드, 아이폰, 삼성 탭/폰 6.0+에서 작동)</v>
      </c>
      <c r="F3000" s="1" t="str">
        <f>IFERROR(__xludf.DUMMYFUNCTION("CONCATENATE(GOOGLETRANSLATE(C3000, ""en"", ""ja""))"),"[Apptoys スマート パレット] - 1000 以上の絵画コンテンツ l 4 ～ 10 歳向け STEM おもちゃ l 絵画学習ゲーム |インタラクティブな絵画ゲーム |子供向けギフト (iPad、iPhone、Samsung タブ/電話 6.0 以降で動作)")</f>
        <v>[Apptoys スマート パレット] - 1000 以上の絵画コンテンツ l 4 ～ 10 歳向け STEM おもちゃ l 絵画学習ゲーム |インタラクティブな絵画ゲーム |子供向けギフト (iPad、iPhone、Samsung タブ/電話 6.0 以降で動作)</v>
      </c>
    </row>
    <row r="3001" ht="15.75" customHeight="1">
      <c r="A3001" s="1">
        <v>4651.0</v>
      </c>
      <c r="B3001" s="1" t="s">
        <v>15</v>
      </c>
      <c r="C3001" s="1" t="s">
        <v>2319</v>
      </c>
      <c r="D3001" s="1" t="str">
        <f>IFERROR(__xludf.DUMMYFUNCTION("CONCATENATE(GOOGLETRANSLATE(C3001, ""en"", ""zh-cn""))"),"Giro 男士公路自行车鞋， 33 EU")</f>
        <v>Giro 男士公路自行车鞋， 33 EU</v>
      </c>
      <c r="E3001" s="1" t="str">
        <f>IFERROR(__xludf.DUMMYFUNCTION("CONCATENATE(GOOGLETRANSLATE(C3001, ""en"", ""ko""))"),"Giro 남성용 로드 자전거 신발, 33 EU")</f>
        <v>Giro 남성용 로드 자전거 신발, 33 EU</v>
      </c>
      <c r="F3001" s="1" t="str">
        <f>IFERROR(__xludf.DUMMYFUNCTION("CONCATENATE(GOOGLETRANSLATE(C3001, ""en"", ""ja""))"),"Giro メンズ ロードバイク シューズ、33 EU")</f>
        <v>Giro メンズ ロードバイク シューズ、33 EU</v>
      </c>
    </row>
    <row r="3002" ht="15.75" customHeight="1">
      <c r="A3002" s="1">
        <v>4662.0</v>
      </c>
      <c r="B3002" s="1" t="s">
        <v>15</v>
      </c>
      <c r="C3002" s="1" t="s">
        <v>1904</v>
      </c>
      <c r="D3002" s="1" t="str">
        <f>IFERROR(__xludf.DUMMYFUNCTION("CONCATENATE(GOOGLETRANSLATE(C3002, ""en"", ""zh-cn""))"),"美国 Pride 家具瑜伽系列现代人造皮革弧形躺椅，适合伸展和放松，非常适合卧室、客厅、冥想室或办公室，常规，黑巧克力色")</f>
        <v>美国 Pride 家具瑜伽系列现代人造皮革弧形躺椅，适合伸展和放松，非常适合卧室、客厅、冥想室或办公室，常规，黑巧克力色</v>
      </c>
      <c r="E3002" s="1" t="str">
        <f>IFERROR(__xludf.DUMMYFUNCTION("CONCATENATE(GOOGLETRANSLATE(C3002, ""en"", ""ko""))"),"US Pride Furniture Yoga Collection 스트레칭과 휴식을 위한 현대적인 인조 가죽 곡선 라운지 의자, 침실, 거실, 명상실 또는 사무실, 일반, 다크 초콜릿에 이상적")</f>
        <v>US Pride Furniture Yoga Collection 스트레칭과 휴식을 위한 현대적인 인조 가죽 곡선 라운지 의자, 침실, 거실, 명상실 또는 사무실, 일반, 다크 초콜릿에 이상적</v>
      </c>
      <c r="F3002" s="1" t="str">
        <f>IFERROR(__xludf.DUMMYFUNCTION("CONCATENATE(GOOGLETRANSLATE(C3002, ""en"", ""ja""))"),"USプライドファニチャーヨガコレクション ストレッチとリラクゼーションのためのモダンなフェイクレザーの湾曲したラウンジ長椅子、寝室、リビング、瞑想室またはオフィスに最適、レギュラー、ダークチョコレート")</f>
        <v>USプライドファニチャーヨガコレクション ストレッチとリラクゼーションのためのモダンなフェイクレザーの湾曲したラウンジ長椅子、寝室、リビング、瞑想室またはオフィスに最適、レギュラー、ダークチョコレート</v>
      </c>
    </row>
    <row r="3003" ht="15.75" customHeight="1">
      <c r="A3003" s="1">
        <v>4743.0</v>
      </c>
      <c r="B3003" s="1" t="s">
        <v>15</v>
      </c>
      <c r="C3003" s="1" t="s">
        <v>1852</v>
      </c>
      <c r="D3003" s="1" t="str">
        <f>IFERROR(__xludf.DUMMYFUNCTION("CONCATENATE(GOOGLETRANSLATE(C3003, ""en"", ""zh-cn""))"),"Roxenda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3003" s="1" t="str">
        <f>IFERROR(__xludf.DUMMYFUNCTION("CONCATENATE(GOOGLETRANSLATE(C3003, ""en"", ""ko""))"),"Roxenda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3003" s="1" t="str">
        <f>IFERROR(__xludf.DUMMYFUNCTION("CONCATENATE(GOOGLETRANSLATE(C3003, ""en"", ""ja""))"),"Roxenda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3004" ht="15.75" customHeight="1">
      <c r="A3004" s="1">
        <v>4759.0</v>
      </c>
      <c r="B3004" s="1" t="s">
        <v>381</v>
      </c>
      <c r="C3004" s="1" t="s">
        <v>702</v>
      </c>
      <c r="D3004" s="1" t="str">
        <f>IFERROR(__xludf.DUMMYFUNCTION("CONCATENATE(GOOGLETRANSLATE(C3004, ""en"", ""zh-cn""))"),"男式格纹纽扣前抓绒抽绳连帽夹克")</f>
        <v>男式格纹纽扣前抓绒抽绳连帽夹克</v>
      </c>
      <c r="E3004" s="1" t="str">
        <f>IFERROR(__xludf.DUMMYFUNCTION("CONCATENATE(GOOGLETRANSLATE(C3004, ""en"", ""ko""))"),"남성 체크 체크 무늬 버튼 프론트 플리스 드로스트링 후드 재킷")</f>
        <v>남성 체크 체크 무늬 버튼 프론트 플리스 드로스트링 후드 재킷</v>
      </c>
      <c r="F3004" s="1" t="str">
        <f>IFERROR(__xludf.DUMMYFUNCTION("CONCATENATE(GOOGLETRANSLATE(C3004, ""en"", ""ja""))"),"メンズチェックチェック柄ボタンフロントフリース巾着フード付きジャケット")</f>
        <v>メンズチェックチェック柄ボタンフロントフリース巾着フード付きジャケット</v>
      </c>
    </row>
    <row r="3005" ht="15.75" customHeight="1">
      <c r="A3005" s="1">
        <v>4771.0</v>
      </c>
      <c r="B3005" s="1" t="s">
        <v>15</v>
      </c>
      <c r="C3005" s="1" t="s">
        <v>2784</v>
      </c>
      <c r="D3005" s="1" t="str">
        <f>IFERROR(__xludf.DUMMYFUNCTION("CONCATENATE(GOOGLETRANSLATE(C3005, ""en"", ""zh-cn""))"),"SISLEY 希思黎雅全球抗衰老面霜 适合干性皮肤 50ml/1.7oz")</f>
        <v>SISLEY 希思黎雅全球抗衰老面霜 适合干性皮肤 50ml/1.7oz</v>
      </c>
      <c r="E3005" s="1" t="str">
        <f>IFERROR(__xludf.DUMMYFUNCTION("CONCATENATE(GOOGLETRANSLATE(C3005, ""en"", ""ko""))"),"시슬리 시슬리아 글로벌 안티 에이지 크림 엑스트라 리치 포 건성 피부 50ml/1.7oz")</f>
        <v>시슬리 시슬리아 글로벌 안티 에이지 크림 엑스트라 리치 포 건성 피부 50ml/1.7oz</v>
      </c>
      <c r="F3005" s="1" t="str">
        <f>IFERROR(__xludf.DUMMYFUNCTION("CONCATENATE(GOOGLETRANSLATE(C3005, ""en"", ""ja""))"),"SISLEY シスレーヤ グローバル アンチ エイジ クリーム エクストラ リッチ フォー ドライ スキン 50ml/1.7oz")</f>
        <v>SISLEY シスレーヤ グローバル アンチ エイジ クリーム エクストラ リッチ フォー ドライ スキン 50ml/1.7oz</v>
      </c>
    </row>
    <row r="3006" ht="15.75" customHeight="1">
      <c r="A3006" s="1">
        <v>4845.0</v>
      </c>
      <c r="B3006" s="1" t="s">
        <v>15</v>
      </c>
      <c r="C3006" s="1" t="s">
        <v>2785</v>
      </c>
      <c r="D3006" s="1" t="str">
        <f>IFERROR(__xludf.DUMMYFUNCTION("CONCATENATE(GOOGLETRANSLATE(C3006, ""en"", ""zh-cn""))"),"MSI WF66 11UJ-267 工作站笔记本电脑（英特尔 i7-11800H 8 核、32GB RAM、2TB SATA SSD、RTX A2000、15.6 英寸 60Hz 全高清 (1920x1080)、WiFi、蓝牙、背光 KB、Win 10 Pro），带 WD19S 180W 扩展坞")</f>
        <v>MSI WF66 11UJ-267 工作站笔记本电脑（英特尔 i7-11800H 8 核、32GB RAM、2TB SATA SSD、RTX A2000、15.6 英寸 60Hz 全高清 (1920x1080)、WiFi、蓝牙、背光 KB、Win 10 Pro），带 WD19S 180W 扩展坞</v>
      </c>
      <c r="E3006" s="1" t="str">
        <f>IFERROR(__xludf.DUMMYFUNCTION("CONCATENATE(GOOGLETRANSLATE(C3006, ""en"", ""ko""))"),"MSI WF66 11UJ-267 워크스테이션 노트북(Intel i7-11800H 8코어, 32GB RAM, 2TB SATA SSD, RTX A2000, 15.6인치 60Hz 풀 HD(1920x1080), WiFi, Bluetooth, 백라이트 KB, Win 10 Pro) 및 WD19S 180W 도크 포함")</f>
        <v>MSI WF66 11UJ-267 워크스테이션 노트북(Intel i7-11800H 8코어, 32GB RAM, 2TB SATA SSD, RTX A2000, 15.6인치 60Hz 풀 HD(1920x1080), WiFi, Bluetooth, 백라이트 KB, Win 10 Pro) 및 WD19S 180W 도크 포함</v>
      </c>
      <c r="F3006" s="1" t="str">
        <f>IFERROR(__xludf.DUMMYFUNCTION("CONCATENATE(GOOGLETRANSLATE(C3006, ""en"", ""ja""))"),"MSI WF66 11UJ-267 ワークステーション ラップトップ (Intel i7-11800H 8 コア、32GB RAM、2TB SATA SSD、RTX A2000、15.6 インチ 60Hz フル HD (1920x1080)、WiFi、Bluetooth、バックライト付き KB、Win 10 Pro) WD19S 180W ドック付き")</f>
        <v>MSI WF66 11UJ-267 ワークステーション ラップトップ (Intel i7-11800H 8 コア、32GB RAM、2TB SATA SSD、RTX A2000、15.6 インチ 60Hz フル HD (1920x1080)、WiFi、Bluetooth、バックライト付き KB、Win 10 Pro) WD19S 180W ドック付き</v>
      </c>
    </row>
    <row r="3007" ht="15.75" customHeight="1">
      <c r="A3007" s="1">
        <v>5044.0</v>
      </c>
      <c r="B3007" s="1" t="s">
        <v>15</v>
      </c>
      <c r="C3007" s="1" t="s">
        <v>2786</v>
      </c>
      <c r="D3007" s="1" t="str">
        <f>IFERROR(__xludf.DUMMYFUNCTION("CONCATENATE(GOOGLETRANSLATE(C3007, ""en"", ""zh-cn""))"),"HUGO #First 男士石英不锈钢链式手链休闲手表，颜色：黑色（型号：1530187）")</f>
        <v>HUGO #First 男士石英不锈钢链式手链休闲手表，颜色：黑色（型号：1530187）</v>
      </c>
      <c r="E3007" s="1" t="str">
        <f>IFERROR(__xludf.DUMMYFUNCTION("CONCATENATE(GOOGLETRANSLATE(C3007, ""en"", ""ko""))"),"HUGO #First 남성용 쿼츠 스테인리스 스틸 및 링크 팔찌 캐주얼 시계, 색상: 블랙(모델: 1530187)")</f>
        <v>HUGO #First 남성용 쿼츠 스테인리스 스틸 및 링크 팔찌 캐주얼 시계, 색상: 블랙(모델: 1530187)</v>
      </c>
      <c r="F3007" s="1" t="str">
        <f>IFERROR(__xludf.DUMMYFUNCTION("CONCATENATE(GOOGLETRANSLATE(C3007, ""en"", ""ja""))"),"HUGO #First メンズ クォーツ ステンレススチールとリンク ブレスレット カジュアルウォッチ、カラー: ブラック (モデル: 1530187)")</f>
        <v>HUGO #First メンズ クォーツ ステンレススチールとリンク ブレスレット カジュアルウォッチ、カラー: ブラック (モデル: 1530187)</v>
      </c>
    </row>
    <row r="3008" ht="15.75" customHeight="1">
      <c r="A3008" s="1">
        <v>5054.0</v>
      </c>
      <c r="B3008" s="1" t="s">
        <v>15</v>
      </c>
      <c r="C3008" s="1" t="s">
        <v>1840</v>
      </c>
      <c r="D3008" s="1" t="str">
        <f>IFERROR(__xludf.DUMMYFUNCTION("CONCATENATE(GOOGLETRANSLATE(C3008, ""en"", ""zh-cn""))"),"Cuberspeed GAN 13 uv 涂层 MagLev 无贴纸 3x3 速度立方拼图 gan13 maglev uv 涂层旗舰拼图")</f>
        <v>Cuberspeed GAN 13 uv 涂层 MagLev 无贴纸 3x3 速度立方拼图 gan13 maglev uv 涂层旗舰拼图</v>
      </c>
      <c r="E3008" s="1" t="str">
        <f>IFERROR(__xludf.DUMMYFUNCTION("CONCATENATE(GOOGLETRANSLATE(C3008, ""en"", ""ko""))"),"Cuberspeed GAN 13 uv 코팅 MagLev 스티커가 없는 3x3 스피드 큐브 퍼즐 gan13 maglev uv 코팅 플래그십 퍼즐")</f>
        <v>Cuberspeed GAN 13 uv 코팅 MagLev 스티커가 없는 3x3 스피드 큐브 퍼즐 gan13 maglev uv 코팅 플래그십 퍼즐</v>
      </c>
      <c r="F3008" s="1" t="str">
        <f>IFERROR(__xludf.DUMMYFUNCTION("CONCATENATE(GOOGLETRANSLATE(C3008, ""en"", ""ja""))"),"Cuberspeed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3009" ht="15.75" customHeight="1">
      <c r="A3009" s="1">
        <v>5064.0</v>
      </c>
      <c r="B3009" s="1" t="s">
        <v>381</v>
      </c>
      <c r="C3009" s="1" t="s">
        <v>704</v>
      </c>
      <c r="D3009" s="1" t="str">
        <f>IFERROR(__xludf.DUMMYFUNCTION("CONCATENATE(GOOGLETRANSLATE(C3009, ""en"", ""zh-cn""))"),"男式纯色棒球领拉链休闲夹克")</f>
        <v>男式纯色棒球领拉链休闲夹克</v>
      </c>
      <c r="E3009" s="1" t="str">
        <f>IFERROR(__xludf.DUMMYFUNCTION("CONCATENATE(GOOGLETRANSLATE(C3009, ""en"", ""ko""))"),"남성용 솔리드 텍스처 야구 ​​칼라 지퍼 프론트 캐주얼 재킷")</f>
        <v>남성용 솔리드 텍스처 야구 ​​칼라 지퍼 프론트 캐주얼 재킷</v>
      </c>
      <c r="F3009" s="1" t="str">
        <f>IFERROR(__xludf.DUMMYFUNCTION("CONCATENATE(GOOGLETRANSLATE(C3009, ""en"", ""ja""))"),"メンズソリッドテクスチャ野球襟ジップフロントカジュアルジャケット")</f>
        <v>メンズソリッドテクスチャ野球襟ジップフロントカジュアルジャケット</v>
      </c>
    </row>
    <row r="3010" ht="15.75" customHeight="1">
      <c r="A3010" s="1">
        <v>5080.0</v>
      </c>
      <c r="B3010" s="1" t="s">
        <v>15</v>
      </c>
      <c r="C3010" s="1" t="s">
        <v>2787</v>
      </c>
      <c r="D3010" s="1" t="str">
        <f>IFERROR(__xludf.DUMMYFUNCTION("CONCATENATE(GOOGLETRANSLATE(C3010, ""en"", ""zh-cn""))"),"戴尔 Optiplex 3000 MFF 商用台式机，第 12 代英特尔酷睿 i5-12500T，16GB RAM，512GB PCIe SSD，HDMI，Displayport，RJ-45，有线键盘和鼠标，Wi-Fi 6，Windows 11 Pro，黑色，16GB RAM | 512GB 固态硬盘")</f>
        <v>戴尔 Optiplex 3000 MFF 商用台式机，第 12 代英特尔酷睿 i5-12500T，16GB RAM，512GB PCIe SSD，HDMI，Displayport，RJ-45，有线键盘和鼠标，Wi-Fi 6，Windows 11 Pro，黑色，16GB RAM | 512GB 固态硬盘</v>
      </c>
      <c r="E3010" s="1" t="str">
        <f>IFERROR(__xludf.DUMMYFUNCTION("CONCATENATE(GOOGLETRANSLATE(C3010, ""en"", ""ko""))"),"Dell Optiplex 3000 MFF 비즈니스 데스크탑, 12세대 Intel Core i5-12500T, 16GB RAM, 512GB PCIe SSD, HDMI, 디스플레이포트, RJ-45, 유선 키보드 및 마우스, Wi-Fi 6, Windows 11 Pro, 블랙, 16GB RAM | 512GB SSD")</f>
        <v>Dell Optiplex 3000 MFF 비즈니스 데스크탑, 12세대 Intel Core i5-12500T, 16GB RAM, 512GB PCIe SSD, HDMI, 디스플레이포트, RJ-45, 유선 키보드 및 마우스, Wi-Fi 6, Windows 11 Pro, 블랙, 16GB RAM | 512GB SSD</v>
      </c>
      <c r="F3010" s="1" t="str">
        <f>IFERROR(__xludf.DUMMYFUNCTION("CONCATENATE(GOOGLETRANSLATE(C3010, ""en"", ""ja""))"),"Dell Optiplex 3000 MFF ビジネス デスクトップ、第 12 世代インテル Core i5-12500T、16GB RAM、512GB PCIe SSD、HDMI、ディスプレイポート、RJ-45、有線キーボード&amp;マウス、Wi-Fi 6、Windows 11 Pro、ブラック、16GB RAM | 512GB SSD")</f>
        <v>Dell Optiplex 3000 MFF ビジネス デスクトップ、第 12 世代インテル Core i5-12500T、16GB RAM、512GB PCIe SSD、HDMI、ディスプレイポート、RJ-45、有線キーボード&amp;マウス、Wi-Fi 6、Windows 11 Pro、ブラック、16GB RAM | 512GB SSD</v>
      </c>
    </row>
    <row r="3011" ht="15.75" customHeight="1">
      <c r="A3011" s="1">
        <v>5083.0</v>
      </c>
      <c r="B3011" s="1" t="s">
        <v>15</v>
      </c>
      <c r="C3011" s="1" t="s">
        <v>1706</v>
      </c>
      <c r="D3011" s="1" t="str">
        <f>IFERROR(__xludf.DUMMYFUNCTION("CONCATENATE(GOOGLETRANSLATE(C3011, ""en"", ""zh-cn""))"),"TPO RV 橡胶屋顶套件 45 百万 | 9'6 宽 x 10'-40' 长房车（露营车）屋顶维修（40 英尺）")</f>
        <v>TPO RV 橡胶屋顶套件 45 百万 | 9'6 宽 x 10'-40' 长房车（露营车）屋顶维修（40 英尺）</v>
      </c>
      <c r="E3011" s="1" t="str">
        <f>IFERROR(__xludf.DUMMYFUNCTION("CONCATENATE(GOOGLETRANSLATE(C3011, ""en"", ""ko""))"),"TPO RV 고무 지붕 키트 45mil | 폭 9'6 x 길이 10'-40' RV(캠퍼) 지붕 수리(40피트)")</f>
        <v>TPO RV 고무 지붕 키트 45mil | 폭 9'6 x 길이 10'-40' RV(캠퍼) 지붕 수리(40피트)</v>
      </c>
      <c r="F3011" s="1" t="str">
        <f>IFERROR(__xludf.DUMMYFUNCTION("CONCATENATE(GOOGLETRANSLATE(C3011, ""en"", ""ja""))"),"TPO RV ラバー ルーフ キット 45 mil |幅9'6 x 長さ10'-40' RV (キャンピングカー) 屋根修理 (40 フィート)")</f>
        <v>TPO RV ラバー ルーフ キット 45 mil |幅9'6 x 長さ10'-40' RV (キャンピングカー) 屋根修理 (40 フィート)</v>
      </c>
    </row>
    <row r="3012" ht="15.75" customHeight="1">
      <c r="A3012" s="1">
        <v>5090.0</v>
      </c>
      <c r="B3012" s="1" t="s">
        <v>381</v>
      </c>
      <c r="C3012" s="1" t="s">
        <v>770</v>
      </c>
      <c r="D3012" s="1" t="str">
        <f>IFERROR(__xludf.DUMMYFUNCTION("CONCATENATE(GOOGLETRANSLATE(C3012, ""en"", ""zh-cn""))"),"女式正面纽扣长袍长袖衬衫长裙（带口袋）")</f>
        <v>女式正面纽扣长袍长袖衬衫长裙（带口袋）</v>
      </c>
      <c r="E3012" s="1" t="str">
        <f>IFERROR(__xludf.DUMMYFUNCTION("CONCATENATE(GOOGLETRANSLATE(C3012, ""en"", ""ko""))"),"여성 단추 전면 Kaftan 가운 긴 소매 셔츠 주머니와 맥시 드레스")</f>
        <v>여성 단추 전면 Kaftan 가운 긴 소매 셔츠 주머니와 맥시 드레스</v>
      </c>
      <c r="F3012" s="1" t="str">
        <f>IFERROR(__xludf.DUMMYFUNCTION("CONCATENATE(GOOGLETRANSLATE(C3012, ""en"", ""ja""))"),"女性ボタンフロントカフタンローブ長袖シャツマキシドレスポケット付き")</f>
        <v>女性ボタンフロントカフタンローブ長袖シャツマキシドレスポケット付き</v>
      </c>
    </row>
    <row r="3013" ht="15.75" customHeight="1">
      <c r="A3013" s="1">
        <v>5091.0</v>
      </c>
      <c r="B3013" s="1" t="s">
        <v>381</v>
      </c>
      <c r="C3013" s="1" t="s">
        <v>771</v>
      </c>
      <c r="D3013" s="1" t="str">
        <f>IFERROR(__xludf.DUMMYFUNCTION("CONCATENATE(GOOGLETRANSLATE(C3013, ""en"", ""zh-cn""))"),"纯色细肩袖宽松摆休闲长连衣裙")</f>
        <v>纯色细肩袖宽松摆休闲长连衣裙</v>
      </c>
      <c r="E3013" s="1" t="str">
        <f>IFERROR(__xludf.DUMMYFUNCTION("CONCATENATE(GOOGLETRANSLATE(C3013, ""en"", ""ko""))"),"솔리드 컬러 스파게티 민소매 루즈 스윙 캐주얼 맥시 드레스")</f>
        <v>솔리드 컬러 스파게티 민소매 루즈 스윙 캐주얼 맥시 드레스</v>
      </c>
      <c r="F3013" s="1" t="str">
        <f>IFERROR(__xludf.DUMMYFUNCTION("CONCATENATE(GOOGLETRANSLATE(C3013, ""en"", ""ja""))"),"ソリッドカラースパゲッティノースリーブルーズスイングカジュアルマキシドレス")</f>
        <v>ソリッドカラースパゲッティノースリーブルーズスイングカジュアルマキシドレス</v>
      </c>
    </row>
    <row r="3014" ht="15.75" customHeight="1">
      <c r="A3014" s="1">
        <v>5130.0</v>
      </c>
      <c r="B3014" s="1" t="s">
        <v>15</v>
      </c>
      <c r="C3014" s="1" t="s">
        <v>1852</v>
      </c>
      <c r="D3014" s="1" t="str">
        <f>IFERROR(__xludf.DUMMYFUNCTION("CONCATENATE(GOOGLETRANSLATE(C3014, ""en"", ""zh-cn""))"),"Roxenda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3014" s="1" t="str">
        <f>IFERROR(__xludf.DUMMYFUNCTION("CONCATENATE(GOOGLETRANSLATE(C3014, ""en"", ""ko""))"),"Roxenda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3014" s="1" t="str">
        <f>IFERROR(__xludf.DUMMYFUNCTION("CONCATENATE(GOOGLETRANSLATE(C3014, ""en"", ""ja""))"),"Roxenda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3015" ht="15.75" customHeight="1">
      <c r="A3015" s="1">
        <v>5131.0</v>
      </c>
      <c r="B3015" s="1" t="s">
        <v>15</v>
      </c>
      <c r="C3015" s="1" t="s">
        <v>1842</v>
      </c>
      <c r="D3015" s="1" t="str">
        <f>IFERROR(__xludf.DUMMYFUNCTION("CONCATENATE(GOOGLETRANSLATE(C3015, ""en"", ""zh-cn""))"),"波克芬诺 GAN Megaminx M 3x3 速度魔方 Gan 五角形磁性无贴纸魔法拼图魔方玩具")</f>
        <v>波克芬诺 GAN Megaminx M 3x3 速度魔方 Gan 五角形磁性无贴纸魔法拼图魔方玩具</v>
      </c>
      <c r="E3015" s="1" t="str">
        <f>IFERROR(__xludf.DUMMYFUNCTION("CONCATENATE(GOOGLETRANSLATE(C3015, ""en"", ""ko""))"),"Bokefenuo GAN Megaminx M 3x3 스피드 큐브 Gan 오각형 자기 스티커가없는 매직 퍼즐 큐브 장난감")</f>
        <v>Bokefenuo GAN Megaminx M 3x3 스피드 큐브 Gan 오각형 자기 스티커가없는 매직 퍼즐 큐브 장난감</v>
      </c>
      <c r="F3015" s="1" t="str">
        <f>IFERROR(__xludf.DUMMYFUNCTION("CONCATENATE(GOOGLETRANSLATE(C3015, ""en"", ""ja""))"),"Bokefenuo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3016" ht="15.75" customHeight="1">
      <c r="A3016" s="1">
        <v>5132.0</v>
      </c>
      <c r="B3016" s="1" t="s">
        <v>15</v>
      </c>
      <c r="C3016" s="1" t="s">
        <v>1849</v>
      </c>
      <c r="D3016" s="1" t="str">
        <f>IFERROR(__xludf.DUMMYFUNCTION("CONCATENATE(GOOGLETRANSLATE(C3016, ""en"", ""zh-cn""))"),"GAN 460 M， Gan 4x4 磁性速度魔方， gan 460 m 4 x 4 儿童和成人无贴纸拼图玩具")</f>
        <v>GAN 460 M， Gan 4x4 磁性速度魔方， gan 460 m 4 x 4 儿童和成人无贴纸拼图玩具</v>
      </c>
      <c r="E3016" s="1" t="str">
        <f>IFERROR(__xludf.DUMMYFUNCTION("CONCATENATE(GOOGLETRANSLATE(C3016, ""en"", ""ko""))"),"GAN 460 M, Gan 4x4 자기 속도 큐브, gan 460 m 4 by 4 어린이와 성인을 위한 스티커 없는 퍼즐 장난감")</f>
        <v>GAN 460 M, Gan 4x4 자기 속도 큐브, gan 460 m 4 by 4 어린이와 성인을 위한 스티커 없는 퍼즐 장난감</v>
      </c>
      <c r="F3016" s="1" t="str">
        <f>IFERROR(__xludf.DUMMYFUNCTION("CONCATENATE(GOOGLETRANSLATE(C3016, ""en"", ""ja""))"),"GAN 460 M、Gan 4x4 磁気スピードキューブ、GAN 460 m 4 by 4 ステッカーレスパズルおもちゃ子供と大人向け")</f>
        <v>GAN 460 M、Gan 4x4 磁気スピードキューブ、GAN 460 m 4 by 4 ステッカーレスパズルおもちゃ子供と大人向け</v>
      </c>
    </row>
    <row r="3017" ht="15.75" customHeight="1">
      <c r="A3017" s="1">
        <v>5137.0</v>
      </c>
      <c r="B3017" s="1" t="s">
        <v>381</v>
      </c>
      <c r="C3017" s="1" t="s">
        <v>697</v>
      </c>
      <c r="D3017" s="1" t="str">
        <f>IFERROR(__xludf.DUMMYFUNCTION("CONCATENATE(GOOGLETRANSLATE(C3017, ""en"", ""zh-cn""))"),"男式拼色前拉链抽绳连帽夹克")</f>
        <v>男式拼色前拉链抽绳连帽夹克</v>
      </c>
      <c r="E3017" s="1" t="str">
        <f>IFERROR(__xludf.DUMMYFUNCTION("CONCATENATE(GOOGLETRANSLATE(C3017, ""en"", ""ko""))"),"남성용 컬러 블록 패치워크 지퍼 앞면 드로스트링 후드 재킷")</f>
        <v>남성용 컬러 블록 패치워크 지퍼 앞면 드로스트링 후드 재킷</v>
      </c>
      <c r="F3017" s="1" t="str">
        <f>IFERROR(__xludf.DUMMYFUNCTION("CONCATENATE(GOOGLETRANSLATE(C3017, ""en"", ""ja""))"),"メンズ カラーブロック パッチワーク ジップ フロント ドローストリング フード付きジャケット")</f>
        <v>メンズ カラーブロック パッチワーク ジップ フロント ドローストリング フード付きジャケット</v>
      </c>
    </row>
    <row r="3018" ht="15.75" customHeight="1">
      <c r="A3018" s="1">
        <v>5141.0</v>
      </c>
      <c r="B3018" s="1" t="s">
        <v>15</v>
      </c>
      <c r="C3018" s="1" t="s">
        <v>2788</v>
      </c>
      <c r="D3018" s="1" t="str">
        <f>IFERROR(__xludf.DUMMYFUNCTION("CONCATENATE(GOOGLETRANSLATE(C3018, ""en"", ""zh-cn""))"),"施华洛世奇炫丽天鹅珠宝系列，蓝色水晶，粉色水晶，透明水晶")</f>
        <v>施华洛世奇炫丽天鹅珠宝系列，蓝色水晶，粉色水晶，透明水晶</v>
      </c>
      <c r="E3018" s="1" t="str">
        <f>IFERROR(__xludf.DUMMYFUNCTION("CONCATENATE(GOOGLETRANSLATE(C3018, ""en"", ""ko""))"),"SWAROVSKI 눈부신 백조 주얼리 컬렉션, 블루 크리스탈, 핑크 크리스탈, 클리어 크리스탈")</f>
        <v>SWAROVSKI 눈부신 백조 주얼리 컬렉션, 블루 크리스탈, 핑크 크리스탈, 클리어 크리스탈</v>
      </c>
      <c r="F3018" s="1" t="str">
        <f>IFERROR(__xludf.DUMMYFUNCTION("CONCATENATE(GOOGLETRANSLATE(C3018, ""en"", ""ja""))"),"スワロフスキー ダズリング スワン ジュエリー コレクション、ブルー クリスタル、ピンク クリスタル、クリア クリスタル")</f>
        <v>スワロフスキー ダズリング スワン ジュエリー コレクション、ブルー クリスタル、ピンク クリスタル、クリア クリスタル</v>
      </c>
    </row>
    <row r="3019" ht="15.75" customHeight="1">
      <c r="A3019" s="1">
        <v>5142.0</v>
      </c>
      <c r="B3019" s="1" t="s">
        <v>15</v>
      </c>
      <c r="C3019" s="1" t="s">
        <v>2697</v>
      </c>
      <c r="D3019" s="1" t="str">
        <f>IFERROR(__xludf.DUMMYFUNCTION("CONCATENATE(GOOGLETRANSLATE(C3019, ""en"", ""zh-cn""))"),"Apple iPhone 14 Plus，128GB，（产品）红色 - 已解锁（续订）")</f>
        <v>Apple iPhone 14 Plus，128GB，（产品）红色 - 已解锁（续订）</v>
      </c>
      <c r="E3019" s="1" t="str">
        <f>IFERROR(__xludf.DUMMYFUNCTION("CONCATENATE(GOOGLETRANSLATE(C3019, ""en"", ""ko""))"),"Apple iPhone 14 Plus, 128GB, (제품) 레드 - 공기계 (리뉴얼)")</f>
        <v>Apple iPhone 14 Plus, 128GB, (제품) 레드 - 공기계 (리뉴얼)</v>
      </c>
      <c r="F3019" s="1" t="str">
        <f>IFERROR(__xludf.DUMMYFUNCTION("CONCATENATE(GOOGLETRANSLATE(C3019, ""en"", ""ja""))"),"Apple iPhone 14 Plus、128GB、(製品) レッド - ロック解除済み (更新済み)")</f>
        <v>Apple iPhone 14 Plus、128GB、(製品) レッド - ロック解除済み (更新済み)</v>
      </c>
    </row>
    <row r="3020" ht="15.75" customHeight="1">
      <c r="A3020" s="1">
        <v>5160.0</v>
      </c>
      <c r="B3020" s="1" t="s">
        <v>15</v>
      </c>
      <c r="C3020" s="1" t="s">
        <v>1858</v>
      </c>
      <c r="D3020" s="1" t="str">
        <f>IFERROR(__xludf.DUMMYFUNCTION("CONCATENATE(GOOGLETRANSLATE(C3020, ""en"", ""zh-cn""))"),"ASSAULTFITNESS Assault AirBike Elite，灰色")</f>
        <v>ASSAULTFITNESS Assault AirBike Elite，灰色</v>
      </c>
      <c r="E3020" s="1" t="str">
        <f>IFERROR(__xludf.DUMMYFUNCTION("CONCATENATE(GOOGLETRANSLATE(C3020, ""en"", ""ko""))"),"ASSAULTFITNESS Assault AirBike 엘리트, 그레이")</f>
        <v>ASSAULTFITNESS Assault AirBike 엘리트, 그레이</v>
      </c>
      <c r="F3020" s="1" t="str">
        <f>IFERROR(__xludf.DUMMYFUNCTION("CONCATENATE(GOOGLETRANSLATE(C3020, ""en"", ""ja""))"),"ASSAULTFITNESS アサルト エアバイク エリート、グレー")</f>
        <v>ASSAULTFITNESS アサルト エアバイク エリート、グレー</v>
      </c>
    </row>
    <row r="3021" ht="15.75" customHeight="1">
      <c r="A3021" s="1">
        <v>5185.0</v>
      </c>
      <c r="B3021" s="1" t="s">
        <v>381</v>
      </c>
      <c r="C3021" s="1" t="s">
        <v>690</v>
      </c>
      <c r="D3021" s="1" t="str">
        <f>IFERROR(__xludf.DUMMYFUNCTION("CONCATENATE(GOOGLETRANSLATE(C3021, ""en"", ""zh-cn""))"),"男式拼色前拉链连帽风衣夹克")</f>
        <v>男式拼色前拉链连帽风衣夹克</v>
      </c>
      <c r="E3021" s="1" t="str">
        <f>IFERROR(__xludf.DUMMYFUNCTION("CONCATENATE(GOOGLETRANSLATE(C3021, ""en"", ""ko""))"),"남성용 컬러 블록 패치워크 지퍼 프론트 후드 윈드브레이커 재킷")</f>
        <v>남성용 컬러 블록 패치워크 지퍼 프론트 후드 윈드브레이커 재킷</v>
      </c>
      <c r="F3021" s="1" t="str">
        <f>IFERROR(__xludf.DUMMYFUNCTION("CONCATENATE(GOOGLETRANSLATE(C3021, ""en"", ""ja""))"),"メンズ カラーブロック パッチワーク ジップ フロント フード付き ウインドブレーカー ジャケット")</f>
        <v>メンズ カラーブロック パッチワーク ジップ フロント フード付き ウインドブレーカー ジャケット</v>
      </c>
    </row>
    <row r="3022" ht="15.75" customHeight="1">
      <c r="A3022" s="1">
        <v>5193.0</v>
      </c>
      <c r="B3022" s="1" t="s">
        <v>381</v>
      </c>
      <c r="C3022" s="1" t="s">
        <v>700</v>
      </c>
      <c r="D3022" s="1" t="str">
        <f>IFERROR(__xludf.DUMMYFUNCTION("CONCATENATE(GOOGLETRANSLATE(C3022, ""en"", ""zh-cn""))"),"男式民族几何印花拼接纽扣前连帽夹克")</f>
        <v>男式民族几何印花拼接纽扣前连帽夹克</v>
      </c>
      <c r="E3022" s="1" t="str">
        <f>IFERROR(__xludf.DUMMYFUNCTION("CONCATENATE(GOOGLETRANSLATE(C3022, ""en"", ""ko""))"),"남성용 에스닉 기하학 프린트 패치워크 버튼 프론트 후드 재킷")</f>
        <v>남성용 에스닉 기하학 프린트 패치워크 버튼 프론트 후드 재킷</v>
      </c>
      <c r="F3022" s="1" t="str">
        <f>IFERROR(__xludf.DUMMYFUNCTION("CONCATENATE(GOOGLETRANSLATE(C3022, ""en"", ""ja""))"),"メンズエスニック幾何学プリントパッチワークボタンフロントフード付きジャケット")</f>
        <v>メンズエスニック幾何学プリントパッチワークボタンフロントフード付きジャケット</v>
      </c>
    </row>
    <row r="3023" ht="15.75" customHeight="1">
      <c r="A3023" s="1">
        <v>5284.0</v>
      </c>
      <c r="B3023" s="1" t="s">
        <v>381</v>
      </c>
      <c r="C3023" s="1" t="s">
        <v>617</v>
      </c>
      <c r="D3023" s="1" t="str">
        <f>IFERROR(__xludf.DUMMYFUNCTION("CONCATENATE(GOOGLETRANSLATE(C3023, ""en"", ""zh-cn""))"),"男士不对称部落印花短袖 O 领 T 恤")</f>
        <v>男士不对称部落印花短袖 O 领 T 恤</v>
      </c>
      <c r="E3023" s="1" t="str">
        <f>IFERROR(__xludf.DUMMYFUNCTION("CONCATENATE(GOOGLETRANSLATE(C3023, ""en"", ""ko""))"),"남성용 비대칭 부족 프린트 반소매 O 넥 티셔츠")</f>
        <v>남성용 비대칭 부족 프린트 반소매 O 넥 티셔츠</v>
      </c>
      <c r="F3023" s="1" t="str">
        <f>IFERROR(__xludf.DUMMYFUNCTION("CONCATENATE(GOOGLETRANSLATE(C3023, ""en"", ""ja""))"),"メンズ非対称トライバルプリント半袖 O ネック T シャツ")</f>
        <v>メンズ非対称トライバルプリント半袖 O ネック T シャツ</v>
      </c>
    </row>
    <row r="3024" ht="15.75" customHeight="1">
      <c r="A3024" s="1">
        <v>5287.0</v>
      </c>
      <c r="B3024" s="1" t="s">
        <v>15</v>
      </c>
      <c r="C3024" s="1" t="s">
        <v>1853</v>
      </c>
      <c r="D3024" s="1" t="str">
        <f>IFERROR(__xludf.DUMMYFUNCTION("CONCATENATE(GOOGLETRANSLATE(C3024, ""en"", ""zh-cn""))"),"带金属腿和盖子的拼图桌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3024" s="1" t="str">
        <f>IFERROR(__xludf.DUMMYFUNCTION("CONCATENATE(GOOGLETRANSLATE(C3024, ""en"", ""ko""))"),"금속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3024" s="1" t="str">
        <f>IFERROR(__xludf.DUMMYFUNCTION("CONCATENATE(GOOGLETRANSLATE(C3024, ""en"", ""ja""))"),"金属製の脚とカバー付きパズルテーブル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3025" ht="15.75" customHeight="1">
      <c r="A3025" s="1">
        <v>5297.0</v>
      </c>
      <c r="B3025" s="1" t="s">
        <v>15</v>
      </c>
      <c r="C3025" s="1" t="s">
        <v>2327</v>
      </c>
      <c r="D3025" s="1" t="str">
        <f>IFERROR(__xludf.DUMMYFUNCTION("CONCATENATE(GOOGLETRANSLATE(C3025, ""en"", ""zh-cn""))"),"GAN 356 i 3 无贴纸速度魔方，3x3 智能魔方 356 i3 甘斯磁力魔方智能跟踪计时运动步骤与 CubeStation 应用程序甘魔方拼图玩具（不含 GAN 机器人）")</f>
        <v>GAN 356 i 3 无贴纸速度魔方，3x3 智能魔方 356 i3 甘斯磁力魔方智能跟踪计时运动步骤与 CubeStation 应用程序甘魔方拼图玩具（不含 GAN 机器人）</v>
      </c>
      <c r="E3025" s="1" t="str">
        <f>IFERROR(__xludf.DUMMYFUNCTION("CONCATENATE(GOOGLETRANSLATE(C3025, ""en"", ""ko""))"),"GAN 356 i 3 스티커 없는 스피드 큐브, 3x3 스마트 큐브 356 i3 Gans 마그네틱 큐브 CubeStation 앱을 사용한 지능형 추적 타이밍 동작 단계 Gan 큐브 퍼즐 장난감(GAN 로봇은 포함되지 않음)")</f>
        <v>GAN 356 i 3 스티커 없는 스피드 큐브, 3x3 스마트 큐브 356 i3 Gans 마그네틱 큐브 CubeStation 앱을 사용한 지능형 추적 타이밍 동작 단계 Gan 큐브 퍼즐 장난감(GAN 로봇은 포함되지 않음)</v>
      </c>
      <c r="F3025" s="1" t="str">
        <f>IFERROR(__xludf.DUMMYFUNCTION("CONCATENATE(GOOGLETRANSLATE(C3025, ""en"", ""ja""))"),"GAN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f>
        <v>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v>
      </c>
    </row>
    <row r="3026" ht="15.75" customHeight="1">
      <c r="A3026" s="1">
        <v>5301.0</v>
      </c>
      <c r="B3026" s="1" t="s">
        <v>15</v>
      </c>
      <c r="C3026" s="1" t="s">
        <v>2370</v>
      </c>
      <c r="D3026" s="1" t="str">
        <f>IFERROR(__xludf.DUMMYFUNCTION("CONCATENATE(GOOGLETRANSLATE(C3026, ""en"", ""zh-cn""))"),"Sidi 男子现代自行车赛，美国 2-4（亚洲）")</f>
        <v>Sidi 男子现代自行车赛，美国 2-4（亚洲）</v>
      </c>
      <c r="E3026" s="1" t="str">
        <f>IFERROR(__xludf.DUMMYFUNCTION("CONCATENATE(GOOGLETRANSLATE(C3026, ""en"", ""ko""))"),"Sidi 남성용 모던 사이클링 스케이프, 미국 2-4(아시아)")</f>
        <v>Sidi 남성용 모던 사이클링 스케이프, 미국 2-4(아시아)</v>
      </c>
      <c r="F3026" s="1" t="str">
        <f>IFERROR(__xludf.DUMMYFUNCTION("CONCATENATE(GOOGLETRANSLATE(C3026, ""en"", ""ja""))"),"シディメンズモダンサイクリングスケープ、米国 2-4 (アジア)")</f>
        <v>シディメンズモダンサイクリングスケープ、米国 2-4 (アジア)</v>
      </c>
    </row>
    <row r="3027" ht="15.75" customHeight="1">
      <c r="A3027" s="1">
        <v>5314.0</v>
      </c>
      <c r="B3027" s="1" t="s">
        <v>15</v>
      </c>
      <c r="C3027" s="1" t="s">
        <v>1821</v>
      </c>
      <c r="D3027" s="1" t="str">
        <f>IFERROR(__xludf.DUMMYFUNCTION("CONCATENATE(GOOGLETRANSLATE(C3027, ""en"", ""zh-cn""))"),"Fizik Vento Infinito Carbon 2 骑行鞋 - 男士白色/黑色，46.0")</f>
        <v>Fizik Vento Infinito Carbon 2 骑行鞋 - 男士白色/黑色，46.0</v>
      </c>
      <c r="E3027" s="1" t="str">
        <f>IFERROR(__xludf.DUMMYFUNCTION("CONCATENATE(GOOGLETRANSLATE(C3027, ""en"", ""ko""))"),"Fizik Vento Infinito Carbon 2 사이클링 슈즈 - 남성용 화이트/블랙, 46.0")</f>
        <v>Fizik Vento Infinito Carbon 2 사이클링 슈즈 - 남성용 화이트/블랙, 46.0</v>
      </c>
      <c r="F3027" s="1" t="str">
        <f>IFERROR(__xludf.DUMMYFUNCTION("CONCATENATE(GOOGLETRANSLATE(C3027, ""en"", ""ja""))"),"Fizik Vento Infinito Carbon 2 サイクリング シューズ - メンズ ホワイト/ブラック、46.0")</f>
        <v>Fizik Vento Infinito Carbon 2 サイクリング シューズ - メンズ ホワイト/ブラック、46.0</v>
      </c>
    </row>
    <row r="3028" ht="15.75" customHeight="1">
      <c r="A3028" s="1">
        <v>5317.0</v>
      </c>
      <c r="B3028" s="1" t="s">
        <v>15</v>
      </c>
      <c r="C3028" s="1" t="s">
        <v>2789</v>
      </c>
      <c r="D3028" s="1" t="str">
        <f>IFERROR(__xludf.DUMMYFUNCTION("CONCATENATE(GOOGLETRANSLATE(C3028, ""en"", ""zh-cn""))"),"Apple iPad Pro 2018（11 英寸，Wi-Fi + 蜂窝网络，1TB）- 深空灰色 -（续订）")</f>
        <v>Apple iPad Pro 2018（11 英寸，Wi-Fi + 蜂窝网络，1TB）- 深空灰色 -（续订）</v>
      </c>
      <c r="E3028" s="1" t="str">
        <f>IFERROR(__xludf.DUMMYFUNCTION("CONCATENATE(GOOGLETRANSLATE(C3028, ""en"", ""ko""))"),"Apple iPad Pro 2018 (11인치, Wi-Fi + Cellular, 1TB) - 스페이스 그레이 - (리뉴얼)")</f>
        <v>Apple iPad Pro 2018 (11인치, Wi-Fi + Cellular, 1TB) - 스페이스 그레이 - (리뉴얼)</v>
      </c>
      <c r="F3028" s="1" t="str">
        <f>IFERROR(__xludf.DUMMYFUNCTION("CONCATENATE(GOOGLETRANSLATE(C3028, ""en"", ""ja""))"),"Apple iPad Pro 2018 (11インチ、Wi-Fi + Cellular、1TB) - スペースグレイ - (リニューアル)")</f>
        <v>Apple iPad Pro 2018 (11インチ、Wi-Fi + Cellular、1TB) - スペースグレイ - (リニューアル)</v>
      </c>
    </row>
    <row r="3029" ht="15.75" customHeight="1">
      <c r="A3029" s="1">
        <v>5320.0</v>
      </c>
      <c r="B3029" s="1" t="s">
        <v>15</v>
      </c>
      <c r="C3029" s="1" t="s">
        <v>1706</v>
      </c>
      <c r="D3029" s="1" t="str">
        <f>IFERROR(__xludf.DUMMYFUNCTION("CONCATENATE(GOOGLETRANSLATE(C3029, ""en"", ""zh-cn""))"),"TPO RV 橡胶屋顶套件 45 百万 | 9'6 宽 x 10'-40' 长房车（露营车）屋顶维修（40 英尺）")</f>
        <v>TPO RV 橡胶屋顶套件 45 百万 | 9'6 宽 x 10'-40' 长房车（露营车）屋顶维修（40 英尺）</v>
      </c>
      <c r="E3029" s="1" t="str">
        <f>IFERROR(__xludf.DUMMYFUNCTION("CONCATENATE(GOOGLETRANSLATE(C3029, ""en"", ""ko""))"),"TPO RV 고무 지붕 키트 45mil | 폭 9'6 x 길이 10'-40' RV(캠퍼) 지붕 수리(40피트)")</f>
        <v>TPO RV 고무 지붕 키트 45mil | 폭 9'6 x 길이 10'-40' RV(캠퍼) 지붕 수리(40피트)</v>
      </c>
      <c r="F3029" s="1" t="str">
        <f>IFERROR(__xludf.DUMMYFUNCTION("CONCATENATE(GOOGLETRANSLATE(C3029, ""en"", ""ja""))"),"TPO RV ラバー ルーフ キット 45 mil |幅9'6 x 長さ10'-40' RV (キャンピングカー) 屋根修理 (40 フィート)")</f>
        <v>TPO RV ラバー ルーフ キット 45 mil |幅9'6 x 長さ10'-40' RV (キャンピングカー) 屋根修理 (40 フィート)</v>
      </c>
    </row>
    <row r="3030" ht="15.75" customHeight="1">
      <c r="A3030" s="1">
        <v>5326.0</v>
      </c>
      <c r="B3030" s="1" t="s">
        <v>15</v>
      </c>
      <c r="C3030" s="1" t="s">
        <v>2203</v>
      </c>
      <c r="D3030" s="1" t="str">
        <f>IFERROR(__xludf.DUMMYFUNCTION("CONCATENATE(GOOGLETRANSLATE(C3030, ""en"", ""zh-cn""))"),"惠普最新 Pavilion 笔记本电脑， 15.6 FHD 屏幕，英特尔酷睿 i5-1135G7 处理器（高达 4.2 GHz），32GB 内存，1TB SSD，Type-C，HDMI，蓝牙，Windows 11 Home，银色，JVQ MP")</f>
        <v>惠普最新 Pavilion 笔记本电脑， 15.6 FHD 屏幕，英特尔酷睿 i5-1135G7 处理器（高达 4.2 GHz），32GB 内存，1TB SSD，Type-C，HDMI，蓝牙，Windows 11 Home，银色，JVQ MP</v>
      </c>
      <c r="E3030" s="1" t="str">
        <f>IFERROR(__xludf.DUMMYFUNCTION("CONCATENATE(GOOGLETRANSLATE(C3030, ""en"", ""ko""))"),"HP 최신 Pavilion 노트북, 15.6 FHD 화면, Intel Core i5-1135G7 프로세서(최대 4.2GHz), 32GB 메모리, 1TB SSD, Type-C, HDMI, Bluetooth, Windows 11 Home, 실버, JVQ MP")</f>
        <v>HP 최신 Pavilion 노트북, 15.6 FHD 화면, Intel Core i5-1135G7 프로세서(최대 4.2GHz), 32GB 메모리, 1TB SSD, Type-C, HDMI, Bluetooth, Windows 11 Home, 실버, JVQ MP</v>
      </c>
      <c r="F3030" s="1" t="str">
        <f>IFERROR(__xludf.DUMMYFUNCTION("CONCATENATE(GOOGLETRANSLATE(C3030, ""en"", ""ja""))"),"HP 最新パビリオン ラップトップ、15.6 FHD スクリーン、Intel Core i5-1135G7 プロセッサー (最大 4.2 GHz)、32GB メモリ、1TB SSD、Type-C、HDMI、Bluetooth、Windows 11 Home、シルバー、JVQ MP")</f>
        <v>HP 最新パビリオン ラップトップ、15.6 FHD スクリーン、Intel Core i5-1135G7 プロセッサー (最大 4.2 GHz)、32GB メモリ、1TB SSD、Type-C、HDMI、Bluetooth、Windows 11 Home、シルバー、JVQ MP</v>
      </c>
    </row>
    <row r="3031" ht="15.75" customHeight="1">
      <c r="A3031" s="1">
        <v>5339.0</v>
      </c>
      <c r="B3031" s="1" t="s">
        <v>15</v>
      </c>
      <c r="C3031" s="1" t="s">
        <v>1839</v>
      </c>
      <c r="D3031" s="1" t="str">
        <f>IFERROR(__xludf.DUMMYFUNCTION("CONCATENATE(GOOGLETRANSLATE(C3031, ""en"", ""zh-cn""))"),"GAN 13 磁悬浮 UV 涂层，磁性速度魔方 3x3 无贴纸 56 毫米磁铁魔方拼图玩具，GAN 2022 旗舰")</f>
        <v>GAN 13 磁悬浮 UV 涂层，磁性速度魔方 3x3 无贴纸 56 毫米磁铁魔方拼图玩具，GAN 2022 旗舰</v>
      </c>
      <c r="E3031" s="1" t="str">
        <f>IFERROR(__xludf.DUMMYFUNCTION("CONCATENATE(GOOGLETRANSLATE(C3031, ""en"", ""ko""))"),"GAN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3031" s="1" t="str">
        <f>IFERROR(__xludf.DUMMYFUNCTION("CONCATENATE(GOOGLETRANSLATE(C3031, ""en"", ""ja""))"),"GAN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3032" ht="15.75" customHeight="1">
      <c r="A3032" s="1">
        <v>5344.0</v>
      </c>
      <c r="B3032" s="1" t="s">
        <v>15</v>
      </c>
      <c r="C3032" s="1" t="s">
        <v>1650</v>
      </c>
      <c r="D3032" s="1" t="str">
        <f>IFERROR(__xludf.DUMMYFUNCTION("CONCATENATE(GOOGLETRANSLATE(C3032, ""en"", ""zh-cn""))"),"SHARGEEK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3032" s="1" t="str">
        <f>IFERROR(__xludf.DUMMYFUNCTION("CONCATENATE(GOOGLETRANSLATE(C3032, ""en"", ""ko""))"),"SHARGEEK의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3032" s="1" t="str">
        <f>IFERROR(__xludf.DUMMYFUNCTION("CONCATENATE(GOOGLETRANSLATE(C3032, ""en"", ""ja""))"),"SHARGEEK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3033" ht="15.75" customHeight="1">
      <c r="A3033" s="1">
        <v>5345.0</v>
      </c>
      <c r="B3033" s="1" t="s">
        <v>15</v>
      </c>
      <c r="C3033" s="1" t="s">
        <v>1840</v>
      </c>
      <c r="D3033" s="1" t="str">
        <f>IFERROR(__xludf.DUMMYFUNCTION("CONCATENATE(GOOGLETRANSLATE(C3033, ""en"", ""zh-cn""))"),"Cuberspeed GAN 13 uv 涂层 MagLev 无贴纸 3x3 速度立方拼图 gan13 maglev uv 涂层旗舰拼图")</f>
        <v>Cuberspeed GAN 13 uv 涂层 MagLev 无贴纸 3x3 速度立方拼图 gan13 maglev uv 涂层旗舰拼图</v>
      </c>
      <c r="E3033" s="1" t="str">
        <f>IFERROR(__xludf.DUMMYFUNCTION("CONCATENATE(GOOGLETRANSLATE(C3033, ""en"", ""ko""))"),"Cuberspeed GAN 13 uv 코팅 MagLev 스티커가 없는 3x3 스피드 큐브 퍼즐 gan13 maglev uv 코팅 플래그십 퍼즐")</f>
        <v>Cuberspeed GAN 13 uv 코팅 MagLev 스티커가 없는 3x3 스피드 큐브 퍼즐 gan13 maglev uv 코팅 플래그십 퍼즐</v>
      </c>
      <c r="F3033" s="1" t="str">
        <f>IFERROR(__xludf.DUMMYFUNCTION("CONCATENATE(GOOGLETRANSLATE(C3033, ""en"", ""ja""))"),"Cuberspeed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3034" ht="15.75" customHeight="1">
      <c r="A3034" s="1">
        <v>5346.0</v>
      </c>
      <c r="B3034" s="1" t="s">
        <v>15</v>
      </c>
      <c r="C3034" s="1" t="s">
        <v>2318</v>
      </c>
      <c r="D3034" s="1" t="str">
        <f>IFERROR(__xludf.DUMMYFUNCTION("CONCATENATE(GOOGLETRANSLATE(C3034, ""en"", ""zh-cn""))"),"LiangCuber GAN 12 M 3x3 速度魔方 磁力无贴 GAN 12 MagLev UV 旗舰 3x3x3 魔方（UV 涂层光面和初级内部）")</f>
        <v>LiangCuber GAN 12 M 3x3 速度魔方 磁力无贴 GAN 12 MagLev UV 旗舰 3x3x3 魔方（UV 涂层光面和初级内部）</v>
      </c>
      <c r="E3034" s="1" t="str">
        <f>IFERROR(__xludf.DUMMYFUNCTION("CONCATENATE(GOOGLETRANSLATE(C3034, ""en"", ""ko""))"),"LiangCuber GAN 12 M 3x3 스피드 큐브 자기 스티커가 없는 GAN 12 MagLev UV 플래그십 3x3x3 매직 큐브(UV 코팅 광택 및 기본 내부)")</f>
        <v>LiangCuber GAN 12 M 3x3 스피드 큐브 자기 스티커가 없는 GAN 12 MagLev UV 플래그십 3x3x3 매직 큐브(UV 코팅 광택 및 기본 내부)</v>
      </c>
      <c r="F3034" s="1" t="str">
        <f>IFERROR(__xludf.DUMMYFUNCTION("CONCATENATE(GOOGLETRANSLATE(C3034, ""en"", ""ja""))"),"LiangCuber GAN 12 M 3x3 スピード キューブ 磁気ステッカーレス GAN 12 MagLev UV フラッグシップ 3x3x3 マジック キューブ (UV コーティング光沢 &amp; プライマリ内部)")</f>
        <v>LiangCuber GAN 12 M 3x3 スピード キューブ 磁気ステッカーレス GAN 12 MagLev UV フラッグシップ 3x3x3 マジック キューブ (UV コーティング光沢 &amp; プライマリ内部)</v>
      </c>
    </row>
    <row r="3035" ht="15.75" customHeight="1">
      <c r="A3035" s="1">
        <v>5363.0</v>
      </c>
      <c r="B3035" s="1" t="s">
        <v>15</v>
      </c>
      <c r="C3035" s="1" t="s">
        <v>2790</v>
      </c>
      <c r="D3035" s="1" t="str">
        <f>IFERROR(__xludf.DUMMYFUNCTION("CONCATENATE(GOOGLETRANSLATE(C3035, ""en"", ""zh-cn""))"),"三星 Galaxy S23 手机，工厂解锁 Android 智能手机，256GB 存储空间，50MP 摄像头，夜间模式，长电池寿命，自适应显示，美国版，2023 年，绿色")</f>
        <v>三星 Galaxy S23 手机，工厂解锁 Android 智能手机，256GB 存储空间，50MP 摄像头，夜间模式，长电池寿命，自适应显示，美国版，2023 年，绿色</v>
      </c>
      <c r="E3035" s="1" t="str">
        <f>IFERROR(__xludf.DUMMYFUNCTION("CONCATENATE(GOOGLETRANSLATE(C3035, ""en"", ""ko""))"),"SAMSUNG Galaxy S23 휴대폰, 공장 잠금 해제 Android 스마트폰, 256GB 저장 공간, 50MP 카메라, 야간 모드, 긴 배터리 수명, 적응형 디스플레이, 미국 버전, 2023, 녹색")</f>
        <v>SAMSUNG Galaxy S23 휴대폰, 공장 잠금 해제 Android 스마트폰, 256GB 저장 공간, 50MP 카메라, 야간 모드, 긴 배터리 수명, 적응형 디스플레이, 미국 버전, 2023, 녹색</v>
      </c>
      <c r="F3035" s="1" t="str">
        <f>IFERROR(__xludf.DUMMYFUNCTION("CONCATENATE(GOOGLETRANSLATE(C3035, ""en"", ""ja""))"),"SAMSUNG Galaxy S23 携帯電話、工場でロック解除された Android スマートフォン、256GB ストレージ、50MP カメラ、ナイトモード、長いバッテリー寿命、アダプティブ ディスプレイ、米国バージョン、2023、グリーン")</f>
        <v>SAMSUNG Galaxy S23 携帯電話、工場でロック解除された Android スマートフォン、256GB ストレージ、50MP カメラ、ナイトモード、長いバッテリー寿命、アダプティブ ディスプレイ、米国バージョン、2023、グリーン</v>
      </c>
    </row>
    <row r="3036" ht="15.75" customHeight="1">
      <c r="A3036" s="1">
        <v>5374.0</v>
      </c>
      <c r="B3036" s="1" t="s">
        <v>15</v>
      </c>
      <c r="C3036" s="1" t="s">
        <v>1853</v>
      </c>
      <c r="D3036" s="1" t="str">
        <f>IFERROR(__xludf.DUMMYFUNCTION("CONCATENATE(GOOGLETRANSLATE(C3036, ""en"", ""zh-cn""))"),"带金属腿和盖子的拼图桌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3036" s="1" t="str">
        <f>IFERROR(__xludf.DUMMYFUNCTION("CONCATENATE(GOOGLETRANSLATE(C3036, ""en"", ""ko""))"),"금속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3036" s="1" t="str">
        <f>IFERROR(__xludf.DUMMYFUNCTION("CONCATENATE(GOOGLETRANSLATE(C3036, ""en"", ""ja""))"),"金属製の脚とカバー付きパズルテーブル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3037" ht="15.75" customHeight="1">
      <c r="A3037" s="1">
        <v>5375.0</v>
      </c>
      <c r="B3037" s="1" t="s">
        <v>15</v>
      </c>
      <c r="C3037" s="1" t="s">
        <v>1824</v>
      </c>
      <c r="D3037" s="1" t="str">
        <f>IFERROR(__xludf.DUMMYFUNCTION("CONCATENATE(GOOGLETRANSLATE(C3037, ""en"", ""zh-cn""))"),"ALL4JIG 1500 件便携式带腿拼图桌，可调节拼图板，带 4 个抽屉和盖子，3 倾斜角度成人拼图桌")</f>
        <v>ALL4JIG 1500 件便携式带腿拼图桌，可调节拼图板，带 4 个抽屉和盖子，3 倾斜角度成人拼图桌</v>
      </c>
      <c r="E3037" s="1" t="str">
        <f>IFERROR(__xludf.DUMMYFUNCTION("CONCATENATE(GOOGLETRANSLATE(C3037, ""en"", ""ko""))"),"ALL4JIG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3037" s="1" t="str">
        <f>IFERROR(__xludf.DUMMYFUNCTION("CONCATENATE(GOOGLETRANSLATE(C3037, ""en"", ""ja""))"),"ALL4JIG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3038" ht="15.75" customHeight="1">
      <c r="A3038" s="1">
        <v>5387.0</v>
      </c>
      <c r="B3038" s="1" t="s">
        <v>15</v>
      </c>
      <c r="C3038" s="1" t="s">
        <v>1842</v>
      </c>
      <c r="D3038" s="1" t="str">
        <f>IFERROR(__xludf.DUMMYFUNCTION("CONCATENATE(GOOGLETRANSLATE(C3038, ""en"", ""zh-cn""))"),"波克芬诺 GAN Megaminx M 3x3 速度魔方 Gan 五角形磁性无贴纸魔法拼图魔方玩具")</f>
        <v>波克芬诺 GAN Megaminx M 3x3 速度魔方 Gan 五角形磁性无贴纸魔法拼图魔方玩具</v>
      </c>
      <c r="E3038" s="1" t="str">
        <f>IFERROR(__xludf.DUMMYFUNCTION("CONCATENATE(GOOGLETRANSLATE(C3038, ""en"", ""ko""))"),"Bokefenuo GAN Megaminx M 3x3 스피드 큐브 Gan 오각형 자기 스티커가없는 매직 퍼즐 큐브 장난감")</f>
        <v>Bokefenuo GAN Megaminx M 3x3 스피드 큐브 Gan 오각형 자기 스티커가없는 매직 퍼즐 큐브 장난감</v>
      </c>
      <c r="F3038" s="1" t="str">
        <f>IFERROR(__xludf.DUMMYFUNCTION("CONCATENATE(GOOGLETRANSLATE(C3038, ""en"", ""ja""))"),"Bokefenuo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3039" ht="15.75" customHeight="1">
      <c r="A3039" s="1">
        <v>5388.0</v>
      </c>
      <c r="B3039" s="1" t="s">
        <v>15</v>
      </c>
      <c r="C3039" s="1" t="s">
        <v>1903</v>
      </c>
      <c r="D3039" s="1" t="str">
        <f>IFERROR(__xludf.DUMMYFUNCTION("CONCATENATE(GOOGLETRANSLATE(C3039, ""en"", ""zh-cn""))"),"CuberShop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3039" s="1" t="str">
        <f>IFERROR(__xludf.DUMMYFUNCTION("CONCATENATE(GOOGLETRANSLATE(C3039, ""en"", ""ko""))"),"CuberShop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3039" s="1" t="str">
        <f>IFERROR(__xludf.DUMMYFUNCTION("CONCATENATE(GOOGLETRANSLATE(C3039, ""en"", ""ja""))"),"CuberShop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3040" ht="15.75" customHeight="1">
      <c r="A3040" s="1">
        <v>5395.0</v>
      </c>
      <c r="B3040" s="1" t="s">
        <v>381</v>
      </c>
      <c r="C3040" s="1" t="s">
        <v>781</v>
      </c>
      <c r="D3040" s="1" t="str">
        <f>IFERROR(__xludf.DUMMYFUNCTION("CONCATENATE(GOOGLETRANSLATE(C3040, ""en"", ""zh-cn""))"),"女式宽松休闲长袖V领纽扣口袋衬衫连衣裙")</f>
        <v>女式宽松休闲长袖V领纽扣口袋衬衫连衣裙</v>
      </c>
      <c r="E3040" s="1" t="str">
        <f>IFERROR(__xludf.DUMMYFUNCTION("CONCATENATE(GOOGLETRANSLATE(C3040, ""en"", ""ko""))"),"여성 루즈 캐주얼 긴 소매 V 넥 버튼 포켓 셔츠 드레스")</f>
        <v>여성 루즈 캐주얼 긴 소매 V 넥 버튼 포켓 셔츠 드레스</v>
      </c>
      <c r="F3040" s="1" t="str">
        <f>IFERROR(__xludf.DUMMYFUNCTION("CONCATENATE(GOOGLETRANSLATE(C3040, ""en"", ""ja""))"),"女性ルーズカジュアル長袖 V ネックボタンポケットシャツドレス")</f>
        <v>女性ルーズカジュアル長袖 V ネックボタンポケットシャツドレス</v>
      </c>
    </row>
    <row r="3041" ht="15.75" customHeight="1">
      <c r="A3041" s="1">
        <v>5406.0</v>
      </c>
      <c r="B3041" s="1" t="s">
        <v>15</v>
      </c>
      <c r="C3041" s="1" t="s">
        <v>1903</v>
      </c>
      <c r="D3041" s="1" t="str">
        <f>IFERROR(__xludf.DUMMYFUNCTION("CONCATENATE(GOOGLETRANSLATE(C3041, ""en"", ""zh-cn""))"),"CuberShop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3041" s="1" t="str">
        <f>IFERROR(__xludf.DUMMYFUNCTION("CONCATENATE(GOOGLETRANSLATE(C3041, ""en"", ""ko""))"),"CuberShop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3041" s="1" t="str">
        <f>IFERROR(__xludf.DUMMYFUNCTION("CONCATENATE(GOOGLETRANSLATE(C3041, ""en"", ""ja""))"),"CuberShop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3042" ht="15.75" customHeight="1">
      <c r="A3042" s="1">
        <v>5422.0</v>
      </c>
      <c r="B3042" s="1" t="s">
        <v>15</v>
      </c>
      <c r="C3042" s="1" t="s">
        <v>1825</v>
      </c>
      <c r="D3042" s="1" t="str">
        <f>IFERROR(__xludf.DUMMYFUNCTION("CONCATENATE(GOOGLETRANSLATE(C3042, ""en"", ""zh-cn""))"),"1500 块木制拼图桌 - 6 个抽屉，拼图板 | 27” X 35” 便携式拼图板 - 便携式拼图桌 |适合成人和儿童")</f>
        <v>1500 块木制拼图桌 - 6 个抽屉，拼图板 | 27” X 35” 便携式拼图板 - 便携式拼图桌 |适合成人和儿童</v>
      </c>
      <c r="E3042" s="1" t="str">
        <f>IFERROR(__xludf.DUMMYFUNCTION("CONCATENATE(GOOGLETRANSLATE(C3042, ""en"", ""ko""))"),"1500피스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3042" s="1" t="str">
        <f>IFERROR(__xludf.DUMMYFUNCTION("CONCATENATE(GOOGLETRANSLATE(C3042, ""en"", ""ja""))"),"1500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3043" ht="15.75" customHeight="1">
      <c r="A3043" s="1">
        <v>5428.0</v>
      </c>
      <c r="B3043" s="1" t="s">
        <v>15</v>
      </c>
      <c r="C3043" s="1" t="s">
        <v>1846</v>
      </c>
      <c r="D3043" s="1" t="str">
        <f>IFERROR(__xludf.DUMMYFUNCTION("CONCATENATE(GOOGLETRANSLATE(C3043, ""en"", ""zh-cn""))"),"带抽屉和盖垫的拼图板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3043" s="1" t="str">
        <f>IFERROR(__xludf.DUMMYFUNCTION("CONCATENATE(GOOGLETRANSLATE(C3043, ""en"", ""ko""))"),"서랍과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3043" s="1" t="str">
        <f>IFERROR(__xludf.DUMMYFUNCTION("CONCATENATE(GOOGLETRANSLATE(C3043, ""en"", ""ja""))"),"引き出しとカバー付きパズルボード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3044" ht="15.75" customHeight="1">
      <c r="A3044" s="1">
        <v>5429.0</v>
      </c>
      <c r="B3044" s="1" t="s">
        <v>15</v>
      </c>
      <c r="C3044" s="1" t="s">
        <v>1839</v>
      </c>
      <c r="D3044" s="1" t="str">
        <f>IFERROR(__xludf.DUMMYFUNCTION("CONCATENATE(GOOGLETRANSLATE(C3044, ""en"", ""zh-cn""))"),"GAN 13 磁悬浮 UV 涂层，磁性速度魔方 3x3 无贴纸 56 毫米磁铁魔方拼图玩具，GAN 2022 旗舰")</f>
        <v>GAN 13 磁悬浮 UV 涂层，磁性速度魔方 3x3 无贴纸 56 毫米磁铁魔方拼图玩具，GAN 2022 旗舰</v>
      </c>
      <c r="E3044" s="1" t="str">
        <f>IFERROR(__xludf.DUMMYFUNCTION("CONCATENATE(GOOGLETRANSLATE(C3044, ""en"", ""ko""))"),"GAN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3044" s="1" t="str">
        <f>IFERROR(__xludf.DUMMYFUNCTION("CONCATENATE(GOOGLETRANSLATE(C3044, ""en"", ""ja""))"),"GAN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3045" ht="15.75" customHeight="1">
      <c r="A3045" s="1">
        <v>5476.0</v>
      </c>
      <c r="B3045" s="1" t="s">
        <v>15</v>
      </c>
      <c r="C3045" s="1" t="s">
        <v>1824</v>
      </c>
      <c r="D3045" s="1" t="str">
        <f>IFERROR(__xludf.DUMMYFUNCTION("CONCATENATE(GOOGLETRANSLATE(C3045, ""en"", ""zh-cn""))"),"ALL4JIG 1500 件便携式带腿拼图桌，可调节拼图板，带 4 个抽屉和盖子，3 倾斜角度成人拼图桌")</f>
        <v>ALL4JIG 1500 件便携式带腿拼图桌，可调节拼图板，带 4 个抽屉和盖子，3 倾斜角度成人拼图桌</v>
      </c>
      <c r="E3045" s="1" t="str">
        <f>IFERROR(__xludf.DUMMYFUNCTION("CONCATENATE(GOOGLETRANSLATE(C3045, ""en"", ""ko""))"),"ALL4JIG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3045" s="1" t="str">
        <f>IFERROR(__xludf.DUMMYFUNCTION("CONCATENATE(GOOGLETRANSLATE(C3045, ""en"", ""ja""))"),"ALL4JIG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3046" ht="15.75" customHeight="1">
      <c r="A3046" s="1">
        <v>5486.0</v>
      </c>
      <c r="B3046" s="1" t="s">
        <v>15</v>
      </c>
      <c r="C3046" s="1" t="s">
        <v>1838</v>
      </c>
      <c r="D3046" s="1" t="str">
        <f>IFERROR(__xludf.DUMMYFUNCTION("CONCATENATE(GOOGLETRANSLATE(C3046, ""en"", ""zh-cn""))"),"Ravensburger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3046" s="1" t="str">
        <f>IFERROR(__xludf.DUMMYFUNCTION("CONCATENATE(GOOGLETRANSLATE(C3046, ""en"", ""ko""))"),"Ravensburger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3046" s="1" t="str">
        <f>IFERROR(__xludf.DUMMYFUNCTION("CONCATENATE(GOOGLETRANSLATE(C3046, ""en"", ""ja""))"),"Ravensburger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3047" ht="15.75" customHeight="1">
      <c r="A3047" s="1">
        <v>5488.0</v>
      </c>
      <c r="B3047" s="1" t="s">
        <v>15</v>
      </c>
      <c r="C3047" s="1" t="s">
        <v>1843</v>
      </c>
      <c r="D3047" s="1" t="str">
        <f>IFERROR(__xludf.DUMMYFUNCTION("CONCATENATE(GOOGLETRANSLATE(C3047, ""en"", ""zh-cn""))"),"BroMocube 的 GAN 11M Pro 3x3 速度魔方 GAN 11 磁性拼图魔方 Gan11M 魔方（GAN 11 M Pro 磨砂无贴纸（黑色））")</f>
        <v>BroMocube 的 GAN 11M Pro 3x3 速度魔方 GAN 11 磁性拼图魔方 Gan11M 魔方（GAN 11 M Pro 磨砂无贴纸（黑色））</v>
      </c>
      <c r="E3047" s="1" t="str">
        <f>IFERROR(__xludf.DUMMYFUNCTION("CONCATENATE(GOOGLETRANSLATE(C3047, ""en"", ""ko""))"),"GAN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3047" s="1" t="str">
        <f>IFERROR(__xludf.DUMMYFUNCTION("CONCATENATE(GOOGLETRANSLATE(C3047, ""en"", ""ja""))"),"GAN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3048" ht="15.75" customHeight="1">
      <c r="A3048" s="1">
        <v>5489.0</v>
      </c>
      <c r="B3048" s="1" t="s">
        <v>15</v>
      </c>
      <c r="C3048" s="1" t="s">
        <v>1648</v>
      </c>
      <c r="D3048" s="1" t="str">
        <f>IFERROR(__xludf.DUMMYFUNCTION("CONCATENATE(GOOGLETRANSLATE(C3048, ""en"", ""zh-cn""))"),"CuberShop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3048" s="1" t="str">
        <f>IFERROR(__xludf.DUMMYFUNCTION("CONCATENATE(GOOGLETRANSLATE(C3048, ""en"", ""ko""))"),"CuberShop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3048" s="1" t="str">
        <f>IFERROR(__xludf.DUMMYFUNCTION("CONCATENATE(GOOGLETRANSLATE(C3048, ""en"", ""ja""))"),"CuberShop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3049" ht="15.75" customHeight="1">
      <c r="A3049" s="1">
        <v>5499.0</v>
      </c>
      <c r="B3049" s="1" t="s">
        <v>15</v>
      </c>
      <c r="C3049" s="1" t="s">
        <v>1827</v>
      </c>
      <c r="D3049" s="1" t="str">
        <f>IFERROR(__xludf.DUMMYFUNCTION("CONCATENATE(GOOGLETRANSLATE(C3049, ""en"", ""zh-cn""))"),"宁神茶丸 甘麦大枣丸 (1000 茶丸)3383E-MAYWAY by Mayway")</f>
        <v>宁神茶丸 甘麦大枣丸 (1000 茶丸)3383E-MAYWAY by Mayway</v>
      </c>
      <c r="E3049" s="1" t="str">
        <f>IFERROR(__xludf.DUMMYFUNCTION("CONCATENATE(GOOGLETRANSLATE(C3049, ""en"", ""ko""))"),"Calm Spirit Teapills Gan Mai Da Zao Wan (1000 티필)3383E-MAYWAY by Mayway")</f>
        <v>Calm Spirit Teapills Gan Mai Da Zao Wan (1000 티필)3383E-MAYWAY by Mayway</v>
      </c>
      <c r="F3049" s="1" t="str">
        <f>IFERROR(__xludf.DUMMYFUNCTION("CONCATENATE(GOOGLETRANSLATE(C3049, ""en"", ""ja""))"),"Calm Spirit Teapills Gan Mai Da Zao Wan (1000 Teapills)3383E-MAYWAY by Mayway")</f>
        <v>Calm Spirit Teapills Gan Mai Da Zao Wan (1000 Teapills)3383E-MAYWAY by Mayway</v>
      </c>
    </row>
    <row r="3050" ht="15.75" customHeight="1">
      <c r="A3050" s="1">
        <v>5504.0</v>
      </c>
      <c r="B3050" s="1" t="s">
        <v>15</v>
      </c>
      <c r="C3050" s="1" t="s">
        <v>1850</v>
      </c>
      <c r="D3050" s="1" t="str">
        <f>IFERROR(__xludf.DUMMYFUNCTION("CONCATENATE(GOOGLETRANSLATE(C3050, ""en"", ""zh-cn""))"),"GAN 13 磁悬浮磨砂涂层，磁性速度魔方 3x3 无贴纸 56 毫米磁铁魔方拼图玩具，GAN 2022 旗舰")</f>
        <v>GAN 13 磁悬浮磨砂涂层，磁性速度魔方 3x3 无贴纸 56 毫米磁铁魔方拼图玩具，GAN 2022 旗舰</v>
      </c>
      <c r="E3050" s="1" t="str">
        <f>IFERROR(__xludf.DUMMYFUNCTION("CONCATENATE(GOOGLETRANSLATE(C3050, ""en"", ""ko""))"),"GAN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3050" s="1" t="str">
        <f>IFERROR(__xludf.DUMMYFUNCTION("CONCATENATE(GOOGLETRANSLATE(C3050, ""en"", ""ja""))"),"GAN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3051" ht="15.75" customHeight="1">
      <c r="A3051" s="1">
        <v>5506.0</v>
      </c>
      <c r="B3051" s="1" t="s">
        <v>15</v>
      </c>
      <c r="C3051" s="1" t="s">
        <v>1842</v>
      </c>
      <c r="D3051" s="1" t="str">
        <f>IFERROR(__xludf.DUMMYFUNCTION("CONCATENATE(GOOGLETRANSLATE(C3051, ""en"", ""zh-cn""))"),"波克芬诺 GAN Megaminx M 3x3 速度魔方 Gan 五角形磁性无贴纸魔法拼图魔方玩具")</f>
        <v>波克芬诺 GAN Megaminx M 3x3 速度魔方 Gan 五角形磁性无贴纸魔法拼图魔方玩具</v>
      </c>
      <c r="E3051" s="1" t="str">
        <f>IFERROR(__xludf.DUMMYFUNCTION("CONCATENATE(GOOGLETRANSLATE(C3051, ""en"", ""ko""))"),"Bokefenuo GAN Megaminx M 3x3 스피드 큐브 Gan 오각형 자기 스티커가없는 매직 퍼즐 큐브 장난감")</f>
        <v>Bokefenuo GAN Megaminx M 3x3 스피드 큐브 Gan 오각형 자기 스티커가없는 매직 퍼즐 큐브 장난감</v>
      </c>
      <c r="F3051" s="1" t="str">
        <f>IFERROR(__xludf.DUMMYFUNCTION("CONCATENATE(GOOGLETRANSLATE(C3051, ""en"", ""ja""))"),"Bokefenuo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3052" ht="15.75" customHeight="1">
      <c r="A3052" s="1">
        <v>5508.0</v>
      </c>
      <c r="B3052" s="1" t="s">
        <v>15</v>
      </c>
      <c r="C3052" s="1" t="s">
        <v>1838</v>
      </c>
      <c r="D3052" s="1" t="str">
        <f>IFERROR(__xludf.DUMMYFUNCTION("CONCATENATE(GOOGLETRANSLATE(C3052, ""en"", ""zh-cn""))"),"Ravensburger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3052" s="1" t="str">
        <f>IFERROR(__xludf.DUMMYFUNCTION("CONCATENATE(GOOGLETRANSLATE(C3052, ""en"", ""ko""))"),"Ravensburger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3052" s="1" t="str">
        <f>IFERROR(__xludf.DUMMYFUNCTION("CONCATENATE(GOOGLETRANSLATE(C3052, ""en"", ""ja""))"),"Ravensburger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3053" ht="15.75" customHeight="1">
      <c r="A3053" s="1">
        <v>5510.0</v>
      </c>
      <c r="B3053" s="1" t="s">
        <v>15</v>
      </c>
      <c r="C3053" s="1" t="s">
        <v>1824</v>
      </c>
      <c r="D3053" s="1" t="str">
        <f>IFERROR(__xludf.DUMMYFUNCTION("CONCATENATE(GOOGLETRANSLATE(C3053, ""en"", ""zh-cn""))"),"ALL4JIG 1500 件便携式带腿拼图桌，可调节拼图板，带 4 个抽屉和盖子，3 倾斜角度成人拼图桌")</f>
        <v>ALL4JIG 1500 件便携式带腿拼图桌，可调节拼图板，带 4 个抽屉和盖子，3 倾斜角度成人拼图桌</v>
      </c>
      <c r="E3053" s="1" t="str">
        <f>IFERROR(__xludf.DUMMYFUNCTION("CONCATENATE(GOOGLETRANSLATE(C3053, ""en"", ""ko""))"),"ALL4JIG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3053" s="1" t="str">
        <f>IFERROR(__xludf.DUMMYFUNCTION("CONCATENATE(GOOGLETRANSLATE(C3053, ""en"", ""ja""))"),"ALL4JIG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3054" ht="15.75" customHeight="1">
      <c r="A3054" s="1">
        <v>5513.0</v>
      </c>
      <c r="B3054" s="1" t="s">
        <v>15</v>
      </c>
      <c r="C3054" s="1" t="s">
        <v>1843</v>
      </c>
      <c r="D3054" s="1" t="str">
        <f>IFERROR(__xludf.DUMMYFUNCTION("CONCATENATE(GOOGLETRANSLATE(C3054, ""en"", ""zh-cn""))"),"BroMocube 的 GAN 11M Pro 3x3 速度魔方 GAN 11 磁性拼图魔方 Gan11M 魔方（GAN 11 M Pro 磨砂无贴纸（黑色））")</f>
        <v>BroMocube 的 GAN 11M Pro 3x3 速度魔方 GAN 11 磁性拼图魔方 Gan11M 魔方（GAN 11 M Pro 磨砂无贴纸（黑色））</v>
      </c>
      <c r="E3054" s="1" t="str">
        <f>IFERROR(__xludf.DUMMYFUNCTION("CONCATENATE(GOOGLETRANSLATE(C3054, ""en"", ""ko""))"),"GAN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3054" s="1" t="str">
        <f>IFERROR(__xludf.DUMMYFUNCTION("CONCATENATE(GOOGLETRANSLATE(C3054, ""en"", ""ja""))"),"GAN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3055" ht="15.75" customHeight="1">
      <c r="A3055" s="1">
        <v>5522.0</v>
      </c>
      <c r="B3055" s="1" t="s">
        <v>15</v>
      </c>
      <c r="C3055" s="1" t="s">
        <v>2791</v>
      </c>
      <c r="D3055" s="1" t="str">
        <f>IFERROR(__xludf.DUMMYFUNCTION("CONCATENATE(GOOGLETRANSLATE(C3055, ""en"", ""zh-cn""))"),"罗林斯| HEART OF THE HIDE 棒球手套 |轻量级 HYPERSHELL 和 SPEEDSHELL 型号 |多种风格")</f>
        <v>罗林斯| HEART OF THE HIDE 棒球手套 |轻量级 HYPERSHELL 和 SPEEDSHELL 型号 |多种风格</v>
      </c>
      <c r="E3055" s="1" t="str">
        <f>IFERROR(__xludf.DUMMYFUNCTION("CONCATENATE(GOOGLETRANSLATE(C3055, ""en"", ""ko""))"),"롤링스 | 숨은 야구 글러브의 심장 | 경량 HYPERSHELL 및 SPEEDSHELL 모델 | 다양한 스타일")</f>
        <v>롤링스 | 숨은 야구 글러브의 심장 | 경량 HYPERSHELL 및 SPEEDSHELL 모델 | 다양한 스타일</v>
      </c>
      <c r="F3055" s="1" t="str">
        <f>IFERROR(__xludf.DUMMYFUNCTION("CONCATENATE(GOOGLETRANSLATE(C3055, ""en"", ""ja""))"),"ローリングス | HEART OF THE HIDE 野球グローブ |軽量HYPERSHELL &amp; SPEEDSHELLモデル |複数のスタイル")</f>
        <v>ローリングス | HEART OF THE HIDE 野球グローブ |軽量HYPERSHELL &amp; SPEEDSHELLモデル |複数のスタイル</v>
      </c>
    </row>
    <row r="3056" ht="15.75" customHeight="1">
      <c r="A3056" s="1">
        <v>5523.0</v>
      </c>
      <c r="B3056" s="1" t="s">
        <v>15</v>
      </c>
      <c r="C3056" s="1" t="s">
        <v>2013</v>
      </c>
      <c r="D3056" s="1" t="str">
        <f>IFERROR(__xludf.DUMMYFUNCTION("CONCATENATE(GOOGLETRANSLATE(C3056, ""en"", ""zh-cn""))"),"Tilt Industries - 自行车平衡训练器|自行车修理架/平衡训练器组合")</f>
        <v>Tilt Industries - 自行车平衡训练器|自行车修理架/平衡训练器组合</v>
      </c>
      <c r="E3056" s="1" t="str">
        <f>IFERROR(__xludf.DUMMYFUNCTION("CONCATENATE(GOOGLETRANSLATE(C3056, ""en"", ""ko""))"),"Tilt Industries - 자전거 밸런스 트레이너 | 자전거 수리 스탠드/밸런스 트레이너 콤보")</f>
        <v>Tilt Industries - 자전거 밸런스 트레이너 | 자전거 수리 스탠드/밸런스 트레이너 콤보</v>
      </c>
      <c r="F3056" s="1" t="str">
        <f>IFERROR(__xludf.DUMMYFUNCTION("CONCATENATE(GOOGLETRANSLATE(C3056, ""en"", ""ja""))"),"Tilt Industries - バイクバランストレーナー |自転車修理スタンド/バランストレーナーコンボ")</f>
        <v>Tilt Industries - バイクバランストレーナー |自転車修理スタンド/バランストレーナーコンボ</v>
      </c>
    </row>
    <row r="3057" ht="15.75" customHeight="1">
      <c r="A3057" s="1">
        <v>5525.0</v>
      </c>
      <c r="B3057" s="1" t="s">
        <v>15</v>
      </c>
      <c r="C3057" s="1" t="s">
        <v>2792</v>
      </c>
      <c r="D3057" s="1" t="str">
        <f>IFERROR(__xludf.DUMMYFUNCTION("CONCATENATE(GOOGLETRANSLATE(C3057, ""en"", ""zh-cn""))"),"Sidi 男士 Ergo 5 Carbon Scape 骑行鞋")</f>
        <v>Sidi 男士 Ergo 5 Carbon Scape 骑行鞋</v>
      </c>
      <c r="E3057" s="1" t="str">
        <f>IFERROR(__xludf.DUMMYFUNCTION("CONCATENATE(GOOGLETRANSLATE(C3057, ""en"", ""ko""))"),"Sidi 남성용 Ergo 5 카본 스케이프 사이클링")</f>
        <v>Sidi 남성용 Ergo 5 카본 스케이프 사이클링</v>
      </c>
      <c r="F3057" s="1" t="str">
        <f>IFERROR(__xludf.DUMMYFUNCTION("CONCATENATE(GOOGLETRANSLATE(C3057, ""en"", ""ja""))"),"シディ メンズ エルゴ 5 カーボン スケープ サイクリング")</f>
        <v>シディ メンズ エルゴ 5 カーボン スケープ サイクリング</v>
      </c>
    </row>
    <row r="3058" ht="15.75" customHeight="1">
      <c r="A3058" s="1">
        <v>5528.0</v>
      </c>
      <c r="B3058" s="1" t="s">
        <v>15</v>
      </c>
      <c r="C3058" s="1" t="s">
        <v>2012</v>
      </c>
      <c r="D3058" s="1" t="str">
        <f>IFERROR(__xludf.DUMMYFUNCTION("CONCATENATE(GOOGLETRANSLATE(C3058, ""en"", ""zh-cn""))"),"Lake 男鞋 Cx238")</f>
        <v>Lake 男鞋 Cx238</v>
      </c>
      <c r="E3058" s="1" t="str">
        <f>IFERROR(__xludf.DUMMYFUNCTION("CONCATENATE(GOOGLETRANSLATE(C3058, ""en"", ""ko""))"),"레이크 남성 신발 Cx238")</f>
        <v>레이크 남성 신발 Cx238</v>
      </c>
      <c r="F3058" s="1" t="str">
        <f>IFERROR(__xludf.DUMMYFUNCTION("CONCATENATE(GOOGLETRANSLATE(C3058, ""en"", ""ja""))"),"レイク メンズ シューズ CX238")</f>
        <v>レイク メンズ シューズ CX238</v>
      </c>
    </row>
    <row r="3059" ht="15.75" customHeight="1">
      <c r="A3059" s="1">
        <v>5529.0</v>
      </c>
      <c r="B3059" s="1" t="s">
        <v>15</v>
      </c>
      <c r="C3059" s="1" t="s">
        <v>2375</v>
      </c>
      <c r="D3059" s="1" t="str">
        <f>IFERROR(__xludf.DUMMYFUNCTION("CONCATENATE(GOOGLETRANSLATE(C3059, ""en"", ""zh-cn""))"),"Coleman WeatherMaster 6 人帐篷（带屏幕室）")</f>
        <v>Coleman WeatherMaster 6 人帐篷（带屏幕室）</v>
      </c>
      <c r="E3059" s="1" t="str">
        <f>IFERROR(__xludf.DUMMYFUNCTION("CONCATENATE(GOOGLETRANSLATE(C3059, ""en"", ""ko""))"),"콜맨 웨더마스터 6인용 텐트(스크린룸 포함)")</f>
        <v>콜맨 웨더마스터 6인용 텐트(스크린룸 포함)</v>
      </c>
      <c r="F3059" s="1" t="str">
        <f>IFERROR(__xludf.DUMMYFUNCTION("CONCATENATE(GOOGLETRANSLATE(C3059, ""en"", ""ja""))"),"コールマン ウェザーマスター 6人用テント スクリーンルーム付き")</f>
        <v>コールマン ウェザーマスター 6人用テント スクリーンルーム付き</v>
      </c>
    </row>
    <row r="3060" ht="15.75" customHeight="1">
      <c r="A3060" s="1">
        <v>5538.0</v>
      </c>
      <c r="B3060" s="1" t="s">
        <v>15</v>
      </c>
      <c r="C3060" s="1" t="s">
        <v>1914</v>
      </c>
      <c r="D3060" s="1" t="str">
        <f>IFERROR(__xludf.DUMMYFUNCTION("CONCATENATE(GOOGLETRANSLATE(C3060, ""en"", ""zh-cn""))"),"Oakley 男士 Flak 2.0 XL 哑光矩形偏光太阳镜")</f>
        <v>Oakley 男士 Flak 2.0 XL 哑光矩形偏光太阳镜</v>
      </c>
      <c r="E3060" s="1" t="str">
        <f>IFERROR(__xludf.DUMMYFUNCTION("CONCATENATE(GOOGLETRANSLATE(C3060, ""en"", ""ko""))"),"오클리 남성용 플랙 2.0 XL 무광 직사각형 선글라스 편광")</f>
        <v>오클리 남성용 플랙 2.0 XL 무광 직사각형 선글라스 편광</v>
      </c>
      <c r="F3060" s="1" t="str">
        <f>IFERROR(__xludf.DUMMYFUNCTION("CONCATENATE(GOOGLETRANSLATE(C3060, ""en"", ""ja""))"),"オークリー メンズ Flak 2.0 XL マット レクタンギュラー サングラス 偏光")</f>
        <v>オークリー メンズ Flak 2.0 XL マット レクタンギュラー サングラス 偏光</v>
      </c>
    </row>
    <row r="3061" ht="15.75" customHeight="1">
      <c r="A3061" s="1">
        <v>5553.0</v>
      </c>
      <c r="B3061" s="1" t="s">
        <v>15</v>
      </c>
      <c r="C3061" s="1" t="s">
        <v>2307</v>
      </c>
      <c r="D3061" s="1" t="str">
        <f>IFERROR(__xludf.DUMMYFUNCTION("CONCATENATE(GOOGLETRANSLATE(C3061, ""en"", ""zh-cn""))"),"Sunny Health &amp; Fitness 椭圆运动机训练器，配有可选的独家 SunnyFit™ 应用程序和增强型蓝牙连接")</f>
        <v>Sunny Health &amp; Fitness 椭圆运动机训练器，配有可选的独家 SunnyFit™ 应用程序和增强型蓝牙连接</v>
      </c>
      <c r="E3061" s="1" t="str">
        <f>IFERROR(__xludf.DUMMYFUNCTION("CONCATENATE(GOOGLETRANSLATE(C3061, ""en"", ""ko""))"),"독점 SunnyFit™ 앱(옵션) 및 향상된 Bluetooth 연결 기능을 갖춘 Sunny 건강 및 피트니스 타원형 운동 기구 트레이너")</f>
        <v>독점 SunnyFit™ 앱(옵션) 및 향상된 Bluetooth 연결 기능을 갖춘 Sunny 건강 및 피트니스 타원형 운동 기구 트레이너</v>
      </c>
      <c r="F3061" s="1" t="str">
        <f>IFERROR(__xludf.DUMMYFUNCTION("CONCATENATE(GOOGLETRANSLATE(C3061, ""en"", ""ja""))"),"Sunny Health &amp; Fitness エリプティカル エクササイズ マシン トレーナー (オプションの専用 SunnyFit™ アプリと強化された Bluetooth 接続を備え)")</f>
        <v>Sunny Health &amp; Fitness エリプティカル エクササイズ マシン トレーナー (オプションの専用 SunnyFit™ アプリと強化された Bluetooth 接続を備え)</v>
      </c>
    </row>
    <row r="3062" ht="15.75" customHeight="1">
      <c r="A3062" s="1">
        <v>5556.0</v>
      </c>
      <c r="B3062" s="1" t="s">
        <v>15</v>
      </c>
      <c r="C3062" s="1" t="s">
        <v>1904</v>
      </c>
      <c r="D3062" s="1" t="str">
        <f>IFERROR(__xludf.DUMMYFUNCTION("CONCATENATE(GOOGLETRANSLATE(C3062, ""en"", ""zh-cn""))"),"美国 Pride 家具瑜伽系列现代人造皮革弧形躺椅，适合伸展和放松，非常适合卧室、客厅、冥想室或办公室，常规，黑巧克力色")</f>
        <v>美国 Pride 家具瑜伽系列现代人造皮革弧形躺椅，适合伸展和放松，非常适合卧室、客厅、冥想室或办公室，常规，黑巧克力色</v>
      </c>
      <c r="E3062" s="1" t="str">
        <f>IFERROR(__xludf.DUMMYFUNCTION("CONCATENATE(GOOGLETRANSLATE(C3062, ""en"", ""ko""))"),"US Pride Furniture Yoga Collection 스트레칭과 휴식을 위한 현대적인 인조 가죽 곡선 라운지 의자, 침실, 거실, 명상실 또는 사무실, 일반, 다크 초콜릿에 이상적")</f>
        <v>US Pride Furniture Yoga Collection 스트레칭과 휴식을 위한 현대적인 인조 가죽 곡선 라운지 의자, 침실, 거실, 명상실 또는 사무실, 일반, 다크 초콜릿에 이상적</v>
      </c>
      <c r="F3062" s="1" t="str">
        <f>IFERROR(__xludf.DUMMYFUNCTION("CONCATENATE(GOOGLETRANSLATE(C3062, ""en"", ""ja""))"),"USプライドファニチャーヨガコレクション ストレッチとリラクゼーションのためのモダンなフェイクレザーの湾曲したラウンジ長椅子、寝室、リビング、瞑想室またはオフィスに最適、レギュラー、ダークチョコレート")</f>
        <v>USプライドファニチャーヨガコレクション ストレッチとリラクゼーションのためのモダンなフェイクレザーの湾曲したラウンジ長椅子、寝室、リビング、瞑想室またはオフィスに最適、レギュラー、ダークチョコレート</v>
      </c>
    </row>
    <row r="3063" ht="15.75" customHeight="1">
      <c r="A3063" s="1">
        <v>5563.0</v>
      </c>
      <c r="B3063" s="1" t="s">
        <v>15</v>
      </c>
      <c r="C3063" s="1" t="s">
        <v>1912</v>
      </c>
      <c r="D3063" s="1" t="str">
        <f>IFERROR(__xludf.DUMMYFUNCTION("CONCATENATE(GOOGLETRANSLATE(C3063, ""en"", ""zh-cn""))"),"EF ECOFLOW 便携式发电站 RIVER 2，256Wh LiFePO4 电池/ 1 小时快速充电，2 个高达 600W 的交流电源插座，太阳能发电机（太阳能电池板可选）适合户外露营/房车/家用")</f>
        <v>EF ECOFLOW 便携式发电站 RIVER 2，256Wh LiFePO4 电池/ 1 小时快速充电，2 个高达 600W 的交流电源插座，太阳能发电机（太阳能电池板可选）适合户外露营/房车/家用</v>
      </c>
      <c r="E3063" s="1" t="str">
        <f>IFERROR(__xludf.DUMMYFUNCTION("CONCATENATE(GOOGLETRANSLATE(C3063, ""en"", ""ko""))"),"EF ECOFLOW 휴대용 발전소 RIVER 2, 256Wh LiFePO4 배터리/1시간 고속 충전, 최대 600W AC 콘센트 2개, 야외 캠핑/RV/가정용 태양광 발전기(태양광 패널 옵션)")</f>
        <v>EF ECOFLOW 휴대용 발전소 RIVER 2, 256Wh LiFePO4 배터리/1시간 고속 충전, 최대 600W AC 콘센트 2개, 야외 캠핑/RV/가정용 태양광 발전기(태양광 패널 옵션)</v>
      </c>
      <c r="F3063" s="1" t="str">
        <f>IFERROR(__xludf.DUMMYFUNCTION("CONCATENATE(GOOGLETRANSLATE(C3063, ""en"", ""ja""))"),"EF ECOFLOW ポータブルパワーステーション RIVER 2、256Wh LiFePO4 バッテリー/1 時間の急速充電、最大 600W AC コンセント 2 個、屋外キャンプ/RV/家庭用太陽光発電機 (ソーラーパネルはオプション)")</f>
        <v>EF ECOFLOW ポータブルパワーステーション RIVER 2、256Wh LiFePO4 バッテリー/1 時間の急速充電、最大 600W AC コンセント 2 個、屋外キャンプ/RV/家庭用太陽光発電機 (ソーラーパネルはオプション)</v>
      </c>
    </row>
    <row r="3064" ht="15.75" customHeight="1">
      <c r="A3064" s="1">
        <v>5565.0</v>
      </c>
      <c r="B3064" s="1" t="s">
        <v>15</v>
      </c>
      <c r="C3064" s="1" t="s">
        <v>2011</v>
      </c>
      <c r="D3064" s="1" t="str">
        <f>IFERROR(__xludf.DUMMYFUNCTION("CONCATENATE(GOOGLETRANSLATE(C3064, ""en"", ""zh-cn""))"),"罗林斯| HEART OF THE HIDE 棒球手套 | R2G 和轮廓贴合模型 |高级磨合|多种风格")</f>
        <v>罗林斯| HEART OF THE HIDE 棒球手套 | R2G 和轮廓贴合模型 |高级磨合|多种风格</v>
      </c>
      <c r="E3064" s="1" t="str">
        <f>IFERROR(__xludf.DUMMYFUNCTION("CONCATENATE(GOOGLETRANSLATE(C3064, ""en"", ""ko""))"),"롤링스 | 숨은 야구 글러브의 심장 | R2G 및 윤곽 맞춤 모델 | 고급 침입 | 다양한 스타일")</f>
        <v>롤링스 | 숨은 야구 글러브의 심장 | R2G 및 윤곽 맞춤 모델 | 고급 침입 | 다양한 스타일</v>
      </c>
      <c r="F3064" s="1" t="str">
        <f>IFERROR(__xludf.DUMMYFUNCTION("CONCATENATE(GOOGLETRANSLATE(C3064, ""en"", ""ja""))"),"ローリングス | HEART OF THE HIDE 野球グローブ | R2G &amp; 輪郭フィットモデル |高度な慣らし運転 |複数のスタイル")</f>
        <v>ローリングス | HEART OF THE HIDE 野球グローブ | R2G &amp; 輪郭フィットモデル |高度な慣らし運転 |複数のスタイル</v>
      </c>
    </row>
    <row r="3065" ht="15.75" customHeight="1">
      <c r="A3065" s="1">
        <v>5569.0</v>
      </c>
      <c r="B3065" s="1" t="s">
        <v>15</v>
      </c>
      <c r="C3065" s="1" t="s">
        <v>2320</v>
      </c>
      <c r="D3065" s="1" t="str">
        <f>IFERROR(__xludf.DUMMYFUNCTION("CONCATENATE(GOOGLETRANSLATE(C3065, ""en"", ""zh-cn""))"),"Meta Quest 2 — 高级一体式虚拟现实耳机 — 128 GB 获取 Meta Quest 2，内含 GOLF+ 和 Space Pirate Trainer DX")</f>
        <v>Meta Quest 2 — 高级一体式虚拟现实耳机 — 128 GB 获取 Meta Quest 2，内含 GOLF+ 和 Space Pirate Trainer DX</v>
      </c>
      <c r="E3065" s="1" t="str">
        <f>IFERROR(__xludf.DUMMYFUNCTION("CONCATENATE(GOOGLETRANSLATE(C3065, ""en"", ""ko""))"),"Meta Quest 2 — 고급 올인원 가상 현실 헤드셋 — 128GB GOLF+ 및 Space Pirate Trainer DX가 포함된 Meta Quest 2를 구매하세요")</f>
        <v>Meta Quest 2 — 고급 올인원 가상 현실 헤드셋 — 128GB GOLF+ 및 Space Pirate Trainer DX가 포함된 Meta Quest 2를 구매하세요</v>
      </c>
      <c r="F3065" s="1" t="str">
        <f>IFERROR(__xludf.DUMMYFUNCTION("CONCATENATE(GOOGLETRANSLATE(C3065, ""en"", ""ja""))"),"Meta Quest 2 — 高度なオールインワン バーチャル リアリティ ヘッドセット — 128 GB GOLF+ および Space Pirate Trainer DX を含む Meta Quest 2 を入手")</f>
        <v>Meta Quest 2 — 高度なオールインワン バーチャル リアリティ ヘッドセット — 128 GB GOLF+ および Space Pirate Trainer DX を含む Meta Quest 2 を入手</v>
      </c>
    </row>
    <row r="3066" ht="15.75" customHeight="1">
      <c r="A3066" s="1">
        <v>5570.0</v>
      </c>
      <c r="B3066" s="1" t="s">
        <v>15</v>
      </c>
      <c r="C3066" s="1" t="s">
        <v>2793</v>
      </c>
      <c r="D3066" s="1" t="str">
        <f>IFERROR(__xludf.DUMMYFUNCTION("CONCATENATE(GOOGLETRANSLATE(C3066, ""en"", ""zh-cn""))"),"环意计划，男鞋")</f>
        <v>环意计划，男鞋</v>
      </c>
      <c r="E3066" s="1" t="str">
        <f>IFERROR(__xludf.DUMMYFUNCTION("CONCATENATE(GOOGLETRANSLATE(C3066, ""en"", ""ko""))"),"Giro Scheme, 남성 신발")</f>
        <v>Giro Scheme, 남성 신발</v>
      </c>
      <c r="F3066" s="1" t="str">
        <f>IFERROR(__xludf.DUMMYFUNCTION("CONCATENATE(GOOGLETRANSLATE(C3066, ""en"", ""ja""))"),"ジロスキーム、メンズシューズ")</f>
        <v>ジロスキーム、メンズシューズ</v>
      </c>
    </row>
    <row r="3067" ht="15.75" customHeight="1">
      <c r="A3067" s="1">
        <v>5593.0</v>
      </c>
      <c r="B3067" s="1" t="s">
        <v>15</v>
      </c>
      <c r="C3067" s="1" t="s">
        <v>2794</v>
      </c>
      <c r="D3067" s="1" t="str">
        <f>IFERROR(__xludf.DUMMYFUNCTION("CONCATENATE(GOOGLETRANSLATE(C3067, ""en"", ""zh-cn""))"),"SK-II 面部护理面膜，6 克拉")</f>
        <v>SK-II 面部护理面膜，6 克拉</v>
      </c>
      <c r="E3067" s="1" t="str">
        <f>IFERROR(__xludf.DUMMYFUNCTION("CONCATENATE(GOOGLETRANSLATE(C3067, ""en"", ""ko""))"),"SK-II 페이셜 트리트먼트 마스크, 6ct.")</f>
        <v>SK-II 페이셜 트리트먼트 마스크, 6ct.</v>
      </c>
      <c r="F3067" s="1" t="str">
        <f>IFERROR(__xludf.DUMMYFUNCTION("CONCATENATE(GOOGLETRANSLATE(C3067, ""en"", ""ja""))"),"SK-II フェイシャル トリートメント マスク、6 ct.")</f>
        <v>SK-II フェイシャル トリートメント マスク、6 ct.</v>
      </c>
    </row>
    <row r="3068" ht="15.75" customHeight="1">
      <c r="A3068" s="1">
        <v>5596.0</v>
      </c>
      <c r="B3068" s="1" t="s">
        <v>15</v>
      </c>
      <c r="C3068" s="1" t="s">
        <v>1827</v>
      </c>
      <c r="D3068" s="1" t="str">
        <f>IFERROR(__xludf.DUMMYFUNCTION("CONCATENATE(GOOGLETRANSLATE(C3068, ""en"", ""zh-cn""))"),"宁神茶丸 甘麦大枣丸 (1000 茶丸)3383E-MAYWAY by Mayway")</f>
        <v>宁神茶丸 甘麦大枣丸 (1000 茶丸)3383E-MAYWAY by Mayway</v>
      </c>
      <c r="E3068" s="1" t="str">
        <f>IFERROR(__xludf.DUMMYFUNCTION("CONCATENATE(GOOGLETRANSLATE(C3068, ""en"", ""ko""))"),"Calm Spirit Teapills Gan Mai Da Zao Wan (1000 티필)3383E-MAYWAY by Mayway")</f>
        <v>Calm Spirit Teapills Gan Mai Da Zao Wan (1000 티필)3383E-MAYWAY by Mayway</v>
      </c>
      <c r="F3068" s="1" t="str">
        <f>IFERROR(__xludf.DUMMYFUNCTION("CONCATENATE(GOOGLETRANSLATE(C3068, ""en"", ""ja""))"),"Calm Spirit Teapills Gan Mai Da Zao Wan (1000 Teapills)3383E-MAYWAY by Mayway")</f>
        <v>Calm Spirit Teapills Gan Mai Da Zao Wan (1000 Teapills)3383E-MAYWAY by Mayway</v>
      </c>
    </row>
    <row r="3069" ht="15.75" customHeight="1">
      <c r="A3069" s="1">
        <v>5605.0</v>
      </c>
      <c r="B3069" s="1" t="s">
        <v>15</v>
      </c>
      <c r="C3069" s="1" t="s">
        <v>1843</v>
      </c>
      <c r="D3069" s="1" t="str">
        <f>IFERROR(__xludf.DUMMYFUNCTION("CONCATENATE(GOOGLETRANSLATE(C3069, ""en"", ""zh-cn""))"),"BroMocube 的 GAN 11M Pro 3x3 速度魔方 GAN 11 磁性拼图魔方 Gan11M 魔方（GAN 11 M Pro 磨砂无贴纸（黑色））")</f>
        <v>BroMocube 的 GAN 11M Pro 3x3 速度魔方 GAN 11 磁性拼图魔方 Gan11M 魔方（GAN 11 M Pro 磨砂无贴纸（黑色））</v>
      </c>
      <c r="E3069" s="1" t="str">
        <f>IFERROR(__xludf.DUMMYFUNCTION("CONCATENATE(GOOGLETRANSLATE(C3069, ""en"", ""ko""))"),"GAN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3069" s="1" t="str">
        <f>IFERROR(__xludf.DUMMYFUNCTION("CONCATENATE(GOOGLETRANSLATE(C3069, ""en"", ""ja""))"),"GAN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3070" ht="15.75" customHeight="1">
      <c r="A3070" s="1">
        <v>5611.0</v>
      </c>
      <c r="B3070" s="1" t="s">
        <v>15</v>
      </c>
      <c r="C3070" s="1" t="s">
        <v>1850</v>
      </c>
      <c r="D3070" s="1" t="str">
        <f>IFERROR(__xludf.DUMMYFUNCTION("CONCATENATE(GOOGLETRANSLATE(C3070, ""en"", ""zh-cn""))"),"GAN 13 磁悬浮磨砂涂层，磁性速度魔方 3x3 无贴纸 56 毫米磁铁魔方拼图玩具，GAN 2022 旗舰")</f>
        <v>GAN 13 磁悬浮磨砂涂层，磁性速度魔方 3x3 无贴纸 56 毫米磁铁魔方拼图玩具，GAN 2022 旗舰</v>
      </c>
      <c r="E3070" s="1" t="str">
        <f>IFERROR(__xludf.DUMMYFUNCTION("CONCATENATE(GOOGLETRANSLATE(C3070, ""en"", ""ko""))"),"GAN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3070" s="1" t="str">
        <f>IFERROR(__xludf.DUMMYFUNCTION("CONCATENATE(GOOGLETRANSLATE(C3070, ""en"", ""ja""))"),"GAN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3071" ht="15.75" customHeight="1">
      <c r="A3071" s="1">
        <v>5647.0</v>
      </c>
      <c r="B3071" s="1" t="s">
        <v>15</v>
      </c>
      <c r="C3071" s="1" t="s">
        <v>1852</v>
      </c>
      <c r="D3071" s="1" t="str">
        <f>IFERROR(__xludf.DUMMYFUNCTION("CONCATENATE(GOOGLETRANSLATE(C3071, ""en"", ""zh-cn""))"),"Roxenda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3071" s="1" t="str">
        <f>IFERROR(__xludf.DUMMYFUNCTION("CONCATENATE(GOOGLETRANSLATE(C3071, ""en"", ""ko""))"),"Roxenda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3071" s="1" t="str">
        <f>IFERROR(__xludf.DUMMYFUNCTION("CONCATENATE(GOOGLETRANSLATE(C3071, ""en"", ""ja""))"),"Roxenda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3072" ht="15.75" customHeight="1">
      <c r="A3072" s="1">
        <v>5650.0</v>
      </c>
      <c r="B3072" s="1" t="s">
        <v>15</v>
      </c>
      <c r="C3072" s="1" t="s">
        <v>1649</v>
      </c>
      <c r="D3072" s="1" t="str">
        <f>IFERROR(__xludf.DUMMYFUNCTION("CONCATENATE(GOOGLETRANSLATE(C3072, ""en"", ""zh-cn""))"),"GAN 机器人，魔方解谜机自动解谜器和解谜器，兼容 GAN 356i2 i3 iplay iCarry Speed Cubes（不含魔方）和最新版本 APP")</f>
        <v>GAN 机器人，魔方解谜机自动解谜器和解谜器，兼容 GAN 356i2 i3 iplay iCarry Speed Cubes（不含魔方）和最新版本 APP</v>
      </c>
      <c r="E3072" s="1" t="str">
        <f>IFERROR(__xludf.DUMMYFUNCTION("CONCATENATE(GOOGLETRANSLATE(C3072, ""en"", ""ko""))"),"GAN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3072" s="1" t="str">
        <f>IFERROR(__xludf.DUMMYFUNCTION("CONCATENATE(GOOGLETRANSLATE(C3072, ""en"", ""ja""))"),"GAN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3073" ht="15.75" customHeight="1">
      <c r="A3073" s="1">
        <v>5653.0</v>
      </c>
      <c r="B3073" s="1" t="s">
        <v>15</v>
      </c>
      <c r="C3073" s="1" t="s">
        <v>1840</v>
      </c>
      <c r="D3073" s="1" t="str">
        <f>IFERROR(__xludf.DUMMYFUNCTION("CONCATENATE(GOOGLETRANSLATE(C3073, ""en"", ""zh-cn""))"),"Cuberspeed GAN 13 uv 涂层 MagLev 无贴纸 3x3 速度立方拼图 gan13 maglev uv 涂层旗舰拼图")</f>
        <v>Cuberspeed GAN 13 uv 涂层 MagLev 无贴纸 3x3 速度立方拼图 gan13 maglev uv 涂层旗舰拼图</v>
      </c>
      <c r="E3073" s="1" t="str">
        <f>IFERROR(__xludf.DUMMYFUNCTION("CONCATENATE(GOOGLETRANSLATE(C3073, ""en"", ""ko""))"),"Cuberspeed GAN 13 uv 코팅 MagLev 스티커가 없는 3x3 스피드 큐브 퍼즐 gan13 maglev uv 코팅 플래그십 퍼즐")</f>
        <v>Cuberspeed GAN 13 uv 코팅 MagLev 스티커가 없는 3x3 스피드 큐브 퍼즐 gan13 maglev uv 코팅 플래그십 퍼즐</v>
      </c>
      <c r="F3073" s="1" t="str">
        <f>IFERROR(__xludf.DUMMYFUNCTION("CONCATENATE(GOOGLETRANSLATE(C3073, ""en"", ""ja""))"),"Cuberspeed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3074" ht="15.75" customHeight="1">
      <c r="A3074" s="1">
        <v>5654.0</v>
      </c>
      <c r="B3074" s="1" t="s">
        <v>15</v>
      </c>
      <c r="C3074" s="1" t="s">
        <v>1824</v>
      </c>
      <c r="D3074" s="1" t="str">
        <f>IFERROR(__xludf.DUMMYFUNCTION("CONCATENATE(GOOGLETRANSLATE(C3074, ""en"", ""zh-cn""))"),"ALL4JIG 1500 件便携式带腿拼图桌，可调节拼图板，带 4 个抽屉和盖子，3 倾斜角度成人拼图桌")</f>
        <v>ALL4JIG 1500 件便携式带腿拼图桌，可调节拼图板，带 4 个抽屉和盖子，3 倾斜角度成人拼图桌</v>
      </c>
      <c r="E3074" s="1" t="str">
        <f>IFERROR(__xludf.DUMMYFUNCTION("CONCATENATE(GOOGLETRANSLATE(C3074, ""en"", ""ko""))"),"ALL4JIG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3074" s="1" t="str">
        <f>IFERROR(__xludf.DUMMYFUNCTION("CONCATENATE(GOOGLETRANSLATE(C3074, ""en"", ""ja""))"),"ALL4JIG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3075" ht="15.75" customHeight="1">
      <c r="A3075" s="1">
        <v>5658.0</v>
      </c>
      <c r="B3075" s="1" t="s">
        <v>15</v>
      </c>
      <c r="C3075" s="1" t="s">
        <v>1849</v>
      </c>
      <c r="D3075" s="1" t="str">
        <f>IFERROR(__xludf.DUMMYFUNCTION("CONCATENATE(GOOGLETRANSLATE(C3075, ""en"", ""zh-cn""))"),"GAN 460 M， Gan 4x4 磁性速度魔方， gan 460 m 4 x 4 儿童和成人无贴纸拼图玩具")</f>
        <v>GAN 460 M， Gan 4x4 磁性速度魔方， gan 460 m 4 x 4 儿童和成人无贴纸拼图玩具</v>
      </c>
      <c r="E3075" s="1" t="str">
        <f>IFERROR(__xludf.DUMMYFUNCTION("CONCATENATE(GOOGLETRANSLATE(C3075, ""en"", ""ko""))"),"GAN 460 M, Gan 4x4 자기 속도 큐브, gan 460 m 4 by 4 어린이와 성인을 위한 스티커 없는 퍼즐 장난감")</f>
        <v>GAN 460 M, Gan 4x4 자기 속도 큐브, gan 460 m 4 by 4 어린이와 성인을 위한 스티커 없는 퍼즐 장난감</v>
      </c>
      <c r="F3075" s="1" t="str">
        <f>IFERROR(__xludf.DUMMYFUNCTION("CONCATENATE(GOOGLETRANSLATE(C3075, ""en"", ""ja""))"),"GAN 460 M、Gan 4x4 磁気スピードキューブ、GAN 460 m 4 by 4 ステッカーレスパズルおもちゃ子供と大人向け")</f>
        <v>GAN 460 M、Gan 4x4 磁気スピードキューブ、GAN 460 m 4 by 4 ステッカーレスパズルおもちゃ子供と大人向け</v>
      </c>
    </row>
    <row r="3076" ht="15.75" customHeight="1">
      <c r="A3076" s="1">
        <v>5673.0</v>
      </c>
      <c r="B3076" s="1" t="s">
        <v>15</v>
      </c>
      <c r="C3076" s="1" t="s">
        <v>2795</v>
      </c>
      <c r="D3076" s="1" t="str">
        <f>IFERROR(__xludf.DUMMYFUNCTION("CONCATENATE(GOOGLETRANSLATE(C3076, ""en"", ""zh-cn""))"),"Anni 细条纹衬衫")</f>
        <v>Anni 细条纹衬衫</v>
      </c>
      <c r="E3076" s="1" t="str">
        <f>IFERROR(__xludf.DUMMYFUNCTION("CONCATENATE(GOOGLETRANSLATE(C3076, ""en"", ""ko""))"),"애니 핀스트라이프 셔츠")</f>
        <v>애니 핀스트라이프 셔츠</v>
      </c>
      <c r="F3076" s="1" t="str">
        <f>IFERROR(__xludf.DUMMYFUNCTION("CONCATENATE(GOOGLETRANSLATE(C3076, ""en"", ""ja""))"),"アンニ ピンストライプ シャツ")</f>
        <v>アンニ ピンストライプ シャツ</v>
      </c>
    </row>
    <row r="3077" ht="15.75" customHeight="1">
      <c r="A3077" s="1">
        <v>5682.0</v>
      </c>
      <c r="B3077" s="1" t="s">
        <v>15</v>
      </c>
      <c r="C3077" s="1" t="s">
        <v>2796</v>
      </c>
      <c r="D3077" s="1" t="str">
        <f>IFERROR(__xludf.DUMMYFUNCTION("CONCATENATE(GOOGLETRANSLATE(C3077, ""en"", ""zh-cn""))"),"Fiona 棉质中长连衣裙")</f>
        <v>Fiona 棉质中长连衣裙</v>
      </c>
      <c r="E3077" s="1" t="str">
        <f>IFERROR(__xludf.DUMMYFUNCTION("CONCATENATE(GOOGLETRANSLATE(C3077, ""en"", ""ko""))"),"피오나 코튼 미디 드레스")</f>
        <v>피오나 코튼 미디 드레스</v>
      </c>
      <c r="F3077" s="1" t="str">
        <f>IFERROR(__xludf.DUMMYFUNCTION("CONCATENATE(GOOGLETRANSLATE(C3077, ""en"", ""ja""))"),"フィオナ コットン ミディドレス")</f>
        <v>フィオナ コットン ミディドレス</v>
      </c>
    </row>
    <row r="3078" ht="15.75" customHeight="1">
      <c r="A3078" s="1">
        <v>5683.0</v>
      </c>
      <c r="B3078" s="1" t="s">
        <v>15</v>
      </c>
      <c r="C3078" s="1" t="s">
        <v>2797</v>
      </c>
      <c r="D3078" s="1" t="str">
        <f>IFERROR(__xludf.DUMMYFUNCTION("CONCATENATE(GOOGLETRANSLATE(C3078, ""en"", ""zh-cn""))"),"Zara 女式水果印花中长连衣裙")</f>
        <v>Zara 女式水果印花中长连衣裙</v>
      </c>
      <c r="E3078" s="1" t="str">
        <f>IFERROR(__xludf.DUMMYFUNCTION("CONCATENATE(GOOGLETRANSLATE(C3078, ""en"", ""ko""))"),"Zara 여성 과일 프린트 미디 드레스")</f>
        <v>Zara 여성 과일 프린트 미디 드레스</v>
      </c>
      <c r="F3078" s="1" t="str">
        <f>IFERROR(__xludf.DUMMYFUNCTION("CONCATENATE(GOOGLETRANSLATE(C3078, ""en"", ""ja""))"),"ZARA レディース フルーツプリント ミディドレス")</f>
        <v>ZARA レディース フルーツプリント ミディドレス</v>
      </c>
    </row>
    <row r="3079" ht="15.75" customHeight="1">
      <c r="A3079" s="1">
        <v>5687.0</v>
      </c>
      <c r="B3079" s="1" t="s">
        <v>15</v>
      </c>
      <c r="C3079" s="1" t="s">
        <v>2798</v>
      </c>
      <c r="D3079" s="1" t="str">
        <f>IFERROR(__xludf.DUMMYFUNCTION("CONCATENATE(GOOGLETRANSLATE(C3079, ""en"", ""zh-cn""))"),"Marcella 女式 Yvonne 方领平纹针织上衣")</f>
        <v>Marcella 女式 Yvonne 方领平纹针织上衣</v>
      </c>
      <c r="E3079" s="1" t="str">
        <f>IFERROR(__xludf.DUMMYFUNCTION("CONCATENATE(GOOGLETRANSLATE(C3079, ""en"", ""ko""))"),"Marcella 여성용 Yvonne 스퀘어 넥 저지 탑")</f>
        <v>Marcella 여성용 Yvonne 스퀘어 넥 저지 탑</v>
      </c>
      <c r="F3079" s="1" t="str">
        <f>IFERROR(__xludf.DUMMYFUNCTION("CONCATENATE(GOOGLETRANSLATE(C3079, ""en"", ""ja""))"),"Marcella レディース Yvonne スクエアネック ジャージ トップ")</f>
        <v>Marcella レディース Yvonne スクエアネック ジャージ トップ</v>
      </c>
    </row>
    <row r="3080" ht="15.75" customHeight="1">
      <c r="A3080" s="1">
        <v>5697.0</v>
      </c>
      <c r="B3080" s="1" t="s">
        <v>15</v>
      </c>
      <c r="C3080" s="1" t="s">
        <v>2799</v>
      </c>
      <c r="D3080" s="1" t="str">
        <f>IFERROR(__xludf.DUMMYFUNCTION("CONCATENATE(GOOGLETRANSLATE(C3080, ""en"", ""zh-cn""))"),"Connected Apparel 女式喇叭袖仿裹身连衣裙")</f>
        <v>Connected Apparel 女式喇叭袖仿裹身连衣裙</v>
      </c>
      <c r="E3080" s="1" t="str">
        <f>IFERROR(__xludf.DUMMYFUNCTION("CONCATENATE(GOOGLETRANSLATE(C3080, ""en"", ""ko""))"),"커넥티드 어패럴 벨 슬리브 인조 랩 드레스 여성")</f>
        <v>커넥티드 어패럴 벨 슬리브 인조 랩 드레스 여성</v>
      </c>
      <c r="F3080" s="1" t="str">
        <f>IFERROR(__xludf.DUMMYFUNCTION("CONCATENATE(GOOGLETRANSLATE(C3080, ""en"", ""ja""))"),"コネクテッド アパレル ベル スリーブ フェイク ラップ ドレス Women's")</f>
        <v>コネクテッド アパレル ベル スリーブ フェイク ラップ ドレス Women's</v>
      </c>
    </row>
    <row r="3081" ht="15.75" customHeight="1">
      <c r="A3081" s="1">
        <v>5698.0</v>
      </c>
      <c r="B3081" s="1" t="s">
        <v>15</v>
      </c>
      <c r="C3081" s="1" t="s">
        <v>2800</v>
      </c>
      <c r="D3081" s="1" t="str">
        <f>IFERROR(__xludf.DUMMYFUNCTION("CONCATENATE(GOOGLETRANSLATE(C3081, ""en"", ""zh-cn""))"),"Ae 刺绣荷叶边上衣")</f>
        <v>Ae 刺绣荷叶边上衣</v>
      </c>
      <c r="E3081" s="1" t="str">
        <f>IFERROR(__xludf.DUMMYFUNCTION("CONCATENATE(GOOGLETRANSLATE(C3081, ""en"", ""ko""))"),"Ae 자수 페플럼 탑")</f>
        <v>Ae 자수 페플럼 탑</v>
      </c>
      <c r="F3081" s="1" t="str">
        <f>IFERROR(__xludf.DUMMYFUNCTION("CONCATENATE(GOOGLETRANSLATE(C3081, ""en"", ""ja""))"),"AE刺繍ペプラムトップ")</f>
        <v>AE刺繍ペプラムトップ</v>
      </c>
    </row>
    <row r="3082" ht="15.75" customHeight="1">
      <c r="A3082" s="1">
        <v>5705.0</v>
      </c>
      <c r="B3082" s="1" t="s">
        <v>15</v>
      </c>
      <c r="C3082" s="1" t="s">
        <v>2801</v>
      </c>
      <c r="D3082" s="1" t="str">
        <f>IFERROR(__xludf.DUMMYFUNCTION("CONCATENATE(GOOGLETRANSLATE(C3082, ""en"", ""zh-cn""))"),"Lilly Pulitzer 女式克里斯汀大摆连衣裙")</f>
        <v>Lilly Pulitzer 女式克里斯汀大摆连衣裙</v>
      </c>
      <c r="E3082" s="1" t="str">
        <f>IFERROR(__xludf.DUMMYFUNCTION("CONCATENATE(GOOGLETRANSLATE(C3082, ""en"", ""ko""))"),"Lilly Pulitzer 여성 크리스틴 스윙 드레스")</f>
        <v>Lilly Pulitzer 여성 크리스틴 스윙 드레스</v>
      </c>
      <c r="F3082" s="1" t="str">
        <f>IFERROR(__xludf.DUMMYFUNCTION("CONCATENATE(GOOGLETRANSLATE(C3082, ""en"", ""ja""))"),"リリーピュリッツァー レディース Kristen スイング ドレス")</f>
        <v>リリーピュリッツァー レディース Kristen スイング ドレス</v>
      </c>
    </row>
    <row r="3083" ht="15.75" customHeight="1">
      <c r="A3083" s="1">
        <v>5713.0</v>
      </c>
      <c r="B3083" s="1" t="s">
        <v>15</v>
      </c>
      <c r="C3083" s="1" t="s">
        <v>2802</v>
      </c>
      <c r="D3083" s="1" t="str">
        <f>IFERROR(__xludf.DUMMYFUNCTION("CONCATENATE(GOOGLETRANSLATE(C3083, ""en"", ""zh-cn""))"),"Express 男士绗缝飞行员夹克")</f>
        <v>Express 男士绗缝飞行员夹克</v>
      </c>
      <c r="E3083" s="1" t="str">
        <f>IFERROR(__xludf.DUMMYFUNCTION("CONCATENATE(GOOGLETRANSLATE(C3083, ""en"", ""ko""))"),"익스프레스 남성 퀼팅 봄버 재킷")</f>
        <v>익스프레스 남성 퀼팅 봄버 재킷</v>
      </c>
      <c r="F3083" s="1" t="str">
        <f>IFERROR(__xludf.DUMMYFUNCTION("CONCATENATE(GOOGLETRANSLATE(C3083, ""en"", ""ja""))"),"エクスプレス メンズ キルティング ボンバー ジャケット")</f>
        <v>エクスプレス メンズ キルティング ボンバー ジャケット</v>
      </c>
    </row>
    <row r="3084" ht="15.75" customHeight="1">
      <c r="A3084" s="1">
        <v>5718.0</v>
      </c>
      <c r="B3084" s="1" t="s">
        <v>15</v>
      </c>
      <c r="C3084" s="1" t="s">
        <v>2803</v>
      </c>
      <c r="D3084" s="1" t="str">
        <f>IFERROR(__xludf.DUMMYFUNCTION("CONCATENATE(GOOGLETRANSLATE(C3084, ""en"", ""zh-cn""))"),"Izod 男士假日纽扣高领毛衣")</f>
        <v>Izod 男士假日纽扣高领毛衣</v>
      </c>
      <c r="E3084" s="1" t="str">
        <f>IFERROR(__xludf.DUMMYFUNCTION("CONCATENATE(GOOGLETRANSLATE(C3084, ""en"", ""ko""))"),"Izod 남성 홀리데이 버튼 모크넥 스웨터")</f>
        <v>Izod 남성 홀리데이 버튼 모크넥 스웨터</v>
      </c>
      <c r="F3084" s="1" t="str">
        <f>IFERROR(__xludf.DUMMYFUNCTION("CONCATENATE(GOOGLETRANSLATE(C3084, ""en"", ""ja""))"),"Izod メンズ ホリデー ボタン モックネック セーター")</f>
        <v>Izod メンズ ホリデー ボタン モックネック セーター</v>
      </c>
    </row>
    <row r="3085" ht="15.75" customHeight="1">
      <c r="A3085" s="1">
        <v>5722.0</v>
      </c>
      <c r="B3085" s="1" t="s">
        <v>15</v>
      </c>
      <c r="C3085" s="1" t="s">
        <v>2804</v>
      </c>
      <c r="D3085" s="1" t="str">
        <f>IFERROR(__xludf.DUMMYFUNCTION("CONCATENATE(GOOGLETRANSLATE(C3085, ""en"", ""zh-cn""))"),"Jos. A. Bank 男士旅行者系列修身格纹正装衬衫")</f>
        <v>Jos. A. Bank 男士旅行者系列修身格纹正装衬衫</v>
      </c>
      <c r="E3085" s="1" t="str">
        <f>IFERROR(__xludf.DUMMYFUNCTION("CONCATENATE(GOOGLETRANSLATE(C3085, ""en"", ""ko""))"),"Jos. A. Bank 남성 여행자 컬렉션 슬림핏 체크 드레스 셔츠")</f>
        <v>Jos. A. Bank 남성 여행자 컬렉션 슬림핏 체크 드레스 셔츠</v>
      </c>
      <c r="F3085" s="1" t="str">
        <f>IFERROR(__xludf.DUMMYFUNCTION("CONCATENATE(GOOGLETRANSLATE(C3085, ""en"", ""ja""))"),"Jos. A. Bank メンズ トラベラー コレクション スリム フィット チェック ドレス シャツ")</f>
        <v>Jos. A. Bank メンズ トラベラー コレクション スリム フィット チェック ドレス シャツ</v>
      </c>
    </row>
    <row r="3086" ht="15.75" customHeight="1">
      <c r="A3086" s="1">
        <v>5733.0</v>
      </c>
      <c r="B3086" s="1" t="s">
        <v>15</v>
      </c>
      <c r="C3086" s="1" t="s">
        <v>2805</v>
      </c>
      <c r="D3086" s="1" t="str">
        <f>IFERROR(__xludf.DUMMYFUNCTION("CONCATENATE(GOOGLETRANSLATE(C3086, ""en"", ""zh-cn""))"),"男士休闲简约长袖西装外套和裤子套装")</f>
        <v>男士休闲简约长袖西装外套和裤子套装</v>
      </c>
      <c r="E3086" s="1" t="str">
        <f>IFERROR(__xludf.DUMMYFUNCTION("CONCATENATE(GOOGLETRANSLATE(C3086, ""en"", ""ko""))"),"남성 캐주얼 미니멀리스트 긴 소매 블레이저 및 바지 세트")</f>
        <v>남성 캐주얼 미니멀리스트 긴 소매 블레이저 및 바지 세트</v>
      </c>
      <c r="F3086" s="1" t="str">
        <f>IFERROR(__xludf.DUMMYFUNCTION("CONCATENATE(GOOGLETRANSLATE(C3086, ""en"", ""ja""))"),"メンズカジュアルミニマリスト長袖ブレザーとパンツセット")</f>
        <v>メンズカジュアルミニマリスト長袖ブレザーとパンツセット</v>
      </c>
    </row>
    <row r="3087" ht="15.75" customHeight="1">
      <c r="A3087" s="1">
        <v>5747.0</v>
      </c>
      <c r="B3087" s="1" t="s">
        <v>15</v>
      </c>
      <c r="C3087" s="1" t="s">
        <v>2806</v>
      </c>
      <c r="D3087" s="1" t="str">
        <f>IFERROR(__xludf.DUMMYFUNCTION("CONCATENATE(GOOGLETRANSLATE(C3087, ""en"", ""zh-cn""))"),"Fashion Nova 男士 Time to Shine 长袖纽扣衬衫")</f>
        <v>Fashion Nova 男士 Time to Shine 长袖纽扣衬衫</v>
      </c>
      <c r="E3087" s="1" t="str">
        <f>IFERROR(__xludf.DUMMYFUNCTION("CONCATENATE(GOOGLETRANSLATE(C3087, ""en"", ""ko""))"),"패션 노바 남성용 타임 투 샤인 긴소매 버튼 업 셔츠")</f>
        <v>패션 노바 남성용 타임 투 샤인 긴소매 버튼 업 셔츠</v>
      </c>
      <c r="F3087" s="1" t="str">
        <f>IFERROR(__xludf.DUMMYFUNCTION("CONCATENATE(GOOGLETRANSLATE(C3087, ""en"", ""ja""))"),"Fashion Nova メンズ タイム トゥ シャイン 長袖ボタンアップ シャツ")</f>
        <v>Fashion Nova メンズ タイム トゥ シャイン 長袖ボタンアップ シャツ</v>
      </c>
    </row>
    <row r="3088" ht="15.75" customHeight="1">
      <c r="A3088" s="1">
        <v>5749.0</v>
      </c>
      <c r="B3088" s="1" t="s">
        <v>15</v>
      </c>
      <c r="C3088" s="1" t="s">
        <v>2807</v>
      </c>
      <c r="D3088" s="1" t="str">
        <f>IFERROR(__xludf.DUMMYFUNCTION("CONCATENATE(GOOGLETRANSLATE(C3088, ""en"", ""zh-cn""))"),"Express 男士宽松拉绒抓绒连帽衫")</f>
        <v>Express 男士宽松拉绒抓绒连帽衫</v>
      </c>
      <c r="E3088" s="1" t="str">
        <f>IFERROR(__xludf.DUMMYFUNCTION("CONCATENATE(GOOGLETRANSLATE(C3088, ""en"", ""ko""))"),"익스프레스 남성용 루즈 브러쉬드 플리스 후디")</f>
        <v>익스프레스 남성용 루즈 브러쉬드 플리스 후디</v>
      </c>
      <c r="F3088" s="1" t="str">
        <f>IFERROR(__xludf.DUMMYFUNCTION("CONCATENATE(GOOGLETRANSLATE(C3088, ""en"", ""ja""))"),"Express メンズ ルーズ 起毛フリース パーカー")</f>
        <v>Express メンズ ルーズ 起毛フリース パーカー</v>
      </c>
    </row>
    <row r="3089" ht="15.75" customHeight="1">
      <c r="A3089" s="1">
        <v>5752.0</v>
      </c>
      <c r="B3089" s="1" t="s">
        <v>15</v>
      </c>
      <c r="C3089" s="1" t="s">
        <v>2808</v>
      </c>
      <c r="D3089" s="1" t="str">
        <f>IFERROR(__xludf.DUMMYFUNCTION("CONCATENATE(GOOGLETRANSLATE(C3089, ""en"", ""zh-cn""))"),"INTO THE AM 男士轻质连帽衫")</f>
        <v>INTO THE AM 男士轻质连帽衫</v>
      </c>
      <c r="E3089" s="1" t="str">
        <f>IFERROR(__xludf.DUMMYFUNCTION("CONCATENATE(GOOGLETRANSLATE(C3089, ""en"", ""ko""))"),"INTO THE AM 남성용 경량 후디 셔츠 s")</f>
        <v>INTO THE AM 남성용 경량 후디 셔츠 s</v>
      </c>
      <c r="F3089" s="1" t="str">
        <f>IFERROR(__xludf.DUMMYFUNCTION("CONCATENATE(GOOGLETRANSLATE(C3089, ""en"", ""ja""))"),"INTO THE AM メンズ ライトウェイト パーカー シャツ S")</f>
        <v>INTO THE AM メンズ ライトウェイト パーカー シャツ S</v>
      </c>
    </row>
    <row r="3090" ht="15.75" customHeight="1">
      <c r="A3090" s="1">
        <v>5775.0</v>
      </c>
      <c r="B3090" s="1" t="s">
        <v>15</v>
      </c>
      <c r="C3090" s="1" t="s">
        <v>2809</v>
      </c>
      <c r="D3090" s="1" t="str">
        <f>IFERROR(__xludf.DUMMYFUNCTION("CONCATENATE(GOOGLETRANSLATE(C3090, ""en"", ""zh-cn""))"),"NZXT H7 Flow 中塔式机箱 CM-H72F")</f>
        <v>NZXT H7 Flow 中塔式机箱 CM-H72F</v>
      </c>
      <c r="E3090" s="1" t="str">
        <f>IFERROR(__xludf.DUMMYFUNCTION("CONCATENATE(GOOGLETRANSLATE(C3090, ""en"", ""ko""))"),"NZXT H7 Flow 미드 타워 케이스 CM-H72F")</f>
        <v>NZXT H7 Flow 미드 타워 케이스 CM-H72F</v>
      </c>
      <c r="F3090" s="1" t="str">
        <f>IFERROR(__xludf.DUMMYFUNCTION("CONCATENATE(GOOGLETRANSLATE(C3090, ""en"", ""ja""))"),"NZXT H7 Flow ミッドタワーケース CM-H72F")</f>
        <v>NZXT H7 Flow ミッドタワーケース CM-H72F</v>
      </c>
    </row>
    <row r="3091" ht="15.75" customHeight="1">
      <c r="A3091" s="1">
        <v>5776.0</v>
      </c>
      <c r="B3091" s="1" t="s">
        <v>15</v>
      </c>
      <c r="C3091" s="1" t="s">
        <v>2810</v>
      </c>
      <c r="D3091" s="1" t="str">
        <f>IFERROR(__xludf.DUMMYFUNCTION("CONCATENATE(GOOGLETRANSLATE(C3091, ""en"", ""zh-cn""))"),"Phanteks XT Pro Ultra 游戏机箱")</f>
        <v>Phanteks XT Pro Ultra 游戏机箱</v>
      </c>
      <c r="E3091" s="1" t="str">
        <f>IFERROR(__xludf.DUMMYFUNCTION("CONCATENATE(GOOGLETRANSLATE(C3091, ""en"", ""ko""))"),"Phanteks XT Pro 울트라 게이밍 섀시")</f>
        <v>Phanteks XT Pro 울트라 게이밍 섀시</v>
      </c>
      <c r="F3091" s="1" t="str">
        <f>IFERROR(__xludf.DUMMYFUNCTION("CONCATENATE(GOOGLETRANSLATE(C3091, ""en"", ""ja""))"),"Phanteks XT Pro ウルトラ ゲーミング シャーシ")</f>
        <v>Phanteks XT Pro ウルトラ ゲーミング シャーシ</v>
      </c>
    </row>
    <row r="3092" ht="15.75" customHeight="1">
      <c r="A3092" s="1">
        <v>5797.0</v>
      </c>
      <c r="B3092" s="1" t="s">
        <v>15</v>
      </c>
      <c r="C3092" s="1" t="s">
        <v>2811</v>
      </c>
      <c r="D3092" s="1" t="str">
        <f>IFERROR(__xludf.DUMMYFUNCTION("CONCATENATE(GOOGLETRANSLATE(C3092, ""en"", ""zh-cn""))"),"YardGames Giant Tumbling Timbers Stacking &amp; Giant 4 in A Row 户外游戏套装")</f>
        <v>YardGames Giant Tumbling Timbers Stacking &amp; Giant 4 in A Row 户外游戏套装</v>
      </c>
      <c r="E3092" s="1" t="str">
        <f>IFERROR(__xludf.DUMMYFUNCTION("CONCATENATE(GOOGLETRANSLATE(C3092, ""en"", ""ko""))"),"YardGames Giant Tumbling Timbers Stacking &amp; Giant 4 in A Row 야외 게임 번들")</f>
        <v>YardGames Giant Tumbling Timbers Stacking &amp; Giant 4 in A Row 야외 게임 번들</v>
      </c>
      <c r="F3092" s="1" t="str">
        <f>IFERROR(__xludf.DUMMYFUNCTION("CONCATENATE(GOOGLETRANSLATE(C3092, ""en"", ""ja""))"),"YardGames ジャイアント タンブリング ティンバー スタッキング &amp; ジャイアント 4 列連続屋外ゲーム バンドル")</f>
        <v>YardGames ジャイアント タンブリング ティンバー スタッキング &amp; ジャイアント 4 列連続屋外ゲーム バンドル</v>
      </c>
    </row>
    <row r="3093" ht="15.75" customHeight="1">
      <c r="A3093" s="1">
        <v>5798.0</v>
      </c>
      <c r="B3093" s="1" t="s">
        <v>15</v>
      </c>
      <c r="C3093" s="1" t="s">
        <v>2812</v>
      </c>
      <c r="D3093" s="1" t="str">
        <f>IFERROR(__xludf.DUMMYFUNCTION("CONCATENATE(GOOGLETRANSLATE(C3093, ""en"", ""zh-cn""))"),"最佳选择产品可调节调节尺寸篮球框")</f>
        <v>最佳选择产品可调节调节尺寸篮球框</v>
      </c>
      <c r="E3093" s="1" t="str">
        <f>IFERROR(__xludf.DUMMYFUNCTION("CONCATENATE(GOOGLETRANSLATE(C3093, ""en"", ""ko""))"),"최고의 선택 제품 조정 가능한 규정 크기 농구 골대")</f>
        <v>최고의 선택 제품 조정 가능한 규정 크기 농구 골대</v>
      </c>
      <c r="F3093" s="1" t="str">
        <f>IFERROR(__xludf.DUMMYFUNCTION("CONCATENATE(GOOGLETRANSLATE(C3093, ""en"", ""ja""))"),"Best Choice Products 調節可能な規定サイズのバスケットボールフープ")</f>
        <v>Best Choice Products 調節可能な規定サイズのバスケットボールフープ</v>
      </c>
    </row>
    <row r="3094" ht="15.75" customHeight="1">
      <c r="A3094" s="1">
        <v>5816.0</v>
      </c>
      <c r="B3094" s="1" t="s">
        <v>15</v>
      </c>
      <c r="C3094" s="1" t="s">
        <v>2813</v>
      </c>
      <c r="D3094" s="1" t="str">
        <f>IFERROR(__xludf.DUMMYFUNCTION("CONCATENATE(GOOGLETRANSLATE(C3094, ""en"", ""zh-cn""))"),"户外装备 儿童 Crest 雪裤")</f>
        <v>户外装备 儿童 Crest 雪裤</v>
      </c>
      <c r="E3094" s="1" t="str">
        <f>IFERROR(__xludf.DUMMYFUNCTION("CONCATENATE(GOOGLETRANSLATE(C3094, ""en"", ""ko""))"),"아웃도어 기어 키즈 크레스트 스노우 팬츠")</f>
        <v>아웃도어 기어 키즈 크레스트 스노우 팬츠</v>
      </c>
      <c r="F3094" s="1" t="str">
        <f>IFERROR(__xludf.DUMMYFUNCTION("CONCATENATE(GOOGLETRANSLATE(C3094, ""en"", ""ja""))"),"アウトドアギア キッズ クレスト スノーパンツ")</f>
        <v>アウトドアギア キッズ クレスト スノーパンツ</v>
      </c>
    </row>
    <row r="3095" ht="15.75" customHeight="1">
      <c r="A3095" s="1">
        <v>5817.0</v>
      </c>
      <c r="B3095" s="1" t="s">
        <v>15</v>
      </c>
      <c r="C3095" s="1" t="s">
        <v>2814</v>
      </c>
      <c r="D3095" s="1" t="str">
        <f>IFERROR(__xludf.DUMMYFUNCTION("CONCATENATE(GOOGLETRANSLATE(C3095, ""en"", ""zh-cn""))"),"Hall of Games 二合一篮球棒球后仰训练游戏")</f>
        <v>Hall of Games 二合一篮球棒球后仰训练游戏</v>
      </c>
      <c r="E3095" s="1" t="str">
        <f>IFERROR(__xludf.DUMMYFUNCTION("CONCATENATE(GOOGLETRANSLATE(C3095, ""en"", ""ko""))"),"홀 오브 게임(Hall of Games) 2-in-1 농구 및 야구 피치백 훈련 게임")</f>
        <v>홀 오브 게임(Hall of Games) 2-in-1 농구 및 야구 피치백 훈련 게임</v>
      </c>
      <c r="F3095" s="1" t="str">
        <f>IFERROR(__xludf.DUMMYFUNCTION("CONCATENATE(GOOGLETRANSLATE(C3095, ""en"", ""ja""))"),"Hall of Games 2-in-1 バスケットボールと野球のピッチバック トレーニング ゲーム")</f>
        <v>Hall of Games 2-in-1 バスケットボールと野球のピッチバック トレーニング ゲーム</v>
      </c>
    </row>
    <row r="3096" ht="15.75" customHeight="1">
      <c r="A3096" s="1">
        <v>5832.0</v>
      </c>
      <c r="B3096" s="1" t="s">
        <v>15</v>
      </c>
      <c r="C3096" s="1" t="s">
        <v>2815</v>
      </c>
      <c r="D3096" s="1" t="str">
        <f>IFERROR(__xludf.DUMMYFUNCTION("CONCATENATE(GOOGLETRANSLATE(C3096, ""en"", ""zh-cn""))"),"学院运动+户外足球敏捷训练套件")</f>
        <v>学院运动+户外足球敏捷训练套件</v>
      </c>
      <c r="E3096" s="1" t="str">
        <f>IFERROR(__xludf.DUMMYFUNCTION("CONCATENATE(GOOGLETRANSLATE(C3096, ""en"", ""ko""))"),"아카데미 스포츠 + 야외 축구 민첩성 훈련 키트")</f>
        <v>아카데미 스포츠 + 야외 축구 민첩성 훈련 키트</v>
      </c>
      <c r="F3096" s="1" t="str">
        <f>IFERROR(__xludf.DUMMYFUNCTION("CONCATENATE(GOOGLETRANSLATE(C3096, ""en"", ""ja""))"),"アカデミー スポーツ + アウトドア フットボール アジリティ トレーニング キット")</f>
        <v>アカデミー スポーツ + アウトドア フットボール アジリティ トレーニング キット</v>
      </c>
    </row>
    <row r="3097" ht="15.75" customHeight="1">
      <c r="A3097" s="1">
        <v>5854.0</v>
      </c>
      <c r="B3097" s="1" t="s">
        <v>15</v>
      </c>
      <c r="C3097" s="1" t="s">
        <v>2816</v>
      </c>
      <c r="D3097" s="1" t="str">
        <f>IFERROR(__xludf.DUMMYFUNCTION("CONCATENATE(GOOGLETRANSLATE(C3097, ""en"", ""zh-cn""))"),"西铁城女士手表 Drive POV EM0234-59D")</f>
        <v>西铁城女士手表 Drive POV EM0234-59D</v>
      </c>
      <c r="E3097" s="1" t="str">
        <f>IFERROR(__xludf.DUMMYFUNCTION("CONCATENATE(GOOGLETRANSLATE(C3097, ""en"", ""ko""))"),"시티즌 여성용 시계 드라이브 POV EM0234-59D")</f>
        <v>시티즌 여성용 시계 드라이브 POV EM0234-59D</v>
      </c>
      <c r="F3097" s="1" t="str">
        <f>IFERROR(__xludf.DUMMYFUNCTION("CONCATENATE(GOOGLETRANSLATE(C3097, ""en"", ""ja""))"),"シチズン レディース 腕時計 ドライブ POV EM0234-59D")</f>
        <v>シチズン レディース 腕時計 ドライブ POV EM0234-59D</v>
      </c>
    </row>
    <row r="3098" ht="15.75" customHeight="1">
      <c r="A3098" s="1">
        <v>5855.0</v>
      </c>
      <c r="B3098" s="1" t="s">
        <v>15</v>
      </c>
      <c r="C3098" s="1" t="s">
        <v>2817</v>
      </c>
      <c r="D3098" s="1" t="str">
        <f>IFERROR(__xludf.DUMMYFUNCTION("CONCATENATE(GOOGLETRANSLATE(C3098, ""en"", ""zh-cn""))"),"Kate Spade Monroe 心形不锈钢戒指手表")</f>
        <v>Kate Spade Monroe 心形不锈钢戒指手表</v>
      </c>
      <c r="E3098" s="1" t="str">
        <f>IFERROR(__xludf.DUMMYFUNCTION("CONCATENATE(GOOGLETRANSLATE(C3098, ""en"", ""ko""))"),"케이트 스페이드 먼로 하트 스테인레스 스틸 링 시계")</f>
        <v>케이트 스페이드 먼로 하트 스테인레스 스틸 링 시계</v>
      </c>
      <c r="F3098" s="1" t="str">
        <f>IFERROR(__xludf.DUMMYFUNCTION("CONCATENATE(GOOGLETRANSLATE(C3098, ""en"", ""ja""))"),"ケイト・スペード モンロー ハート ステンレススチール リング ウォッチ")</f>
        <v>ケイト・スペード モンロー ハート ステンレススチール リング ウォッチ</v>
      </c>
    </row>
    <row r="3099" ht="15.75" customHeight="1">
      <c r="A3099" s="1">
        <v>5859.0</v>
      </c>
      <c r="B3099" s="1" t="s">
        <v>15</v>
      </c>
      <c r="C3099" s="1" t="s">
        <v>2818</v>
      </c>
      <c r="D3099" s="1" t="str">
        <f>IFERROR(__xludf.DUMMYFUNCTION("CONCATENATE(GOOGLETRANSLATE(C3099, ""en"", ""zh-cn""))"),"Fossil 女士 Karli 三指针不锈钢手表")</f>
        <v>Fossil 女士 Karli 三指针不锈钢手表</v>
      </c>
      <c r="E3099" s="1" t="str">
        <f>IFERROR(__xludf.DUMMYFUNCTION("CONCATENATE(GOOGLETRANSLATE(C3099, ""en"", ""ko""))"),"화석 여성용 Karli 쓰리 핸드 스테인레스 스틸 시계")</f>
        <v>화석 여성용 Karli 쓰리 핸드 스테인레스 스틸 시계</v>
      </c>
      <c r="F3099" s="1" t="str">
        <f>IFERROR(__xludf.DUMMYFUNCTION("CONCATENATE(GOOGLETRANSLATE(C3099, ""en"", ""ja""))"),"Fossil レディース Karli 3 針ステンレススチール時計")</f>
        <v>Fossil レディース Karli 3 針ステンレススチール時計</v>
      </c>
    </row>
    <row r="3100" ht="15.75" customHeight="1">
      <c r="A3100" s="1">
        <v>5865.0</v>
      </c>
      <c r="B3100" s="1" t="s">
        <v>15</v>
      </c>
      <c r="C3100" s="1" t="s">
        <v>2819</v>
      </c>
      <c r="D3100" s="1" t="str">
        <f>IFERROR(__xludf.DUMMYFUNCTION("CONCATENATE(GOOGLETRANSLATE(C3100, ""en"", ""zh-cn""))"),"Anne Klein 女士高级水晶手镯手表和手链套装")</f>
        <v>Anne Klein 女士高级水晶手镯手表和手链套装</v>
      </c>
      <c r="E3100" s="1" t="str">
        <f>IFERROR(__xludf.DUMMYFUNCTION("CONCATENATE(GOOGLETRANSLATE(C3100, ""en"", ""ko""))"),"Anne Klein 여성용 프리미엄 크리스탈 팔찌 시계 및 팔찌 세트")</f>
        <v>Anne Klein 여성용 프리미엄 크리스탈 팔찌 시계 및 팔찌 세트</v>
      </c>
      <c r="F3100" s="1" t="str">
        <f>IFERROR(__xludf.DUMMYFUNCTION("CONCATENATE(GOOGLETRANSLATE(C3100, ""en"", ""ja""))"),"Anne Klein レディース プレミアム クリスタル バングル ウォッチとブレスレット セット")</f>
        <v>Anne Klein レディース プレミアム クリスタル バングル ウォッチとブレスレット セット</v>
      </c>
    </row>
    <row r="3101" ht="15.75" customHeight="1">
      <c r="A3101" s="1">
        <v>5881.0</v>
      </c>
      <c r="B3101" s="1" t="s">
        <v>15</v>
      </c>
      <c r="C3101" s="1" t="s">
        <v>2820</v>
      </c>
      <c r="D3101" s="1" t="str">
        <f>IFERROR(__xludf.DUMMYFUNCTION("CONCATENATE(GOOGLETRANSLATE(C3101, ""en"", ""zh-cn""))"),"PopSockets PopGrip")</f>
        <v>PopSockets PopGrip</v>
      </c>
      <c r="E3101" s="1" t="str">
        <f>IFERROR(__xludf.DUMMYFUNCTION("CONCATENATE(GOOGLETRANSLATE(C3101, ""en"", ""ko""))"),"팝소켓 팝그립")</f>
        <v>팝소켓 팝그립</v>
      </c>
      <c r="F3101" s="1" t="str">
        <f>IFERROR(__xludf.DUMMYFUNCTION("CONCATENATE(GOOGLETRANSLATE(C3101, ""en"", ""ja""))"),"ポップソケッツ ポップグリップ")</f>
        <v>ポップソケッツ ポップグリップ</v>
      </c>
    </row>
    <row r="3102" ht="15.75" customHeight="1">
      <c r="A3102" s="1">
        <v>5886.0</v>
      </c>
      <c r="B3102" s="1" t="s">
        <v>15</v>
      </c>
      <c r="C3102" s="1" t="s">
        <v>2821</v>
      </c>
      <c r="D3102" s="1" t="str">
        <f>IFERROR(__xludf.DUMMYFUNCTION("CONCATENATE(GOOGLETRANSLATE(C3102, ""en"", ""zh-cn""))"),"天际线案例")</f>
        <v>天际线案例</v>
      </c>
      <c r="E3102" s="1" t="str">
        <f>IFERROR(__xludf.DUMMYFUNCTION("CONCATENATE(GOOGLETRANSLATE(C3102, ""en"", ""ko""))"),"스카이라인 케이스")</f>
        <v>스카이라인 케이스</v>
      </c>
      <c r="F3102" s="1" t="str">
        <f>IFERROR(__xludf.DUMMYFUNCTION("CONCATENATE(GOOGLETRANSLATE(C3102, ""en"", ""ja""))"),"スカイラインケース")</f>
        <v>スカイラインケース</v>
      </c>
    </row>
    <row r="3103" ht="15.75" customHeight="1">
      <c r="A3103" s="1">
        <v>5894.0</v>
      </c>
      <c r="B3103" s="1" t="s">
        <v>15</v>
      </c>
      <c r="C3103" s="1" t="s">
        <v>2822</v>
      </c>
      <c r="D3103" s="1" t="str">
        <f>IFERROR(__xludf.DUMMYFUNCTION("CONCATENATE(GOOGLETRANSLATE(C3103, ""en"", ""zh-cn""))"),"Tzumi Flexiview 免提智能手机支架")</f>
        <v>Tzumi Flexiview 免提智能手机支架</v>
      </c>
      <c r="E3103" s="1" t="str">
        <f>IFERROR(__xludf.DUMMYFUNCTION("CONCATENATE(GOOGLETRANSLATE(C3103, ""en"", ""ko""))"),"Tzumi Flexiview 핸즈프리 스마트폰 홀더")</f>
        <v>Tzumi Flexiview 핸즈프리 스마트폰 홀더</v>
      </c>
      <c r="F3103" s="1" t="str">
        <f>IFERROR(__xludf.DUMMYFUNCTION("CONCATENATE(GOOGLETRANSLATE(C3103, ""en"", ""ja""))"),"TZUMI Flexiview ハンズフリースマートフォンホルダー")</f>
        <v>TZUMI Flexiview ハンズフリースマートフォンホルダー</v>
      </c>
    </row>
    <row r="3104" ht="15.75" customHeight="1">
      <c r="A3104" s="1">
        <v>5897.0</v>
      </c>
      <c r="B3104" s="1" t="s">
        <v>15</v>
      </c>
      <c r="C3104" s="1" t="s">
        <v>2823</v>
      </c>
      <c r="D3104" s="1" t="str">
        <f>IFERROR(__xludf.DUMMYFUNCTION("CONCATENATE(GOOGLETRANSLATE(C3104, ""en"", ""zh-cn""))"),"宜家 KRUBBET 手机支架")</f>
        <v>宜家 KRUBBET 手机支架</v>
      </c>
      <c r="E3104" s="1" t="str">
        <f>IFERROR(__xludf.DUMMYFUNCTION("CONCATENATE(GOOGLETRANSLATE(C3104, ""en"", ""ko""))"),"IKEA KRUBBET 휴대폰 홀더")</f>
        <v>IKEA KRUBBET 휴대폰 홀더</v>
      </c>
      <c r="F3104" s="1" t="str">
        <f>IFERROR(__xludf.DUMMYFUNCTION("CONCATENATE(GOOGLETRANSLATE(C3104, ""en"", ""ja""))"),"IKEA KRUBBET 携帯電話用ホルダー")</f>
        <v>IKEA KRUBBET 携帯電話用ホルダー</v>
      </c>
    </row>
    <row r="3105" ht="15.75" customHeight="1">
      <c r="A3105" s="1">
        <v>5903.0</v>
      </c>
      <c r="B3105" s="1" t="s">
        <v>15</v>
      </c>
      <c r="C3105" s="1" t="s">
        <v>2824</v>
      </c>
      <c r="D3105" s="1" t="str">
        <f>IFERROR(__xludf.DUMMYFUNCTION("CONCATENATE(GOOGLETRANSLATE(C3105, ""en"", ""zh-cn""))"),"Syncwire 手机指环支架 360 度旋转指环支架抛光金属手机手柄适用于磁性车载支架兼容")</f>
        <v>Syncwire 手机指环支架 360 度旋转指环支架抛光金属手机手柄适用于磁性车载支架兼容</v>
      </c>
      <c r="E3105" s="1" t="str">
        <f>IFERROR(__xludf.DUMMYFUNCTION("CONCATENATE(GOOGLETRANSLATE(C3105, ""en"", ""ko""))"),"Syncwire 휴대폰 링 홀더 스탠드 360도 회전 손가락 링 킥스탠드 자기 자동차 마운트 호환 광택 금속 전화 그립")</f>
        <v>Syncwire 휴대폰 링 홀더 스탠드 360도 회전 손가락 링 킥스탠드 자기 자동차 마운트 호환 광택 금속 전화 그립</v>
      </c>
      <c r="F3105" s="1" t="str">
        <f>IFERROR(__xludf.DUMMYFUNCTION("CONCATENATE(GOOGLETRANSLATE(C3105, ""en"", ""ja""))"),"Syncwire 携帯電話リングホルダースタンド 360 度回転フィンガーリングキックスタンド ポリッシュメタル電話グリップ 磁気カーマウント用 互換性あり")</f>
        <v>Syncwire 携帯電話リングホルダースタンド 360 度回転フィンガーリングキックスタンド ポリッシュメタル電話グリップ 磁気カーマウント用 互換性あり</v>
      </c>
    </row>
    <row r="3106" ht="15.75" customHeight="1">
      <c r="A3106" s="1">
        <v>5914.0</v>
      </c>
      <c r="B3106" s="1" t="s">
        <v>15</v>
      </c>
      <c r="C3106" s="1" t="s">
        <v>2825</v>
      </c>
      <c r="D3106" s="1" t="str">
        <f>IFERROR(__xludf.DUMMYFUNCTION("CONCATENATE(GOOGLETRANSLATE(C3106, ""en"", ""zh-cn""))"),"FORNO Maderno 60 英寸 2 件套可转换内置冰箱/冰柜带装饰格栅")</f>
        <v>FORNO Maderno 60 英寸 2 件套可转换内置冰箱/冰柜带装饰格栅</v>
      </c>
      <c r="E3106" s="1" t="str">
        <f>IFERROR(__xludf.DUMMYFUNCTION("CONCATENATE(GOOGLETRANSLATE(C3106, ""en"", ""ko""))"),"FORNO Maderno 60인치 2피스 컨버터블 내장형 냉장고/냉동고(장식 그릴 포함)")</f>
        <v>FORNO Maderno 60인치 2피스 컨버터블 내장형 냉장고/냉동고(장식 그릴 포함)</v>
      </c>
      <c r="F3106" s="1" t="str">
        <f>IFERROR(__xludf.DUMMYFUNCTION("CONCATENATE(GOOGLETRANSLATE(C3106, ""en"", ""ja""))"),"FORNO Maderno 60 インチ 2 ピース コンバーチブル ビルトイン冷蔵庫/冷凍庫 装飾グリル付き")</f>
        <v>FORNO Maderno 60 インチ 2 ピース コンバーチブル ビルトイン冷蔵庫/冷凍庫 装飾グリル付き</v>
      </c>
    </row>
    <row r="3107" ht="15.75" customHeight="1">
      <c r="A3107" s="1">
        <v>5916.0</v>
      </c>
      <c r="B3107" s="1" t="s">
        <v>15</v>
      </c>
      <c r="C3107" s="1" t="s">
        <v>2826</v>
      </c>
      <c r="D3107" s="1" t="str">
        <f>IFERROR(__xludf.DUMMYFUNCTION("CONCATENATE(GOOGLETRANSLATE(C3107, ""en"", ""zh-cn""))"),"革命 InstaGLO R180 烤面包机")</f>
        <v>革命 InstaGLO R180 烤面包机</v>
      </c>
      <c r="E3107" s="1" t="str">
        <f>IFERROR(__xludf.DUMMYFUNCTION("CONCATENATE(GOOGLETRANSLATE(C3107, ""en"", ""ko""))"),"Revolution InstaGLO R180 토스터")</f>
        <v>Revolution InstaGLO R180 토스터</v>
      </c>
      <c r="F3107" s="1" t="str">
        <f>IFERROR(__xludf.DUMMYFUNCTION("CONCATENATE(GOOGLETRANSLATE(C3107, ""en"", ""ja""))"),"Revolution InstaGLO R180 トースター")</f>
        <v>Revolution InstaGLO R180 トースター</v>
      </c>
    </row>
    <row r="3108" ht="15.75" customHeight="1">
      <c r="A3108" s="1">
        <v>5921.0</v>
      </c>
      <c r="B3108" s="1" t="s">
        <v>15</v>
      </c>
      <c r="C3108" s="1" t="s">
        <v>2827</v>
      </c>
      <c r="D3108" s="1" t="str">
        <f>IFERROR(__xludf.DUMMYFUNCTION("CONCATENATE(GOOGLETRANSLATE(C3108, ""en"", ""zh-cn""))"),"Our Place Wonder Oven 6 合 1 空气炸锅和烤面包机")</f>
        <v>Our Place Wonder Oven 6 合 1 空气炸锅和烤面包机</v>
      </c>
      <c r="E3108" s="1" t="str">
        <f>IFERROR(__xludf.DUMMYFUNCTION("CONCATENATE(GOOGLETRANSLATE(C3108, ""en"", ""ko""))"),"아워 플레이스 원더 오븐 6-in-1 에어프라이어 &amp; 토스터")</f>
        <v>아워 플레이스 원더 오븐 6-in-1 에어프라이어 &amp; 토스터</v>
      </c>
      <c r="F3108" s="1" t="str">
        <f>IFERROR(__xludf.DUMMYFUNCTION("CONCATENATE(GOOGLETRANSLATE(C3108, ""en"", ""ja""))"),"Our Place ワンダーオーブン 6-in-1 エアフライヤー &amp; トースター")</f>
        <v>Our Place ワンダーオーブン 6-in-1 エアフライヤー &amp; トースター</v>
      </c>
    </row>
    <row r="3109" ht="15.75" customHeight="1">
      <c r="A3109" s="1">
        <v>5929.0</v>
      </c>
      <c r="B3109" s="1" t="s">
        <v>15</v>
      </c>
      <c r="C3109" s="1" t="s">
        <v>2828</v>
      </c>
      <c r="D3109" s="1" t="str">
        <f>IFERROR(__xludf.DUMMYFUNCTION("CONCATENATE(GOOGLETRANSLATE(C3109, ""en"", ""zh-cn""))"),"GE 30 独立式燃气灶")</f>
        <v>GE 30 独立式燃气灶</v>
      </c>
      <c r="E3109" s="1" t="str">
        <f>IFERROR(__xludf.DUMMYFUNCTION("CONCATENATE(GOOGLETRANSLATE(C3109, ""en"", ""ko""))"),"GE 30 독립형 가스레인지")</f>
        <v>GE 30 독립형 가스레인지</v>
      </c>
      <c r="F3109" s="1" t="str">
        <f>IFERROR(__xludf.DUMMYFUNCTION("CONCATENATE(GOOGLETRANSLATE(C3109, ""en"", ""ja""))"),"GE 30 自立型ガスレンジ")</f>
        <v>GE 30 自立型ガスレンジ</v>
      </c>
    </row>
    <row r="3110" ht="15.75" customHeight="1">
      <c r="A3110" s="1">
        <v>5930.0</v>
      </c>
      <c r="B3110" s="1" t="s">
        <v>15</v>
      </c>
      <c r="C3110" s="1" t="s">
        <v>2829</v>
      </c>
      <c r="D3110" s="1" t="str">
        <f>IFERROR(__xludf.DUMMYFUNCTION("CONCATENATE(GOOGLETRANSLATE(C3110, ""en"", ""zh-cn""))"),"Ashley Furniture Colburn 壁灯")</f>
        <v>Ashley Furniture Colburn 壁灯</v>
      </c>
      <c r="E3110" s="1" t="str">
        <f>IFERROR(__xludf.DUMMYFUNCTION("CONCATENATE(GOOGLETRANSLATE(C3110, ""en"", ""ko""))"),"Ashley 가구 콜번 벽 보루")</f>
        <v>Ashley 가구 콜번 벽 보루</v>
      </c>
      <c r="F3110" s="1" t="str">
        <f>IFERROR(__xludf.DUMMYFUNCTION("CONCATENATE(GOOGLETRANSLATE(C3110, ""en"", ""ja""))"),"Ashley Furniture Colburn 壁取り付け用燭台")</f>
        <v>Ashley Furniture Colburn 壁取り付け用燭台</v>
      </c>
    </row>
    <row r="3111" ht="15.75" customHeight="1">
      <c r="A3111" s="1">
        <v>5938.0</v>
      </c>
      <c r="B3111" s="1" t="s">
        <v>15</v>
      </c>
      <c r="C3111" s="1" t="s">
        <v>2830</v>
      </c>
      <c r="D3111" s="1" t="str">
        <f>IFERROR(__xludf.DUMMYFUNCTION("CONCATENATE(GOOGLETRANSLATE(C3111, ""en"", ""zh-cn""))"),"Mueller Home Mueller 复古烤面包机")</f>
        <v>Mueller Home Mueller 复古烤面包机</v>
      </c>
      <c r="E3111" s="1" t="str">
        <f>IFERROR(__xludf.DUMMYFUNCTION("CONCATENATE(GOOGLETRANSLATE(C3111, ""en"", ""ko""))"),"뮬러 홈 뮬러 레트로 토스터")</f>
        <v>뮬러 홈 뮬러 레트로 토스터</v>
      </c>
      <c r="F3111" s="1" t="str">
        <f>IFERROR(__xludf.DUMMYFUNCTION("CONCATENATE(GOOGLETRANSLATE(C3111, ""en"", ""ja""))"),"ミューラー ホーム ミューラー レトロ トースター")</f>
        <v>ミューラー ホーム ミューラー レトロ トースター</v>
      </c>
    </row>
    <row r="3112" ht="15.75" customHeight="1">
      <c r="A3112" s="1">
        <v>5941.0</v>
      </c>
      <c r="B3112" s="1" t="s">
        <v>15</v>
      </c>
      <c r="C3112" s="1" t="s">
        <v>2831</v>
      </c>
      <c r="D3112" s="1" t="str">
        <f>IFERROR(__xludf.DUMMYFUNCTION("CONCATENATE(GOOGLETRANSLATE(C3112, ""en"", ""zh-cn""))"),"伊莱克斯 4 件。不锈钢法式门厨房套餐")</f>
        <v>伊莱克斯 4 件。不锈钢法式门厨房套餐</v>
      </c>
      <c r="E3112" s="1" t="str">
        <f>IFERROR(__xludf.DUMMYFUNCTION("CONCATENATE(GOOGLETRANSLATE(C3112, ""en"", ""ko""))"),"일렉트로룩스 4개 스테인레스 스틸 프렌치 도어 주방 패키지")</f>
        <v>일렉트로룩스 4개 스테인레스 스틸 프렌치 도어 주방 패키지</v>
      </c>
      <c r="F3112" s="1" t="str">
        <f>IFERROR(__xludf.DUMMYFUNCTION("CONCATENATE(GOOGLETRANSLATE(C3112, ""en"", ""ja""))"),"エレクトロラックス 4個ステンレススチールフレンチドアキッチンパッケージ")</f>
        <v>エレクトロラックス 4個ステンレススチールフレンチドアキッチンパッケージ</v>
      </c>
    </row>
    <row r="3113" ht="15.75" customHeight="1">
      <c r="A3113" s="1">
        <v>5951.0</v>
      </c>
      <c r="B3113" s="1" t="s">
        <v>15</v>
      </c>
      <c r="C3113" s="1" t="s">
        <v>2832</v>
      </c>
      <c r="D3113" s="1" t="str">
        <f>IFERROR(__xludf.DUMMYFUNCTION("CONCATENATE(GOOGLETRANSLATE(C3113, ""en"", ""zh-cn""))"),"West Bend QuikServe 2 片烤面包机")</f>
        <v>West Bend QuikServe 2 片烤面包机</v>
      </c>
      <c r="E3113" s="1" t="str">
        <f>IFERROR(__xludf.DUMMYFUNCTION("CONCATENATE(GOOGLETRANSLATE(C3113, ""en"", ""ko""))"),"웨스트벤드 QuikServe 2슬라이스 토스터")</f>
        <v>웨스트벤드 QuikServe 2슬라이스 토스터</v>
      </c>
      <c r="F3113" s="1" t="str">
        <f>IFERROR(__xludf.DUMMYFUNCTION("CONCATENATE(GOOGLETRANSLATE(C3113, ""en"", ""ja""))"),"West Bend QuikServe 2スライス トースター")</f>
        <v>West Bend QuikServe 2スライス トースター</v>
      </c>
    </row>
    <row r="3114" ht="15.75" customHeight="1">
      <c r="A3114" s="1">
        <v>5959.0</v>
      </c>
      <c r="B3114" s="1" t="s">
        <v>15</v>
      </c>
      <c r="C3114" s="1" t="s">
        <v>2833</v>
      </c>
      <c r="D3114" s="1" t="str">
        <f>IFERROR(__xludf.DUMMYFUNCTION("CONCATENATE(GOOGLETRANSLATE(C3114, ""en"", ""zh-cn""))"),"OMI WellBeauty 头发营养补充剂")</f>
        <v>OMI WellBeauty 头发营养补充剂</v>
      </c>
      <c r="E3114" s="1" t="str">
        <f>IFERROR(__xludf.DUMMYFUNCTION("CONCATENATE(GOOGLETRANSLATE(C3114, ""en"", ""ko""))"),"OMI WellBeauty 모발 영양 보충제")</f>
        <v>OMI WellBeauty 모발 영양 보충제</v>
      </c>
      <c r="F3114" s="1" t="str">
        <f>IFERROR(__xludf.DUMMYFUNCTION("CONCATENATE(GOOGLETRANSLATE(C3114, ""en"", ""ja""))"),"OMI WellBeauty ヘア栄養サプリメント")</f>
        <v>OMI WellBeauty ヘア栄養サプリメント</v>
      </c>
    </row>
    <row r="3115" ht="15.75" customHeight="1">
      <c r="A3115" s="1">
        <v>5963.0</v>
      </c>
      <c r="B3115" s="1" t="s">
        <v>15</v>
      </c>
      <c r="C3115" s="1" t="s">
        <v>2834</v>
      </c>
      <c r="D3115" s="1" t="str">
        <f>IFERROR(__xludf.DUMMYFUNCTION("CONCATENATE(GOOGLETRANSLATE(C3115, ""en"", ""zh-cn""))"),"奥利天堂头发")</f>
        <v>奥利天堂头发</v>
      </c>
      <c r="E3115" s="1" t="str">
        <f>IFERROR(__xludf.DUMMYFUNCTION("CONCATENATE(GOOGLETRANSLATE(C3115, ""en"", ""ko""))"),"올리 헤븐리 헤어")</f>
        <v>올리 헤븐리 헤어</v>
      </c>
      <c r="F3115" s="1" t="str">
        <f>IFERROR(__xludf.DUMMYFUNCTION("CONCATENATE(GOOGLETRANSLATE(C3115, ""en"", ""ja""))"),"オリー・ヘブンリー・ヘアー")</f>
        <v>オリー・ヘブンリー・ヘアー</v>
      </c>
    </row>
    <row r="3116" ht="15.75" customHeight="1">
      <c r="A3116" s="1">
        <v>5965.0</v>
      </c>
      <c r="B3116" s="1" t="s">
        <v>15</v>
      </c>
      <c r="C3116" s="1" t="s">
        <v>2835</v>
      </c>
      <c r="D3116" s="1" t="str">
        <f>IFERROR(__xludf.DUMMYFUNCTION("CONCATENATE(GOOGLETRANSLATE(C3116, ""en"", ""zh-cn""))"),"丰盈生物素洗发水和护发素套装 无硫酸盐洗发水和护发素，适合干燥受损的头发护理")</f>
        <v>丰盈生物素洗发水和护发素套装 无硫酸盐洗发水和护发素，适合干燥受损的头发护理</v>
      </c>
      <c r="E3116" s="1" t="str">
        <f>IFERROR(__xludf.DUMMYFUNCTION("CONCATENATE(GOOGLETRANSLATE(C3116, ""en"", ""ko""))"),"볼륨마이징 비오틴 샴푸 및 컨디셔너 세트 건조하고 손상된 모발 관리를 위한 황산염 프리 샴푸 및 컨디셔너")</f>
        <v>볼륨마이징 비오틴 샴푸 및 컨디셔너 세트 건조하고 손상된 모발 관리를 위한 황산염 프리 샴푸 및 컨디셔너</v>
      </c>
      <c r="F3116" s="1" t="str">
        <f>IFERROR(__xludf.DUMMYFUNCTION("CONCATENATE(GOOGLETRANSLATE(C3116, ""en"", ""ja""))"),"ボリューマイジングビオチンシャンプーとコンディショナーセット乾燥ダメージヘアケアのための硫酸塩フリーのシャンプーとコンディショナー")</f>
        <v>ボリューマイジングビオチンシャンプーとコンディショナーセット乾燥ダメージヘアケアのための硫酸塩フリーのシャンプーとコンディショナー</v>
      </c>
    </row>
    <row r="3117" ht="15.75" customHeight="1">
      <c r="A3117" s="1">
        <v>5968.0</v>
      </c>
      <c r="B3117" s="1" t="s">
        <v>15</v>
      </c>
      <c r="C3117" s="1" t="s">
        <v>2836</v>
      </c>
      <c r="D3117" s="1" t="str">
        <f>IFERROR(__xludf.DUMMYFUNCTION("CONCATENATE(GOOGLETRANSLATE(C3117, ""en"", ""zh-cn""))"),"Vegamour GRO 护发精华和生物素软糖套装，适合稀疏头发")</f>
        <v>Vegamour GRO 护发精华和生物素软糖套装，适合稀疏头发</v>
      </c>
      <c r="E3117" s="1" t="str">
        <f>IFERROR(__xludf.DUMMYFUNCTION("CONCATENATE(GOOGLETRANSLATE(C3117, ""en"", ""ko""))"),"가늘어지는 모발을 위한 베가모어 GRO 헤어 세럼 &amp; 비오틴 구미 세트")</f>
        <v>가늘어지는 모발을 위한 베가모어 GRO 헤어 세럼 &amp; 비오틴 구미 세트</v>
      </c>
      <c r="F3117" s="1" t="str">
        <f>IFERROR(__xludf.DUMMYFUNCTION("CONCATENATE(GOOGLETRANSLATE(C3117, ""en"", ""ja""))"),"Vegamour GRO ヘアセラム &amp; ビオチングミセット 薄毛用")</f>
        <v>Vegamour GRO ヘアセラム &amp; ビオチングミセット 薄毛用</v>
      </c>
    </row>
    <row r="3118" ht="15.75" customHeight="1">
      <c r="A3118" s="1">
        <v>5988.0</v>
      </c>
      <c r="B3118" s="1" t="s">
        <v>15</v>
      </c>
      <c r="C3118" s="1" t="s">
        <v>2837</v>
      </c>
      <c r="D3118" s="1" t="str">
        <f>IFERROR(__xludf.DUMMYFUNCTION("CONCATENATE(GOOGLETRANSLATE(C3118, ""en"", ""zh-cn""))"),"Fenty Beauty by Rihanna The Comeback Kid 即时损伤修复护发素")</f>
        <v>Fenty Beauty by Rihanna The Comeback Kid 即时损伤修复护发素</v>
      </c>
      <c r="E3118" s="1" t="str">
        <f>IFERROR(__xludf.DUMMYFUNCTION("CONCATENATE(GOOGLETRANSLATE(C3118, ""en"", ""ko""))"),"리한나의 펜티 뷰티 컴백 키드 인스턴트 데미지 리페어 헤어 트리트먼트")</f>
        <v>리한나의 펜티 뷰티 컴백 키드 인스턴트 데미지 리페어 헤어 트리트먼트</v>
      </c>
      <c r="F3118" s="1" t="str">
        <f>IFERROR(__xludf.DUMMYFUNCTION("CONCATENATE(GOOGLETRANSLATE(C3118, ""en"", ""ja""))"),"フェンティ ビューティー リアーナ ザ カムバック キッド インスタント ダメージ リペア ヘア トリートメント")</f>
        <v>フェンティ ビューティー リアーナ ザ カムバック キッド インスタント ダメージ リペア ヘア トリートメント</v>
      </c>
    </row>
    <row r="3119" ht="15.75" customHeight="1">
      <c r="A3119" s="1">
        <v>5995.0</v>
      </c>
      <c r="B3119" s="1" t="s">
        <v>15</v>
      </c>
      <c r="C3119" s="1" t="s">
        <v>2838</v>
      </c>
      <c r="D3119" s="1" t="str">
        <f>IFERROR(__xludf.DUMMYFUNCTION("CONCATENATE(GOOGLETRANSLATE(C3119, ""en"", ""zh-cn""))"),"WelleCo 生发精华")</f>
        <v>WelleCo 生发精华</v>
      </c>
      <c r="E3119" s="1" t="str">
        <f>IFERROR(__xludf.DUMMYFUNCTION("CONCATENATE(GOOGLETRANSLATE(C3119, ""en"", ""ko""))"),"웰코 더 헤어 엘릭서")</f>
        <v>웰코 더 헤어 엘릭서</v>
      </c>
      <c r="F3119" s="1" t="str">
        <f>IFERROR(__xludf.DUMMYFUNCTION("CONCATENATE(GOOGLETRANSLATE(C3119, ""en"", ""ja""))"),"WelleCo ザ ヘア エリクサー")</f>
        <v>WelleCo ザ ヘア エリクサー</v>
      </c>
    </row>
    <row r="3120" ht="15.75" customHeight="1">
      <c r="A3120" s="1">
        <v>5996.0</v>
      </c>
      <c r="B3120" s="1" t="s">
        <v>15</v>
      </c>
      <c r="C3120" s="1" t="s">
        <v>2839</v>
      </c>
      <c r="D3120" s="1" t="str">
        <f>IFERROR(__xludf.DUMMYFUNCTION("CONCATENATE(GOOGLETRANSLATE(C3120, ""en"", ""zh-cn""))"),"资生堂菲诺高级触感护发油")</f>
        <v>资生堂菲诺高级触感护发油</v>
      </c>
      <c r="E3120" s="1" t="str">
        <f>IFERROR(__xludf.DUMMYFUNCTION("CONCATENATE(GOOGLETRANSLATE(C3120, ""en"", ""ko""))"),"시세이도 피노 프리미엄 터치 헤어 오일")</f>
        <v>시세이도 피노 프리미엄 터치 헤어 오일</v>
      </c>
      <c r="F3120" s="1" t="str">
        <f>IFERROR(__xludf.DUMMYFUNCTION("CONCATENATE(GOOGLETRANSLATE(C3120, ""en"", ""ja""))"),"資生堂 フィーノ プレミアムタッチ ヘアオイル")</f>
        <v>資生堂 フィーノ プレミアムタッチ ヘアオイル</v>
      </c>
    </row>
    <row r="3121" ht="15.75" customHeight="1">
      <c r="A3121" s="1">
        <v>6022.0</v>
      </c>
      <c r="B3121" s="1" t="s">
        <v>15</v>
      </c>
      <c r="C3121" s="1" t="s">
        <v>2840</v>
      </c>
      <c r="D3121" s="1" t="str">
        <f>IFERROR(__xludf.DUMMYFUNCTION("CONCATENATE(GOOGLETRANSLATE(C3121, ""en"", ""zh-cn""))"),"Caruso's 护发食品 60 片")</f>
        <v>Caruso's 护发食品 60 片</v>
      </c>
      <c r="E3121" s="1" t="str">
        <f>IFERROR(__xludf.DUMMYFUNCTION("CONCATENATE(GOOGLETRANSLATE(C3121, ""en"", ""ko""))"),"카루소 헤어푸드 60정")</f>
        <v>카루소 헤어푸드 60정</v>
      </c>
      <c r="F3121" s="1" t="str">
        <f>IFERROR(__xludf.DUMMYFUNCTION("CONCATENATE(GOOGLETRANSLATE(C3121, ""en"", ""ja""))"),"カルーソズ ヘアフード 60粒")</f>
        <v>カルーソズ ヘアフード 60粒</v>
      </c>
    </row>
    <row r="3122" ht="15.75" customHeight="1">
      <c r="A3122" s="1">
        <v>6031.0</v>
      </c>
      <c r="B3122" s="1" t="s">
        <v>15</v>
      </c>
      <c r="C3122" s="1" t="s">
        <v>2841</v>
      </c>
      <c r="D3122" s="1" t="str">
        <f>IFERROR(__xludf.DUMMYFUNCTION("CONCATENATE(GOOGLETRANSLATE(C3122, ""en"", ""zh-cn""))"),"Nioxin 专业防脱发精华")</f>
        <v>Nioxin 专业防脱发精华</v>
      </c>
      <c r="E3122" s="1" t="str">
        <f>IFERROR(__xludf.DUMMYFUNCTION("CONCATENATE(GOOGLETRANSLATE(C3122, ""en"", ""ko""))"),"니옥신 프로페셔널 헤어 폴 디펜스 세럼")</f>
        <v>니옥신 프로페셔널 헤어 폴 디펜스 세럼</v>
      </c>
      <c r="F3122" s="1" t="str">
        <f>IFERROR(__xludf.DUMMYFUNCTION("CONCATENATE(GOOGLETRANSLATE(C3122, ""en"", ""ja""))"),"Nioxin プロフェッショナル ヘアフォール ディフェンス セラム")</f>
        <v>Nioxin プロフェッショナル ヘアフォール ディフェンス セラム</v>
      </c>
    </row>
    <row r="3123" ht="15.75" customHeight="1">
      <c r="A3123" s="1">
        <v>6032.0</v>
      </c>
      <c r="B3123" s="1" t="s">
        <v>15</v>
      </c>
      <c r="C3123" s="1" t="s">
        <v>2842</v>
      </c>
      <c r="D3123" s="1" t="str">
        <f>IFERROR(__xludf.DUMMYFUNCTION("CONCATENATE(GOOGLETRANSLATE(C3123, ""en"", ""zh-cn""))"),"摩洛哥油保湿洗发水")</f>
        <v>摩洛哥油保湿洗发水</v>
      </c>
      <c r="E3123" s="1" t="str">
        <f>IFERROR(__xludf.DUMMYFUNCTION("CONCATENATE(GOOGLETRANSLATE(C3123, ""en"", ""ko""))"),"모로칸오일 하이드레이팅 샴푸")</f>
        <v>모로칸오일 하이드레이팅 샴푸</v>
      </c>
      <c r="F3123" s="1" t="str">
        <f>IFERROR(__xludf.DUMMYFUNCTION("CONCATENATE(GOOGLETRANSLATE(C3123, ""en"", ""ja""))"),"モロッカンオイル ハイドレーティング シャンプー")</f>
        <v>モロッカンオイル ハイドレーティング シャンプー</v>
      </c>
    </row>
    <row r="3124" ht="15.75" customHeight="1">
      <c r="A3124" s="1">
        <v>6050.0</v>
      </c>
      <c r="B3124" s="1" t="s">
        <v>15</v>
      </c>
      <c r="C3124" s="1" t="s">
        <v>1847</v>
      </c>
      <c r="D3124" s="1" t="str">
        <f>IFERROR(__xludf.DUMMYFUNCTION("CONCATENATE(GOOGLETRANSLATE(C3124, ""en"", ""zh-cn""))"),"Bukefuno GAN 12 Maglev 3x3 磁性魔方 GAN12Maglev Speed GAN 12Maglev 拼图魔方 GAN12 Maglev 3x3 魔方（磨砂表面无贴纸）")</f>
        <v>Bukefuno GAN 12 Maglev 3x3 磁性魔方 GAN12Maglev Speed GAN 12Maglev 拼图魔方 GAN12 Maglev 3x3 魔方（磨砂表面无贴纸）</v>
      </c>
      <c r="E3124" s="1" t="str">
        <f>IFERROR(__xludf.DUMMYFUNCTION("CONCATENATE(GOOGLETRANSLATE(C3124, ""en"", ""ko""))"),"Bukefuno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3124" s="1" t="str">
        <f>IFERROR(__xludf.DUMMYFUNCTION("CONCATENATE(GOOGLETRANSLATE(C3124, ""en"", ""ja""))"),"Bukefuno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3125" ht="15.75" customHeight="1">
      <c r="A3125" s="1">
        <v>6053.0</v>
      </c>
      <c r="B3125" s="1" t="s">
        <v>15</v>
      </c>
      <c r="C3125" s="1" t="s">
        <v>1824</v>
      </c>
      <c r="D3125" s="1" t="str">
        <f>IFERROR(__xludf.DUMMYFUNCTION("CONCATENATE(GOOGLETRANSLATE(C3125, ""en"", ""zh-cn""))"),"ALL4JIG 1500 件便携式带腿拼图桌，可调节拼图板，带 4 个抽屉和盖子，3 倾斜角度成人拼图桌")</f>
        <v>ALL4JIG 1500 件便携式带腿拼图桌，可调节拼图板，带 4 个抽屉和盖子，3 倾斜角度成人拼图桌</v>
      </c>
      <c r="E3125" s="1" t="str">
        <f>IFERROR(__xludf.DUMMYFUNCTION("CONCATENATE(GOOGLETRANSLATE(C3125, ""en"", ""ko""))"),"ALL4JIG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3125" s="1" t="str">
        <f>IFERROR(__xludf.DUMMYFUNCTION("CONCATENATE(GOOGLETRANSLATE(C3125, ""en"", ""ja""))"),"ALL4JIG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3126" ht="15.75" customHeight="1">
      <c r="A3126" s="1">
        <v>6061.0</v>
      </c>
      <c r="B3126" s="1" t="s">
        <v>15</v>
      </c>
      <c r="C3126" s="1" t="s">
        <v>1846</v>
      </c>
      <c r="D3126" s="1" t="str">
        <f>IFERROR(__xludf.DUMMYFUNCTION("CONCATENATE(GOOGLETRANSLATE(C3126, ""en"", ""zh-cn""))"),"带抽屉和盖垫的拼图板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3126" s="1" t="str">
        <f>IFERROR(__xludf.DUMMYFUNCTION("CONCATENATE(GOOGLETRANSLATE(C3126, ""en"", ""ko""))"),"서랍과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3126" s="1" t="str">
        <f>IFERROR(__xludf.DUMMYFUNCTION("CONCATENATE(GOOGLETRANSLATE(C3126, ""en"", ""ja""))"),"引き出しとカバー付きパズルボード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3127" ht="15.75" customHeight="1">
      <c r="A3127" s="1">
        <v>6077.0</v>
      </c>
      <c r="B3127" s="1" t="s">
        <v>15</v>
      </c>
      <c r="C3127" s="1" t="s">
        <v>2843</v>
      </c>
      <c r="D3127" s="1" t="str">
        <f>IFERROR(__xludf.DUMMYFUNCTION("CONCATENATE(GOOGLETRANSLATE(C3127, ""en"", ""zh-cn""))"),"60uP 家庭平衡板计划训练系统，适合老年人，恢复或保持平衡、力量、协调性和神经大脑连接")</f>
        <v>60uP 家庭平衡板计划训练系统，适合老年人，恢复或保持平衡、力量、协调性和神经大脑连接</v>
      </c>
      <c r="E3127" s="1" t="str">
        <f>IFERROR(__xludf.DUMMYFUNCTION("CONCATENATE(GOOGLETRANSLATE(C3127, ""en"", ""ko""))"),"노인을 위한 60uP 홈 밸런스 보드 프로그램 교육 시스템, 균형 회복 또는 유지, 힘, 정렬 및 신경 뇌 연결")</f>
        <v>노인을 위한 60uP 홈 밸런스 보드 프로그램 교육 시스템, 균형 회복 또는 유지, 힘, 정렬 및 신경 뇌 연결</v>
      </c>
      <c r="F3127" s="1" t="str">
        <f>IFERROR(__xludf.DUMMYFUNCTION("CONCATENATE(GOOGLETRANSLATE(C3127, ""en"", ""ja""))"),"60uP 高齢者向けホームバランスボードプログラムトレーニングシステム、バランス、筋力、調整、神経脳の接続を回復または維持")</f>
        <v>60uP 高齢者向けホームバランスボードプログラムトレーニングシステム、バランス、筋力、調整、神経脳の接続を回復または維持</v>
      </c>
    </row>
    <row r="3128" ht="15.75" customHeight="1">
      <c r="A3128" s="1">
        <v>6083.0</v>
      </c>
      <c r="B3128" s="1" t="s">
        <v>15</v>
      </c>
      <c r="C3128" s="1" t="s">
        <v>2376</v>
      </c>
      <c r="D3128" s="1" t="str">
        <f>IFERROR(__xludf.DUMMYFUNCTION("CONCATENATE(GOOGLETRANSLATE(C3128, ""en"", ""zh-cn""))"),"美国 Pride 家具瑜伽系列现代人造皮革弧形躺椅，适合伸展和放松，非常适合卧室、客厅、冥想室或办公室，常规，午夜黑")</f>
        <v>美国 Pride 家具瑜伽系列现代人造皮革弧形躺椅，适合伸展和放松，非常适合卧室、客厅、冥想室或办公室，常规，午夜黑</v>
      </c>
      <c r="E3128" s="1" t="str">
        <f>IFERROR(__xludf.DUMMYFUNCTION("CONCATENATE(GOOGLETRANSLATE(C3128, ""en"", ""ko""))"),"US Pride Furniture Yoga Collection 스트레칭과 휴식을 위한 현대적인 인조 가죽 곡선 라운지 의자, 침실, 거실, 명상실 또는 사무실에 이상적, 일반, 미드나잇 블랙")</f>
        <v>US Pride Furniture Yoga Collection 스트레칭과 휴식을 위한 현대적인 인조 가죽 곡선 라운지 의자, 침실, 거실, 명상실 또는 사무실에 이상적, 일반, 미드나잇 블랙</v>
      </c>
      <c r="F3128" s="1" t="str">
        <f>IFERROR(__xludf.DUMMYFUNCTION("CONCATENATE(GOOGLETRANSLATE(C3128, ""en"", ""ja""))"),"USプライドファニチャーヨガコレクション ストレッチとリラクゼーションのためのモダンなフェイクレザーの湾曲したラウンジ長椅子、寝室、リビング、瞑想室またはオフィスに最適、レギュラー、ミッドナイトブラック")</f>
        <v>USプライドファニチャーヨガコレクション ストレッチとリラクゼーションのためのモダンなフェイクレザーの湾曲したラウンジ長椅子、寝室、リビング、瞑想室またはオフィスに最適、レギュラー、ミッドナイトブラック</v>
      </c>
    </row>
    <row r="3129" ht="15.75" customHeight="1">
      <c r="A3129" s="1">
        <v>6085.0</v>
      </c>
      <c r="B3129" s="1" t="s">
        <v>15</v>
      </c>
      <c r="C3129" s="1" t="s">
        <v>2844</v>
      </c>
      <c r="D3129" s="1" t="str">
        <f>IFERROR(__xludf.DUMMYFUNCTION("CONCATENATE(GOOGLETRANSLATE(C3129, ""en"", ""zh-cn""))"),"JOROTO 室内自行车健身车带 35 磅飞轮和 10.2 英寸大型 Ipad 支架（链条驱动）")</f>
        <v>JOROTO 室内自行车健身车带 35 磅飞轮和 10.2 英寸大型 Ipad 支架（链条驱动）</v>
      </c>
      <c r="E3129" s="1" t="str">
        <f>IFERROR(__xludf.DUMMYFUNCTION("CONCATENATE(GOOGLETRANSLATE(C3129, ""en"", ""ko""))"),"JOROTO 실내 사이클링 자전거 운동용 자전거 35파운드 플라이휠 및 10.2인치 대형 Ipad 홀더(체인 드라이브) 포함")</f>
        <v>JOROTO 실내 사이클링 자전거 운동용 자전거 35파운드 플라이휠 및 10.2인치 대형 Ipad 홀더(체인 드라이브) 포함</v>
      </c>
      <c r="F3129" s="1" t="str">
        <f>IFERROR(__xludf.DUMMYFUNCTION("CONCATENATE(GOOGLETRANSLATE(C3129, ""en"", ""ja""))"),"JOROTO インドアサイクリングバイクエクササイズバイク、35ポンドのフライホイールと10.2インチの大型iPadホルダー（チェーンドライブ）付き")</f>
        <v>JOROTO インドアサイクリングバイクエクササイズバイク、35ポンドのフライホイールと10.2インチの大型iPadホルダー（チェーンドライブ）付き</v>
      </c>
    </row>
    <row r="3130" ht="15.75" customHeight="1">
      <c r="A3130" s="1">
        <v>6088.0</v>
      </c>
      <c r="B3130" s="1" t="s">
        <v>15</v>
      </c>
      <c r="C3130" s="1" t="s">
        <v>2845</v>
      </c>
      <c r="D3130" s="1" t="str">
        <f>IFERROR(__xludf.DUMMYFUNCTION("CONCATENATE(GOOGLETRANSLATE(C3130, ""en"", ""zh-cn""))"),"Igloo BMX 72 夸脱冷却器采用 Cool Riser 技术、鱼尺和系紧点")</f>
        <v>Igloo BMX 72 夸脱冷却器采用 Cool Riser 技术、鱼尺和系紧点</v>
      </c>
      <c r="E3130" s="1" t="str">
        <f>IFERROR(__xludf.DUMMYFUNCTION("CONCATENATE(GOOGLETRANSLATE(C3130, ""en"", ""ko""))"),"쿨 라이저 기술, 피시 눈금자 및 타이다운 포인트를 갖춘 이글루 BMX 72쿼트 쿨러")</f>
        <v>쿨 라이저 기술, 피시 눈금자 및 타이다운 포인트를 갖춘 이글루 BMX 72쿼트 쿨러</v>
      </c>
      <c r="F3130" s="1" t="str">
        <f>IFERROR(__xludf.DUMMYFUNCTION("CONCATENATE(GOOGLETRANSLATE(C3130, ""en"", ""ja""))"),"Igloo BMX 72 クォート クーラー、クール ライザー テクノロジー、フィッシュ ルーラー、タイダウン ポイント付き")</f>
        <v>Igloo BMX 72 クォート クーラー、クール ライザー テクノロジー、フィッシュ ルーラー、タイダウン ポイント付き</v>
      </c>
    </row>
    <row r="3131" ht="15.75" customHeight="1">
      <c r="A3131" s="1">
        <v>6112.0</v>
      </c>
      <c r="B3131" s="1" t="s">
        <v>15</v>
      </c>
      <c r="C3131" s="1" t="s">
        <v>1842</v>
      </c>
      <c r="D3131" s="1" t="str">
        <f>IFERROR(__xludf.DUMMYFUNCTION("CONCATENATE(GOOGLETRANSLATE(C3131, ""en"", ""zh-cn""))"),"波克芬诺 GAN Megaminx M 3x3 速度魔方 Gan 五角形磁性无贴纸魔法拼图魔方玩具")</f>
        <v>波克芬诺 GAN Megaminx M 3x3 速度魔方 Gan 五角形磁性无贴纸魔法拼图魔方玩具</v>
      </c>
      <c r="E3131" s="1" t="str">
        <f>IFERROR(__xludf.DUMMYFUNCTION("CONCATENATE(GOOGLETRANSLATE(C3131, ""en"", ""ko""))"),"Bokefenuo GAN Megaminx M 3x3 스피드 큐브 Gan 오각형 자기 스티커가없는 매직 퍼즐 큐브 장난감")</f>
        <v>Bokefenuo GAN Megaminx M 3x3 스피드 큐브 Gan 오각형 자기 스티커가없는 매직 퍼즐 큐브 장난감</v>
      </c>
      <c r="F3131" s="1" t="str">
        <f>IFERROR(__xludf.DUMMYFUNCTION("CONCATENATE(GOOGLETRANSLATE(C3131, ""en"", ""ja""))"),"Bokefenuo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3132" ht="15.75" customHeight="1">
      <c r="A3132" s="1">
        <v>6131.0</v>
      </c>
      <c r="B3132" s="1" t="s">
        <v>15</v>
      </c>
      <c r="C3132" s="1" t="s">
        <v>1912</v>
      </c>
      <c r="D3132" s="1" t="str">
        <f>IFERROR(__xludf.DUMMYFUNCTION("CONCATENATE(GOOGLETRANSLATE(C3132, ""en"", ""zh-cn""))"),"EF ECOFLOW 便携式发电站 RIVER 2，256Wh LiFePO4 电池/ 1 小时快速充电，2 个高达 600W 的交流电源插座，太阳能发电机（太阳能电池板可选）适合户外露营/房车/家用")</f>
        <v>EF ECOFLOW 便携式发电站 RIVER 2，256Wh LiFePO4 电池/ 1 小时快速充电，2 个高达 600W 的交流电源插座，太阳能发电机（太阳能电池板可选）适合户外露营/房车/家用</v>
      </c>
      <c r="E3132" s="1" t="str">
        <f>IFERROR(__xludf.DUMMYFUNCTION("CONCATENATE(GOOGLETRANSLATE(C3132, ""en"", ""ko""))"),"EF ECOFLOW 휴대용 발전소 RIVER 2, 256Wh LiFePO4 배터리/1시간 고속 충전, 최대 600W AC 콘센트 2개, 야외 캠핑/RV/가정용 태양광 발전기(태양광 패널 옵션)")</f>
        <v>EF ECOFLOW 휴대용 발전소 RIVER 2, 256Wh LiFePO4 배터리/1시간 고속 충전, 최대 600W AC 콘센트 2개, 야외 캠핑/RV/가정용 태양광 발전기(태양광 패널 옵션)</v>
      </c>
      <c r="F3132" s="1" t="str">
        <f>IFERROR(__xludf.DUMMYFUNCTION("CONCATENATE(GOOGLETRANSLATE(C3132, ""en"", ""ja""))"),"EF ECOFLOW ポータブルパワーステーション RIVER 2、256Wh LiFePO4 バッテリー/1 時間の急速充電、最大 600W AC コンセント 2 個、屋外キャンプ/RV/家庭用太陽光発電機 (ソーラーパネルはオプション)")</f>
        <v>EF ECOFLOW ポータブルパワーステーション RIVER 2、256Wh LiFePO4 バッテリー/1 時間の急速充電、最大 600W AC コンセント 2 個、屋外キャンプ/RV/家庭用太陽光発電機 (ソーラーパネルはオプション)</v>
      </c>
    </row>
    <row r="3133" ht="15.75" customHeight="1">
      <c r="A3133" s="1">
        <v>6138.0</v>
      </c>
      <c r="B3133" s="1" t="s">
        <v>15</v>
      </c>
      <c r="C3133" s="1" t="s">
        <v>2846</v>
      </c>
      <c r="D3133" s="1" t="str">
        <f>IFERROR(__xludf.DUMMYFUNCTION("CONCATENATE(GOOGLETRANSLATE(C3133, ""en"", ""zh-cn""))"),"Troy Lee 设计 A3 MIPS 头盔")</f>
        <v>Troy Lee 设计 A3 MIPS 头盔</v>
      </c>
      <c r="E3133" s="1" t="str">
        <f>IFERROR(__xludf.DUMMYFUNCTION("CONCATENATE(GOOGLETRANSLATE(C3133, ""en"", ""ko""))"),"Troy Lee, A3 MIPS 헬멧 디자인")</f>
        <v>Troy Lee, A3 MIPS 헬멧 디자인</v>
      </c>
      <c r="F3133" s="1" t="str">
        <f>IFERROR(__xludf.DUMMYFUNCTION("CONCATENATE(GOOGLETRANSLATE(C3133, ""en"", ""ja""))"),"Troy Lee デザイン A3 MIPS ヘルメット")</f>
        <v>Troy Lee デザイン A3 MIPS ヘルメット</v>
      </c>
    </row>
    <row r="3134" ht="15.75" customHeight="1">
      <c r="A3134" s="1">
        <v>6143.0</v>
      </c>
      <c r="B3134" s="1" t="s">
        <v>15</v>
      </c>
      <c r="C3134" s="1" t="s">
        <v>1844</v>
      </c>
      <c r="D3134" s="1" t="str">
        <f>IFERROR(__xludf.DUMMYFUNCTION("CONCATENATE(GOOGLETRANSLATE(C3134, ""en"", ""zh-cn""))"),"Giro Aries 球形成人公路自行车头盔")</f>
        <v>Giro Aries 球形成人公路自行车头盔</v>
      </c>
      <c r="E3134" s="1" t="str">
        <f>IFERROR(__xludf.DUMMYFUNCTION("CONCATENATE(GOOGLETRANSLATE(C3134, ""en"", ""ko""))"),"Giro Aries 구형 성인용 로드 자전거 헬멧")</f>
        <v>Giro Aries 구형 성인용 로드 자전거 헬멧</v>
      </c>
      <c r="F3134" s="1" t="str">
        <f>IFERROR(__xludf.DUMMYFUNCTION("CONCATENATE(GOOGLETRANSLATE(C3134, ""en"", ""ja""))"),"Giro Aries 球状大人用ロードバイク ヘルメット")</f>
        <v>Giro Aries 球状大人用ロードバイク ヘルメット</v>
      </c>
    </row>
    <row r="3135" ht="15.75" customHeight="1">
      <c r="A3135" s="1">
        <v>6149.0</v>
      </c>
      <c r="B3135" s="1" t="s">
        <v>15</v>
      </c>
      <c r="C3135" s="1" t="s">
        <v>1819</v>
      </c>
      <c r="D3135" s="1" t="str">
        <f>IFERROR(__xludf.DUMMYFUNCTION("CONCATENATE(GOOGLETRANSLATE(C3135, ""en"", ""zh-cn""))"),"罗林斯|专业人士首选棒球手套 |多种风格")</f>
        <v>罗林斯|专业人士首选棒球手套 |多种风格</v>
      </c>
      <c r="E3135" s="1" t="str">
        <f>IFERROR(__xludf.DUMMYFUNCTION("CONCATENATE(GOOGLETRANSLATE(C3135, ""en"", ""ko""))"),"롤링스 | 프로 선호 야구 글러브 | 다양한 스타일")</f>
        <v>롤링스 | 프로 선호 야구 글러브 | 다양한 스타일</v>
      </c>
      <c r="F3135" s="1" t="str">
        <f>IFERROR(__xludf.DUMMYFUNCTION("CONCATENATE(GOOGLETRANSLATE(C3135, ""en"", ""ja""))"),"ローリングス |プロ好みの野球グローブ |複数のスタイル")</f>
        <v>ローリングス |プロ好みの野球グローブ |複数のスタイル</v>
      </c>
    </row>
    <row r="3136" ht="15.75" customHeight="1">
      <c r="A3136" s="1">
        <v>6170.0</v>
      </c>
      <c r="B3136" s="1" t="s">
        <v>15</v>
      </c>
      <c r="C3136" s="1" t="s">
        <v>1850</v>
      </c>
      <c r="D3136" s="1" t="str">
        <f>IFERROR(__xludf.DUMMYFUNCTION("CONCATENATE(GOOGLETRANSLATE(C3136, ""en"", ""zh-cn""))"),"GAN 13 磁悬浮磨砂涂层，磁性速度魔方 3x3 无贴纸 56 毫米磁铁魔方拼图玩具，GAN 2022 旗舰")</f>
        <v>GAN 13 磁悬浮磨砂涂层，磁性速度魔方 3x3 无贴纸 56 毫米磁铁魔方拼图玩具，GAN 2022 旗舰</v>
      </c>
      <c r="E3136" s="1" t="str">
        <f>IFERROR(__xludf.DUMMYFUNCTION("CONCATENATE(GOOGLETRANSLATE(C3136, ""en"", ""ko""))"),"GAN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3136" s="1" t="str">
        <f>IFERROR(__xludf.DUMMYFUNCTION("CONCATENATE(GOOGLETRANSLATE(C3136, ""en"", ""ja""))"),"GAN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3137" ht="15.75" customHeight="1">
      <c r="A3137" s="1">
        <v>6173.0</v>
      </c>
      <c r="B3137" s="1" t="s">
        <v>15</v>
      </c>
      <c r="C3137" s="1" t="s">
        <v>1648</v>
      </c>
      <c r="D3137" s="1" t="str">
        <f>IFERROR(__xludf.DUMMYFUNCTION("CONCATENATE(GOOGLETRANSLATE(C3137, ""en"", ""zh-cn""))"),"CuberShop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3137" s="1" t="str">
        <f>IFERROR(__xludf.DUMMYFUNCTION("CONCATENATE(GOOGLETRANSLATE(C3137, ""en"", ""ko""))"),"CuberShop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3137" s="1" t="str">
        <f>IFERROR(__xludf.DUMMYFUNCTION("CONCATENATE(GOOGLETRANSLATE(C3137, ""en"", ""ja""))"),"CuberShop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3138" ht="15.75" customHeight="1">
      <c r="A3138" s="1">
        <v>6174.0</v>
      </c>
      <c r="B3138" s="1" t="s">
        <v>15</v>
      </c>
      <c r="C3138" s="1" t="s">
        <v>1851</v>
      </c>
      <c r="D3138" s="1" t="str">
        <f>IFERROR(__xludf.DUMMYFUNCTION("CONCATENATE(GOOGLETRANSLATE(C3138, ""en"", ""zh-cn""))"),"GAN Megaminx M，五角磁力测速魔方，无贴纸")</f>
        <v>GAN Megaminx M，五角磁力测速魔方，无贴纸</v>
      </c>
      <c r="E3138" s="1" t="str">
        <f>IFERROR(__xludf.DUMMYFUNCTION("CONCATENATE(GOOGLETRANSLATE(C3138, ""en"", ""ko""))"),"GAN Megaminx M, 오각형 자기 속도 큐브, 스티커 없음")</f>
        <v>GAN Megaminx M, 오각형 자기 속도 큐브, 스티커 없음</v>
      </c>
      <c r="F3138" s="1" t="str">
        <f>IFERROR(__xludf.DUMMYFUNCTION("CONCATENATE(GOOGLETRANSLATE(C3138, ""en"", ""ja""))"),"GAN メガミンクス M、五角形磁気スピードキューブ、ステッカーレス")</f>
        <v>GAN メガミンクス M、五角形磁気スピードキューブ、ステッカーレス</v>
      </c>
    </row>
    <row r="3139" ht="15.75" customHeight="1">
      <c r="A3139" s="1">
        <v>6184.0</v>
      </c>
      <c r="B3139" s="1" t="s">
        <v>15</v>
      </c>
      <c r="C3139" s="1" t="s">
        <v>1861</v>
      </c>
      <c r="D3139" s="1" t="str">
        <f>IFERROR(__xludf.DUMMYFUNCTION("CONCATENATE(GOOGLETRANSLATE(C3139, ""en"", ""zh-cn""))"),"博克芬诺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3139" s="1" t="str">
        <f>IFERROR(__xludf.DUMMYFUNCTION("CONCATENATE(GOOGLETRANSLATE(C3139, ""en"", ""ko""))"),"Bokefenuo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3139" s="1" t="str">
        <f>IFERROR(__xludf.DUMMYFUNCTION("CONCATENATE(GOOGLETRANSLATE(C3139, ""en"", ""ja""))"),"Bokefenuo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3140" ht="15.75" customHeight="1">
      <c r="A3140" s="1">
        <v>6186.0</v>
      </c>
      <c r="B3140" s="1" t="s">
        <v>15</v>
      </c>
      <c r="C3140" s="1" t="s">
        <v>1845</v>
      </c>
      <c r="D3140" s="1" t="str">
        <f>IFERROR(__xludf.DUMMYFUNCTION("CONCATENATE(GOOGLETRANSLATE(C3140, ""en"", ""zh-cn""))"),"LiangCuber GAN 13磁悬浮旗舰磁力3x3无贴纸GAN13 M速度魔方（磨砂版）")</f>
        <v>LiangCuber GAN 13磁悬浮旗舰磁力3x3无贴纸GAN13 M速度魔方（磨砂版）</v>
      </c>
      <c r="E3140" s="1" t="str">
        <f>IFERROR(__xludf.DUMMYFUNCTION("CONCATENATE(GOOGLETRANSLATE(C3140, ""en"", ""ko""))"),"LiangCuber GAN 13 자기 부상 플래그십 마그네틱 3x3 스티커 없는 GAN13 M 스피드 큐브(반투명 버전)")</f>
        <v>LiangCuber GAN 13 자기 부상 플래그십 마그네틱 3x3 스티커 없는 GAN13 M 스피드 큐브(반투명 버전)</v>
      </c>
      <c r="F3140" s="1" t="str">
        <f>IFERROR(__xludf.DUMMYFUNCTION("CONCATENATE(GOOGLETRANSLATE(C3140, ""en"", ""ja""))"),"LiangCuber GAN 13 マグレブ旗艦 磁気 3x3 ステッカーレス GAN13 M スピード キューブ (つや消しバージョン)")</f>
        <v>LiangCuber GAN 13 マグレブ旗艦 磁気 3x3 ステッカーレス GAN13 M スピード キューブ (つや消しバージョン)</v>
      </c>
    </row>
    <row r="3141" ht="15.75" customHeight="1">
      <c r="A3141" s="1">
        <v>6188.0</v>
      </c>
      <c r="B3141" s="1" t="s">
        <v>15</v>
      </c>
      <c r="C3141" s="1" t="s">
        <v>2847</v>
      </c>
      <c r="D3141" s="1" t="str">
        <f>IFERROR(__xludf.DUMMYFUNCTION("CONCATENATE(GOOGLETRANSLATE(C3141, ""en"", ""zh-cn""))"),"Sidi Dominator 10 山地鞋")</f>
        <v>Sidi Dominator 10 山地鞋</v>
      </c>
      <c r="E3141" s="1" t="str">
        <f>IFERROR(__xludf.DUMMYFUNCTION("CONCATENATE(GOOGLETRANSLATE(C3141, ""en"", ""ko""))"),"시디 도미네이터 10 MTB 신발")</f>
        <v>시디 도미네이터 10 MTB 신발</v>
      </c>
      <c r="F3141" s="1" t="str">
        <f>IFERROR(__xludf.DUMMYFUNCTION("CONCATENATE(GOOGLETRANSLATE(C3141, ""en"", ""ja""))"),"シディ ドミネーター 10 MTB シューズ")</f>
        <v>シディ ドミネーター 10 MTB シューズ</v>
      </c>
    </row>
    <row r="3142" ht="15.75" customHeight="1">
      <c r="A3142" s="1">
        <v>6191.0</v>
      </c>
      <c r="B3142" s="1" t="s">
        <v>15</v>
      </c>
      <c r="C3142" s="1" t="s">
        <v>2793</v>
      </c>
      <c r="D3142" s="1" t="str">
        <f>IFERROR(__xludf.DUMMYFUNCTION("CONCATENATE(GOOGLETRANSLATE(C3142, ""en"", ""zh-cn""))"),"环意计划，男鞋")</f>
        <v>环意计划，男鞋</v>
      </c>
      <c r="E3142" s="1" t="str">
        <f>IFERROR(__xludf.DUMMYFUNCTION("CONCATENATE(GOOGLETRANSLATE(C3142, ""en"", ""ko""))"),"Giro Scheme, 남성 신발")</f>
        <v>Giro Scheme, 남성 신발</v>
      </c>
      <c r="F3142" s="1" t="str">
        <f>IFERROR(__xludf.DUMMYFUNCTION("CONCATENATE(GOOGLETRANSLATE(C3142, ""en"", ""ja""))"),"ジロスキーム、メンズシューズ")</f>
        <v>ジロスキーム、メンズシューズ</v>
      </c>
    </row>
    <row r="3143" ht="15.75" customHeight="1">
      <c r="A3143" s="1">
        <v>6209.0</v>
      </c>
      <c r="B3143" s="1" t="s">
        <v>15</v>
      </c>
      <c r="C3143" s="1" t="s">
        <v>2374</v>
      </c>
      <c r="D3143" s="1" t="str">
        <f>IFERROR(__xludf.DUMMYFUNCTION("CONCATENATE(GOOGLETRANSLATE(C3143, ""en"", ""zh-cn""))"),"Cyclace 固定式健身车 - 承重能力 330 磅 - 室内骑行车，配有舒适座垫、平板电脑支架和液晶显示屏，适合家庭锻炼")</f>
        <v>Cyclace 固定式健身车 - 承重能力 330 磅 - 室内骑行车，配有舒适座垫、平板电脑支架和液晶显示屏，适合家庭锻炼</v>
      </c>
      <c r="E3143" s="1" t="str">
        <f>IFERROR(__xludf.DUMMYFUNCTION("CONCATENATE(GOOGLETRANSLATE(C3143, ""en"", ""ko""))"),"사이클레이스 운동용 자전거 고정식 - 330파운드 무게 용량 - 편안한 시트 쿠션, 태블릿 홀더 및 가정 운동용 LCD 모니터를 갖춘 실내 사이클링 자전거")</f>
        <v>사이클레이스 운동용 자전거 고정식 - 330파운드 무게 용량 - 편안한 시트 쿠션, 태블릿 홀더 및 가정 운동용 LCD 모니터를 갖춘 실내 사이클링 자전거</v>
      </c>
      <c r="F3143" s="1" t="str">
        <f>IFERROR(__xludf.DUMMYFUNCTION("CONCATENATE(GOOGLETRANSLATE(C3143, ""en"", ""ja""))"),"Cyclace エアロバイク ステーショナリー - 耐荷重 330 ポンド - 快適なシートクッション、タブレットホルダー、自宅トレーニング用 LCD モニター付き屋内サイクリングバイク")</f>
        <v>Cyclace エアロバイク ステーショナリー - 耐荷重 330 ポンド - 快適なシートクッション、タブレットホルダー、自宅トレーニング用 LCD モニター付き屋内サイクリングバイク</v>
      </c>
    </row>
    <row r="3144" ht="15.75" customHeight="1">
      <c r="A3144" s="1">
        <v>6217.0</v>
      </c>
      <c r="B3144" s="1" t="s">
        <v>15</v>
      </c>
      <c r="C3144" s="1" t="s">
        <v>1827</v>
      </c>
      <c r="D3144" s="1" t="str">
        <f>IFERROR(__xludf.DUMMYFUNCTION("CONCATENATE(GOOGLETRANSLATE(C3144, ""en"", ""zh-cn""))"),"宁神茶丸 甘麦大枣丸 (1000 茶丸)3383E-MAYWAY by Mayway")</f>
        <v>宁神茶丸 甘麦大枣丸 (1000 茶丸)3383E-MAYWAY by Mayway</v>
      </c>
      <c r="E3144" s="1" t="str">
        <f>IFERROR(__xludf.DUMMYFUNCTION("CONCATENATE(GOOGLETRANSLATE(C3144, ""en"", ""ko""))"),"Calm Spirit Teapills Gan Mai Da Zao Wan (1000 티필)3383E-MAYWAY by Mayway")</f>
        <v>Calm Spirit Teapills Gan Mai Da Zao Wan (1000 티필)3383E-MAYWAY by Mayway</v>
      </c>
      <c r="F3144" s="1" t="str">
        <f>IFERROR(__xludf.DUMMYFUNCTION("CONCATENATE(GOOGLETRANSLATE(C3144, ""en"", ""ja""))"),"Calm Spirit Teapills Gan Mai Da Zao Wan (1000 Teapills)3383E-MAYWAY by Mayway")</f>
        <v>Calm Spirit Teapills Gan Mai Da Zao Wan (1000 Teapills)3383E-MAYWAY by Mayway</v>
      </c>
    </row>
    <row r="3145" ht="15.75" customHeight="1">
      <c r="A3145" s="1">
        <v>6221.0</v>
      </c>
      <c r="B3145" s="1" t="s">
        <v>15</v>
      </c>
      <c r="C3145" s="1" t="s">
        <v>1861</v>
      </c>
      <c r="D3145" s="1" t="str">
        <f>IFERROR(__xludf.DUMMYFUNCTION("CONCATENATE(GOOGLETRANSLATE(C3145, ""en"", ""zh-cn""))"),"博克芬诺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3145" s="1" t="str">
        <f>IFERROR(__xludf.DUMMYFUNCTION("CONCATENATE(GOOGLETRANSLATE(C3145, ""en"", ""ko""))"),"Bokefenuo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3145" s="1" t="str">
        <f>IFERROR(__xludf.DUMMYFUNCTION("CONCATENATE(GOOGLETRANSLATE(C3145, ""en"", ""ja""))"),"Bokefenuo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3146" ht="15.75" customHeight="1">
      <c r="A3146" s="1">
        <v>6223.0</v>
      </c>
      <c r="B3146" s="1" t="s">
        <v>15</v>
      </c>
      <c r="C3146" s="1" t="s">
        <v>1845</v>
      </c>
      <c r="D3146" s="1" t="str">
        <f>IFERROR(__xludf.DUMMYFUNCTION("CONCATENATE(GOOGLETRANSLATE(C3146, ""en"", ""zh-cn""))"),"LiangCuber GAN 13磁悬浮旗舰磁力3x3无贴纸GAN13 M速度魔方（磨砂版）")</f>
        <v>LiangCuber GAN 13磁悬浮旗舰磁力3x3无贴纸GAN13 M速度魔方（磨砂版）</v>
      </c>
      <c r="E3146" s="1" t="str">
        <f>IFERROR(__xludf.DUMMYFUNCTION("CONCATENATE(GOOGLETRANSLATE(C3146, ""en"", ""ko""))"),"LiangCuber GAN 13 자기 부상 플래그십 마그네틱 3x3 스티커 없는 GAN13 M 스피드 큐브(반투명 버전)")</f>
        <v>LiangCuber GAN 13 자기 부상 플래그십 마그네틱 3x3 스티커 없는 GAN13 M 스피드 큐브(반투명 버전)</v>
      </c>
      <c r="F3146" s="1" t="str">
        <f>IFERROR(__xludf.DUMMYFUNCTION("CONCATENATE(GOOGLETRANSLATE(C3146, ""en"", ""ja""))"),"LiangCuber GAN 13 マグレブ旗艦 磁気 3x3 ステッカーレス GAN13 M スピード キューブ (つや消しバージョン)")</f>
        <v>LiangCuber GAN 13 マグレブ旗艦 磁気 3x3 ステッカーレス GAN13 M スピード キューブ (つや消しバージョン)</v>
      </c>
    </row>
    <row r="3147" ht="15.75" customHeight="1">
      <c r="A3147" s="1">
        <v>6225.0</v>
      </c>
      <c r="B3147" s="1" t="s">
        <v>15</v>
      </c>
      <c r="C3147" s="1" t="s">
        <v>1840</v>
      </c>
      <c r="D3147" s="1" t="str">
        <f>IFERROR(__xludf.DUMMYFUNCTION("CONCATENATE(GOOGLETRANSLATE(C3147, ""en"", ""zh-cn""))"),"Cuberspeed GAN 13 uv 涂层 MagLev 无贴纸 3x3 速度立方拼图 gan13 maglev uv 涂层旗舰拼图")</f>
        <v>Cuberspeed GAN 13 uv 涂层 MagLev 无贴纸 3x3 速度立方拼图 gan13 maglev uv 涂层旗舰拼图</v>
      </c>
      <c r="E3147" s="1" t="str">
        <f>IFERROR(__xludf.DUMMYFUNCTION("CONCATENATE(GOOGLETRANSLATE(C3147, ""en"", ""ko""))"),"Cuberspeed GAN 13 uv 코팅 MagLev 스티커가 없는 3x3 스피드 큐브 퍼즐 gan13 maglev uv 코팅 플래그십 퍼즐")</f>
        <v>Cuberspeed GAN 13 uv 코팅 MagLev 스티커가 없는 3x3 스피드 큐브 퍼즐 gan13 maglev uv 코팅 플래그십 퍼즐</v>
      </c>
      <c r="F3147" s="1" t="str">
        <f>IFERROR(__xludf.DUMMYFUNCTION("CONCATENATE(GOOGLETRANSLATE(C3147, ""en"", ""ja""))"),"Cuberspeed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3148" ht="15.75" customHeight="1">
      <c r="A3148" s="1">
        <v>6231.0</v>
      </c>
      <c r="B3148" s="1" t="s">
        <v>15</v>
      </c>
      <c r="C3148" s="1" t="s">
        <v>1850</v>
      </c>
      <c r="D3148" s="1" t="str">
        <f>IFERROR(__xludf.DUMMYFUNCTION("CONCATENATE(GOOGLETRANSLATE(C3148, ""en"", ""zh-cn""))"),"GAN 13 磁悬浮磨砂涂层，磁性速度魔方 3x3 无贴纸 56 毫米磁铁魔方拼图玩具，GAN 2022 旗舰")</f>
        <v>GAN 13 磁悬浮磨砂涂层，磁性速度魔方 3x3 无贴纸 56 毫米磁铁魔方拼图玩具，GAN 2022 旗舰</v>
      </c>
      <c r="E3148" s="1" t="str">
        <f>IFERROR(__xludf.DUMMYFUNCTION("CONCATENATE(GOOGLETRANSLATE(C3148, ""en"", ""ko""))"),"GAN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3148" s="1" t="str">
        <f>IFERROR(__xludf.DUMMYFUNCTION("CONCATENATE(GOOGLETRANSLATE(C3148, ""en"", ""ja""))"),"GAN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3149" ht="15.75" customHeight="1">
      <c r="A3149" s="1">
        <v>6236.0</v>
      </c>
      <c r="B3149" s="1" t="s">
        <v>15</v>
      </c>
      <c r="C3149" s="1" t="s">
        <v>1825</v>
      </c>
      <c r="D3149" s="1" t="str">
        <f>IFERROR(__xludf.DUMMYFUNCTION("CONCATENATE(GOOGLETRANSLATE(C3149, ""en"", ""zh-cn""))"),"1500 块木制拼图桌 - 6 个抽屉，拼图板 | 27” X 35” 便携式拼图板 - 便携式拼图桌 |适合成人和儿童")</f>
        <v>1500 块木制拼图桌 - 6 个抽屉，拼图板 | 27” X 35” 便携式拼图板 - 便携式拼图桌 |适合成人和儿童</v>
      </c>
      <c r="E3149" s="1" t="str">
        <f>IFERROR(__xludf.DUMMYFUNCTION("CONCATENATE(GOOGLETRANSLATE(C3149, ""en"", ""ko""))"),"1500피스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3149" s="1" t="str">
        <f>IFERROR(__xludf.DUMMYFUNCTION("CONCATENATE(GOOGLETRANSLATE(C3149, ""en"", ""ja""))"),"1500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3150" ht="15.75" customHeight="1">
      <c r="A3150" s="1">
        <v>6243.0</v>
      </c>
      <c r="B3150" s="1" t="s">
        <v>15</v>
      </c>
      <c r="C3150" s="1" t="s">
        <v>2319</v>
      </c>
      <c r="D3150" s="1" t="str">
        <f>IFERROR(__xludf.DUMMYFUNCTION("CONCATENATE(GOOGLETRANSLATE(C3150, ""en"", ""zh-cn""))"),"Giro 男士公路自行车鞋， 33 EU")</f>
        <v>Giro 男士公路自行车鞋， 33 EU</v>
      </c>
      <c r="E3150" s="1" t="str">
        <f>IFERROR(__xludf.DUMMYFUNCTION("CONCATENATE(GOOGLETRANSLATE(C3150, ""en"", ""ko""))"),"Giro 남성용 로드 자전거 신발, 33 EU")</f>
        <v>Giro 남성용 로드 자전거 신발, 33 EU</v>
      </c>
      <c r="F3150" s="1" t="str">
        <f>IFERROR(__xludf.DUMMYFUNCTION("CONCATENATE(GOOGLETRANSLATE(C3150, ""en"", ""ja""))"),"Giro メンズ ロードバイク シューズ、33 EU")</f>
        <v>Giro メンズ ロードバイク シューズ、33 EU</v>
      </c>
    </row>
    <row r="3151" ht="15.75" customHeight="1">
      <c r="A3151" s="1">
        <v>6246.0</v>
      </c>
      <c r="B3151" s="1" t="s">
        <v>15</v>
      </c>
      <c r="C3151" s="1" t="s">
        <v>2310</v>
      </c>
      <c r="D3151" s="1" t="str">
        <f>IFERROR(__xludf.DUMMYFUNCTION("CONCATENATE(GOOGLETRANSLATE(C3151, ""en"", ""zh-cn""))"),"Giro Helios 球形成人公路骑行头盔")</f>
        <v>Giro Helios 球形成人公路骑行头盔</v>
      </c>
      <c r="E3151" s="1" t="str">
        <f>IFERROR(__xludf.DUMMYFUNCTION("CONCATENATE(GOOGLETRANSLATE(C3151, ""en"", ""ko""))"),"Giro Helios 구형 성인용 도로 사이클링 헬멧")</f>
        <v>Giro Helios 구형 성인용 도로 사이클링 헬멧</v>
      </c>
      <c r="F3151" s="1" t="str">
        <f>IFERROR(__xludf.DUMMYFUNCTION("CONCATENATE(GOOGLETRANSLATE(C3151, ""en"", ""ja""))"),"Giro Helios 球状大人用ロードサイクリング ヘルメット")</f>
        <v>Giro Helios 球状大人用ロードサイクリング ヘルメット</v>
      </c>
    </row>
    <row r="3152" ht="15.75" customHeight="1">
      <c r="A3152" s="1">
        <v>6254.0</v>
      </c>
      <c r="B3152" s="1" t="s">
        <v>15</v>
      </c>
      <c r="C3152" s="1" t="s">
        <v>2848</v>
      </c>
      <c r="D3152" s="1" t="str">
        <f>IFERROR(__xludf.DUMMYFUNCTION("CONCATENATE(GOOGLETRANSLATE(C3152, ""en"", ""zh-cn""))"),"Giro Vanquish MIPS 成人公路骑行头盔")</f>
        <v>Giro Vanquish MIPS 成人公路骑行头盔</v>
      </c>
      <c r="E3152" s="1" t="str">
        <f>IFERROR(__xludf.DUMMYFUNCTION("CONCATENATE(GOOGLETRANSLATE(C3152, ""en"", ""ko""))"),"Giro Vanquish MIPS 성인용 로드 사이클링 헬멧")</f>
        <v>Giro Vanquish MIPS 성인용 로드 사이클링 헬멧</v>
      </c>
      <c r="F3152" s="1" t="str">
        <f>IFERROR(__xludf.DUMMYFUNCTION("CONCATENATE(GOOGLETRANSLATE(C3152, ""en"", ""ja""))"),"Giro Vanquish MIPS 大人用ロードサイクリング ヘルメット")</f>
        <v>Giro Vanquish MIPS 大人用ロードサイクリング ヘルメット</v>
      </c>
    </row>
    <row r="3153" ht="15.75" customHeight="1">
      <c r="A3153" s="1">
        <v>6262.0</v>
      </c>
      <c r="B3153" s="1" t="s">
        <v>15</v>
      </c>
      <c r="C3153" s="1" t="s">
        <v>2849</v>
      </c>
      <c r="D3153" s="1" t="str">
        <f>IFERROR(__xludf.DUMMYFUNCTION("CONCATENATE(GOOGLETRANSLATE(C3153, ""en"", ""zh-cn""))"),"Sidi 男士现代")</f>
        <v>Sidi 男士现代</v>
      </c>
      <c r="E3153" s="1" t="str">
        <f>IFERROR(__xludf.DUMMYFUNCTION("CONCATENATE(GOOGLETRANSLATE(C3153, ""en"", ""ko""))"),"시디 남성 모던")</f>
        <v>시디 남성 모던</v>
      </c>
      <c r="F3153" s="1" t="str">
        <f>IFERROR(__xludf.DUMMYFUNCTION("CONCATENATE(GOOGLETRANSLATE(C3153, ""en"", ""ja""))"),"シディ メンズ モダン")</f>
        <v>シディ メンズ モダン</v>
      </c>
    </row>
    <row r="3154" ht="15.75" customHeight="1">
      <c r="A3154" s="1">
        <v>6270.0</v>
      </c>
      <c r="B3154" s="1" t="s">
        <v>15</v>
      </c>
      <c r="C3154" s="1" t="s">
        <v>1826</v>
      </c>
      <c r="D3154" s="1" t="str">
        <f>IFERROR(__xludf.DUMMYFUNCTION("CONCATENATE(GOOGLETRANSLATE(C3154, ""en"", ""zh-cn""))"),"GAN 460 M 速度魔方， 4x4 磁性魔方 Gans 460M 拼图玩具（无贴纸）")</f>
        <v>GAN 460 M 速度魔方， 4x4 磁性魔方 Gans 460M 拼图玩具（无贴纸）</v>
      </c>
      <c r="E3154" s="1" t="str">
        <f>IFERROR(__xludf.DUMMYFUNCTION("CONCATENATE(GOOGLETRANSLATE(C3154, ""en"", ""ko""))"),"GAN 460 M 스피드 큐브, 4x4 마그네틱 마스터 큐브 Gans 460M 퍼즐 장난감(스티커 없음)")</f>
        <v>GAN 460 M 스피드 큐브, 4x4 마그네틱 마스터 큐브 Gans 460M 퍼즐 장난감(스티커 없음)</v>
      </c>
      <c r="F3154" s="1" t="str">
        <f>IFERROR(__xludf.DUMMYFUNCTION("CONCATENATE(GOOGLETRANSLATE(C3154, ""en"", ""ja""))"),"GAN 460 M スピード キューブ、4x4 磁気マスター キューブ Gans 460M パズルおもちゃ (ステッカーなし)")</f>
        <v>GAN 460 M スピード キューブ、4x4 磁気マスター キューブ Gans 460M パズルおもちゃ (ステッカーなし)</v>
      </c>
    </row>
    <row r="3155" ht="15.75" customHeight="1">
      <c r="A3155" s="1">
        <v>6274.0</v>
      </c>
      <c r="B3155" s="1" t="s">
        <v>15</v>
      </c>
      <c r="C3155" s="1" t="s">
        <v>1826</v>
      </c>
      <c r="D3155" s="1" t="str">
        <f>IFERROR(__xludf.DUMMYFUNCTION("CONCATENATE(GOOGLETRANSLATE(C3155, ""en"", ""zh-cn""))"),"GAN 460 M 速度魔方， 4x4 磁性魔方 Gans 460M 拼图玩具（无贴纸）")</f>
        <v>GAN 460 M 速度魔方， 4x4 磁性魔方 Gans 460M 拼图玩具（无贴纸）</v>
      </c>
      <c r="E3155" s="1" t="str">
        <f>IFERROR(__xludf.DUMMYFUNCTION("CONCATENATE(GOOGLETRANSLATE(C3155, ""en"", ""ko""))"),"GAN 460 M 스피드 큐브, 4x4 마그네틱 마스터 큐브 Gans 460M 퍼즐 장난감(스티커 없음)")</f>
        <v>GAN 460 M 스피드 큐브, 4x4 마그네틱 마스터 큐브 Gans 460M 퍼즐 장난감(스티커 없음)</v>
      </c>
      <c r="F3155" s="1" t="str">
        <f>IFERROR(__xludf.DUMMYFUNCTION("CONCATENATE(GOOGLETRANSLATE(C3155, ""en"", ""ja""))"),"GAN 460 M スピード キューブ、4x4 磁気マスター キューブ Gans 460M パズルおもちゃ (ステッカーなし)")</f>
        <v>GAN 460 M スピード キューブ、4x4 磁気マスター キューブ Gans 460M パズルおもちゃ (ステッカーなし)</v>
      </c>
    </row>
    <row r="3156" ht="15.75" customHeight="1">
      <c r="A3156" s="1">
        <v>6285.0</v>
      </c>
      <c r="B3156" s="1" t="s">
        <v>15</v>
      </c>
      <c r="C3156" s="1" t="s">
        <v>1648</v>
      </c>
      <c r="D3156" s="1" t="str">
        <f>IFERROR(__xludf.DUMMYFUNCTION("CONCATENATE(GOOGLETRANSLATE(C3156, ""en"", ""zh-cn""))"),"CuberShop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3156" s="1" t="str">
        <f>IFERROR(__xludf.DUMMYFUNCTION("CONCATENATE(GOOGLETRANSLATE(C3156, ""en"", ""ko""))"),"CuberShop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3156" s="1" t="str">
        <f>IFERROR(__xludf.DUMMYFUNCTION("CONCATENATE(GOOGLETRANSLATE(C3156, ""en"", ""ja""))"),"CuberShop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3157" ht="15.75" customHeight="1">
      <c r="A3157" s="1">
        <v>6298.0</v>
      </c>
      <c r="B3157" s="1" t="s">
        <v>15</v>
      </c>
      <c r="C3157" s="1" t="s">
        <v>2378</v>
      </c>
      <c r="D3157" s="1" t="str">
        <f>IFERROR(__xludf.DUMMYFUNCTION("CONCATENATE(GOOGLETRANSLATE(C3157, ""en"", ""zh-cn""))"),"EF ECOFLOW RIVER Pro 额外电池 720Wh，RIVER Pro 可扩展电源，适用于露营、家庭备用应急、户外、房车、离网")</f>
        <v>EF ECOFLOW RIVER Pro 额外电池 720Wh，RIVER Pro 可扩展电源，适用于露营、家庭备用应急、户外、房车、离网</v>
      </c>
      <c r="E3157" s="1" t="str">
        <f>IFERROR(__xludf.DUMMYFUNCTION("CONCATENATE(GOOGLETRANSLATE(C3157, ""en"", ""ko""))"),"EF ECOFLOW RIVER Pro 추가 배터리 720Wh, RIVER Pro용 확장 가능한 전력, 캠핑, 홈 백업 비상, 야외, RV, 오프 그리드용")</f>
        <v>EF ECOFLOW RIVER Pro 추가 배터리 720Wh, RIVER Pro용 확장 가능한 전력, 캠핑, 홈 백업 비상, 야외, RV, 오프 그리드용</v>
      </c>
      <c r="F3157" s="1" t="str">
        <f>IFERROR(__xludf.DUMMYFUNCTION("CONCATENATE(GOOGLETRANSLATE(C3157, ""en"", ""ja""))"),"EF ECOFLOW RIVER Pro 予備バッテリー 720Wh、RIVER Pro 用の拡張可能な電源、キャンプ、ホームバックアップ緊急時、アウトドア、RV、オフグリッド用")</f>
        <v>EF ECOFLOW RIVER Pro 予備バッテリー 720Wh、RIVER Pro 用の拡張可能な電源、キャンプ、ホームバックアップ緊急時、アウトドア、RV、オフグリッド用</v>
      </c>
    </row>
    <row r="3158" ht="15.75" customHeight="1">
      <c r="A3158" s="1">
        <v>6301.0</v>
      </c>
      <c r="B3158" s="1" t="s">
        <v>15</v>
      </c>
      <c r="C3158" s="1" t="s">
        <v>2014</v>
      </c>
      <c r="D3158" s="1" t="str">
        <f>IFERROR(__xludf.DUMMYFUNCTION("CONCATENATE(GOOGLETRANSLATE(C3158, ""en"", ""zh-cn""))"),"Atotfusion 棉质厚轻桌凳靠背坐垫瑜伽椅垫适用于室内/室外家庭办公室花园装饰棉质坐垫 3 座长凳坐垫，150 x 50 x 8 厘米（灰色）")</f>
        <v>Atotfusion 棉质厚轻桌凳靠背坐垫瑜伽椅垫适用于室内/室外家庭办公室花园装饰棉质坐垫 3 座长凳坐垫，150 x 50 x 8 厘米（灰色）</v>
      </c>
      <c r="E3158" s="1" t="str">
        <f>IFERROR(__xludf.DUMMYFUNCTION("CONCATENATE(GOOGLETRANSLATE(C3158, ""en"", ""ko""))"),"Atootfusion 면 두꺼운 경량 테이블 의자 뒷좌석 쿠션 요가 의자 패드 실내/실외 홈 오피스 정원 장식 면 쿠션 3인용 벤치 쿠션, 150 x 50 x 8 cm(회색)")</f>
        <v>Atootfusion 면 두꺼운 경량 테이블 의자 뒷좌석 쿠션 요가 의자 패드 실내/실외 홈 오피스 정원 장식 면 쿠션 3인용 벤치 쿠션, 150 x 50 x 8 cm(회색)</v>
      </c>
      <c r="F3158" s="1" t="str">
        <f>IFERROR(__xludf.DUMMYFUNCTION("CONCATENATE(GOOGLETRANSLATE(C3158, ""en"", ""ja""))"),"Atootfusion コットン 厚手 軽量 テーブル スツール バックシートクッション ヨガチェアパッド 屋内/屋外 ホームオフィス ガーデン装飾 コットンクッション 3人掛けベンチクッション 150 x 50 x 8 cm (グレー)")</f>
        <v>Atootfusion コットン 厚手 軽量 テーブル スツール バックシートクッション ヨガチェアパッド 屋内/屋外 ホームオフィス ガーデン装飾 コットンクッション 3人掛けベンチクッション 150 x 50 x 8 cm (グレー)</v>
      </c>
    </row>
    <row r="3159" ht="15.75" customHeight="1">
      <c r="A3159" s="1">
        <v>6307.0</v>
      </c>
      <c r="B3159" s="1" t="s">
        <v>15</v>
      </c>
      <c r="C3159" s="1" t="s">
        <v>1857</v>
      </c>
      <c r="D3159" s="1" t="str">
        <f>IFERROR(__xludf.DUMMYFUNCTION("CONCATENATE(GOOGLETRANSLATE(C3159, ""en"", ""zh-cn""))"),"Alexia 冥想座椅符合人体工程学，适合人体生理学禅宗瑜伽人体工学椅子泡沫垫家庭或办公室（浅灰色 - 纯素皮革）")</f>
        <v>Alexia 冥想座椅符合人体工程学，适合人体生理学禅宗瑜伽人体工学椅子泡沫垫家庭或办公室（浅灰色 - 纯素皮革）</v>
      </c>
      <c r="E3159" s="1" t="str">
        <f>IFERROR(__xludf.DUMMYFUNCTION("CONCATENATE(GOOGLETRANSLATE(C3159, ""en"", ""ko""))"),"Alexia 명상 시트 인체 생리학에 인체 공학적으로 올바른 Zen Yoga 인체 공학적 의자 폼 쿠션 가정 또는 사무실 (밝은 회색 - 비건 가죽)")</f>
        <v>Alexia 명상 시트 인체 생리학에 인체 공학적으로 올바른 Zen Yoga 인체 공학적 의자 폼 쿠션 가정 또는 사무실 (밝은 회색 - 비건 가죽)</v>
      </c>
      <c r="F3159" s="1" t="str">
        <f>IFERROR(__xludf.DUMMYFUNCTION("CONCATENATE(GOOGLETRANSLATE(C3159, ""en"", ""ja""))"),"Alexia 瞑想シート 人間の生理学的に正しい 禅ヨガ 人間工学に基づいた椅子 フォームクッション 自宅またはオフィス (ライトグレー - ビーガンレザー)")</f>
        <v>Alexia 瞑想シート 人間の生理学的に正しい 禅ヨガ 人間工学に基づいた椅子 フォームクッション 自宅またはオフィス (ライトグレー - ビーガンレザー)</v>
      </c>
    </row>
    <row r="3160" ht="15.75" customHeight="1">
      <c r="A3160" s="1">
        <v>6308.0</v>
      </c>
      <c r="B3160" s="1" t="s">
        <v>15</v>
      </c>
      <c r="C3160" s="1" t="s">
        <v>1905</v>
      </c>
      <c r="D3160" s="1" t="str">
        <f>IFERROR(__xludf.DUMMYFUNCTION("CONCATENATE(GOOGLETRANSLATE(C3160, ""en"", ""zh-cn""))"),"Lake MX241 耐力骑行鞋 - 男士")</f>
        <v>Lake MX241 耐力骑行鞋 - 男士</v>
      </c>
      <c r="E3160" s="1" t="str">
        <f>IFERROR(__xludf.DUMMYFUNCTION("CONCATENATE(GOOGLETRANSLATE(C3160, ""en"", ""ko""))"),"Lake MX241 인듀어런스 사이클링 슈즈 - 남성용")</f>
        <v>Lake MX241 인듀어런스 사이클링 슈즈 - 남성용</v>
      </c>
      <c r="F3160" s="1" t="str">
        <f>IFERROR(__xludf.DUMMYFUNCTION("CONCATENATE(GOOGLETRANSLATE(C3160, ""en"", ""ja""))"),"Lake MX241 エンデュランス サイクリング シューズ - メンズ")</f>
        <v>Lake MX241 エンデュランス サイクリング シューズ - メンズ</v>
      </c>
    </row>
    <row r="3161" ht="15.75" customHeight="1">
      <c r="A3161" s="1">
        <v>6312.0</v>
      </c>
      <c r="B3161" s="1" t="s">
        <v>15</v>
      </c>
      <c r="C3161" s="1" t="s">
        <v>1908</v>
      </c>
      <c r="D3161" s="1" t="str">
        <f>IFERROR(__xludf.DUMMYFUNCTION("CONCATENATE(GOOGLETRANSLATE(C3161, ""en"", ""zh-cn""))"),"Alexia D371-CU001 冥想座椅（纯素皮革，深灰色）")</f>
        <v>Alexia D371-CU001 冥想座椅（纯素皮革，深灰色）</v>
      </c>
      <c r="E3161" s="1" t="str">
        <f>IFERROR(__xludf.DUMMYFUNCTION("CONCATENATE(GOOGLETRANSLATE(C3161, ""en"", ""ko""))"),"알렉시아 D371-CU001 명상 시트 (비건 가죽, 다크 그레이)")</f>
        <v>알렉시아 D371-CU001 명상 시트 (비건 가죽, 다크 그레이)</v>
      </c>
      <c r="F3161" s="1" t="str">
        <f>IFERROR(__xludf.DUMMYFUNCTION("CONCATENATE(GOOGLETRANSLATE(C3161, ""en"", ""ja""))"),"Alexia D371-CU001 瞑想シート (ヴィーガンレザー、ダークグレー)")</f>
        <v>Alexia D371-CU001 瞑想シート (ヴィーガンレザー、ダークグレー)</v>
      </c>
    </row>
    <row r="3162" ht="15.75" customHeight="1">
      <c r="A3162" s="1">
        <v>6327.0</v>
      </c>
      <c r="B3162" s="1" t="s">
        <v>15</v>
      </c>
      <c r="C3162" s="1" t="s">
        <v>1903</v>
      </c>
      <c r="D3162" s="1" t="str">
        <f>IFERROR(__xludf.DUMMYFUNCTION("CONCATENATE(GOOGLETRANSLATE(C3162, ""en"", ""zh-cn""))"),"CuberShop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3162" s="1" t="str">
        <f>IFERROR(__xludf.DUMMYFUNCTION("CONCATENATE(GOOGLETRANSLATE(C3162, ""en"", ""ko""))"),"CuberShop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3162" s="1" t="str">
        <f>IFERROR(__xludf.DUMMYFUNCTION("CONCATENATE(GOOGLETRANSLATE(C3162, ""en"", ""ja""))"),"CuberShop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3163" ht="15.75" customHeight="1">
      <c r="A3163" s="1">
        <v>6331.0</v>
      </c>
      <c r="B3163" s="1" t="s">
        <v>15</v>
      </c>
      <c r="C3163" s="1" t="s">
        <v>1648</v>
      </c>
      <c r="D3163" s="1" t="str">
        <f>IFERROR(__xludf.DUMMYFUNCTION("CONCATENATE(GOOGLETRANSLATE(C3163, ""en"", ""zh-cn""))"),"CuberShop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3163" s="1" t="str">
        <f>IFERROR(__xludf.DUMMYFUNCTION("CONCATENATE(GOOGLETRANSLATE(C3163, ""en"", ""ko""))"),"CuberShop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3163" s="1" t="str">
        <f>IFERROR(__xludf.DUMMYFUNCTION("CONCATENATE(GOOGLETRANSLATE(C3163, ""en"", ""ja""))"),"CuberShop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3164" ht="15.75" customHeight="1">
      <c r="A3164" s="1">
        <v>6341.0</v>
      </c>
      <c r="B3164" s="1" t="s">
        <v>15</v>
      </c>
      <c r="C3164" s="1" t="s">
        <v>1825</v>
      </c>
      <c r="D3164" s="1" t="str">
        <f>IFERROR(__xludf.DUMMYFUNCTION("CONCATENATE(GOOGLETRANSLATE(C3164, ""en"", ""zh-cn""))"),"1500 块木制拼图桌 - 6 个抽屉，拼图板 | 27” X 35” 便携式拼图板 - 便携式拼图桌 |适合成人和儿童")</f>
        <v>1500 块木制拼图桌 - 6 个抽屉，拼图板 | 27” X 35” 便携式拼图板 - 便携式拼图桌 |适合成人和儿童</v>
      </c>
      <c r="E3164" s="1" t="str">
        <f>IFERROR(__xludf.DUMMYFUNCTION("CONCATENATE(GOOGLETRANSLATE(C3164, ""en"", ""ko""))"),"1500피스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3164" s="1" t="str">
        <f>IFERROR(__xludf.DUMMYFUNCTION("CONCATENATE(GOOGLETRANSLATE(C3164, ""en"", ""ja""))"),"1500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3165" ht="15.75" customHeight="1">
      <c r="A3165" s="1">
        <v>6348.0</v>
      </c>
      <c r="B3165" s="1" t="s">
        <v>15</v>
      </c>
      <c r="C3165" s="1" t="s">
        <v>1842</v>
      </c>
      <c r="D3165" s="1" t="str">
        <f>IFERROR(__xludf.DUMMYFUNCTION("CONCATENATE(GOOGLETRANSLATE(C3165, ""en"", ""zh-cn""))"),"波克芬诺 GAN Megaminx M 3x3 速度魔方 Gan 五角形磁性无贴纸魔法拼图魔方玩具")</f>
        <v>波克芬诺 GAN Megaminx M 3x3 速度魔方 Gan 五角形磁性无贴纸魔法拼图魔方玩具</v>
      </c>
      <c r="E3165" s="1" t="str">
        <f>IFERROR(__xludf.DUMMYFUNCTION("CONCATENATE(GOOGLETRANSLATE(C3165, ""en"", ""ko""))"),"Bokefenuo GAN Megaminx M 3x3 스피드 큐브 Gan 오각형 자기 스티커가없는 매직 퍼즐 큐브 장난감")</f>
        <v>Bokefenuo GAN Megaminx M 3x3 스피드 큐브 Gan 오각형 자기 스티커가없는 매직 퍼즐 큐브 장난감</v>
      </c>
      <c r="F3165" s="1" t="str">
        <f>IFERROR(__xludf.DUMMYFUNCTION("CONCATENATE(GOOGLETRANSLATE(C3165, ""en"", ""ja""))"),"Bokefenuo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3166" ht="15.75" customHeight="1">
      <c r="A3166" s="1">
        <v>6354.0</v>
      </c>
      <c r="B3166" s="1" t="s">
        <v>15</v>
      </c>
      <c r="C3166" s="1" t="s">
        <v>1850</v>
      </c>
      <c r="D3166" s="1" t="str">
        <f>IFERROR(__xludf.DUMMYFUNCTION("CONCATENATE(GOOGLETRANSLATE(C3166, ""en"", ""zh-cn""))"),"GAN 13 磁悬浮磨砂涂层，磁性速度魔方 3x3 无贴纸 56 毫米磁铁魔方拼图玩具，GAN 2022 旗舰")</f>
        <v>GAN 13 磁悬浮磨砂涂层，磁性速度魔方 3x3 无贴纸 56 毫米磁铁魔方拼图玩具，GAN 2022 旗舰</v>
      </c>
      <c r="E3166" s="1" t="str">
        <f>IFERROR(__xludf.DUMMYFUNCTION("CONCATENATE(GOOGLETRANSLATE(C3166, ""en"", ""ko""))"),"GAN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3166" s="1" t="str">
        <f>IFERROR(__xludf.DUMMYFUNCTION("CONCATENATE(GOOGLETRANSLATE(C3166, ""en"", ""ja""))"),"GAN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3167" ht="15.75" customHeight="1">
      <c r="A3167" s="1">
        <v>6364.0</v>
      </c>
      <c r="B3167" s="1" t="s">
        <v>15</v>
      </c>
      <c r="C3167" s="1" t="s">
        <v>1846</v>
      </c>
      <c r="D3167" s="1" t="str">
        <f>IFERROR(__xludf.DUMMYFUNCTION("CONCATENATE(GOOGLETRANSLATE(C3167, ""en"", ""zh-cn""))"),"带抽屉和盖垫的拼图板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3167" s="1" t="str">
        <f>IFERROR(__xludf.DUMMYFUNCTION("CONCATENATE(GOOGLETRANSLATE(C3167, ""en"", ""ko""))"),"서랍과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3167" s="1" t="str">
        <f>IFERROR(__xludf.DUMMYFUNCTION("CONCATENATE(GOOGLETRANSLATE(C3167, ""en"", ""ja""))"),"引き出しとカバー付きパズルボード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3168" ht="15.75" customHeight="1">
      <c r="A3168" s="1">
        <v>6368.0</v>
      </c>
      <c r="B3168" s="1" t="s">
        <v>15</v>
      </c>
      <c r="C3168" s="1" t="s">
        <v>1849</v>
      </c>
      <c r="D3168" s="1" t="str">
        <f>IFERROR(__xludf.DUMMYFUNCTION("CONCATENATE(GOOGLETRANSLATE(C3168, ""en"", ""zh-cn""))"),"GAN 460 M， Gan 4x4 磁性速度魔方， gan 460 m 4 x 4 儿童和成人无贴纸拼图玩具")</f>
        <v>GAN 460 M， Gan 4x4 磁性速度魔方， gan 460 m 4 x 4 儿童和成人无贴纸拼图玩具</v>
      </c>
      <c r="E3168" s="1" t="str">
        <f>IFERROR(__xludf.DUMMYFUNCTION("CONCATENATE(GOOGLETRANSLATE(C3168, ""en"", ""ko""))"),"GAN 460 M, Gan 4x4 자기 속도 큐브, gan 460 m 4 by 4 어린이와 성인을 위한 스티커 없는 퍼즐 장난감")</f>
        <v>GAN 460 M, Gan 4x4 자기 속도 큐브, gan 460 m 4 by 4 어린이와 성인을 위한 스티커 없는 퍼즐 장난감</v>
      </c>
      <c r="F3168" s="1" t="str">
        <f>IFERROR(__xludf.DUMMYFUNCTION("CONCATENATE(GOOGLETRANSLATE(C3168, ""en"", ""ja""))"),"GAN 460 M、Gan 4x4 磁気スピードキューブ、GAN 460 m 4 by 4 ステッカーレスパズルおもちゃ子供と大人向け")</f>
        <v>GAN 460 M、Gan 4x4 磁気スピードキューブ、GAN 460 m 4 by 4 ステッカーレスパズルおもちゃ子供と大人向け</v>
      </c>
    </row>
    <row r="3169" ht="15.75" customHeight="1">
      <c r="A3169" s="1">
        <v>6392.0</v>
      </c>
      <c r="B3169" s="1" t="s">
        <v>15</v>
      </c>
      <c r="C3169" s="1" t="s">
        <v>2850</v>
      </c>
      <c r="D3169" s="1" t="str">
        <f>IFERROR(__xludf.DUMMYFUNCTION("CONCATENATE(GOOGLETRANSLATE(C3169, ""en"", ""zh-cn""))"),"Dokotoo 女式衬衫 时尚长袖衬衫 V 领商务休闲上衣 2025 年春夏服装")</f>
        <v>Dokotoo 女式衬衫 时尚长袖衬衫 V 领商务休闲上衣 2025 年春夏服装</v>
      </c>
      <c r="E3169" s="1" t="str">
        <f>IFERROR(__xludf.DUMMYFUNCTION("CONCATENATE(GOOGLETRANSLATE(C3169, ""en"", ""ko""))"),"Dokotoo Womens 블라우스 패션 긴팔 셔츠 V 넥 비즈니스 캐주얼 탑 봄 여름 의상 2025")</f>
        <v>Dokotoo Womens 블라우스 패션 긴팔 셔츠 V 넥 비즈니스 캐주얼 탑 봄 여름 의상 2025</v>
      </c>
      <c r="F3169" s="1" t="str">
        <f>IFERROR(__xludf.DUMMYFUNCTION("CONCATENATE(GOOGLETRANSLATE(C3169, ""en"", ""ja""))"),"Dokotoo レディース ブラウス ファッション 長袖シャツ V ネック ビジネス カジュアル トップス 春夏 服装 2025")</f>
        <v>Dokotoo レディース ブラウス ファッション 長袖シャツ V ネック ビジネス カジュアル トップス 春夏 服装 2025</v>
      </c>
    </row>
    <row r="3170" ht="15.75" customHeight="1">
      <c r="A3170" s="1">
        <v>6397.0</v>
      </c>
      <c r="B3170" s="1" t="s">
        <v>15</v>
      </c>
      <c r="C3170" s="1" t="s">
        <v>2851</v>
      </c>
      <c r="D3170" s="1" t="str">
        <f>IFERROR(__xludf.DUMMYFUNCTION("CONCATENATE(GOOGLETRANSLATE(C3170, ""en"", ""zh-cn""))"),"Dokotoo 女式优雅领结深 V 领迷你连衣裙")</f>
        <v>Dokotoo 女式优雅领结深 V 领迷你连衣裙</v>
      </c>
      <c r="E3170" s="1" t="str">
        <f>IFERROR(__xludf.DUMMYFUNCTION("CONCATENATE(GOOGLETRANSLATE(C3170, ""en"", ""ko""))"),"Dokotoo 여성 우아한 보우 타이 딥 브이 넥 미니 드레스")</f>
        <v>Dokotoo 여성 우아한 보우 타이 딥 브이 넥 미니 드레스</v>
      </c>
      <c r="F3170" s="1" t="str">
        <f>IFERROR(__xludf.DUMMYFUNCTION("CONCATENATE(GOOGLETRANSLATE(C3170, ""en"", ""ja""))"),"Dokotoo レディース エレガント 蝶ネクタイ ディープ V ネック ミニドレス")</f>
        <v>Dokotoo レディース エレガント 蝶ネクタイ ディープ V ネック ミニドレス</v>
      </c>
    </row>
    <row r="3171" ht="15.75" customHeight="1">
      <c r="A3171" s="1">
        <v>6399.0</v>
      </c>
      <c r="B3171" s="1" t="s">
        <v>15</v>
      </c>
      <c r="C3171" s="1" t="s">
        <v>2852</v>
      </c>
      <c r="D3171" s="1" t="str">
        <f>IFERROR(__xludf.DUMMYFUNCTION("CONCATENATE(GOOGLETRANSLATE(C3171, ""en"", ""zh-cn""))"),"女式时尚圆领泡泡短袖毛衣上衣")</f>
        <v>女式时尚圆领泡泡短袖毛衣上衣</v>
      </c>
      <c r="E3171" s="1" t="str">
        <f>IFERROR(__xludf.DUMMYFUNCTION("CONCATENATE(GOOGLETRANSLATE(C3171, ""en"", ""ko""))"),"여성용 트렌디 크루넥 퍼프 반소매 스웨터 탑")</f>
        <v>여성용 트렌디 크루넥 퍼프 반소매 스웨터 탑</v>
      </c>
      <c r="F3171" s="1" t="str">
        <f>IFERROR(__xludf.DUMMYFUNCTION("CONCATENATE(GOOGLETRANSLATE(C3171, ""en"", ""ja""))"),"レディーストレンディなクルーネックパフ半袖セータートップ")</f>
        <v>レディーストレンディなクルーネックパフ半袖セータートップ</v>
      </c>
    </row>
    <row r="3172" ht="15.75" customHeight="1">
      <c r="A3172" s="1">
        <v>6403.0</v>
      </c>
      <c r="B3172" s="1" t="s">
        <v>15</v>
      </c>
      <c r="C3172" s="1" t="s">
        <v>2853</v>
      </c>
      <c r="D3172" s="1" t="str">
        <f>IFERROR(__xludf.DUMMYFUNCTION("CONCATENATE(GOOGLETRANSLATE(C3172, ""en"", ""zh-cn""))"),"Michael Kors 女式 Michael 单排扣外套")</f>
        <v>Michael Kors 女式 Michael 单排扣外套</v>
      </c>
      <c r="E3172" s="1" t="str">
        <f>IFERROR(__xludf.DUMMYFUNCTION("CONCATENATE(GOOGLETRANSLATE(C3172, ""en"", ""ko""))"),"Michael Kors 여성용 마이클 싱글 브레스티드 코트")</f>
        <v>Michael Kors 여성용 마이클 싱글 브레스티드 코트</v>
      </c>
      <c r="F3172" s="1" t="str">
        <f>IFERROR(__xludf.DUMMYFUNCTION("CONCATENATE(GOOGLETRANSLATE(C3172, ""en"", ""ja""))"),"Michael Kors レディース Michael シングルブレスト コート")</f>
        <v>Michael Kors レディース Michael シングルブレスト コート</v>
      </c>
    </row>
    <row r="3173" ht="15.75" customHeight="1">
      <c r="A3173" s="1">
        <v>6412.0</v>
      </c>
      <c r="B3173" s="1" t="s">
        <v>15</v>
      </c>
      <c r="C3173" s="1" t="s">
        <v>2854</v>
      </c>
      <c r="D3173" s="1" t="str">
        <f>IFERROR(__xludf.DUMMYFUNCTION("CONCATENATE(GOOGLETRANSLATE(C3173, ""en"", ""zh-cn""))"),"Fashion Nova 男士 Attucks 绗缝尼龙衬衫")</f>
        <v>Fashion Nova 男士 Attucks 绗缝尼龙衬衫</v>
      </c>
      <c r="E3173" s="1" t="str">
        <f>IFERROR(__xludf.DUMMYFUNCTION("CONCATENATE(GOOGLETRANSLATE(C3173, ""en"", ""ko""))"),"패션 Nova 남성 Attucks 퀼팅 나일론 셔츠")</f>
        <v>패션 Nova 남성 Attucks 퀼팅 나일론 셔츠</v>
      </c>
      <c r="F3173" s="1" t="str">
        <f>IFERROR(__xludf.DUMMYFUNCTION("CONCATENATE(GOOGLETRANSLATE(C3173, ""en"", ""ja""))"),"Fashion Nova メンズ Attucks キルティング ナイロン シャツ")</f>
        <v>Fashion Nova メンズ Attucks キルティング ナイロン シャツ</v>
      </c>
    </row>
    <row r="3174" ht="15.75" customHeight="1">
      <c r="A3174" s="1">
        <v>6435.0</v>
      </c>
      <c r="B3174" s="1" t="s">
        <v>15</v>
      </c>
      <c r="C3174" s="1" t="s">
        <v>2855</v>
      </c>
      <c r="D3174" s="1" t="str">
        <f>IFERROR(__xludf.DUMMYFUNCTION("CONCATENATE(GOOGLETRANSLATE(C3174, ""en"", ""zh-cn""))"),"Azaro Uomo 男式修身线条印花高性能纽扣衬衫")</f>
        <v>Azaro Uomo 男式修身线条印花高性能纽扣衬衫</v>
      </c>
      <c r="E3174" s="1" t="str">
        <f>IFERROR(__xludf.DUMMYFUNCTION("CONCATENATE(GOOGLETRANSLATE(C3174, ""en"", ""ko""))"),"Azaro Uomo 남성 슬림핏 라인 프린트 퍼포먼스 버튼업 셔츠")</f>
        <v>Azaro Uomo 남성 슬림핏 라인 프린트 퍼포먼스 버튼업 셔츠</v>
      </c>
      <c r="F3174" s="1" t="str">
        <f>IFERROR(__xludf.DUMMYFUNCTION("CONCATENATE(GOOGLETRANSLATE(C3174, ""en"", ""ja""))"),"Azaro Uomo メンズ スリムフィット ライン プリント パフォーマンス ボタンアップ シャツ")</f>
        <v>Azaro Uomo メンズ スリムフィット ライン プリント パフォーマンス ボタンアップ シャツ</v>
      </c>
    </row>
    <row r="3175" ht="15.75" customHeight="1">
      <c r="A3175" s="1">
        <v>6439.0</v>
      </c>
      <c r="B3175" s="1" t="s">
        <v>15</v>
      </c>
      <c r="C3175" s="1" t="s">
        <v>2856</v>
      </c>
      <c r="D3175" s="1" t="str">
        <f>IFERROR(__xludf.DUMMYFUNCTION("CONCATENATE(GOOGLETRANSLATE(C3175, ""en"", ""zh-cn""))"),"Banana Republic 男士奢华圆领上衣")</f>
        <v>Banana Republic 男士奢华圆领上衣</v>
      </c>
      <c r="E3175" s="1" t="str">
        <f>IFERROR(__xludf.DUMMYFUNCTION("CONCATENATE(GOOGLETRANSLATE(C3175, ""en"", ""ko""))"),"바나나 리퍼블릭 남성 럭셔리-터치 크루")</f>
        <v>바나나 리퍼블릭 남성 럭셔리-터치 크루</v>
      </c>
      <c r="F3175" s="1" t="str">
        <f>IFERROR(__xludf.DUMMYFUNCTION("CONCATENATE(GOOGLETRANSLATE(C3175, ""en"", ""ja""))"),"Banana Republic メンズ ラグジュアリー タッチ クルー")</f>
        <v>Banana Republic メンズ ラグジュアリー タッチ クルー</v>
      </c>
    </row>
    <row r="3176" ht="15.75" customHeight="1">
      <c r="A3176" s="1">
        <v>6440.0</v>
      </c>
      <c r="B3176" s="1" t="s">
        <v>15</v>
      </c>
      <c r="C3176" s="1" t="s">
        <v>2857</v>
      </c>
      <c r="D3176" s="1" t="str">
        <f>IFERROR(__xludf.DUMMYFUNCTION("CONCATENATE(GOOGLETRANSLATE(C3176, ""en"", ""zh-cn""))"),"Azaro Uomo 男式修身几何纽扣衬衫")</f>
        <v>Azaro Uomo 男式修身几何纽扣衬衫</v>
      </c>
      <c r="E3176" s="1" t="str">
        <f>IFERROR(__xludf.DUMMYFUNCTION("CONCATENATE(GOOGLETRANSLATE(C3176, ""en"", ""ko""))"),"Azaro Uomo 남성 슬림핏 기하학 버튼 다운 셔츠")</f>
        <v>Azaro Uomo 남성 슬림핏 기하학 버튼 다운 셔츠</v>
      </c>
      <c r="F3176" s="1" t="str">
        <f>IFERROR(__xludf.DUMMYFUNCTION("CONCATENATE(GOOGLETRANSLATE(C3176, ""en"", ""ja""))"),"Azaro Uomo メンズ スリムフィット ジオメトリック ボタンダウン シャツ")</f>
        <v>Azaro Uomo メンズ スリムフィット ジオメトリック ボタンダウン シャツ</v>
      </c>
    </row>
    <row r="3177" ht="15.75" customHeight="1">
      <c r="A3177" s="1">
        <v>6441.0</v>
      </c>
      <c r="B3177" s="1" t="s">
        <v>15</v>
      </c>
      <c r="C3177" s="1" t="s">
        <v>2858</v>
      </c>
      <c r="D3177" s="1" t="str">
        <f>IFERROR(__xludf.DUMMYFUNCTION("CONCATENATE(GOOGLETRANSLATE(C3177, ""en"", ""zh-cn""))"),"Legendary Whitetails 男士 Buck Camp 灯芯绒法兰绒衬衫")</f>
        <v>Legendary Whitetails 男士 Buck Camp 灯芯绒法兰绒衬衫</v>
      </c>
      <c r="E3177" s="1" t="str">
        <f>IFERROR(__xludf.DUMMYFUNCTION("CONCATENATE(GOOGLETRANSLATE(C3177, ""en"", ""ko""))"),"전설적인 Whitetails 남성 벅 캠프 코듀로이 플란넬 셔츠")</f>
        <v>전설적인 Whitetails 남성 벅 캠프 코듀로이 플란넬 셔츠</v>
      </c>
      <c r="F3177" s="1" t="str">
        <f>IFERROR(__xludf.DUMMYFUNCTION("CONCATENATE(GOOGLETRANSLATE(C3177, ""en"", ""ja""))"),"Legendary Whitetails メンズ バック キャンプ コーデュロイ フランネル シャツ")</f>
        <v>Legendary Whitetails メンズ バック キャンプ コーデュロイ フランネル シャツ</v>
      </c>
    </row>
    <row r="3178" ht="15.75" customHeight="1">
      <c r="A3178" s="1">
        <v>6464.0</v>
      </c>
      <c r="B3178" s="1" t="s">
        <v>15</v>
      </c>
      <c r="C3178" s="1" t="s">
        <v>2859</v>
      </c>
      <c r="D3178" s="1" t="str">
        <f>IFERROR(__xludf.DUMMYFUNCTION("CONCATENATE(GOOGLETRANSLATE(C3178, ""en"", ""zh-cn""))"),"红龙K686无线机械键盘")</f>
        <v>红龙K686无线机械键盘</v>
      </c>
      <c r="E3178" s="1" t="str">
        <f>IFERROR(__xludf.DUMMYFUNCTION("CONCATENATE(GOOGLETRANSLATE(C3178, ""en"", ""ko""))"),"Redragon K686 무선 기계식 키보드")</f>
        <v>Redragon K686 무선 기계식 키보드</v>
      </c>
      <c r="F3178" s="1" t="str">
        <f>IFERROR(__xludf.DUMMYFUNCTION("CONCATENATE(GOOGLETRANSLATE(C3178, ""en"", ""ja""))"),"Redragon K686 ワイヤレス メカニカル キーボード")</f>
        <v>Redragon K686 ワイヤレス メカニカル キーボード</v>
      </c>
    </row>
    <row r="3179" ht="15.75" customHeight="1">
      <c r="A3179" s="1">
        <v>6466.0</v>
      </c>
      <c r="B3179" s="1" t="s">
        <v>15</v>
      </c>
      <c r="C3179" s="1" t="s">
        <v>2860</v>
      </c>
      <c r="D3179" s="1" t="str">
        <f>IFERROR(__xludf.DUMMYFUNCTION("CONCATENATE(GOOGLETRANSLATE(C3179, ""en"", ""zh-cn""))"),"Corsair 2500D Airflow 中塔式双室 PC 机箱")</f>
        <v>Corsair 2500D Airflow 中塔式双室 PC 机箱</v>
      </c>
      <c r="E3179" s="1" t="str">
        <f>IFERROR(__xludf.DUMMYFUNCTION("CONCATENATE(GOOGLETRANSLATE(C3179, ""en"", ""ko""))"),"Corsair 2500D Airflow 미드 타워 듀얼 챔버 PC 케이스")</f>
        <v>Corsair 2500D Airflow 미드 타워 듀얼 챔버 PC 케이스</v>
      </c>
      <c r="F3179" s="1" t="str">
        <f>IFERROR(__xludf.DUMMYFUNCTION("CONCATENATE(GOOGLETRANSLATE(C3179, ""en"", ""ja""))"),"Corsair 2500D エアフロー ミッドタワー デュアル チャンバー PC ケース")</f>
        <v>Corsair 2500D エアフロー ミッドタワー デュアル チャンバー PC ケース</v>
      </c>
    </row>
    <row r="3180" ht="15.75" customHeight="1">
      <c r="A3180" s="1">
        <v>6467.0</v>
      </c>
      <c r="B3180" s="1" t="s">
        <v>15</v>
      </c>
      <c r="C3180" s="1" t="s">
        <v>2861</v>
      </c>
      <c r="D3180" s="1" t="str">
        <f>IFERROR(__xludf.DUMMYFUNCTION("CONCATENATE(GOOGLETRANSLATE(C3180, ""en"", ""zh-cn""))"),"罗技 M325S 无线鼠标")</f>
        <v>罗技 M325S 无线鼠标</v>
      </c>
      <c r="E3180" s="1" t="str">
        <f>IFERROR(__xludf.DUMMYFUNCTION("CONCATENATE(GOOGLETRANSLATE(C3180, ""en"", ""ko""))"),"로지텍 M325S 무선 마우스")</f>
        <v>로지텍 M325S 무선 마우스</v>
      </c>
      <c r="F3180" s="1" t="str">
        <f>IFERROR(__xludf.DUMMYFUNCTION("CONCATENATE(GOOGLETRANSLATE(C3180, ""en"", ""ja""))"),"ロジクール M325S ワイヤレス マウス")</f>
        <v>ロジクール M325S ワイヤレス マウス</v>
      </c>
    </row>
    <row r="3181" ht="15.75" customHeight="1">
      <c r="A3181" s="1">
        <v>6469.0</v>
      </c>
      <c r="B3181" s="1" t="s">
        <v>15</v>
      </c>
      <c r="C3181" s="1" t="s">
        <v>2862</v>
      </c>
      <c r="D3181" s="1" t="str">
        <f>IFERROR(__xludf.DUMMYFUNCTION("CONCATENATE(GOOGLETRANSLATE(C3181, ""en"", ""zh-cn""))"),"FSP ATX 中塔式 PC 电脑游戏机箱")</f>
        <v>FSP ATX 中塔式 PC 电脑游戏机箱</v>
      </c>
      <c r="E3181" s="1" t="str">
        <f>IFERROR(__xludf.DUMMYFUNCTION("CONCATENATE(GOOGLETRANSLATE(C3181, ""en"", ""ko""))"),"FSP ATX 미드 타워 PC 컴퓨터 게임 케이스")</f>
        <v>FSP ATX 미드 타워 PC 컴퓨터 게임 케이스</v>
      </c>
      <c r="F3181" s="1" t="str">
        <f>IFERROR(__xludf.DUMMYFUNCTION("CONCATENATE(GOOGLETRANSLATE(C3181, ""en"", ""ja""))"),"FSP ATX ミッドタワー PC コンピュータ ゲーム ケース")</f>
        <v>FSP ATX ミッドタワー PC コンピュータ ゲーム ケース</v>
      </c>
    </row>
    <row r="3182" ht="15.75" customHeight="1">
      <c r="A3182" s="1">
        <v>6477.0</v>
      </c>
      <c r="B3182" s="1" t="s">
        <v>15</v>
      </c>
      <c r="C3182" s="1" t="s">
        <v>2863</v>
      </c>
      <c r="D3182" s="1" t="str">
        <f>IFERROR(__xludf.DUMMYFUNCTION("CONCATENATE(GOOGLETRANSLATE(C3182, ""en"", ""zh-cn""))"),"Corsair iCUE 5000D RGB 中塔式机箱")</f>
        <v>Corsair iCUE 5000D RGB 中塔式机箱</v>
      </c>
      <c r="E3182" s="1" t="str">
        <f>IFERROR(__xludf.DUMMYFUNCTION("CONCATENATE(GOOGLETRANSLATE(C3182, ""en"", ""ko""))"),"Corsair iCUE 5000D RGB 미드 타워 케이스")</f>
        <v>Corsair iCUE 5000D RGB 미드 타워 케이스</v>
      </c>
      <c r="F3182" s="1" t="str">
        <f>IFERROR(__xludf.DUMMYFUNCTION("CONCATENATE(GOOGLETRANSLATE(C3182, ""en"", ""ja""))"),"Corsair iCUE 5000D RGB ミッドタワー ケース")</f>
        <v>Corsair iCUE 5000D RGB ミッドタワー ケース</v>
      </c>
    </row>
    <row r="3183" ht="15.75" customHeight="1">
      <c r="A3183" s="1">
        <v>6482.0</v>
      </c>
      <c r="B3183" s="1" t="s">
        <v>15</v>
      </c>
      <c r="C3183" s="1" t="s">
        <v>2864</v>
      </c>
      <c r="D3183" s="1" t="str">
        <f>IFERROR(__xludf.DUMMYFUNCTION("CONCATENATE(GOOGLETRANSLATE(C3183, ""en"", ""zh-cn""))"),"罗技 MK955 标志性超薄无线键盘和鼠标组合")</f>
        <v>罗技 MK955 标志性超薄无线键盘和鼠标组合</v>
      </c>
      <c r="E3183" s="1" t="str">
        <f>IFERROR(__xludf.DUMMYFUNCTION("CONCATENATE(GOOGLETRANSLATE(C3183, ""en"", ""ko""))"),"로지텍 MK955 시그니처 슬림 무선 키보드 및 마우스 콤보")</f>
        <v>로지텍 MK955 시그니처 슬림 무선 키보드 및 마우스 콤보</v>
      </c>
      <c r="F3183" s="1" t="str">
        <f>IFERROR(__xludf.DUMMYFUNCTION("CONCATENATE(GOOGLETRANSLATE(C3183, ""en"", ""ja""))"),"ロジクール MK955 シグネチャー スリム ワイヤレス キーボードとマウスのコンボ")</f>
        <v>ロジクール MK955 シグネチャー スリム ワイヤレス キーボードとマウスのコンボ</v>
      </c>
    </row>
    <row r="3184" ht="15.75" customHeight="1">
      <c r="A3184" s="1">
        <v>6483.0</v>
      </c>
      <c r="B3184" s="1" t="s">
        <v>15</v>
      </c>
      <c r="C3184" s="1" t="s">
        <v>2865</v>
      </c>
      <c r="D3184" s="1" t="str">
        <f>IFERROR(__xludf.DUMMYFUNCTION("CONCATENATE(GOOGLETRANSLATE(C3184, ""en"", ""zh-cn""))"),"华硕 ExpertCenter D5 塔式电脑")</f>
        <v>华硕 ExpertCenter D5 塔式电脑</v>
      </c>
      <c r="E3184" s="1" t="str">
        <f>IFERROR(__xludf.DUMMYFUNCTION("CONCATENATE(GOOGLETRANSLATE(C3184, ""en"", ""ko""))"),"Asus ExpertCenter D5 타워 컴퓨터")</f>
        <v>Asus ExpertCenter D5 타워 컴퓨터</v>
      </c>
      <c r="F3184" s="1" t="str">
        <f>IFERROR(__xludf.DUMMYFUNCTION("CONCATENATE(GOOGLETRANSLATE(C3184, ""en"", ""ja""))"),"ASUS ExpertCenter D5 タワーコンピューター")</f>
        <v>ASUS ExpertCenter D5 タワーコンピューター</v>
      </c>
    </row>
    <row r="3185" ht="15.75" customHeight="1">
      <c r="A3185" s="1">
        <v>6485.0</v>
      </c>
      <c r="B3185" s="1" t="s">
        <v>15</v>
      </c>
      <c r="C3185" s="1" t="s">
        <v>2866</v>
      </c>
      <c r="D3185" s="1" t="str">
        <f>IFERROR(__xludf.DUMMYFUNCTION("CONCATENATE(GOOGLETRANSLATE(C3185, ""en"", ""zh-cn""))"),"华硕 NUC 14 Pro+ 台式电脑")</f>
        <v>华硕 NUC 14 Pro+ 台式电脑</v>
      </c>
      <c r="E3185" s="1" t="str">
        <f>IFERROR(__xludf.DUMMYFUNCTION("CONCATENATE(GOOGLETRANSLATE(C3185, ""en"", ""ko""))"),"ASUS NUC 14 Pro+ 데스크탑 컴퓨터")</f>
        <v>ASUS NUC 14 Pro+ 데스크탑 컴퓨터</v>
      </c>
      <c r="F3185" s="1" t="str">
        <f>IFERROR(__xludf.DUMMYFUNCTION("CONCATENATE(GOOGLETRANSLATE(C3185, ""en"", ""ja""))"),"ASUS NUC 14 Pro+ デスクトップ コンピューター")</f>
        <v>ASUS NUC 14 Pro+ デスクトップ コンピューター</v>
      </c>
    </row>
    <row r="3186" ht="15.75" customHeight="1">
      <c r="A3186" s="1">
        <v>6486.0</v>
      </c>
      <c r="B3186" s="1" t="s">
        <v>15</v>
      </c>
      <c r="C3186" s="1" t="s">
        <v>2867</v>
      </c>
      <c r="D3186" s="1" t="str">
        <f>IFERROR(__xludf.DUMMYFUNCTION("CONCATENATE(GOOGLETRANSLATE(C3186, ""en"", ""zh-cn""))"),"罗技 M185 无线鼠标")</f>
        <v>罗技 M185 无线鼠标</v>
      </c>
      <c r="E3186" s="1" t="str">
        <f>IFERROR(__xludf.DUMMYFUNCTION("CONCATENATE(GOOGLETRANSLATE(C3186, ""en"", ""ko""))"),"로지텍 M185 무선 마우스")</f>
        <v>로지텍 M185 무선 마우스</v>
      </c>
      <c r="F3186" s="1" t="str">
        <f>IFERROR(__xludf.DUMMYFUNCTION("CONCATENATE(GOOGLETRANSLATE(C3186, ""en"", ""ja""))"),"ロジクール M185 ワイヤレス マウス")</f>
        <v>ロジクール M185 ワイヤレス マウス</v>
      </c>
    </row>
    <row r="3187" ht="15.75" customHeight="1">
      <c r="A3187" s="1">
        <v>6488.0</v>
      </c>
      <c r="B3187" s="1" t="s">
        <v>15</v>
      </c>
      <c r="C3187" s="1" t="s">
        <v>2868</v>
      </c>
      <c r="D3187" s="1" t="str">
        <f>IFERROR(__xludf.DUMMYFUNCTION("CONCATENATE(GOOGLETRANSLATE(C3187, ""en"", ""zh-cn""))"),"Silverstone Technology GD07B 家庭影院电脑机箱带锁铝制F")</f>
        <v>Silverstone Technology GD07B 家庭影院电脑机箱带锁铝制F</v>
      </c>
      <c r="E3187" s="1" t="str">
        <f>IFERROR(__xludf.DUMMYFUNCTION("CONCATENATE(GOOGLETRANSLATE(C3187, ""en"", ""ko""))"),"Silverstone Technology GD07B 홈 시어터 컴퓨터 케이스(잠금 가능 알루미늄 F 포함)")</f>
        <v>Silverstone Technology GD07B 홈 시어터 컴퓨터 케이스(잠금 가능 알루미늄 F 포함)</v>
      </c>
      <c r="F3187" s="1" t="str">
        <f>IFERROR(__xludf.DUMMYFUNCTION("CONCATENATE(GOOGLETRANSLATE(C3187, ""en"", ""ja""))"),"Silverstone Technology GD07B ホームシアター コンピュータ ケース ロック可能なアルミニウム F 付き")</f>
        <v>Silverstone Technology GD07B ホームシアター コンピュータ ケース ロック可能なアルミニウム F 付き</v>
      </c>
    </row>
    <row r="3188" ht="15.75" customHeight="1">
      <c r="A3188" s="1">
        <v>6494.0</v>
      </c>
      <c r="B3188" s="1" t="s">
        <v>15</v>
      </c>
      <c r="C3188" s="1" t="s">
        <v>2869</v>
      </c>
      <c r="D3188" s="1" t="str">
        <f>IFERROR(__xludf.DUMMYFUNCTION("CONCATENATE(GOOGLETRANSLATE(C3188, ""en"", ""zh-cn""))"),"Susuchens 无线鼠标即插即用长待机时间符合人体工程学 6 按钮灵敏电脑配件无线 2.4GHz 无线光学鼠标")</f>
        <v>Susuchens 无线鼠标即插即用长待机时间符合人体工程学 6 按钮灵敏电脑配件无线 2.4GHz 无线光学鼠标</v>
      </c>
      <c r="E3188" s="1" t="str">
        <f>IFERROR(__xludf.DUMMYFUNCTION("CONCATENATE(GOOGLETRANSLATE(C3188, ""en"", ""ko""))"),"Susuchens 무선 마우스 플러그 앤 플레이 긴 대기 시간 인체 공학적 6 버튼 민감한 컴퓨터 액세서리 무선 2.4GHz 무선 광 마우스")</f>
        <v>Susuchens 무선 마우스 플러그 앤 플레이 긴 대기 시간 인체 공학적 6 버튼 민감한 컴퓨터 액세서리 무선 2.4GHz 무선 광 마우스</v>
      </c>
      <c r="F3188" s="1" t="str">
        <f>IFERROR(__xludf.DUMMYFUNCTION("CONCATENATE(GOOGLETRANSLATE(C3188, ""en"", ""ja""))"),"Susuchens ワイヤレスマウス プラグアンドプレイ 長いスタンバイ時間 人間工学に基づいた 6 ボタン高感度コンピュータアクセサリー ワイヤレス 2.4GHz ワイヤレス光学式マウス")</f>
        <v>Susuchens ワイヤレスマウス プラグアンドプレイ 長いスタンバイ時間 人間工学に基づいた 6 ボタン高感度コンピュータアクセサリー ワイヤレス 2.4GHz ワイヤレス光学式マウス</v>
      </c>
    </row>
    <row r="3189" ht="15.75" customHeight="1">
      <c r="A3189" s="1">
        <v>6504.0</v>
      </c>
      <c r="B3189" s="1" t="s">
        <v>15</v>
      </c>
      <c r="C3189" s="1" t="s">
        <v>2870</v>
      </c>
      <c r="D3189" s="1" t="str">
        <f>IFERROR(__xludf.DUMMYFUNCTION("CONCATENATE(GOOGLETRANSLATE(C3189, ""en"", ""zh-cn""))"),"Okinos 正品胡桃木 PC 机箱预装 4 x 120mm ARGB 和 PWM 风扇")</f>
        <v>Okinos 正品胡桃木 PC 机箱预装 4 x 120mm ARGB 和 PWM 风扇</v>
      </c>
      <c r="E3189" s="1" t="str">
        <f>IFERROR(__xludf.DUMMYFUNCTION("CONCATENATE(GOOGLETRANSLATE(C3189, ""en"", ""ko""))"),"Okinos 정품 호두나무 PC 케이스 사전 설치된 4 x 120mm ARGB 및 PWM 팬")</f>
        <v>Okinos 정품 호두나무 PC 케이스 사전 설치된 4 x 120mm ARGB 및 PWM 팬</v>
      </c>
      <c r="F3189" s="1" t="str">
        <f>IFERROR(__xludf.DUMMYFUNCTION("CONCATENATE(GOOGLETRANSLATE(C3189, ""en"", ""ja""))"),"okinos 純正ウォールナット材 PC ケース 4 x 120mm ARGB &amp; PWM ファン搭載")</f>
        <v>okinos 純正ウォールナット材 PC ケース 4 x 120mm ARGB &amp; PWM ファン搭載</v>
      </c>
    </row>
    <row r="3190" ht="15.75" customHeight="1">
      <c r="A3190" s="1">
        <v>6509.0</v>
      </c>
      <c r="B3190" s="1" t="s">
        <v>15</v>
      </c>
      <c r="C3190" s="1" t="s">
        <v>2871</v>
      </c>
      <c r="D3190" s="1" t="str">
        <f>IFERROR(__xludf.DUMMYFUNCTION("CONCATENATE(GOOGLETRANSLATE(C3190, ""en"", ""zh-cn""))"),"华硕 SimPro Dock 2 扩展坞")</f>
        <v>华硕 SimPro Dock 2 扩展坞</v>
      </c>
      <c r="E3190" s="1" t="str">
        <f>IFERROR(__xludf.DUMMYFUNCTION("CONCATENATE(GOOGLETRANSLATE(C3190, ""en"", ""ko""))"),"Asus SimPro Dock 2 도킹 스테이션")</f>
        <v>Asus SimPro Dock 2 도킹 스테이션</v>
      </c>
      <c r="F3190" s="1" t="str">
        <f>IFERROR(__xludf.DUMMYFUNCTION("CONCATENATE(GOOGLETRANSLATE(C3190, ""en"", ""ja""))"),"Asus SimPro ドック 2 ドッキング ステーション")</f>
        <v>Asus SimPro ドック 2 ドッキング ステーション</v>
      </c>
    </row>
    <row r="3191" ht="15.75" customHeight="1">
      <c r="A3191" s="1">
        <v>6512.0</v>
      </c>
      <c r="B3191" s="1" t="s">
        <v>15</v>
      </c>
      <c r="C3191" s="1" t="s">
        <v>2872</v>
      </c>
      <c r="D3191" s="1" t="str">
        <f>IFERROR(__xludf.DUMMYFUNCTION("CONCATENATE(GOOGLETRANSLATE(C3191, ""en"", ""zh-cn""))"),"罗技 K380s Pebble Key 2 无线键盘")</f>
        <v>罗技 K380s Pebble Key 2 无线键盘</v>
      </c>
      <c r="E3191" s="1" t="str">
        <f>IFERROR(__xludf.DUMMYFUNCTION("CONCATENATE(GOOGLETRANSLATE(C3191, ""en"", ""ko""))"),"로지텍 K380s 페블 키 2 무선 키보드")</f>
        <v>로지텍 K380s 페블 키 2 무선 키보드</v>
      </c>
      <c r="F3191" s="1" t="str">
        <f>IFERROR(__xludf.DUMMYFUNCTION("CONCATENATE(GOOGLETRANSLATE(C3191, ""en"", ""ja""))"),"Logitech K380s Pebble Keys 2 ワイヤレス キーボード")</f>
        <v>Logitech K380s Pebble Keys 2 ワイヤレス キーボード</v>
      </c>
    </row>
    <row r="3192" ht="15.75" customHeight="1">
      <c r="A3192" s="1">
        <v>6517.0</v>
      </c>
      <c r="B3192" s="1" t="s">
        <v>15</v>
      </c>
      <c r="C3192" s="1" t="s">
        <v>2873</v>
      </c>
      <c r="D3192" s="1" t="str">
        <f>IFERROR(__xludf.DUMMYFUNCTION("CONCATENATE(GOOGLETRANSLATE(C3192, ""en"", ""zh-cn""))"),"批发计算机硬件和软件准系统 8GPU 机器完整等带显卡其他计算机配件，1 件")</f>
        <v>批发计算机硬件和软件准系统 8GPU 机器完整等带显卡其他计算机配件，1 件</v>
      </c>
      <c r="E3192" s="1" t="str">
        <f>IFERROR(__xludf.DUMMYFUNCTION("CONCATENATE(GOOGLETRANSLATE(C3192, ""en"", ""ko""))"),"도매 컴퓨터 하드웨어 및 하드웨어 베어본 시스템 8GPU 기계 전체 및 그래픽 카드 포함 기타 컴퓨터 액세서리, 1개")</f>
        <v>도매 컴퓨터 하드웨어 및 하드웨어 베어본 시스템 8GPU 기계 전체 및 그래픽 카드 포함 기타 컴퓨터 액세서리, 1개</v>
      </c>
      <c r="F3192" s="1" t="str">
        <f>IFERROR(__xludf.DUMMYFUNCTION("CONCATENATE(GOOGLETRANSLATE(C3192, ""en"", ""ja""))"),"卸売コンピュータハードウェアおよびハードウェアベアボーンシステム8GPUマシンコンプリート、グラフィックスカード付きその他のコンピュータアクセサリ、1個")</f>
        <v>卸売コンピュータハードウェアおよびハードウェアベアボーンシステム8GPUマシンコンプリート、グラフィックスカード付きその他のコンピュータアクセサリ、1個</v>
      </c>
    </row>
    <row r="3193" ht="15.75" customHeight="1">
      <c r="A3193" s="1">
        <v>6533.0</v>
      </c>
      <c r="B3193" s="1" t="s">
        <v>15</v>
      </c>
      <c r="C3193" s="1" t="s">
        <v>2874</v>
      </c>
      <c r="D3193" s="1" t="str">
        <f>IFERROR(__xludf.DUMMYFUNCTION("CONCATENATE(GOOGLETRANSLATE(C3193, ""en"", ""zh-cn""))"),"Aigybobo 幼儿学习玩具 1 2 3 岁，20 件儿童宠物狗玩具，动物计数、匹配、分类精细运动教育玩具套装，")</f>
        <v>Aigybobo 幼儿学习玩具 1 2 3 岁，20 件儿童宠物狗玩具，动物计数、匹配、分类精细运动教育玩具套装，</v>
      </c>
      <c r="E3193" s="1" t="str">
        <f>IFERROR(__xludf.DUMMYFUNCTION("CONCATENATE(GOOGLETRANSLATE(C3193, ""en"", ""ko""))"),"Aigybobo 유아용 학습 장난감 1 2 3 세, 20 Pcs 어린이를위한 애완견 장난감, 동물 계산 매칭 정렬 미세 모터 교육 Playset,")</f>
        <v>Aigybobo 유아용 학습 장난감 1 2 3 세, 20 Pcs 어린이를위한 애완견 장난감, 동물 계산 매칭 정렬 미세 모터 교육 Playset,</v>
      </c>
      <c r="F3193" s="1" t="str">
        <f>IFERROR(__xludf.DUMMYFUNCTION("CONCATENATE(GOOGLETRANSLATE(C3193, ""en"", ""ja""))"),"Aigybobo 幼児用学習おもちゃ 1 2 3 歳、子供用ペット犬のおもちゃ 20 個、動物の数え方、マッチング、並べ替え、微細運動教育プレイセット、")</f>
        <v>Aigybobo 幼児用学習おもちゃ 1 2 3 歳、子供用ペット犬のおもちゃ 20 個、動物の数え方、マッチング、並べ替え、微細運動教育プレイセット、</v>
      </c>
    </row>
    <row r="3194" ht="15.75" customHeight="1">
      <c r="A3194" s="1">
        <v>6536.0</v>
      </c>
      <c r="B3194" s="1" t="s">
        <v>15</v>
      </c>
      <c r="C3194" s="1" t="s">
        <v>2875</v>
      </c>
      <c r="D3194" s="1" t="str">
        <f>IFERROR(__xludf.DUMMYFUNCTION("CONCATENATE(GOOGLETRANSLATE(C3194, ""en"", ""zh-cn""))"),"小泰克舒适轿跑车")</f>
        <v>小泰克舒适轿跑车</v>
      </c>
      <c r="E3194" s="1" t="str">
        <f>IFERROR(__xludf.DUMMYFUNCTION("CONCATENATE(GOOGLETRANSLATE(C3194, ""en"", ""ko""))"),"리틀 타익스 코지 쿠페")</f>
        <v>리틀 타익스 코지 쿠페</v>
      </c>
      <c r="F3194" s="1" t="str">
        <f>IFERROR(__xludf.DUMMYFUNCTION("CONCATENATE(GOOGLETRANSLATE(C3194, ""en"", ""ja""))"),"リトルタイクス コージー クーペ")</f>
        <v>リトルタイクス コージー クーペ</v>
      </c>
    </row>
    <row r="3195" ht="15.75" customHeight="1">
      <c r="A3195" s="1">
        <v>6558.0</v>
      </c>
      <c r="B3195" s="1" t="s">
        <v>15</v>
      </c>
      <c r="C3195" s="1" t="s">
        <v>2876</v>
      </c>
      <c r="D3195" s="1" t="str">
        <f>IFERROR(__xludf.DUMMYFUNCTION("CONCATENATE(GOOGLETRANSLATE(C3195, ""en"", ""zh-cn""))"),"儿童智能手机玩具圣诞生日礼物，适合 3-10 岁儿童")</f>
        <v>儿童智能手机玩具圣诞生日礼物，适合 3-10 岁儿童</v>
      </c>
      <c r="E3195" s="1" t="str">
        <f>IFERROR(__xludf.DUMMYFUNCTION("CONCATENATE(GOOGLETRANSLATE(C3195, ""en"", ""ko""))"),"어린이 스마트폰 장난감 크리스마스 생일 선물 3-10세")</f>
        <v>어린이 스마트폰 장난감 크리스마스 생일 선물 3-10세</v>
      </c>
      <c r="F3195" s="1" t="str">
        <f>IFERROR(__xludf.DUMMYFUNCTION("CONCATENATE(GOOGLETRANSLATE(C3195, ""en"", ""ja""))"),"キッズ スマートフォン おもちゃ クリスマス 誕生日 ギフト 対象年齢 3～10歳")</f>
        <v>キッズ スマートフォン おもちゃ クリスマス 誕生日 ギフト 対象年齢 3～10歳</v>
      </c>
    </row>
    <row r="3196" ht="15.75" customHeight="1">
      <c r="A3196" s="1">
        <v>6569.0</v>
      </c>
      <c r="B3196" s="1" t="s">
        <v>15</v>
      </c>
      <c r="C3196" s="1" t="s">
        <v>2877</v>
      </c>
      <c r="D3196" s="1" t="str">
        <f>IFERROR(__xludf.DUMMYFUNCTION("CONCATENATE(GOOGLETRANSLATE(C3196, ""en"", ""zh-cn""))"),"Gokeey 可变形指尖陀螺 4 件装 适合儿童和成人 男孩和女孩的减压感官玩具 指尖陀螺仪 适合多动症 自闭症儿童")</f>
        <v>Gokeey 可变形指尖陀螺 4 件装 适合儿童和成人 男孩和女孩的减压感官玩具 指尖陀螺仪 适合多动症 自闭症儿童</v>
      </c>
      <c r="E3196" s="1" t="str">
        <f>IFERROR(__xludf.DUMMYFUNCTION("CONCATENATE(GOOGLETRANSLATE(C3196, ""en"", ""ko""))"),"Gokeey 변형 가능한 Fidget Spinners 어린이와 성인을위한 4 Pcs 소년과 소녀를위한 스트레스 릴리프 감각 장난감 ADHD 자폐증을위한 손가락 끝 자이로")</f>
        <v>Gokeey 변형 가능한 Fidget Spinners 어린이와 성인을위한 4 Pcs 소년과 소녀를위한 스트레스 릴리프 감각 장난감 ADHD 자폐증을위한 손가락 끝 자이로</v>
      </c>
      <c r="F3196" s="1" t="str">
        <f>IFERROR(__xludf.DUMMYFUNCTION("CONCATENATE(GOOGLETRANSLATE(C3196, ""en"", ""ja""))"),"Gokeey 変形可能 フィジェットスピナー 4個 子供と大人用 ストレス解消感覚おもちゃ 男の子と女の子向け 指先ジャイロ ADHD自閉症用")</f>
        <v>Gokeey 変形可能 フィジェットスピナー 4個 子供と大人用 ストレス解消感覚おもちゃ 男の子と女の子向け 指先ジャイロ ADHD自閉症用</v>
      </c>
    </row>
    <row r="3197" ht="15.75" customHeight="1">
      <c r="A3197" s="1">
        <v>6584.0</v>
      </c>
      <c r="B3197" s="1" t="s">
        <v>15</v>
      </c>
      <c r="C3197" s="1" t="s">
        <v>2878</v>
      </c>
      <c r="D3197" s="1" t="str">
        <f>IFERROR(__xludf.DUMMYFUNCTION("CONCATENATE(GOOGLETRANSLATE(C3197, ""en"", ""zh-cn""))"),"Sportneer运动帐篷")</f>
        <v>Sportneer运动帐篷</v>
      </c>
      <c r="E3197" s="1" t="str">
        <f>IFERROR(__xludf.DUMMYFUNCTION("CONCATENATE(GOOGLETRANSLATE(C3197, ""en"", ""ko""))"),"Sportneer 스포츠 텐트")</f>
        <v>Sportneer 스포츠 텐트</v>
      </c>
      <c r="F3197" s="1" t="str">
        <f>IFERROR(__xludf.DUMMYFUNCTION("CONCATENATE(GOOGLETRANSLATE(C3197, ""en"", ""ja""))"),"スポーツニア スポーツ テント")</f>
        <v>スポーツニア スポーツ テント</v>
      </c>
    </row>
    <row r="3198" ht="15.75" customHeight="1">
      <c r="A3198" s="1">
        <v>6592.0</v>
      </c>
      <c r="B3198" s="1" t="s">
        <v>15</v>
      </c>
      <c r="C3198" s="1" t="s">
        <v>2879</v>
      </c>
      <c r="D3198" s="1" t="str">
        <f>IFERROR(__xludf.DUMMYFUNCTION("CONCATENATE(GOOGLETRANSLATE(C3198, ""en"", ""zh-cn""))"),"Jaypro运动休闲户外排球系统")</f>
        <v>Jaypro运动休闲户外排球系统</v>
      </c>
      <c r="E3198" s="1" t="str">
        <f>IFERROR(__xludf.DUMMYFUNCTION("CONCATENATE(GOOGLETRANSLATE(C3198, ""en"", ""ko""))"),"Jaypro 스포츠 레크리에이션 야외 배구 시스템")</f>
        <v>Jaypro 스포츠 레크리에이션 야외 배구 시스템</v>
      </c>
      <c r="F3198" s="1" t="str">
        <f>IFERROR(__xludf.DUMMYFUNCTION("CONCATENATE(GOOGLETRANSLATE(C3198, ""en"", ""ja""))"),"Jaypro Sports レクリエーション屋外バレーボール システム")</f>
        <v>Jaypro Sports レクリエーション屋外バレーボール システム</v>
      </c>
    </row>
    <row r="3199" ht="15.75" customHeight="1">
      <c r="A3199" s="1">
        <v>6618.0</v>
      </c>
      <c r="B3199" s="1" t="s">
        <v>15</v>
      </c>
      <c r="C3199" s="1" t="s">
        <v>2880</v>
      </c>
      <c r="D3199" s="1" t="str">
        <f>IFERROR(__xludf.DUMMYFUNCTION("CONCATENATE(GOOGLETRANSLATE(C3199, ""en"", ""zh-cn""))"),"Tory Burch 女士椭圆形不锈钢手表")</f>
        <v>Tory Burch 女士椭圆形不锈钢手表</v>
      </c>
      <c r="E3199" s="1" t="str">
        <f>IFERROR(__xludf.DUMMYFUNCTION("CONCATENATE(GOOGLETRANSLATE(C3199, ""en"", ""ko""))"),"Tory Burch 여성용 타원형 스테인레스 스틸 시계")</f>
        <v>Tory Burch 여성용 타원형 스테인레스 스틸 시계</v>
      </c>
      <c r="F3199" s="1" t="str">
        <f>IFERROR(__xludf.DUMMYFUNCTION("CONCATENATE(GOOGLETRANSLATE(C3199, ""en"", ""ja""))"),"Tory Burch レディース オーバル ステンレススチール ウォッチ")</f>
        <v>Tory Burch レディース オーバル ステンレススチール ウォッチ</v>
      </c>
    </row>
    <row r="3200" ht="15.75" customHeight="1">
      <c r="A3200" s="1">
        <v>6619.0</v>
      </c>
      <c r="B3200" s="1" t="s">
        <v>15</v>
      </c>
      <c r="C3200" s="1" t="s">
        <v>2881</v>
      </c>
      <c r="D3200" s="1" t="str">
        <f>IFERROR(__xludf.DUMMYFUNCTION("CONCATENATE(GOOGLETRANSLATE(C3200, ""en"", ""zh-cn""))"),"九西女士银色网眼手表")</f>
        <v>九西女士银色网眼手表</v>
      </c>
      <c r="E3200" s="1" t="str">
        <f>IFERROR(__xludf.DUMMYFUNCTION("CONCATENATE(GOOGLETRANSLATE(C3200, ""en"", ""ko""))"),"Nine West 여성용 실버 톤 메시 시계")</f>
        <v>Nine West 여성용 실버 톤 메시 시계</v>
      </c>
      <c r="F3200" s="1" t="str">
        <f>IFERROR(__xludf.DUMMYFUNCTION("CONCATENATE(GOOGLETRANSLATE(C3200, ""en"", ""ja""))"),"Nine West レディース シルバートーン メッシュ ウォッチ")</f>
        <v>Nine West レディース シルバートーン メッシュ ウォッチ</v>
      </c>
    </row>
    <row r="3201" ht="15.75" customHeight="1">
      <c r="A3201" s="1">
        <v>6631.0</v>
      </c>
      <c r="B3201" s="1" t="s">
        <v>15</v>
      </c>
      <c r="C3201" s="1" t="s">
        <v>2882</v>
      </c>
      <c r="D3201" s="1" t="str">
        <f>IFERROR(__xludf.DUMMYFUNCTION("CONCATENATE(GOOGLETRANSLATE(C3201, ""en"", ""zh-cn""))"),"Fossil 女式 Carlie 手表")</f>
        <v>Fossil 女式 Carlie 手表</v>
      </c>
      <c r="E3201" s="1" t="str">
        <f>IFERROR(__xludf.DUMMYFUNCTION("CONCATENATE(GOOGLETRANSLATE(C3201, ""en"", ""ko""))"),"화석 여성용 칼리 시계")</f>
        <v>화석 여성용 칼리 시계</v>
      </c>
      <c r="F3201" s="1" t="str">
        <f>IFERROR(__xludf.DUMMYFUNCTION("CONCATENATE(GOOGLETRANSLATE(C3201, ""en"", ""ja""))"),"Fossil レディース カーリー ウォッチ")</f>
        <v>Fossil レディース カーリー ウォッチ</v>
      </c>
    </row>
    <row r="3202" ht="15.75" customHeight="1">
      <c r="A3202" s="1">
        <v>6645.0</v>
      </c>
      <c r="B3202" s="1" t="s">
        <v>15</v>
      </c>
      <c r="C3202" s="1" t="s">
        <v>2883</v>
      </c>
      <c r="D3202" s="1" t="str">
        <f>IFERROR(__xludf.DUMMYFUNCTION("CONCATENATE(GOOGLETRANSLATE(C3202, ""en"", ""zh-cn""))"),"Halukakah 18K 镀金钻石手表")</f>
        <v>Halukakah 18K 镀金钻石手表</v>
      </c>
      <c r="E3202" s="1" t="str">
        <f>IFERROR(__xludf.DUMMYFUNCTION("CONCATENATE(GOOGLETRANSLATE(C3202, ""en"", ""ko""))"),"할루카카 18K 골드 도금 다이아몬드 시계")</f>
        <v>할루카카 18K 골드 도금 다이아몬드 시계</v>
      </c>
      <c r="F3202" s="1" t="str">
        <f>IFERROR(__xludf.DUMMYFUNCTION("CONCATENATE(GOOGLETRANSLATE(C3202, ""en"", ""ja""))"),"Halukakah 18K ゴールド メッキ ダイヤモンド ウォッチ")</f>
        <v>Halukakah 18K ゴールド メッキ ダイヤモンド ウォッチ</v>
      </c>
    </row>
    <row r="3203" ht="15.75" customHeight="1">
      <c r="A3203" s="1">
        <v>6657.0</v>
      </c>
      <c r="B3203" s="1" t="s">
        <v>15</v>
      </c>
      <c r="C3203" s="1" t="s">
        <v>2884</v>
      </c>
      <c r="D3203" s="1" t="str">
        <f>IFERROR(__xludf.DUMMYFUNCTION("CONCATENATE(GOOGLETRANSLATE(C3203, ""en"", ""zh-cn""))"),"SYNCWIRE 适用于 MagSafe 指环支架磁性手机指环支架磁性手机握把指环支架兼容 iPhone 15/14/13/12 Pro Max")</f>
        <v>SYNCWIRE 适用于 MagSafe 指环支架磁性手机指环支架磁性手机握把指环支架兼容 iPhone 15/14/13/12 Pro Max</v>
      </c>
      <c r="E3203" s="1" t="str">
        <f>IFERROR(__xludf.DUMMYFUNCTION("CONCATENATE(GOOGLETRANSLATE(C3203, ""en"", ""ko""))"),"MagSafe 링 홀더용 SYNCWIRE 자기 전화 링 홀더 자석 휴대폰 그립 핑거 링 킥스탠드 iPhone 15/14/13/12 Pro Max와 호환 가능")</f>
        <v>MagSafe 링 홀더용 SYNCWIRE 자기 전화 링 홀더 자석 휴대폰 그립 핑거 링 킥스탠드 iPhone 15/14/13/12 Pro Max와 호환 가능</v>
      </c>
      <c r="F3203" s="1" t="str">
        <f>IFERROR(__xludf.DUMMYFUNCTION("CONCATENATE(GOOGLETRANSLATE(C3203, ""en"", ""ja""))"),"SYNCWIRE MagSafe リングホルダー磁気電話リングホルダーマグネット携帯電話グリップフィンガーリングキックスタンド iPhone 15/14/13/12 Pro Max に対応")</f>
        <v>SYNCWIRE MagSafe リングホルダー磁気電話リングホルダーマグネット携帯電話グリップフィンガーリングキックスタンド iPhone 15/14/13/12 Pro Max に対応</v>
      </c>
    </row>
    <row r="3204" ht="15.75" customHeight="1">
      <c r="A3204" s="1">
        <v>6659.0</v>
      </c>
      <c r="B3204" s="1" t="s">
        <v>15</v>
      </c>
      <c r="C3204" s="1" t="s">
        <v>2885</v>
      </c>
      <c r="D3204" s="1" t="str">
        <f>IFERROR(__xludf.DUMMYFUNCTION("CONCATENATE(GOOGLETRANSLATE(C3204, ""en"", ""zh-cn""))"),"Borivilla 手机带斜挎通用手机挂绳可调节肩带兼容大多数智能手机 Aztech")</f>
        <v>Borivilla 手机带斜挎通用手机挂绳可调节肩带兼容大多数智能手机 Aztech</v>
      </c>
      <c r="E3204" s="1" t="str">
        <f>IFERROR(__xludf.DUMMYFUNCTION("CONCATENATE(GOOGLETRANSLATE(C3204, ""en"", ""ko""))"),"Borivilla 휴대폰 스트랩 크로스바디 범용 전화 끈 대부분의 스마트폰과 호환되는 조절 가능한 스트랩 Aztech")</f>
        <v>Borivilla 휴대폰 스트랩 크로스바디 범용 전화 끈 대부분의 스마트폰과 호환되는 조절 가능한 스트랩 Aztech</v>
      </c>
      <c r="F3204" s="1" t="str">
        <f>IFERROR(__xludf.DUMMYFUNCTION("CONCATENATE(GOOGLETRANSLATE(C3204, ""en"", ""ja""))"),"Borivilla 携帯電話ストラップ クロスボディ ユニバーサル電話ストラップ 調節可能なストラップ ほとんどのスマートフォンに対応 Aztech")</f>
        <v>Borivilla 携帯電話ストラップ クロスボディ ユニバーサル電話ストラップ 調節可能なストラップ ほとんどのスマートフォンに対応 Aztech</v>
      </c>
    </row>
    <row r="3205" ht="15.75" customHeight="1">
      <c r="A3205" s="1">
        <v>6673.0</v>
      </c>
      <c r="B3205" s="1" t="s">
        <v>15</v>
      </c>
      <c r="C3205" s="1" t="s">
        <v>2886</v>
      </c>
      <c r="D3205" s="1" t="str">
        <f>IFERROR(__xludf.DUMMYFUNCTION("CONCATENATE(GOOGLETRANSLATE(C3205, ""en"", ""zh-cn""))"),"水晶手机支架，手机支架，水晶手机握把，水晶手机支架，手机配件，手机配件，4.5 厘米宽x 3.5 厘米长")</f>
        <v>水晶手机支架，手机支架，水晶手机握把，水晶手机支架，手机配件，手机配件，4.5 厘米宽x 3.5 厘米长</v>
      </c>
      <c r="E3205" s="1" t="str">
        <f>IFERROR(__xludf.DUMMYFUNCTION("CONCATENATE(GOOGLETRANSLATE(C3205, ""en"", ""ko""))"),"크리스탈 휴대폰 홀더, 휴대폰 홀더, 크리스탈 휴대폰 그립, 크리스탈 휴대폰 홀더, 모바일 액세서리, 휴대폰 액세서리, 4.5cmWx3.5cmL")</f>
        <v>크리스탈 휴대폰 홀더, 휴대폰 홀더, 크리스탈 휴대폰 그립, 크리스탈 휴대폰 홀더, 모바일 액세서리, 휴대폰 액세서리, 4.5cmWx3.5cmL</v>
      </c>
      <c r="F3205" s="1" t="str">
        <f>IFERROR(__xludf.DUMMYFUNCTION("CONCATENATE(GOOGLETRANSLATE(C3205, ""en"", ""ja""))"),"クリスタル携帯電話ホルダー、電話ホルダー、クリスタル電話グリップ、クリスタル電話ホルダー、モバイルアクセサリー、電話アクセサリー、4.5cmWx3.5cmL")</f>
        <v>クリスタル携帯電話ホルダー、電話ホルダー、クリスタル電話グリップ、クリスタル電話ホルダー、モバイルアクセサリー、電話アクセサリー、4.5cmWx3.5cmL</v>
      </c>
    </row>
    <row r="3206" ht="15.75" customHeight="1">
      <c r="A3206" s="1">
        <v>6699.0</v>
      </c>
      <c r="B3206" s="1" t="s">
        <v>15</v>
      </c>
      <c r="C3206" s="1" t="s">
        <v>2887</v>
      </c>
      <c r="D3206" s="1" t="str">
        <f>IFERROR(__xludf.DUMMYFUNCTION("CONCATENATE(GOOGLETRANSLATE(C3206, ""en"", ""zh-cn""))"),"roomwell E-Star 3.3 立方英尺迷你冰箱，不带冷冻室 - 自动除霜，可逆单门，玻璃搁架冰箱 - 节省空间的奇迹")</f>
        <v>roomwell E-Star 3.3 立方英尺迷你冰箱，不带冷冻室 - 自动除霜，可逆单门，玻璃搁架冰箱 - 节省空间的奇迹</v>
      </c>
      <c r="E3206" s="1" t="str">
        <f>IFERROR(__xludf.DUMMYFUNCTION("CONCATENATE(GOOGLETRANSLATE(C3206, ""en"", ""ko""))"),"roomwell E-Star 3.3 Cu Ft 미니 냉장고(냉동고 없음) - 자동 해동, 양면 단일 도어, 유리 선반 냉장고 - 놀라운 공간 절약형 냉장고")</f>
        <v>roomwell E-Star 3.3 Cu Ft 미니 냉장고(냉동고 없음) - 자동 해동, 양면 단일 도어, 유리 선반 냉장고 - 놀라운 공간 절약형 냉장고</v>
      </c>
      <c r="F3206" s="1" t="str">
        <f>IFERROR(__xludf.DUMMYFUNCTION("CONCATENATE(GOOGLETRANSLATE(C3206, ""en"", ""ja""))"),"roomwell E-Star 3.3 立方フィート ミニ冷蔵庫 冷凍庫なし - 自動霜取り、リバーシブル シングルドア、ガラス棚冷蔵庫 - 省スペースの驚異")</f>
        <v>roomwell E-Star 3.3 立方フィート ミニ冷蔵庫 冷凍庫なし - 自動霜取り、リバーシブル シングルドア、ガラス棚冷蔵庫 - 省スペースの驚異</v>
      </c>
    </row>
    <row r="3207" ht="15.75" customHeight="1">
      <c r="A3207" s="1">
        <v>6733.0</v>
      </c>
      <c r="B3207" s="1" t="s">
        <v>15</v>
      </c>
      <c r="C3207" s="1" t="s">
        <v>2888</v>
      </c>
      <c r="D3207" s="1" t="str">
        <f>IFERROR(__xludf.DUMMYFUNCTION("CONCATENATE(GOOGLETRANSLATE(C3207, ""en"", ""zh-cn""))"),"Nourish Beaute 优质生发洗发水和护发素")</f>
        <v>Nourish Beaute 优质生发洗发水和护发素</v>
      </c>
      <c r="E3207" s="1" t="str">
        <f>IFERROR(__xludf.DUMMYFUNCTION("CONCATENATE(GOOGLETRANSLATE(C3207, ""en"", ""ko""))"),"너리쉬 보떼 프리미엄 모발 성장 샴푸 및 컨디셔너")</f>
        <v>너리쉬 보떼 프리미엄 모발 성장 샴푸 및 컨디셔너</v>
      </c>
      <c r="F3207" s="1" t="str">
        <f>IFERROR(__xludf.DUMMYFUNCTION("CONCATENATE(GOOGLETRANSLATE(C3207, ""en"", ""ja""))"),"ナリッシュボーテ プレミアム育毛シャンプー＆コンディショナー")</f>
        <v>ナリッシュボーテ プレミアム育毛シャンプー＆コンディショナー</v>
      </c>
    </row>
    <row r="3208" ht="15.75" customHeight="1">
      <c r="A3208" s="1">
        <v>6742.0</v>
      </c>
      <c r="B3208" s="1" t="s">
        <v>15</v>
      </c>
      <c r="C3208" s="1" t="s">
        <v>2889</v>
      </c>
      <c r="D3208" s="1" t="str">
        <f>IFERROR(__xludf.DUMMYFUNCTION("CONCATENATE(GOOGLETRANSLATE(C3208, ""en"", ""zh-cn""))"),"辛迪·克劳馥 (Cindy Crawford) 的有意义之美")</f>
        <v>辛迪·克劳馥 (Cindy Crawford) 的有意义之美</v>
      </c>
      <c r="E3208" s="1" t="str">
        <f>IFERROR(__xludf.DUMMYFUNCTION("CONCATENATE(GOOGLETRANSLATE(C3208, ""en"", ""ko""))"),"신디 크로포드(Cindy Crawford)의 의미 있는 아름다움")</f>
        <v>신디 크로포드(Cindy Crawford)의 의미 있는 아름다움</v>
      </c>
      <c r="F3208" s="1" t="str">
        <f>IFERROR(__xludf.DUMMYFUNCTION("CONCATENATE(GOOGLETRANSLATE(C3208, ""en"", ""ja""))"),"意味のある美しさ シンディ・クロフォード著")</f>
        <v>意味のある美しさ シンディ・クロフォード著</v>
      </c>
    </row>
    <row r="3209" ht="15.75" customHeight="1">
      <c r="A3209" s="1">
        <v>6749.0</v>
      </c>
      <c r="B3209" s="1" t="s">
        <v>15</v>
      </c>
      <c r="C3209" s="1" t="s">
        <v>2890</v>
      </c>
      <c r="D3209" s="1" t="str">
        <f>IFERROR(__xludf.DUMMYFUNCTION("CONCATENATE(GOOGLETRANSLATE(C3209, ""en"", ""zh-cn""))"),"Canvas 美容生发精华液")</f>
        <v>Canvas 美容生发精华液</v>
      </c>
      <c r="E3209" s="1" t="str">
        <f>IFERROR(__xludf.DUMMYFUNCTION("CONCATENATE(GOOGLETRANSLATE(C3209, ""en"", ""ko""))"),"캔버스 뷰티 헤어 블라썸 성장 세럼")</f>
        <v>캔버스 뷰티 헤어 블라썸 성장 세럼</v>
      </c>
      <c r="F3209" s="1" t="str">
        <f>IFERROR(__xludf.DUMMYFUNCTION("CONCATENATE(GOOGLETRANSLATE(C3209, ""en"", ""ja""))"),"キャンバスビューティー 育毛セラム")</f>
        <v>キャンバスビューティー 育毛セラム</v>
      </c>
    </row>
    <row r="3210" ht="15.75" customHeight="1">
      <c r="A3210" s="1">
        <v>6762.0</v>
      </c>
      <c r="B3210" s="1" t="s">
        <v>15</v>
      </c>
      <c r="C3210" s="1" t="s">
        <v>2891</v>
      </c>
      <c r="D3210" s="1" t="str">
        <f>IFERROR(__xludf.DUMMYFUNCTION("CONCATENATE(GOOGLETRANSLATE(C3210, ""en"", ""zh-cn""))"),"HAIRtamin 高级配方")</f>
        <v>HAIRtamin 高级配方</v>
      </c>
      <c r="E3210" s="1" t="str">
        <f>IFERROR(__xludf.DUMMYFUNCTION("CONCATENATE(GOOGLETRANSLATE(C3210, ""en"", ""ko""))"),"헤어타민 어드밴스드 포뮬러")</f>
        <v>헤어타민 어드밴스드 포뮬러</v>
      </c>
      <c r="F3210" s="1" t="str">
        <f>IFERROR(__xludf.DUMMYFUNCTION("CONCATENATE(GOOGLETRANSLATE(C3210, ""en"", ""ja""))"),"ヘアタミン アドバンスト フォーミュラ")</f>
        <v>ヘアタミン アドバンスト フォーミュラ</v>
      </c>
    </row>
    <row r="3211" ht="15.75" customHeight="1">
      <c r="A3211" s="1">
        <v>6765.0</v>
      </c>
      <c r="B3211" s="1" t="s">
        <v>15</v>
      </c>
      <c r="C3211" s="1" t="s">
        <v>2892</v>
      </c>
      <c r="D3211" s="1" t="str">
        <f>IFERROR(__xludf.DUMMYFUNCTION("CONCATENATE(GOOGLETRANSLATE(C3211, ""en"", ""zh-cn""))"),"Beaute Blossom 高级发套")</f>
        <v>Beaute Blossom 高级发套</v>
      </c>
      <c r="E3211" s="1" t="str">
        <f>IFERROR(__xludf.DUMMYFUNCTION("CONCATENATE(GOOGLETRANSLATE(C3211, ""en"", ""ko""))"),"보떼 블라썸 프리미엄 헤어세트")</f>
        <v>보떼 블라썸 프리미엄 헤어세트</v>
      </c>
      <c r="F3211" s="1" t="str">
        <f>IFERROR(__xludf.DUMMYFUNCTION("CONCATENATE(GOOGLETRANSLATE(C3211, ""en"", ""ja""))"),"ボーテ ブロッサム プレミアム ヘアセット")</f>
        <v>ボーテ ブロッサム プレミアム ヘアセット</v>
      </c>
    </row>
    <row r="3212" ht="15.75" customHeight="1">
      <c r="A3212" s="1">
        <v>6778.0</v>
      </c>
      <c r="B3212" s="1" t="s">
        <v>15</v>
      </c>
      <c r="C3212" s="1" t="s">
        <v>2893</v>
      </c>
      <c r="D3212" s="1" t="str">
        <f>IFERROR(__xludf.DUMMYFUNCTION("CONCATENATE(GOOGLETRANSLATE(C3212, ""en"", ""zh-cn""))"),"Viviscal 女性生发补充剂")</f>
        <v>Viviscal 女性生发补充剂</v>
      </c>
      <c r="E3212" s="1" t="str">
        <f>IFERROR(__xludf.DUMMYFUNCTION("CONCATENATE(GOOGLETRANSLATE(C3212, ""en"", ""ko""))"),"비비스칼 여성 모발 성장 보조제")</f>
        <v>비비스칼 여성 모발 성장 보조제</v>
      </c>
      <c r="F3212" s="1" t="str">
        <f>IFERROR(__xludf.DUMMYFUNCTION("CONCATENATE(GOOGLETRANSLATE(C3212, ""en"", ""ja""))"),"ヴィヴィスカル 女性用育毛サプリメント")</f>
        <v>ヴィヴィスカル 女性用育毛サプリメント</v>
      </c>
    </row>
    <row r="3213" ht="15.75" customHeight="1">
      <c r="A3213" s="1">
        <v>6781.0</v>
      </c>
      <c r="B3213" s="1" t="s">
        <v>15</v>
      </c>
      <c r="C3213" s="1" t="s">
        <v>2894</v>
      </c>
      <c r="D3213" s="1" t="str">
        <f>IFERROR(__xludf.DUMMYFUNCTION("CONCATENATE(GOOGLETRANSLATE(C3213, ""en"", ""zh-cn""))"),"The Beauty Co to The Roots 生发油")</f>
        <v>The Beauty Co to The Roots 生发油</v>
      </c>
      <c r="E3213" s="1" t="str">
        <f>IFERROR(__xludf.DUMMYFUNCTION("CONCATENATE(GOOGLETRANSLATE(C3213, ""en"", ""ko""))"),"더뷰티코투더루츠 모발성장 오일")</f>
        <v>더뷰티코투더루츠 모발성장 오일</v>
      </c>
      <c r="F3213" s="1" t="str">
        <f>IFERROR(__xludf.DUMMYFUNCTION("CONCATENATE(GOOGLETRANSLATE(C3213, ""en"", ""ja""))"),"ザ・ビューティー・カンパニー トゥ・ザ・ルーツ 育毛オイル")</f>
        <v>ザ・ビューティー・カンパニー トゥ・ザ・ルーツ 育毛オイル</v>
      </c>
    </row>
    <row r="3214" ht="15.75" customHeight="1">
      <c r="A3214" s="1">
        <v>6802.0</v>
      </c>
      <c r="B3214" s="1" t="s">
        <v>15</v>
      </c>
      <c r="C3214" s="1" t="s">
        <v>2895</v>
      </c>
      <c r="D3214" s="1" t="str">
        <f>IFERROR(__xludf.DUMMYFUNCTION("CONCATENATE(GOOGLETRANSLATE(C3214, ""en"", ""zh-cn""))"),"有用！头发、皮肤和指甲补充剂")</f>
        <v>有用！头发、皮肤和指甲补充剂</v>
      </c>
      <c r="E3214" s="1" t="str">
        <f>IFERROR(__xludf.DUMMYFUNCTION("CONCATENATE(GOOGLETRANSLATE(C3214, ""en"", ""ko""))"),"그것은 작동합니다! 머리카락, 피부, 손톱 보충제")</f>
        <v>그것은 작동합니다! 머리카락, 피부, 손톱 보충제</v>
      </c>
      <c r="F3214" s="1" t="str">
        <f>IFERROR(__xludf.DUMMYFUNCTION("CONCATENATE(GOOGLETRANSLATE(C3214, ""en"", ""ja""))"),"それは動作します！髪、肌、爪のサプリメント")</f>
        <v>それは動作します！髪、肌、爪のサプリメント</v>
      </c>
    </row>
    <row r="3215" ht="15.75" customHeight="1">
      <c r="A3215" s="1">
        <v>6806.0</v>
      </c>
      <c r="B3215" s="1" t="s">
        <v>15</v>
      </c>
      <c r="C3215" s="1" t="s">
        <v>2896</v>
      </c>
      <c r="D3215" s="1" t="str">
        <f>IFERROR(__xludf.DUMMYFUNCTION("CONCATENATE(GOOGLETRANSLATE(C3215, ""en"", ""zh-cn""))"),"Beauty Pro Bond修复定制洗发水的功能")</f>
        <v>Beauty Pro Bond修复定制洗发水的功能</v>
      </c>
      <c r="E3215" s="1" t="str">
        <f>IFERROR(__xludf.DUMMYFUNCTION("CONCATENATE(GOOGLETRANSLATE(C3215, ""en"", ""ko""))"),"뷰티 프로 본드 리페어 커스텀 샴푸의 기능")</f>
        <v>뷰티 프로 본드 리페어 커스텀 샴푸의 기능</v>
      </c>
      <c r="F3215" s="1" t="str">
        <f>IFERROR(__xludf.DUMMYFUNCTION("CONCATENATE(GOOGLETRANSLATE(C3215, ""en"", ""ja""))"),"ビューティプロ ボンドリペア カスタム シャンプーの働き")</f>
        <v>ビューティプロ ボンドリペア カスタム シャンプーの働き</v>
      </c>
    </row>
    <row r="3216" ht="15.75" customHeight="1">
      <c r="A3216" s="1">
        <v>6807.0</v>
      </c>
      <c r="B3216" s="1" t="s">
        <v>15</v>
      </c>
      <c r="C3216" s="1" t="s">
        <v>2897</v>
      </c>
      <c r="D3216" s="1" t="str">
        <f>IFERROR(__xludf.DUMMYFUNCTION("CONCATENATE(GOOGLETRANSLATE(C3216, ""en"", ""zh-cn""))"),"不适用生发洗发水和护发素套装")</f>
        <v>不适用生发洗发水和护发素套装</v>
      </c>
      <c r="E3216" s="1" t="str">
        <f>IFERROR(__xludf.DUMMYFUNCTION("CONCATENATE(GOOGLETRANSLATE(C3216, ""en"", ""ko""))"),"모발 성장 샴푸 및 컨디셔너 세트를 사용하지 않습니다.")</f>
        <v>모발 성장 샴푸 및 컨디셔너 세트를 사용하지 않습니다.</v>
      </c>
      <c r="F3216" s="1" t="str">
        <f>IFERROR(__xludf.DUMMYFUNCTION("CONCATENATE(GOOGLETRANSLATE(C3216, ""en"", ""ja""))"),"育毛シャンプーとコンディショナーのセットは適用されません")</f>
        <v>育毛シャンプーとコンディショナーのセットは適用されません</v>
      </c>
    </row>
    <row r="3217" ht="15.75" customHeight="1">
      <c r="A3217" s="1">
        <v>6811.0</v>
      </c>
      <c r="B3217" s="1" t="s">
        <v>15</v>
      </c>
      <c r="C3217" s="1" t="s">
        <v>2898</v>
      </c>
      <c r="D3217" s="1" t="str">
        <f>IFERROR(__xludf.DUMMYFUNCTION("CONCATENATE(GOOGLETRANSLATE(C3217, ""en"", ""zh-cn""))"),"让他们理论：数百万人无法停止谈论的改变生活的工具")</f>
        <v>让他们理论：数百万人无法停止谈论的改变生活的工具</v>
      </c>
      <c r="E3217" s="1" t="str">
        <f>IFERROR(__xludf.DUMMYFUNCTION("CONCATENATE(GOOGLETRANSLATE(C3217, ""en"", ""ko""))"),"Let Them 이론: 수백만 명의 사람들이 끊임없이 이야기하는 인생을 바꾸는 도구")</f>
        <v>Let Them 이론: 수백만 명의 사람들이 끊임없이 이야기하는 인생을 바꾸는 도구</v>
      </c>
      <c r="F3217" s="1" t="str">
        <f>IFERROR(__xludf.DUMMYFUNCTION("CONCATENATE(GOOGLETRANSLATE(C3217, ""en"", ""ja""))"),"レットゼム理論: 何百万人もの人々が話題にせずにはいられない人生を変えるツール")</f>
        <v>レットゼム理論: 何百万人もの人々が話題にせずにはいられない人生を変えるツール</v>
      </c>
    </row>
    <row r="3218" ht="15.75" customHeight="1">
      <c r="A3218" s="1">
        <v>6829.0</v>
      </c>
      <c r="B3218" s="1" t="s">
        <v>15</v>
      </c>
      <c r="C3218" s="1" t="s">
        <v>2899</v>
      </c>
      <c r="D3218" s="1" t="str">
        <f>IFERROR(__xludf.DUMMYFUNCTION("CONCATENATE(GOOGLETRANSLATE(C3218, ""en"", ""zh-cn""))"),"礼物（电子书）")</f>
        <v>礼物（电子书）</v>
      </c>
      <c r="E3218" s="1" t="str">
        <f>IFERROR(__xludf.DUMMYFUNCTION("CONCATENATE(GOOGLETRANSLATE(C3218, ""en"", ""ko""))"),"선물(전자책)")</f>
        <v>선물(전자책)</v>
      </c>
      <c r="F3218" s="1" t="str">
        <f>IFERROR(__xludf.DUMMYFUNCTION("CONCATENATE(GOOGLETRANSLATE(C3218, ""en"", ""ja""))"),"ザ・ギフト (電子書籍)")</f>
        <v>ザ・ギフト (電子書籍)</v>
      </c>
    </row>
    <row r="3219" ht="15.75" customHeight="1">
      <c r="A3219" s="1">
        <v>6835.0</v>
      </c>
      <c r="B3219" s="1" t="s">
        <v>15</v>
      </c>
      <c r="C3219" s="1" t="s">
        <v>2900</v>
      </c>
      <c r="D3219" s="1" t="str">
        <f>IFERROR(__xludf.DUMMYFUNCTION("CONCATENATE(GOOGLETRANSLATE(C3219, ""en"", ""zh-cn""))"),"Kobo Nia EPD 带 Carta 显示屏")</f>
        <v>Kobo Nia EPD 带 Carta 显示屏</v>
      </c>
      <c r="E3219" s="1" t="str">
        <f>IFERROR(__xludf.DUMMYFUNCTION("CONCATENATE(GOOGLETRANSLATE(C3219, ""en"", ""ko""))"),"Kobo Nia EPD(Carta 디스플레이 포함)")</f>
        <v>Kobo Nia EPD(Carta 디스플레이 포함)</v>
      </c>
      <c r="F3219" s="1" t="str">
        <f>IFERROR(__xludf.DUMMYFUNCTION("CONCATENATE(GOOGLETRANSLATE(C3219, ""en"", ""ja""))"),"カルタ表示付き Kobo Nia EPD")</f>
        <v>カルタ表示付き Kobo Nia EPD</v>
      </c>
    </row>
    <row r="3220" ht="15.75" customHeight="1">
      <c r="A3220" s="1">
        <v>6836.0</v>
      </c>
      <c r="B3220" s="1" t="s">
        <v>15</v>
      </c>
      <c r="C3220" s="1" t="s">
        <v>2901</v>
      </c>
      <c r="D3220" s="1" t="str">
        <f>IFERROR(__xludf.DUMMYFUNCTION("CONCATENATE(GOOGLETRANSLATE(C3220, ""en"", ""zh-cn""))"),"冰冻的河流：GMA 读书俱乐部精选：一本小说")</f>
        <v>冰冻的河流：GMA 读书俱乐部精选：一本小说</v>
      </c>
      <c r="E3220" s="1" t="str">
        <f>IFERROR(__xludf.DUMMYFUNCTION("CONCATENATE(GOOGLETRANSLATE(C3220, ""en"", ""ko""))"),"얼어붙은 강: GMA 북클럽 추천: 소설")</f>
        <v>얼어붙은 강: GMA 북클럽 추천: 소설</v>
      </c>
      <c r="F3220" s="1" t="str">
        <f>IFERROR(__xludf.DUMMYFUNCTION("CONCATENATE(GOOGLETRANSLATE(C3220, ""en"", ""ja""))"),"凍った川: GMA ブッククラブのおすすめ: 小説")</f>
        <v>凍った川: GMA ブッククラブのおすすめ: 小説</v>
      </c>
    </row>
    <row r="3221" ht="15.75" customHeight="1">
      <c r="A3221" s="1">
        <v>6844.0</v>
      </c>
      <c r="B3221" s="1" t="s">
        <v>15</v>
      </c>
      <c r="C3221" s="1" t="s">
        <v>2902</v>
      </c>
      <c r="D3221" s="1" t="str">
        <f>IFERROR(__xludf.DUMMYFUNCTION("CONCATENATE(GOOGLETRANSLATE(C3221, ""en"", ""zh-cn""))"),"找到我：一本小说")</f>
        <v>找到我：一本小说</v>
      </c>
      <c r="E3221" s="1" t="str">
        <f>IFERROR(__xludf.DUMMYFUNCTION("CONCATENATE(GOOGLETRANSLATE(C3221, ""en"", ""ko""))"),"나를 찾아라: 소설")</f>
        <v>나를 찾아라: 소설</v>
      </c>
      <c r="F3221" s="1" t="str">
        <f>IFERROR(__xludf.DUMMYFUNCTION("CONCATENATE(GOOGLETRANSLATE(C3221, ""en"", ""ja""))"),"私を見つけて: 小説")</f>
        <v>私を見つけて: 小説</v>
      </c>
    </row>
    <row r="3222" ht="15.75" customHeight="1">
      <c r="A3222" s="1">
        <v>6881.0</v>
      </c>
      <c r="B3222" s="1" t="s">
        <v>15</v>
      </c>
      <c r="C3222" s="1" t="s">
        <v>2903</v>
      </c>
      <c r="D3222" s="1" t="str">
        <f>IFERROR(__xludf.DUMMYFUNCTION("CONCATENATE(GOOGLETRANSLATE(C3222, ""en"", ""zh-cn""))"),"无敌 - 索尼 PlayStation 5 [数字下载]")</f>
        <v>无敌 - 索尼 PlayStation 5 [数字下载]</v>
      </c>
      <c r="E3222" s="1" t="str">
        <f>IFERROR(__xludf.DUMMYFUNCTION("CONCATENATE(GOOGLETRANSLATE(C3222, ""en"", ""ko""))"),"The Invincible - Sony PlayStation 5 [디지털 다운로드]")</f>
        <v>The Invincible - Sony PlayStation 5 [디지털 다운로드]</v>
      </c>
      <c r="F3222" s="1" t="str">
        <f>IFERROR(__xludf.DUMMYFUNCTION("CONCATENATE(GOOGLETRANSLATE(C3222, ""en"", ""ja""))"),"The Invincible - Sony PlayStation 5 [デジタルダウンロード]")</f>
        <v>The Invincible - Sony PlayStation 5 [デジタルダウンロード]</v>
      </c>
    </row>
    <row r="3223" ht="15.75" customHeight="1">
      <c r="A3223" s="1">
        <v>6882.0</v>
      </c>
      <c r="B3223" s="1" t="s">
        <v>15</v>
      </c>
      <c r="C3223" s="1" t="s">
        <v>2904</v>
      </c>
      <c r="D3223" s="1" t="str">
        <f>IFERROR(__xludf.DUMMYFUNCTION("CONCATENATE(GOOGLETRANSLATE(C3223, ""en"", ""zh-cn""))"),"迪士尼•皮克斯 Up - 索尼 PlayStation 5 和 PlayStation 4 [数字下载]")</f>
        <v>迪士尼•皮克斯 Up - 索尼 PlayStation 5 和 PlayStation 4 [数字下载]</v>
      </c>
      <c r="E3223" s="1" t="str">
        <f>IFERROR(__xludf.DUMMYFUNCTION("CONCATENATE(GOOGLETRANSLATE(C3223, ""en"", ""ko""))"),"Disney•Pixar Up - Sony PlayStation 5 및 PlayStation 4 [디지털 다운로드]")</f>
        <v>Disney•Pixar Up - Sony PlayStation 5 및 PlayStation 4 [디지털 다운로드]</v>
      </c>
      <c r="F3223" s="1" t="str">
        <f>IFERROR(__xludf.DUMMYFUNCTION("CONCATENATE(GOOGLETRANSLATE(C3223, ""en"", ""ja""))"),"ディズニー・ピクサーアップ - Sony PlayStation 5 &amp; PlayStation 4 [デジタルダウンロード]")</f>
        <v>ディズニー・ピクサーアップ - Sony PlayStation 5 &amp; PlayStation 4 [デジタルダウンロード]</v>
      </c>
    </row>
    <row r="3224" ht="15.75" customHeight="1">
      <c r="A3224" s="1">
        <v>6888.0</v>
      </c>
      <c r="B3224" s="1" t="s">
        <v>15</v>
      </c>
      <c r="C3224" s="1" t="s">
        <v>2905</v>
      </c>
      <c r="D3224" s="1" t="str">
        <f>IFERROR(__xludf.DUMMYFUNCTION("CONCATENATE(GOOGLETRANSLATE(C3224, ""en"", ""zh-cn""))"),"Gran Turismo 7 25 周年数字豪华版 - 索尼 PlayStation 5 和 PlayStation 4 [数字下载]")</f>
        <v>Gran Turismo 7 25 周年数字豪华版 - 索尼 PlayStation 5 和 PlayStation 4 [数字下载]</v>
      </c>
      <c r="E3224" s="1" t="str">
        <f>IFERROR(__xludf.DUMMYFUNCTION("CONCATENATE(GOOGLETRANSLATE(C3224, ""en"", ""ko""))"),"그란 투리스모 7 25주년 기념 디지털 디럭스 에디션 - Sony PlayStation 5 및 PlayStation 4 [디지털 다운로드]")</f>
        <v>그란 투리스모 7 25주년 기념 디지털 디럭스 에디션 - Sony PlayStation 5 및 PlayStation 4 [디지털 다운로드]</v>
      </c>
      <c r="F3224" s="1" t="str">
        <f>IFERROR(__xludf.DUMMYFUNCTION("CONCATENATE(GOOGLETRANSLATE(C3224, ""en"", ""ja""))"),"グランツーリスモ 7 25th Anniversary Digital Deluxe Edition - Sony PlayStation 5 &amp; PlayStation 4 [デジタル ダウンロード]")</f>
        <v>グランツーリスモ 7 25th Anniversary Digital Deluxe Edition - Sony PlayStation 5 &amp; PlayStation 4 [デジタル ダウンロード]</v>
      </c>
    </row>
    <row r="3225" ht="15.75" customHeight="1">
      <c r="A3225" s="1">
        <v>6891.0</v>
      </c>
      <c r="B3225" s="1" t="s">
        <v>15</v>
      </c>
      <c r="C3225" s="1" t="s">
        <v>2906</v>
      </c>
      <c r="D3225" s="1" t="str">
        <f>IFERROR(__xludf.DUMMYFUNCTION("CONCATENATE(GOOGLETRANSLATE(C3225, ""en"", ""zh-cn""))"),"苹果礼品卡")</f>
        <v>苹果礼品卡</v>
      </c>
      <c r="E3225" s="1" t="str">
        <f>IFERROR(__xludf.DUMMYFUNCTION("CONCATENATE(GOOGLETRANSLATE(C3225, ""en"", ""ko""))"),"애플 기프트 카드")</f>
        <v>애플 기프트 카드</v>
      </c>
      <c r="F3225" s="1" t="str">
        <f>IFERROR(__xludf.DUMMYFUNCTION("CONCATENATE(GOOGLETRANSLATE(C3225, ""en"", ""ja""))"),"アップルギフトカード")</f>
        <v>アップルギフトカード</v>
      </c>
    </row>
    <row r="3226" ht="15.75" customHeight="1">
      <c r="A3226" s="1">
        <v>6893.0</v>
      </c>
      <c r="B3226" s="1" t="s">
        <v>15</v>
      </c>
      <c r="C3226" s="1" t="s">
        <v>2907</v>
      </c>
      <c r="D3226" s="1" t="str">
        <f>IFERROR(__xludf.DUMMYFUNCTION("CONCATENATE(GOOGLETRANSLATE(C3226, ""en"", ""zh-cn""))"),"Apple 礼品卡 50 美元 - 适用于 Apple 的所有内容 - 产品、应用程序、游戏、音乐、电影等。")</f>
        <v>Apple 礼品卡 50 美元 - 适用于 Apple 的所有内容 - 产品、应用程序、游戏、音乐、电影等。</v>
      </c>
      <c r="E3226" s="1" t="str">
        <f>IFERROR(__xludf.DUMMYFUNCTION("CONCATENATE(GOOGLETRANSLATE(C3226, ""en"", ""ko""))"),"Apple Gift Card $50 - Apple에 관한 모든 것 - 제품, 앱, 게임, 음악, 영화 등.")</f>
        <v>Apple Gift Card $50 - Apple에 관한 모든 것 - 제품, 앱, 게임, 음악, 영화 등.</v>
      </c>
      <c r="F3226" s="1" t="str">
        <f>IFERROR(__xludf.DUMMYFUNCTION("CONCATENATE(GOOGLETRANSLATE(C3226, ""en"", ""ja""))"),"Apple ギフト カード $50 - 製品、アプリ、ゲーム、音楽、映画など、Apple のすべてが対象。")</f>
        <v>Apple ギフト カード $50 - 製品、アプリ、ゲーム、音楽、映画など、Apple のすべてが対象。</v>
      </c>
    </row>
    <row r="3227" ht="15.75" customHeight="1">
      <c r="A3227" s="1">
        <v>6898.0</v>
      </c>
      <c r="B3227" s="1" t="s">
        <v>15</v>
      </c>
      <c r="C3227" s="1" t="s">
        <v>2908</v>
      </c>
      <c r="D3227" s="1" t="str">
        <f>IFERROR(__xludf.DUMMYFUNCTION("CONCATENATE(GOOGLETRANSLATE(C3227, ""en"", ""zh-cn""))"),"可短信苹果电子礼品卡 |礼品雅")</f>
        <v>可短信苹果电子礼品卡 |礼品雅</v>
      </c>
      <c r="E3227" s="1" t="str">
        <f>IFERROR(__xludf.DUMMYFUNCTION("CONCATENATE(GOOGLETRANSLATE(C3227, ""en"", ""ko""))"),"문자가 가능한 Apple E-기프트 카드 | 기프트야")</f>
        <v>문자가 가능한 Apple E-기프트 카드 | 기프트야</v>
      </c>
      <c r="F3227" s="1" t="str">
        <f>IFERROR(__xludf.DUMMYFUNCTION("CONCATENATE(GOOGLETRANSLATE(C3227, ""en"", ""ja""))"),"テキスト可能な Apple E ギフト カード |ギフトや")</f>
        <v>テキスト可能な Apple E ギフト カード |ギフトや</v>
      </c>
    </row>
    <row r="3228" ht="15.75" customHeight="1">
      <c r="A3228" s="1">
        <v>6905.0</v>
      </c>
      <c r="B3228" s="1" t="s">
        <v>15</v>
      </c>
      <c r="C3228" s="1" t="s">
        <v>2909</v>
      </c>
      <c r="D3228" s="1" t="str">
        <f>IFERROR(__xludf.DUMMYFUNCTION("CONCATENATE(GOOGLETRANSLATE(C3228, ""en"", ""zh-cn""))"),"Apple 礼品卡 App Store Itunes 值：10.25.50。 100. 仅限我们")</f>
        <v>Apple 礼品卡 App Store Itunes 值：10.25.50。 100. 仅限我们</v>
      </c>
      <c r="E3228" s="1" t="str">
        <f>IFERROR(__xludf.DUMMYFUNCTION("CONCATENATE(GOOGLETRANSLATE(C3228, ""en"", ""ko""))"),"Apple 기프트 카드 앱 스토어 Itunes 값:10.25.50. 100. 우리만을 위한 것")</f>
        <v>Apple 기프트 카드 앱 스토어 Itunes 값:10.25.50. 100. 우리만을 위한 것</v>
      </c>
      <c r="F3228" s="1" t="str">
        <f>IFERROR(__xludf.DUMMYFUNCTION("CONCATENATE(GOOGLETRANSLATE(C3228, ""en"", ""ja""))"),"Apple Gift Card App Store Itunes 値:10.25.50。 100.私たちだけのために")</f>
        <v>Apple Gift Card App Store Itunes 値:10.25.50。 100.私たちだけのために</v>
      </c>
    </row>
    <row r="3229" ht="15.75" customHeight="1">
      <c r="A3229" s="1">
        <v>6915.0</v>
      </c>
      <c r="B3229" s="1" t="s">
        <v>15</v>
      </c>
      <c r="C3229" s="1" t="s">
        <v>2910</v>
      </c>
      <c r="D3229" s="1" t="str">
        <f>IFERROR(__xludf.DUMMYFUNCTION("CONCATENATE(GOOGLETRANSLATE(C3229, ""en"", ""zh-cn""))"),"500 美元美国 Apple 礼品卡（电子邮件发送）|卡片递送")</f>
        <v>500 美元美国 Apple 礼品卡（电子邮件发送）|卡片递送</v>
      </c>
      <c r="E3229" s="1" t="str">
        <f>IFERROR(__xludf.DUMMYFUNCTION("CONCATENATE(GOOGLETRANSLATE(C3229, ""en"", ""ko""))"),"$500 미국 Apple 기프트 카드(이메일 배송) | 카드 배송")</f>
        <v>$500 미국 Apple 기프트 카드(이메일 배송) | 카드 배송</v>
      </c>
      <c r="F3229" s="1" t="str">
        <f>IFERROR(__xludf.DUMMYFUNCTION("CONCATENATE(GOOGLETRANSLATE(C3229, ""en"", ""ja""))"),"$500 米国 Apple ギフト カード (電子メール配信) |カードの配送")</f>
        <v>$500 米国 Apple ギフト カード (電子メール配信) |カードの配送</v>
      </c>
    </row>
    <row r="3230" ht="15.75" customHeight="1">
      <c r="A3230" s="1">
        <v>6918.0</v>
      </c>
      <c r="B3230" s="1" t="s">
        <v>15</v>
      </c>
      <c r="C3230" s="1" t="s">
        <v>2911</v>
      </c>
      <c r="D3230" s="1" t="str">
        <f>IFERROR(__xludf.DUMMYFUNCTION("CONCATENATE(GOOGLETRANSLATE(C3230, ""en"", ""zh-cn""))"),"Apple iTunes 礼品卡 5 美元 iTunes Key 北美")</f>
        <v>Apple iTunes 礼品卡 5 美元 iTunes Key 北美</v>
      </c>
      <c r="E3230" s="1" t="str">
        <f>IFERROR(__xludf.DUMMYFUNCTION("CONCATENATE(GOOGLETRANSLATE(C3230, ""en"", ""ko""))"),"Apple iTunes 기프트 카드 5 USD iTunes 키 북미")</f>
        <v>Apple iTunes 기프트 카드 5 USD iTunes 키 북미</v>
      </c>
      <c r="F3230" s="1" t="str">
        <f>IFERROR(__xludf.DUMMYFUNCTION("CONCATENATE(GOOGLETRANSLATE(C3230, ""en"", ""ja""))"),"Apple iTunes ギフトカード 5 USD iTunes キー 北米")</f>
        <v>Apple iTunes ギフトカード 5 USD iTunes キー 北米</v>
      </c>
    </row>
    <row r="3231" ht="15.75" customHeight="1">
      <c r="A3231" s="1">
        <v>6928.0</v>
      </c>
      <c r="B3231" s="1" t="s">
        <v>15</v>
      </c>
      <c r="C3231" s="1" t="s">
        <v>2912</v>
      </c>
      <c r="D3231" s="1" t="str">
        <f>IFERROR(__xludf.DUMMYFUNCTION("CONCATENATE(GOOGLETRANSLATE(C3231, ""en"", ""zh-cn""))"),"Apple iTunes 礼品卡 30 美元 iTunes Key 北美")</f>
        <v>Apple iTunes 礼品卡 30 美元 iTunes Key 北美</v>
      </c>
      <c r="E3231" s="1" t="str">
        <f>IFERROR(__xludf.DUMMYFUNCTION("CONCATENATE(GOOGLETRANSLATE(C3231, ""en"", ""ko""))"),"Apple iTunes 기프트 카드 30 USD iTunes 키 북미")</f>
        <v>Apple iTunes 기프트 카드 30 USD iTunes 키 북미</v>
      </c>
      <c r="F3231" s="1" t="str">
        <f>IFERROR(__xludf.DUMMYFUNCTION("CONCATENATE(GOOGLETRANSLATE(C3231, ""en"", ""ja""))"),"Apple iTunes ギフトカード 30 USD iTunes キー 北米")</f>
        <v>Apple iTunes ギフトカード 30 USD iTunes キー 北米</v>
      </c>
    </row>
    <row r="3232" ht="15.75" customHeight="1">
      <c r="A3232" s="1">
        <v>6931.0</v>
      </c>
      <c r="B3232" s="1" t="s">
        <v>15</v>
      </c>
      <c r="C3232" s="1" t="s">
        <v>2913</v>
      </c>
      <c r="D3232" s="1" t="str">
        <f>IFERROR(__xludf.DUMMYFUNCTION("CONCATENATE(GOOGLETRANSLATE(C3232, ""en"", ""zh-cn""))"),"我，我自己，以及为什么：寻找自我的科学")</f>
        <v>我，我自己，以及为什么：寻找自我的科学</v>
      </c>
      <c r="E3232" s="1" t="str">
        <f>IFERROR(__xludf.DUMMYFUNCTION("CONCATENATE(GOOGLETRANSLATE(C3232, ""en"", ""ko""))"),"나, 나 자신, 그리고 왜: 자기 과학을 찾아서")</f>
        <v>나, 나 자신, 그리고 왜: 자기 과학을 찾아서</v>
      </c>
      <c r="F3232" s="1" t="str">
        <f>IFERROR(__xludf.DUMMYFUNCTION("CONCATENATE(GOOGLETRANSLATE(C3232, ""en"", ""ja""))"),"私、私自身、そしてなぜ: 自己の科学の探求")</f>
        <v>私、私自身、そしてなぜ: 自己の科学の探求</v>
      </c>
    </row>
    <row r="3233" ht="15.75" customHeight="1">
      <c r="A3233" s="1">
        <v>6934.0</v>
      </c>
      <c r="B3233" s="1" t="s">
        <v>15</v>
      </c>
      <c r="C3233" s="1" t="s">
        <v>2914</v>
      </c>
      <c r="D3233" s="1" t="str">
        <f>IFERROR(__xludf.DUMMYFUNCTION("CONCATENATE(GOOGLETRANSLATE(C3233, ""en"", ""zh-cn""))"),"所有罗德都在这里：一部小说")</f>
        <v>所有罗德都在这里：一部小说</v>
      </c>
      <c r="E3233" s="1" t="str">
        <f>IFERROR(__xludf.DUMMYFUNCTION("CONCATENATE(GOOGLETRANSLATE(C3233, ""en"", ""ko""))"),"모든 로즈가 여기에 이끈다: 소설")</f>
        <v>모든 로즈가 여기에 이끈다: 소설</v>
      </c>
      <c r="F3233" s="1" t="str">
        <f>IFERROR(__xludf.DUMMYFUNCTION("CONCATENATE(GOOGLETRANSLATE(C3233, ""en"", ""ja""))"),"すべてのロードスはここに通じています: 小説")</f>
        <v>すべてのロードスはここに通じています: 小説</v>
      </c>
    </row>
    <row r="3234" ht="15.75" customHeight="1">
      <c r="A3234" s="1">
        <v>6941.0</v>
      </c>
      <c r="B3234" s="1" t="s">
        <v>15</v>
      </c>
      <c r="C3234" s="1" t="s">
        <v>2915</v>
      </c>
      <c r="D3234" s="1" t="str">
        <f>IFERROR(__xludf.DUMMYFUNCTION("CONCATENATE(GOOGLETRANSLATE(C3234, ""en"", ""zh-cn""))"),"《家的味道》电子书")</f>
        <v>《家的味道》电子书</v>
      </c>
      <c r="E3234" s="1" t="str">
        <f>IFERROR(__xludf.DUMMYFUNCTION("CONCATENATE(GOOGLETRANSLATE(C3234, ""en"", ""ko""))"),"집의 맛 eBook")</f>
        <v>집의 맛 eBook</v>
      </c>
      <c r="F3234" s="1" t="str">
        <f>IFERROR(__xludf.DUMMYFUNCTION("CONCATENATE(GOOGLETRANSLATE(C3234, ""en"", ""ja""))"),"家庭の味の電子書籍")</f>
        <v>家庭の味の電子書籍</v>
      </c>
    </row>
    <row r="3235" ht="15.75" customHeight="1">
      <c r="A3235" s="1">
        <v>6961.0</v>
      </c>
      <c r="B3235" s="1" t="s">
        <v>15</v>
      </c>
      <c r="C3235" s="1" t="s">
        <v>2916</v>
      </c>
      <c r="D3235" s="1" t="str">
        <f>IFERROR(__xludf.DUMMYFUNCTION("CONCATENATE(GOOGLETRANSLATE(C3235, ""en"", ""zh-cn""))"),"自爱：你送给自己的礼物")</f>
        <v>自爱：你送给自己的礼物</v>
      </c>
      <c r="E3235" s="1" t="str">
        <f>IFERROR(__xludf.DUMMYFUNCTION("CONCATENATE(GOOGLETRANSLATE(C3235, ""en"", ""ko""))"),"자기애: 자신에게 주는 선물")</f>
        <v>자기애: 자신에게 주는 선물</v>
      </c>
      <c r="F3235" s="1" t="str">
        <f>IFERROR(__xludf.DUMMYFUNCTION("CONCATENATE(GOOGLETRANSLATE(C3235, ""en"", ""ja""))"),"自己愛: あなたが自分自身に与える贈り物")</f>
        <v>自己愛: あなたが自分自身に与える贈り物</v>
      </c>
    </row>
    <row r="3236" ht="15.75" customHeight="1">
      <c r="A3236" s="1">
        <v>6968.0</v>
      </c>
      <c r="B3236" s="1" t="s">
        <v>15</v>
      </c>
      <c r="C3236" s="1" t="s">
        <v>2917</v>
      </c>
      <c r="D3236" s="1" t="str">
        <f>IFERROR(__xludf.DUMMYFUNCTION("CONCATENATE(GOOGLETRANSLATE(C3236, ""en"", ""zh-cn""))"),"一丝说服力：亿万富翁的荒野浪漫史 [电子书]")</f>
        <v>一丝说服力：亿万富翁的荒野浪漫史 [电子书]</v>
      </c>
      <c r="E3236" s="1" t="str">
        <f>IFERROR(__xludf.DUMMYFUNCTION("CONCATENATE(GOOGLETRANSLATE(C3236, ""en"", ""ko""))"),"설득의 손길: 억만장자 황야 로맨스 [eBook]")</f>
        <v>설득의 손길: 억만장자 황야 로맨스 [eBook]</v>
      </c>
      <c r="F3236" s="1" t="str">
        <f>IFERROR(__xludf.DUMMYFUNCTION("CONCATENATE(GOOGLETRANSLATE(C3236, ""en"", ""ja""))"),"説得のタッチ: 億万長者の荒野のロマンス [電子書籍]")</f>
        <v>説得のタッチ: 億万長者の荒野のロマンス [電子書籍]</v>
      </c>
    </row>
    <row r="3237" ht="15.75" customHeight="1">
      <c r="A3237" s="1">
        <v>6972.0</v>
      </c>
      <c r="B3237" s="1" t="s">
        <v>15</v>
      </c>
      <c r="C3237" s="1" t="s">
        <v>2918</v>
      </c>
      <c r="D3237" s="1" t="str">
        <f>IFERROR(__xludf.DUMMYFUNCTION("CONCATENATE(GOOGLETRANSLATE(C3237, ""en"", ""zh-cn""))"),"任天堂 Switch 在线月会员卡")</f>
        <v>任天堂 Switch 在线月会员卡</v>
      </c>
      <c r="E3237" s="1" t="str">
        <f>IFERROR(__xludf.DUMMYFUNCTION("CONCATENATE(GOOGLETRANSLATE(C3237, ""en"", ""ko""))"),"Nintendo Switch 온라인 월간 멤버십 카드")</f>
        <v>Nintendo Switch 온라인 월간 멤버십 카드</v>
      </c>
      <c r="F3237" s="1" t="str">
        <f>IFERROR(__xludf.DUMMYFUNCTION("CONCATENATE(GOOGLETRANSLATE(C3237, ""en"", ""ja""))"),"Nintendo Switch Online 月間会員カード")</f>
        <v>Nintendo Switch Online 月間会員カード</v>
      </c>
    </row>
    <row r="3238" ht="15.75" customHeight="1">
      <c r="A3238" s="1">
        <v>6993.0</v>
      </c>
      <c r="B3238" s="1" t="s">
        <v>15</v>
      </c>
      <c r="C3238" s="1" t="s">
        <v>2919</v>
      </c>
      <c r="D3238" s="1" t="str">
        <f>IFERROR(__xludf.DUMMYFUNCTION("CONCATENATE(GOOGLETRANSLATE(C3238, ""en"", ""zh-cn""))"),"任天堂 Switch 体育")</f>
        <v>任天堂 Switch 体育</v>
      </c>
      <c r="E3238" s="1" t="str">
        <f>IFERROR(__xludf.DUMMYFUNCTION("CONCATENATE(GOOGLETRANSLATE(C3238, ""en"", ""ko""))"),"닌텐도 스위치 스포츠")</f>
        <v>닌텐도 스위치 스포츠</v>
      </c>
      <c r="F3238" s="1" t="str">
        <f>IFERROR(__xludf.DUMMYFUNCTION("CONCATENATE(GOOGLETRANSLATE(C3238, ""en"", ""ja""))"),"ニンテンドースイッチスポーツ")</f>
        <v>ニンテンドースイッチスポーツ</v>
      </c>
    </row>
    <row r="3239" ht="15.75" customHeight="1">
      <c r="A3239" s="1">
        <v>6997.0</v>
      </c>
      <c r="B3239" s="1" t="s">
        <v>15</v>
      </c>
      <c r="C3239" s="1" t="s">
        <v>2920</v>
      </c>
      <c r="D3239" s="1" t="str">
        <f>IFERROR(__xludf.DUMMYFUNCTION("CONCATENATE(GOOGLETRANSLATE(C3239, ""en"", ""zh-cn""))"),"任天堂 eShop 数字卡")</f>
        <v>任天堂 eShop 数字卡</v>
      </c>
      <c r="E3239" s="1" t="str">
        <f>IFERROR(__xludf.DUMMYFUNCTION("CONCATENATE(GOOGLETRANSLATE(C3239, ""en"", ""ko""))"),"Nintendo eShop 디지털 카드")</f>
        <v>Nintendo eShop 디지털 카드</v>
      </c>
      <c r="F3239" s="1" t="str">
        <f>IFERROR(__xludf.DUMMYFUNCTION("CONCATENATE(GOOGLETRANSLATE(C3239, ""en"", ""ja""))"),"ニンテンドーeショップデジタルカード")</f>
        <v>ニンテンドーeショップデジタルカード</v>
      </c>
    </row>
    <row r="3240" ht="15.75" customHeight="1">
      <c r="A3240" s="1">
        <v>7007.0</v>
      </c>
      <c r="B3240" s="1" t="s">
        <v>15</v>
      </c>
      <c r="C3240" s="1" t="s">
        <v>2921</v>
      </c>
      <c r="D3240" s="1" t="str">
        <f>IFERROR(__xludf.DUMMYFUNCTION("CONCATENATE(GOOGLETRANSLATE(C3240, ""en"", ""zh-cn""))"),"女神异闻录 5 皇家")</f>
        <v>女神异闻录 5 皇家</v>
      </c>
      <c r="E3240" s="1" t="str">
        <f>IFERROR(__xludf.DUMMYFUNCTION("CONCATENATE(GOOGLETRANSLATE(C3240, ""en"", ""ko""))"),"페르소나 5 로얄")</f>
        <v>페르소나 5 로얄</v>
      </c>
      <c r="F3240" s="1" t="str">
        <f>IFERROR(__xludf.DUMMYFUNCTION("CONCATENATE(GOOGLETRANSLATE(C3240, ""en"", ""ja""))"),"ペルソナ5 ザ・ロイヤル")</f>
        <v>ペルソナ5 ザ・ロイヤル</v>
      </c>
    </row>
    <row r="3241" ht="15.75" customHeight="1">
      <c r="A3241" s="1">
        <v>7016.0</v>
      </c>
      <c r="B3241" s="1" t="s">
        <v>15</v>
      </c>
      <c r="C3241" s="1" t="s">
        <v>2922</v>
      </c>
      <c r="D3241" s="1" t="str">
        <f>IFERROR(__xludf.DUMMYFUNCTION("CONCATENATE(GOOGLETRANSLATE(C3241, ""en"", ""zh-cn""))"),"男式 adidas Trefoil Essentials 裤子")</f>
        <v>男式 adidas Trefoil Essentials 裤子</v>
      </c>
      <c r="E3241" s="1" t="str">
        <f>IFERROR(__xludf.DUMMYFUNCTION("CONCATENATE(GOOGLETRANSLATE(C3241, ""en"", ""ko""))"),"남성용 아디다스 트레포일 에센셜 팬츠")</f>
        <v>남성용 아디다스 트레포일 에센셜 팬츠</v>
      </c>
      <c r="F3241" s="1" t="str">
        <f>IFERROR(__xludf.DUMMYFUNCTION("CONCATENATE(GOOGLETRANSLATE(C3241, ""en"", ""ja""))"),"メンズ アディダス トレフォイル エッセンシャル パンツ")</f>
        <v>メンズ アディダス トレフォイル エッセンシャル パンツ</v>
      </c>
    </row>
    <row r="3242" ht="15.75" customHeight="1">
      <c r="A3242" s="1">
        <v>7033.0</v>
      </c>
      <c r="B3242" s="1" t="s">
        <v>15</v>
      </c>
      <c r="C3242" s="1" t="s">
        <v>2923</v>
      </c>
      <c r="D3242" s="1" t="str">
        <f>IFERROR(__xludf.DUMMYFUNCTION("CONCATENATE(GOOGLETRANSLATE(C3242, ""en"", ""zh-cn""))"),"阿迪达斯 (adidas) 女式 Essentials 三条纹羊毛长裤")</f>
        <v>阿迪达斯 (adidas) 女式 Essentials 三条纹羊毛长裤</v>
      </c>
      <c r="E3242" s="1" t="str">
        <f>IFERROR(__xludf.DUMMYFUNCTION("CONCATENATE(GOOGLETRANSLATE(C3242, ""en"", ""ko""))"),"adidas Women's Essentials 3-스트라이프 플리스 팬츠")</f>
        <v>adidas Women's Essentials 3-스트라이프 플리스 팬츠</v>
      </c>
      <c r="F3242" s="1" t="str">
        <f>IFERROR(__xludf.DUMMYFUNCTION("CONCATENATE(GOOGLETRANSLATE(C3242, ""en"", ""ja""))"),"アディダス レディース エッセンシャル 3 ストライプ フリース パンツ")</f>
        <v>アディダス レディース エッセンシャル 3 ストライプ フリース パンツ</v>
      </c>
    </row>
    <row r="3243" ht="15.75" customHeight="1">
      <c r="A3243" s="1">
        <v>7042.0</v>
      </c>
      <c r="B3243" s="1" t="s">
        <v>15</v>
      </c>
      <c r="C3243" s="1" t="s">
        <v>2924</v>
      </c>
      <c r="D3243" s="1" t="str">
        <f>IFERROR(__xludf.DUMMYFUNCTION("CONCATENATE(GOOGLETRANSLATE(C3243, ""en"", ""zh-cn""))"),"阿迪达斯 (adidas) 女式 All Me Essentials 全长打底裤")</f>
        <v>阿迪达斯 (adidas) 女式 All Me Essentials 全长打底裤</v>
      </c>
      <c r="E3243" s="1" t="str">
        <f>IFERROR(__xludf.DUMMYFUNCTION("CONCATENATE(GOOGLETRANSLATE(C3243, ""en"", ""ko""))"),"adidas 여성용 All Me Essentials 전장 레깅스")</f>
        <v>adidas 여성용 All Me Essentials 전장 레깅스</v>
      </c>
      <c r="F3243" s="1" t="str">
        <f>IFERROR(__xludf.DUMMYFUNCTION("CONCATENATE(GOOGLETRANSLATE(C3243, ""en"", ""ja""))"),"adidas レディース オール ミー エッセンシャル フルレングス レギンス")</f>
        <v>adidas レディース オール ミー エッセンシャル フルレングス レギンス</v>
      </c>
    </row>
    <row r="3244" ht="15.75" customHeight="1">
      <c r="A3244" s="1">
        <v>7056.0</v>
      </c>
      <c r="B3244" s="1" t="s">
        <v>15</v>
      </c>
      <c r="C3244" s="1" t="s">
        <v>2925</v>
      </c>
      <c r="D3244" s="1" t="str">
        <f>IFERROR(__xludf.DUMMYFUNCTION("CONCATENATE(GOOGLETRANSLATE(C3244, ""en"", ""zh-cn""))"),"ASICS 男士螺旋放松刺绣 T 恤")</f>
        <v>ASICS 男士螺旋放松刺绣 T 恤</v>
      </c>
      <c r="E3244" s="1" t="str">
        <f>IFERROR(__xludf.DUMMYFUNCTION("CONCATENATE(GOOGLETRANSLATE(C3244, ""en"", ""ko""))"),"아식스 남성 스파이럴 릴렉스 자수 티셔츠")</f>
        <v>아식스 남성 스파이럴 릴렉스 자수 티셔츠</v>
      </c>
      <c r="F3244" s="1" t="str">
        <f>IFERROR(__xludf.DUMMYFUNCTION("CONCATENATE(GOOGLETRANSLATE(C3244, ""en"", ""ja""))"),"アシックス メンズ スパイラル リラックス エンブロイダリー Tシャツ")</f>
        <v>アシックス メンズ スパイラル リラックス エンブロイダリー Tシャツ</v>
      </c>
    </row>
    <row r="3245" ht="15.75" customHeight="1">
      <c r="A3245" s="1">
        <v>7070.0</v>
      </c>
      <c r="B3245" s="1" t="s">
        <v>15</v>
      </c>
      <c r="C3245" s="1" t="s">
        <v>2926</v>
      </c>
      <c r="D3245" s="1" t="str">
        <f>IFERROR(__xludf.DUMMYFUNCTION("CONCATENATE(GOOGLETRANSLATE(C3245, ""en"", ""zh-cn""))"),"ASICS 男士 GT 2160")</f>
        <v>ASICS 男士 GT 2160</v>
      </c>
      <c r="E3245" s="1" t="str">
        <f>IFERROR(__xludf.DUMMYFUNCTION("CONCATENATE(GOOGLETRANSLATE(C3245, ""en"", ""ko""))"),"아식스 남성 GT 2160")</f>
        <v>아식스 남성 GT 2160</v>
      </c>
      <c r="F3245" s="1" t="str">
        <f>IFERROR(__xludf.DUMMYFUNCTION("CONCATENATE(GOOGLETRANSLATE(C3245, ""en"", ""ja""))"),"アシックス メンズ GT 2160")</f>
        <v>アシックス メンズ GT 2160</v>
      </c>
    </row>
    <row r="3246" ht="15.75" customHeight="1">
      <c r="A3246" s="1">
        <v>7078.0</v>
      </c>
      <c r="B3246" s="1" t="s">
        <v>15</v>
      </c>
      <c r="C3246" s="1" t="s">
        <v>2927</v>
      </c>
      <c r="D3246" s="1" t="str">
        <f>IFERROR(__xludf.DUMMYFUNCTION("CONCATENATE(GOOGLETRANSLATE(C3246, ""en"", ""zh-cn""))"),"ASICS 男士 EX89")</f>
        <v>ASICS 男士 EX89</v>
      </c>
      <c r="E3246" s="1" t="str">
        <f>IFERROR(__xludf.DUMMYFUNCTION("CONCATENATE(GOOGLETRANSLATE(C3246, ""en"", ""ko""))"),"아식스 남성 EX89")</f>
        <v>아식스 남성 EX89</v>
      </c>
      <c r="F3246" s="1" t="str">
        <f>IFERROR(__xludf.DUMMYFUNCTION("CONCATENATE(GOOGLETRANSLATE(C3246, ""en"", ""ja""))"),"アシックス メンズ EX89")</f>
        <v>アシックス メンズ EX89</v>
      </c>
    </row>
    <row r="3247" ht="15.75" customHeight="1">
      <c r="A3247" s="1">
        <v>7081.0</v>
      </c>
      <c r="B3247" s="1" t="s">
        <v>15</v>
      </c>
      <c r="C3247" s="1" t="s">
        <v>2928</v>
      </c>
      <c r="D3247" s="1" t="str">
        <f>IFERROR(__xludf.DUMMYFUNCTION("CONCATENATE(GOOGLETRANSLATE(C3247, ""en"", ""zh-cn""))"),"ASICS 男士机动性针织长裤")</f>
        <v>ASICS 男士机动性针织长裤</v>
      </c>
      <c r="E3247" s="1" t="str">
        <f>IFERROR(__xludf.DUMMYFUNCTION("CONCATENATE(GOOGLETRANSLATE(C3247, ""en"", ""ko""))"),"아식스 남성 모빌리티 니트 팬츠")</f>
        <v>아식스 남성 모빌리티 니트 팬츠</v>
      </c>
      <c r="F3247" s="1" t="str">
        <f>IFERROR(__xludf.DUMMYFUNCTION("CONCATENATE(GOOGLETRANSLATE(C3247, ""en"", ""ja""))"),"アシックス メンズ モビリティニットパンツ")</f>
        <v>アシックス メンズ モビリティニットパンツ</v>
      </c>
    </row>
    <row r="3248" ht="15.75" customHeight="1">
      <c r="A3248" s="1">
        <v>7083.0</v>
      </c>
      <c r="B3248" s="1" t="s">
        <v>15</v>
      </c>
      <c r="C3248" s="1" t="s">
        <v>2929</v>
      </c>
      <c r="D3248" s="1" t="str">
        <f>IFERROR(__xludf.DUMMYFUNCTION("CONCATENATE(GOOGLETRANSLATE(C3248, ""en"", ""zh-cn""))"),"ASICS 男士 ACTIBREEZE 提花短袖上衣")</f>
        <v>ASICS 男士 ACTIBREEZE 提花短袖上衣</v>
      </c>
      <c r="E3248" s="1" t="str">
        <f>IFERROR(__xludf.DUMMYFUNCTION("CONCATENATE(GOOGLETRANSLATE(C3248, ""en"", ""ko""))"),"ASICS 남성 ACTIBREEZE 자카드 반팔 탑")</f>
        <v>ASICS 남성 ACTIBREEZE 자카드 반팔 탑</v>
      </c>
      <c r="F3248" s="1" t="str">
        <f>IFERROR(__xludf.DUMMYFUNCTION("CONCATENATE(GOOGLETRANSLATE(C3248, ""en"", ""ja""))"),"[アシックス] ACTIBREEZE ジャカード半袖トップ メンズ")</f>
        <v>[アシックス] ACTIBREEZE ジャカード半袖トップ メンズ</v>
      </c>
    </row>
    <row r="3249" ht="15.75" customHeight="1">
      <c r="A3249" s="1">
        <v>7085.0</v>
      </c>
      <c r="B3249" s="1" t="s">
        <v>15</v>
      </c>
      <c r="C3249" s="1" t="s">
        <v>2930</v>
      </c>
      <c r="D3249" s="1" t="str">
        <f>IFERROR(__xludf.DUMMYFUNCTION("CONCATENATE(GOOGLETRANSLATE(C3249, ""en"", ""zh-cn""))"),"ASICS 男士 ACTIBREEZE 提花夹克")</f>
        <v>ASICS 男士 ACTIBREEZE 提花夹克</v>
      </c>
      <c r="E3249" s="1" t="str">
        <f>IFERROR(__xludf.DUMMYFUNCTION("CONCATENATE(GOOGLETRANSLATE(C3249, ""en"", ""ko""))"),"아식스 남성 ACTIBREEZE 자카드 재킷")</f>
        <v>아식스 남성 ACTIBREEZE 자카드 재킷</v>
      </c>
      <c r="F3249" s="1" t="str">
        <f>IFERROR(__xludf.DUMMYFUNCTION("CONCATENATE(GOOGLETRANSLATE(C3249, ""en"", ""ja""))"),"アシックス ACTIBREEZE ジャカード ジャケット メンズ")</f>
        <v>アシックス ACTIBREEZE ジャカード ジャケット メンズ</v>
      </c>
    </row>
    <row r="3250" ht="15.75" customHeight="1">
      <c r="A3250" s="1">
        <v>7089.0</v>
      </c>
      <c r="B3250" s="1" t="s">
        <v>15</v>
      </c>
      <c r="C3250" s="1" t="s">
        <v>2931</v>
      </c>
      <c r="D3250" s="1" t="str">
        <f>IFERROR(__xludf.DUMMYFUNCTION("CONCATENATE(GOOGLETRANSLATE(C3250, ""en"", ""zh-cn""))"),"ASICS 女式自然 V 领短袖 T 恤")</f>
        <v>ASICS 女式自然 V 领短袖 T 恤</v>
      </c>
      <c r="E3250" s="1" t="str">
        <f>IFERROR(__xludf.DUMMYFUNCTION("CONCATENATE(GOOGLETRANSLATE(C3250, ""en"", ""ko""))"),"아식스 여성용 네이처 V넥 반팔 티셔츠")</f>
        <v>아식스 여성용 네이처 V넥 반팔 티셔츠</v>
      </c>
      <c r="F3250" s="1" t="str">
        <f>IFERROR(__xludf.DUMMYFUNCTION("CONCATENATE(GOOGLETRANSLATE(C3250, ""en"", ""ja""))"),"アシックス レディース ネイチャー Vネック 半袖 Tシャツ")</f>
        <v>アシックス レディース ネイチャー Vネック 半袖 Tシャツ</v>
      </c>
    </row>
    <row r="3251" ht="15.75" customHeight="1">
      <c r="A3251" s="1">
        <v>7100.0</v>
      </c>
      <c r="B3251" s="1" t="s">
        <v>15</v>
      </c>
      <c r="C3251" s="1" t="s">
        <v>2932</v>
      </c>
      <c r="D3251" s="1" t="str">
        <f>IFERROR(__xludf.DUMMYFUNCTION("CONCATENATE(GOOGLETRANSLATE(C3251, ""en"", ""zh-cn""))"),"Gymshark Vital 无缝短款上衣")</f>
        <v>Gymshark Vital 无缝短款上衣</v>
      </c>
      <c r="E3251" s="1" t="str">
        <f>IFERROR(__xludf.DUMMYFUNCTION("CONCATENATE(GOOGLETRANSLATE(C3251, ""en"", ""ko""))"),"Gymshark Vital 심리스 크롭 탑")</f>
        <v>Gymshark Vital 심리스 크롭 탑</v>
      </c>
      <c r="F3251" s="1" t="str">
        <f>IFERROR(__xludf.DUMMYFUNCTION("CONCATENATE(GOOGLETRANSLATE(C3251, ""en"", ""ja""))"),"Gymshark Vital シームレス クロップ トップ")</f>
        <v>Gymshark Vital シームレス クロップ トップ</v>
      </c>
    </row>
    <row r="3252" ht="15.75" customHeight="1">
      <c r="A3252" s="1">
        <v>7108.0</v>
      </c>
      <c r="B3252" s="1" t="s">
        <v>15</v>
      </c>
      <c r="C3252" s="1" t="s">
        <v>2933</v>
      </c>
      <c r="D3252" s="1" t="str">
        <f>IFERROR(__xludf.DUMMYFUNCTION("CONCATENATE(GOOGLETRANSLATE(C3252, ""en"", ""zh-cn""))"),"Gymshark 日常无缝打底裤")</f>
        <v>Gymshark 日常无缝打底裤</v>
      </c>
      <c r="E3252" s="1" t="str">
        <f>IFERROR(__xludf.DUMMYFUNCTION("CONCATENATE(GOOGLETRANSLATE(C3252, ""en"", ""ko""))"),"Gymshark 에브리데이 심리스 레깅스")</f>
        <v>Gymshark 에브리데이 심리스 레깅스</v>
      </c>
      <c r="F3252" s="1" t="str">
        <f>IFERROR(__xludf.DUMMYFUNCTION("CONCATENATE(GOOGLETRANSLATE(C3252, ""en"", ""ja""))"),"Gymshark エブリデイ シームレス レギンス")</f>
        <v>Gymshark エブリデイ シームレス レギンス</v>
      </c>
    </row>
    <row r="3253" ht="15.75" customHeight="1">
      <c r="A3253" s="1">
        <v>7109.0</v>
      </c>
      <c r="B3253" s="1" t="s">
        <v>15</v>
      </c>
      <c r="C3253" s="1" t="s">
        <v>2934</v>
      </c>
      <c r="D3253" s="1" t="str">
        <f>IFERROR(__xludf.DUMMYFUNCTION("CONCATENATE(GOOGLETRANSLATE(C3253, ""en"", ""zh-cn""))"),"Gymshark Vital 无缝 2.0 紧身裤")</f>
        <v>Gymshark Vital 无缝 2.0 紧身裤</v>
      </c>
      <c r="E3253" s="1" t="str">
        <f>IFERROR(__xludf.DUMMYFUNCTION("CONCATENATE(GOOGLETRANSLATE(C3253, ""en"", ""ko""))"),"Gymshark Vital Seamless 2.0 레깅스")</f>
        <v>Gymshark Vital Seamless 2.0 레깅스</v>
      </c>
      <c r="F3253" s="1" t="str">
        <f>IFERROR(__xludf.DUMMYFUNCTION("CONCATENATE(GOOGLETRANSLATE(C3253, ""en"", ""ja""))"),"Gymshark バイタル シームレス 2.0 レギンス")</f>
        <v>Gymshark バイタル シームレス 2.0 レギンス</v>
      </c>
    </row>
    <row r="3254" ht="15.75" customHeight="1">
      <c r="A3254" s="1">
        <v>7118.0</v>
      </c>
      <c r="B3254" s="1" t="s">
        <v>15</v>
      </c>
      <c r="C3254" s="1" t="s">
        <v>2935</v>
      </c>
      <c r="D3254" s="1" t="str">
        <f>IFERROR(__xludf.DUMMYFUNCTION("CONCATENATE(GOOGLETRANSLATE(C3254, ""en"", ""zh-cn""))"),"Gymshark Vital 无缝低圆领上衣")</f>
        <v>Gymshark Vital 无缝低圆领上衣</v>
      </c>
      <c r="E3254" s="1" t="str">
        <f>IFERROR(__xludf.DUMMYFUNCTION("CONCATENATE(GOOGLETRANSLATE(C3254, ""en"", ""ko""))"),"Gymshark Vital 심리스 스쿠프 넥 탑")</f>
        <v>Gymshark Vital 심리스 스쿠프 넥 탑</v>
      </c>
      <c r="F3254" s="1" t="str">
        <f>IFERROR(__xludf.DUMMYFUNCTION("CONCATENATE(GOOGLETRANSLATE(C3254, ""en"", ""ja""))"),"Gymshark Vital シームレス スクープ ネック トップ")</f>
        <v>Gymshark Vital シームレス スクープ ネック トップ</v>
      </c>
    </row>
    <row r="3255" ht="15.75" customHeight="1">
      <c r="A3255" s="1">
        <v>7120.0</v>
      </c>
      <c r="B3255" s="1" t="s">
        <v>15</v>
      </c>
      <c r="C3255" s="1" t="s">
        <v>2936</v>
      </c>
      <c r="D3255" s="1" t="str">
        <f>IFERROR(__xludf.DUMMYFUNCTION("CONCATENATE(GOOGLETRANSLATE(C3255, ""en"", ""zh-cn""))"),"Gymshark Lift 无缝短裤")</f>
        <v>Gymshark Lift 无缝短裤</v>
      </c>
      <c r="E3255" s="1" t="str">
        <f>IFERROR(__xludf.DUMMYFUNCTION("CONCATENATE(GOOGLETRANSLATE(C3255, ""en"", ""ko""))"),"Gymshark 리프트 심리스 반바지")</f>
        <v>Gymshark 리프트 심리스 반바지</v>
      </c>
      <c r="F3255" s="1" t="str">
        <f>IFERROR(__xludf.DUMMYFUNCTION("CONCATENATE(GOOGLETRANSLATE(C3255, ""en"", ""ja""))"),"ジムシャーク リフト シームレス ショーツ")</f>
        <v>ジムシャーク リフト シームレス ショーツ</v>
      </c>
    </row>
    <row r="3256" ht="15.75" customHeight="1">
      <c r="A3256" s="1">
        <v>7125.0</v>
      </c>
      <c r="B3256" s="1" t="s">
        <v>15</v>
      </c>
      <c r="C3256" s="1" t="s">
        <v>2937</v>
      </c>
      <c r="D3256" s="1" t="str">
        <f>IFERROR(__xludf.DUMMYFUNCTION("CONCATENATE(GOOGLETRANSLATE(C3256, ""en"", ""zh-cn""))"),"Gymshark 徽章长袖 T 恤")</f>
        <v>Gymshark 徽章长袖 T 恤</v>
      </c>
      <c r="E3256" s="1" t="str">
        <f>IFERROR(__xludf.DUMMYFUNCTION("CONCATENATE(GOOGLETRANSLATE(C3256, ""en"", ""ko""))"),"Gymshark 크레스트 긴팔 티셔츠")</f>
        <v>Gymshark 크레스트 긴팔 티셔츠</v>
      </c>
      <c r="F3256" s="1" t="str">
        <f>IFERROR(__xludf.DUMMYFUNCTION("CONCATENATE(GOOGLETRANSLATE(C3256, ""en"", ""ja""))"),"ジムシャーク クレスト ロングスリーブ T シャツ")</f>
        <v>ジムシャーク クレスト ロングスリーブ T シャツ</v>
      </c>
    </row>
    <row r="3257" ht="15.75" customHeight="1">
      <c r="A3257" s="1">
        <v>7126.0</v>
      </c>
      <c r="B3257" s="1" t="s">
        <v>15</v>
      </c>
      <c r="C3257" s="1" t="s">
        <v>2938</v>
      </c>
      <c r="D3257" s="1" t="str">
        <f>IFERROR(__xludf.DUMMYFUNCTION("CONCATENATE(GOOGLETRANSLATE(C3257, ""en"", ""zh-cn""))"),"Gymshark Whitney 慢跑裤")</f>
        <v>Gymshark Whitney 慢跑裤</v>
      </c>
      <c r="E3257" s="1" t="str">
        <f>IFERROR(__xludf.DUMMYFUNCTION("CONCATENATE(GOOGLETRANSLATE(C3257, ""en"", ""ko""))"),"Gymshark 휘트니 조거스")</f>
        <v>Gymshark 휘트니 조거스</v>
      </c>
      <c r="F3257" s="1" t="str">
        <f>IFERROR(__xludf.DUMMYFUNCTION("CONCATENATE(GOOGLETRANSLATE(C3257, ""en"", ""ja""))"),"ジムシャーク ホイットニー ジョガーズ")</f>
        <v>ジムシャーク ホイットニー ジョガーズ</v>
      </c>
    </row>
    <row r="3258" ht="15.75" customHeight="1">
      <c r="A3258" s="1">
        <v>7138.0</v>
      </c>
      <c r="B3258" s="1" t="s">
        <v>15</v>
      </c>
      <c r="C3258" s="1" t="s">
        <v>2939</v>
      </c>
      <c r="D3258" s="1" t="str">
        <f>IFERROR(__xludf.DUMMYFUNCTION("CONCATENATE(GOOGLETRANSLATE(C3258, ""en"", ""zh-cn""))"),"耐克女式中腰斜纹长裤")</f>
        <v>耐克女式中腰斜纹长裤</v>
      </c>
      <c r="E3258" s="1" t="str">
        <f>IFERROR(__xludf.DUMMYFUNCTION("CONCATENATE(GOOGLETRANSLATE(C3258, ""en"", ""ko""))"),"나이키 여성용 미드라이즈 트윌 바지")</f>
        <v>나이키 여성용 미드라이즈 트윌 바지</v>
      </c>
      <c r="F3258" s="1" t="str">
        <f>IFERROR(__xludf.DUMMYFUNCTION("CONCATENATE(GOOGLETRANSLATE(C3258, ""en"", ""ja""))"),"ナイキ ウィメンズ ミッドライズ ツイル パンツ")</f>
        <v>ナイキ ウィメンズ ミッドライズ ツイル パンツ</v>
      </c>
    </row>
    <row r="3259" ht="15.75" customHeight="1">
      <c r="A3259" s="1">
        <v>7152.0</v>
      </c>
      <c r="B3259" s="1" t="s">
        <v>15</v>
      </c>
      <c r="C3259" s="1" t="s">
        <v>2940</v>
      </c>
      <c r="D3259" s="1" t="str">
        <f>IFERROR(__xludf.DUMMYFUNCTION("CONCATENATE(GOOGLETRANSLATE(C3259, ""en"", ""zh-cn""))"),"耐克女式中腰超大俱乐部抓绒运动裤")</f>
        <v>耐克女式中腰超大俱乐部抓绒运动裤</v>
      </c>
      <c r="E3259" s="1" t="str">
        <f>IFERROR(__xludf.DUMMYFUNCTION("CONCATENATE(GOOGLETRANSLATE(C3259, ""en"", ""ko""))"),"나이키 여성용 미드라이즈 오버사이즈 클럽 플리스 스웨트팬츠")</f>
        <v>나이키 여성용 미드라이즈 오버사이즈 클럽 플리스 스웨트팬츠</v>
      </c>
      <c r="F3259" s="1" t="str">
        <f>IFERROR(__xludf.DUMMYFUNCTION("CONCATENATE(GOOGLETRANSLATE(C3259, ""en"", ""ja""))"),"ナイキ レディース ミッドライズ オーバーサイズ クラブ フリース スウェットパンツ")</f>
        <v>ナイキ レディース ミッドライズ オーバーサイズ クラブ フリース スウェットパンツ</v>
      </c>
    </row>
    <row r="3260" ht="15.75" customHeight="1">
      <c r="A3260" s="1">
        <v>7153.0</v>
      </c>
      <c r="B3260" s="1" t="s">
        <v>15</v>
      </c>
      <c r="C3260" s="1" t="s">
        <v>2941</v>
      </c>
      <c r="D3260" s="1" t="str">
        <f>IFERROR(__xludf.DUMMYFUNCTION("CONCATENATE(GOOGLETRANSLATE(C3260, ""en"", ""zh-cn""))"),"Nike 女式中腰 Repel 不对称腰长裤")</f>
        <v>Nike 女式中腰 Repel 不对称腰长裤</v>
      </c>
      <c r="E3260" s="1" t="str">
        <f>IFERROR(__xludf.DUMMYFUNCTION("CONCATENATE(GOOGLETRANSLATE(C3260, ""en"", ""ko""))"),"나이키 여성용 미드라이즈 리펠 비대칭 허리 팬츠")</f>
        <v>나이키 여성용 미드라이즈 리펠 비대칭 허리 팬츠</v>
      </c>
      <c r="F3260" s="1" t="str">
        <f>IFERROR(__xludf.DUMMYFUNCTION("CONCATENATE(GOOGLETRANSLATE(C3260, ""en"", ""ja""))"),"ナイキ ウィメンズ ミッドライズ リペル 非対称ウエスト パンツ")</f>
        <v>ナイキ ウィメンズ ミッドライズ リペル 非対称ウエスト パンツ</v>
      </c>
    </row>
    <row r="3261" ht="15.75" customHeight="1">
      <c r="A3261" s="1">
        <v>7156.0</v>
      </c>
      <c r="B3261" s="1" t="s">
        <v>15</v>
      </c>
      <c r="C3261" s="1" t="s">
        <v>2942</v>
      </c>
      <c r="D3261" s="1" t="str">
        <f>IFERROR(__xludf.DUMMYFUNCTION("CONCATENATE(GOOGLETRANSLATE(C3261, ""en"", ""zh-cn""))"),"耐克女式运动服 Tech Fleece 超大连帽衫")</f>
        <v>耐克女式运动服 Tech Fleece 超大连帽衫</v>
      </c>
      <c r="E3261" s="1" t="str">
        <f>IFERROR(__xludf.DUMMYFUNCTION("CONCATENATE(GOOGLETRANSLATE(C3261, ""en"", ""ko""))"),"나이키 여성 스포츠웨어 테크 플리스 오버사이즈 후디")</f>
        <v>나이키 여성 스포츠웨어 테크 플리스 오버사이즈 후디</v>
      </c>
      <c r="F3261" s="1" t="str">
        <f>IFERROR(__xludf.DUMMYFUNCTION("CONCATENATE(GOOGLETRANSLATE(C3261, ""en"", ""ja""))"),"ナイキ レディース スポーツウェア テック フリース オーバーサイズ パーカー")</f>
        <v>ナイキ レディース スポーツウェア テック フリース オーバーサイズ パーカー</v>
      </c>
    </row>
    <row r="3262" ht="15.75" customHeight="1">
      <c r="A3262" s="1">
        <v>7166.0</v>
      </c>
      <c r="B3262" s="1" t="s">
        <v>15</v>
      </c>
      <c r="C3262" s="1" t="s">
        <v>2943</v>
      </c>
      <c r="D3262" s="1" t="str">
        <f>IFERROR(__xludf.DUMMYFUNCTION("CONCATENATE(GOOGLETRANSLATE(C3262, ""en"", ""zh-cn""))"),"耐克男式空气涤纶针织运动裤")</f>
        <v>耐克男式空气涤纶针织运动裤</v>
      </c>
      <c r="E3262" s="1" t="str">
        <f>IFERROR(__xludf.DUMMYFUNCTION("CONCATENATE(GOOGLETRANSLATE(C3262, ""en"", ""ko""))"),"나이키 남성용 에어 폴리니트 트랙 팬츠")</f>
        <v>나이키 남성용 에어 폴리니트 트랙 팬츠</v>
      </c>
      <c r="F3262" s="1" t="str">
        <f>IFERROR(__xludf.DUMMYFUNCTION("CONCATENATE(GOOGLETRANSLATE(C3262, ""en"", ""ja""))"),"ナイキ メンズ エア ポリニット トラック パンツ")</f>
        <v>ナイキ メンズ エア ポリニット トラック パンツ</v>
      </c>
    </row>
    <row r="3263" ht="15.75" customHeight="1">
      <c r="A3263" s="1">
        <v>7170.0</v>
      </c>
      <c r="B3263" s="1" t="s">
        <v>15</v>
      </c>
      <c r="C3263" s="1" t="s">
        <v>2944</v>
      </c>
      <c r="D3263" s="1" t="str">
        <f>IFERROR(__xludf.DUMMYFUNCTION("CONCATENATE(GOOGLETRANSLATE(C3263, ""en"", ""zh-cn""))"),"Nike 女式 Zenvy 高腰喇叭打底裤")</f>
        <v>Nike 女式 Zenvy 高腰喇叭打底裤</v>
      </c>
      <c r="E3263" s="1" t="str">
        <f>IFERROR(__xludf.DUMMYFUNCTION("CONCATENATE(GOOGLETRANSLATE(C3263, ""en"", ""ko""))"),"나이키 여성용 젠비 하이웨이스트 플레어 레깅스")</f>
        <v>나이키 여성용 젠비 하이웨이스트 플레어 레깅스</v>
      </c>
      <c r="F3263" s="1" t="str">
        <f>IFERROR(__xludf.DUMMYFUNCTION("CONCATENATE(GOOGLETRANSLATE(C3263, ""en"", ""ja""))"),"ナイキ ウィメンズ Zenvy ハイウエスト フレア レギンス")</f>
        <v>ナイキ ウィメンズ Zenvy ハイウエスト フレア レギンス</v>
      </c>
    </row>
    <row r="3264" ht="15.75" customHeight="1">
      <c r="A3264" s="1">
        <v>7171.0</v>
      </c>
      <c r="B3264" s="1" t="s">
        <v>15</v>
      </c>
      <c r="C3264" s="1" t="s">
        <v>2945</v>
      </c>
      <c r="D3264" s="1" t="str">
        <f>IFERROR(__xludf.DUMMYFUNCTION("CONCATENATE(GOOGLETRANSLATE(C3264, ""en"", ""zh-cn""))"),"Reebok Classics Vector 运动夹克")</f>
        <v>Reebok Classics Vector 运动夹克</v>
      </c>
      <c r="E3264" s="1" t="str">
        <f>IFERROR(__xludf.DUMMYFUNCTION("CONCATENATE(GOOGLETRANSLATE(C3264, ""en"", ""ko""))"),"Reebok Classics 벡터 트랙 재킷")</f>
        <v>Reebok Classics 벡터 트랙 재킷</v>
      </c>
      <c r="F3264" s="1" t="str">
        <f>IFERROR(__xludf.DUMMYFUNCTION("CONCATENATE(GOOGLETRANSLATE(C3264, ""en"", ""ja""))"),"リーボック クラシック ベクター トラック ジャケット")</f>
        <v>リーボック クラシック ベクター トラック ジャケット</v>
      </c>
    </row>
    <row r="3265" ht="15.75" customHeight="1">
      <c r="A3265" s="1">
        <v>7174.0</v>
      </c>
      <c r="B3265" s="1" t="s">
        <v>15</v>
      </c>
      <c r="C3265" s="1" t="s">
        <v>2946</v>
      </c>
      <c r="D3265" s="1" t="str">
        <f>IFERROR(__xludf.DUMMYFUNCTION("CONCATENATE(GOOGLETRANSLATE(C3265, ""en"", ""zh-cn""))"),"Reebok 女式 Lux 高腰打底裤")</f>
        <v>Reebok 女式 Lux 高腰打底裤</v>
      </c>
      <c r="E3265" s="1" t="str">
        <f>IFERROR(__xludf.DUMMYFUNCTION("CONCATENATE(GOOGLETRANSLATE(C3265, ""en"", ""ko""))"),"Reebok 여성용 Lux 하이라이즈 레깅스")</f>
        <v>Reebok 여성용 Lux 하이라이즈 레깅스</v>
      </c>
      <c r="F3265" s="1" t="str">
        <f>IFERROR(__xludf.DUMMYFUNCTION("CONCATENATE(GOOGLETRANSLATE(C3265, ""en"", ""ja""))"),"リーボック レディース ラックス ハイライズ レギンス")</f>
        <v>リーボック レディース ラックス ハイライズ レギンス</v>
      </c>
    </row>
    <row r="3266" ht="15.75" customHeight="1">
      <c r="A3266" s="1">
        <v>7202.0</v>
      </c>
      <c r="B3266" s="1" t="s">
        <v>15</v>
      </c>
      <c r="C3266" s="1" t="s">
        <v>2947</v>
      </c>
      <c r="D3266" s="1" t="str">
        <f>IFERROR(__xludf.DUMMYFUNCTION("CONCATENATE(GOOGLETRANSLATE(C3266, ""en"", ""zh-cn""))"),"Reebok 女式火车三背运动文胸")</f>
        <v>Reebok 女式火车三背运动文胸</v>
      </c>
      <c r="E3266" s="1" t="str">
        <f>IFERROR(__xludf.DUMMYFUNCTION("CONCATENATE(GOOGLETRANSLATE(C3266, ""en"", ""ko""))"),"Reebok 여성용 트레인 트라이백 스포츠 브라")</f>
        <v>Reebok 여성용 트레인 트라이백 스포츠 브라</v>
      </c>
      <c r="F3266" s="1" t="str">
        <f>IFERROR(__xludf.DUMMYFUNCTION("CONCATENATE(GOOGLETRANSLATE(C3266, ""en"", ""ja""))"),"Reebok レディース トレイン トライバック スポーツ ブラ")</f>
        <v>Reebok レディース トレイン トライバック スポーツ ブラ</v>
      </c>
    </row>
    <row r="3267" ht="15.75" customHeight="1">
      <c r="A3267" s="1">
        <v>7203.0</v>
      </c>
      <c r="B3267" s="1" t="s">
        <v>15</v>
      </c>
      <c r="C3267" s="1" t="s">
        <v>2948</v>
      </c>
      <c r="D3267" s="1" t="str">
        <f>IFERROR(__xludf.DUMMYFUNCTION("CONCATENATE(GOOGLETRANSLATE(C3267, ""en"", ""zh-cn""))"),"Reebok 高腰 Q4 裤子")</f>
        <v>Reebok 高腰 Q4 裤子</v>
      </c>
      <c r="E3267" s="1" t="str">
        <f>IFERROR(__xludf.DUMMYFUNCTION("CONCATENATE(GOOGLETRANSLATE(C3267, ""en"", ""ko""))"),"Reebok 하이웨이스트 Q4 팬츠")</f>
        <v>Reebok 하이웨이스트 Q4 팬츠</v>
      </c>
      <c r="F3267" s="1" t="str">
        <f>IFERROR(__xludf.DUMMYFUNCTION("CONCATENATE(GOOGLETRANSLATE(C3267, ""en"", ""ja""))"),"リーボック ハイウエスト Q4 パンツ")</f>
        <v>リーボック ハイウエスト Q4 パンツ</v>
      </c>
    </row>
    <row r="3268" ht="15.75" customHeight="1">
      <c r="A3268" s="1">
        <v>7208.0</v>
      </c>
      <c r="B3268" s="1" t="s">
        <v>15</v>
      </c>
      <c r="C3268" s="1" t="s">
        <v>2949</v>
      </c>
      <c r="D3268" s="1" t="str">
        <f>IFERROR(__xludf.DUMMYFUNCTION("CONCATENATE(GOOGLETRANSLATE(C3268, ""en"", ""zh-cn""))"),"Reebok 男士 Identity 抓绒过头连帽衫")</f>
        <v>Reebok 男士 Identity 抓绒过头连帽衫</v>
      </c>
      <c r="E3268" s="1" t="str">
        <f>IFERROR(__xludf.DUMMYFUNCTION("CONCATENATE(GOOGLETRANSLATE(C3268, ""en"", ""ko""))"),"Reebok 남성 아이덴티티 플리스 오버더헤드 후디")</f>
        <v>Reebok 남성 아이덴티티 플리스 오버더헤드 후디</v>
      </c>
      <c r="F3268" s="1" t="str">
        <f>IFERROR(__xludf.DUMMYFUNCTION("CONCATENATE(GOOGLETRANSLATE(C3268, ""en"", ""ja""))"),"リーボック メンズ アイデンティティ フリース オーバーザヘッド パーカー")</f>
        <v>リーボック メンズ アイデンティティ フリース オーバーザヘッド パーカー</v>
      </c>
    </row>
    <row r="3269" ht="15.75" customHeight="1">
      <c r="A3269" s="1">
        <v>7217.0</v>
      </c>
      <c r="B3269" s="1" t="s">
        <v>15</v>
      </c>
      <c r="C3269" s="1" t="s">
        <v>1852</v>
      </c>
      <c r="D3269" s="1" t="str">
        <f>IFERROR(__xludf.DUMMYFUNCTION("CONCATENATE(GOOGLETRANSLATE(C3269, ""en"", ""zh-cn""))"),"Roxenda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3269" s="1" t="str">
        <f>IFERROR(__xludf.DUMMYFUNCTION("CONCATENATE(GOOGLETRANSLATE(C3269, ""en"", ""ko""))"),"Roxenda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3269" s="1" t="str">
        <f>IFERROR(__xludf.DUMMYFUNCTION("CONCATENATE(GOOGLETRANSLATE(C3269, ""en"", ""ja""))"),"Roxenda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3270" ht="15.75" customHeight="1">
      <c r="A3270" s="1">
        <v>7230.0</v>
      </c>
      <c r="B3270" s="1" t="s">
        <v>15</v>
      </c>
      <c r="C3270" s="1" t="s">
        <v>1648</v>
      </c>
      <c r="D3270" s="1" t="str">
        <f>IFERROR(__xludf.DUMMYFUNCTION("CONCATENATE(GOOGLETRANSLATE(C3270, ""en"", ""zh-cn""))"),"CuberShop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3270" s="1" t="str">
        <f>IFERROR(__xludf.DUMMYFUNCTION("CONCATENATE(GOOGLETRANSLATE(C3270, ""en"", ""ko""))"),"CuberShop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3270" s="1" t="str">
        <f>IFERROR(__xludf.DUMMYFUNCTION("CONCATENATE(GOOGLETRANSLATE(C3270, ""en"", ""ja""))"),"CuberShop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3271" ht="15.75" customHeight="1">
      <c r="A3271" s="1">
        <v>7232.0</v>
      </c>
      <c r="B3271" s="1" t="s">
        <v>15</v>
      </c>
      <c r="C3271" s="1" t="s">
        <v>1840</v>
      </c>
      <c r="D3271" s="1" t="str">
        <f>IFERROR(__xludf.DUMMYFUNCTION("CONCATENATE(GOOGLETRANSLATE(C3271, ""en"", ""zh-cn""))"),"Cuberspeed GAN 13 uv 涂层 MagLev 无贴纸 3x3 速度立方拼图 gan13 maglev uv 涂层旗舰拼图")</f>
        <v>Cuberspeed GAN 13 uv 涂层 MagLev 无贴纸 3x3 速度立方拼图 gan13 maglev uv 涂层旗舰拼图</v>
      </c>
      <c r="E3271" s="1" t="str">
        <f>IFERROR(__xludf.DUMMYFUNCTION("CONCATENATE(GOOGLETRANSLATE(C3271, ""en"", ""ko""))"),"Cuberspeed GAN 13 uv 코팅 MagLev 스티커가 없는 3x3 스피드 큐브 퍼즐 gan13 maglev uv 코팅 플래그십 퍼즐")</f>
        <v>Cuberspeed GAN 13 uv 코팅 MagLev 스티커가 없는 3x3 스피드 큐브 퍼즐 gan13 maglev uv 코팅 플래그십 퍼즐</v>
      </c>
      <c r="F3271" s="1" t="str">
        <f>IFERROR(__xludf.DUMMYFUNCTION("CONCATENATE(GOOGLETRANSLATE(C3271, ""en"", ""ja""))"),"Cuberspeed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3272" ht="15.75" customHeight="1">
      <c r="A3272" s="1">
        <v>7235.0</v>
      </c>
      <c r="B3272" s="1" t="s">
        <v>15</v>
      </c>
      <c r="C3272" s="1" t="s">
        <v>1861</v>
      </c>
      <c r="D3272" s="1" t="str">
        <f>IFERROR(__xludf.DUMMYFUNCTION("CONCATENATE(GOOGLETRANSLATE(C3272, ""en"", ""zh-cn""))"),"博克芬诺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3272" s="1" t="str">
        <f>IFERROR(__xludf.DUMMYFUNCTION("CONCATENATE(GOOGLETRANSLATE(C3272, ""en"", ""ko""))"),"Bokefenuo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3272" s="1" t="str">
        <f>IFERROR(__xludf.DUMMYFUNCTION("CONCATENATE(GOOGLETRANSLATE(C3272, ""en"", ""ja""))"),"Bokefenuo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3273" ht="15.75" customHeight="1">
      <c r="A3273" s="1">
        <v>7259.0</v>
      </c>
      <c r="B3273" s="1" t="s">
        <v>15</v>
      </c>
      <c r="C3273" s="1" t="s">
        <v>1819</v>
      </c>
      <c r="D3273" s="1" t="str">
        <f>IFERROR(__xludf.DUMMYFUNCTION("CONCATENATE(GOOGLETRANSLATE(C3273, ""en"", ""zh-cn""))"),"罗林斯|专业人士首选棒球手套 |多种风格")</f>
        <v>罗林斯|专业人士首选棒球手套 |多种风格</v>
      </c>
      <c r="E3273" s="1" t="str">
        <f>IFERROR(__xludf.DUMMYFUNCTION("CONCATENATE(GOOGLETRANSLATE(C3273, ""en"", ""ko""))"),"롤링스 | 프로 선호 야구 글러브 | 다양한 스타일")</f>
        <v>롤링스 | 프로 선호 야구 글러브 | 다양한 스타일</v>
      </c>
      <c r="F3273" s="1" t="str">
        <f>IFERROR(__xludf.DUMMYFUNCTION("CONCATENATE(GOOGLETRANSLATE(C3273, ""en"", ""ja""))"),"ローリングス |プロ好みの野球グローブ |複数のスタイル")</f>
        <v>ローリングス |プロ好みの野球グローブ |複数のスタイル</v>
      </c>
    </row>
    <row r="3274" ht="15.75" customHeight="1">
      <c r="A3274" s="1">
        <v>7282.0</v>
      </c>
      <c r="B3274" s="1" t="s">
        <v>15</v>
      </c>
      <c r="C3274" s="1" t="s">
        <v>2950</v>
      </c>
      <c r="D3274" s="1" t="str">
        <f>IFERROR(__xludf.DUMMYFUNCTION("CONCATENATE(GOOGLETRANSLATE(C3274, ""en"", ""zh-cn""))"),"Fluidmaster PRO45K 完整马桶维修套件")</f>
        <v>Fluidmaster PRO45K 完整马桶维修套件</v>
      </c>
      <c r="E3274" s="1" t="str">
        <f>IFERROR(__xludf.DUMMYFUNCTION("CONCATENATE(GOOGLETRANSLATE(C3274, ""en"", ""ko""))"),"Fluidmaster PRO45K 전체 변기 수리 키트")</f>
        <v>Fluidmaster PRO45K 전체 변기 수리 키트</v>
      </c>
      <c r="F3274" s="1" t="str">
        <f>IFERROR(__xludf.DUMMYFUNCTION("CONCATENATE(GOOGLETRANSLATE(C3274, ""en"", ""ja""))"),"Fluidmaster PRO45K トイレ修理キット一式")</f>
        <v>Fluidmaster PRO45K トイレ修理キット一式</v>
      </c>
    </row>
    <row r="3275" ht="15.75" customHeight="1">
      <c r="A3275" s="1">
        <v>7286.0</v>
      </c>
      <c r="B3275" s="1" t="s">
        <v>15</v>
      </c>
      <c r="C3275" s="1" t="s">
        <v>2951</v>
      </c>
      <c r="D3275" s="1" t="str">
        <f>IFERROR(__xludf.DUMMYFUNCTION("CONCATENATE(GOOGLETRANSLATE(C3275, ""en"", ""zh-cn""))"),"Fluidmaster 双冲水 550DFR")</f>
        <v>Fluidmaster 双冲水 550DFR</v>
      </c>
      <c r="E3275" s="1" t="str">
        <f>IFERROR(__xludf.DUMMYFUNCTION("CONCATENATE(GOOGLETRANSLATE(C3275, ""en"", ""ko""))"),"Fluidmaster Duo 플러시 550DFR")</f>
        <v>Fluidmaster Duo 플러시 550DFR</v>
      </c>
      <c r="F3275" s="1" t="str">
        <f>IFERROR(__xludf.DUMMYFUNCTION("CONCATENATE(GOOGLETRANSLATE(C3275, ""en"", ""ja""))"),"フルイドマスター デュオ フラッシュ 550DFR")</f>
        <v>フルイドマスター デュオ フラッシュ 550DFR</v>
      </c>
    </row>
    <row r="3276" ht="15.75" customHeight="1">
      <c r="A3276" s="1">
        <v>7303.0</v>
      </c>
      <c r="B3276" s="1" t="s">
        <v>15</v>
      </c>
      <c r="C3276" s="1" t="s">
        <v>2952</v>
      </c>
      <c r="D3276" s="1" t="str">
        <f>IFERROR(__xludf.DUMMYFUNCTION("CONCATENATE(GOOGLETRANSLATE(C3276, ""en"", ""zh-cn""))"),"鸿法浴室收纳柜")</f>
        <v>鸿法浴室收纳柜</v>
      </c>
      <c r="E3276" s="1" t="str">
        <f>IFERROR(__xludf.DUMMYFUNCTION("CONCATENATE(GOOGLETRANSLATE(C3276, ""en"", ""ko""))"),"Homfa 욕실 수납장")</f>
        <v>Homfa 욕실 수납장</v>
      </c>
      <c r="F3276" s="1" t="str">
        <f>IFERROR(__xludf.DUMMYFUNCTION("CONCATENATE(GOOGLETRANSLATE(C3276, ""en"", ""ja""))"),"Homfa バスルーム収納キャビネット")</f>
        <v>Homfa バスルーム収納キャビネット</v>
      </c>
    </row>
    <row r="3277" ht="15.75" customHeight="1">
      <c r="A3277" s="1">
        <v>7318.0</v>
      </c>
      <c r="B3277" s="1" t="s">
        <v>15</v>
      </c>
      <c r="C3277" s="1" t="s">
        <v>2953</v>
      </c>
      <c r="D3277" s="1" t="str">
        <f>IFERROR(__xludf.DUMMYFUNCTION("CONCATENATE(GOOGLETRANSLATE(C3277, ""en"", ""zh-cn""))"),"大型浴室地柜，带 4 个抽屉和单门")</f>
        <v>大型浴室地柜，带 4 个抽屉和单门</v>
      </c>
      <c r="E3277" s="1" t="str">
        <f>IFERROR(__xludf.DUMMYFUNCTION("CONCATENATE(GOOGLETRANSLATE(C3277, ""en"", ""ko""))"),"4개의 서랍과 단일 도어가 있는 대형 욕실 바닥 캐비닛")</f>
        <v>4개의 서랍과 단일 도어가 있는 대형 욕실 바닥 캐비닛</v>
      </c>
      <c r="F3277" s="1" t="str">
        <f>IFERROR(__xludf.DUMMYFUNCTION("CONCATENATE(GOOGLETRANSLATE(C3277, ""en"", ""ja""))"),"4 つの引き出しと 1 つのドアを備えた大型バスルーム フロア キャビネット")</f>
        <v>4 つの引き出しと 1 つのドアを備えた大型バスルーム フロア キャビネット</v>
      </c>
    </row>
    <row r="3278" ht="15.75" customHeight="1">
      <c r="A3278" s="1">
        <v>7322.0</v>
      </c>
      <c r="B3278" s="1" t="s">
        <v>15</v>
      </c>
      <c r="C3278" s="1" t="s">
        <v>2954</v>
      </c>
      <c r="D3278" s="1" t="str">
        <f>IFERROR(__xludf.DUMMYFUNCTION("CONCATENATE(GOOGLETRANSLATE(C3278, ""en"", ""zh-cn""))"),"Homfa浴室落地储物柜")</f>
        <v>Homfa浴室落地储物柜</v>
      </c>
      <c r="E3278" s="1" t="str">
        <f>IFERROR(__xludf.DUMMYFUNCTION("CONCATENATE(GOOGLETRANSLATE(C3278, ""en"", ""ko""))"),"Homfa 욕실 바닥 수납장")</f>
        <v>Homfa 욕실 바닥 수납장</v>
      </c>
      <c r="F3278" s="1" t="str">
        <f>IFERROR(__xludf.DUMMYFUNCTION("CONCATENATE(GOOGLETRANSLATE(C3278, ""en"", ""ja""))"),"Homfa 浴室床収納キャビネット")</f>
        <v>Homfa 浴室床収納キャビネット</v>
      </c>
    </row>
    <row r="3279" ht="15.75" customHeight="1">
      <c r="A3279" s="1">
        <v>7324.0</v>
      </c>
      <c r="B3279" s="1" t="s">
        <v>15</v>
      </c>
      <c r="C3279" s="1" t="s">
        <v>2955</v>
      </c>
      <c r="D3279" s="1" t="str">
        <f>IFERROR(__xludf.DUMMYFUNCTION("CONCATENATE(GOOGLETRANSLATE(C3279, ""en"", ""zh-cn""))"),"OVE Decors Gabi 48 英寸单水槽浴室梳妆台")</f>
        <v>OVE Decors Gabi 48 英寸单水槽浴室梳妆台</v>
      </c>
      <c r="E3279" s="1" t="str">
        <f>IFERROR(__xludf.DUMMYFUNCTION("CONCATENATE(GOOGLETRANSLATE(C3279, ""en"", ""ko""))"),"OVE Decors Gabi 48인치 싱글 세면대 욕실 세면대")</f>
        <v>OVE Decors Gabi 48인치 싱글 세면대 욕실 세면대</v>
      </c>
      <c r="F3279" s="1" t="str">
        <f>IFERROR(__xludf.DUMMYFUNCTION("CONCATENATE(GOOGLETRANSLATE(C3279, ""en"", ""ja""))"),"OVE Decors Gabi 48 インチ シングルシンク 洗面化粧台")</f>
        <v>OVE Decors Gabi 48 インチ シングルシンク 洗面化粧台</v>
      </c>
    </row>
    <row r="3280" ht="15.75" customHeight="1">
      <c r="A3280" s="1">
        <v>7334.0</v>
      </c>
      <c r="B3280" s="1" t="s">
        <v>15</v>
      </c>
      <c r="C3280" s="1" t="s">
        <v>2956</v>
      </c>
      <c r="D3280" s="1" t="str">
        <f>IFERROR(__xludf.DUMMYFUNCTION("CONCATENATE(GOOGLETRANSLATE(C3280, ""en"", ""zh-cn""))"),"标志性硬件 Claudia 48 英寸桃花心木单盆梳妆柜")</f>
        <v>标志性硬件 Claudia 48 英寸桃花心木单盆梳妆柜</v>
      </c>
      <c r="E3280" s="1" t="str">
        <f>IFERROR(__xludf.DUMMYFUNCTION("CONCATENATE(GOOGLETRANSLATE(C3280, ""en"", ""ko""))"),"시그니처 하드웨어 Claudia 48"" 마호가니 싱글 세면대 세면대 캐비닛")</f>
        <v>시그니처 하드웨어 Claudia 48" 마호가니 싱글 세면대 세면대 캐비닛</v>
      </c>
      <c r="F3280" s="1" t="str">
        <f>IFERROR(__xludf.DUMMYFUNCTION("CONCATENATE(GOOGLETRANSLATE(C3280, ""en"", ""ja""))"),"シグネチャーハードウェア Claudia 48 インチ マホガニー シングル 洗面化粧台キャビネット")</f>
        <v>シグネチャーハードウェア Claudia 48 インチ マホガニー シングル 洗面化粧台キャビネット</v>
      </c>
    </row>
    <row r="3281" ht="15.75" customHeight="1">
      <c r="A3281" s="1">
        <v>7336.0</v>
      </c>
      <c r="B3281" s="1" t="s">
        <v>15</v>
      </c>
      <c r="C3281" s="1" t="s">
        <v>2957</v>
      </c>
      <c r="D3281" s="1" t="str">
        <f>IFERROR(__xludf.DUMMYFUNCTION("CONCATENATE(GOOGLETRANSLATE(C3281, ""en"", ""zh-cn""))"),"汉普顿湾汉普顿浴室梳妆台底柜")</f>
        <v>汉普顿湾汉普顿浴室梳妆台底柜</v>
      </c>
      <c r="E3281" s="1" t="str">
        <f>IFERROR(__xludf.DUMMYFUNCTION("CONCATENATE(GOOGLETRANSLATE(C3281, ""en"", ""ko""))"),"Hampton Bay Hampton 욕실 세면대 기본 캐비닛")</f>
        <v>Hampton Bay Hampton 욕실 세면대 기본 캐비닛</v>
      </c>
      <c r="F3281" s="1" t="str">
        <f>IFERROR(__xludf.DUMMYFUNCTION("CONCATENATE(GOOGLETRANSLATE(C3281, ""en"", ""ja""))"),"ハンプトン ベイ ハンプトン 洗面化粧台 ベース キャビネット")</f>
        <v>ハンプトン ベイ ハンプトン 洗面化粧台 ベース キャビネット</v>
      </c>
    </row>
    <row r="3282" ht="15.75" customHeight="1">
      <c r="A3282" s="1">
        <v>7337.0</v>
      </c>
      <c r="B3282" s="1" t="s">
        <v>15</v>
      </c>
      <c r="C3282" s="1" t="s">
        <v>2958</v>
      </c>
      <c r="D3282" s="1" t="str">
        <f>IFERROR(__xludf.DUMMYFUNCTION("CONCATENATE(GOOGLETRANSLATE(C3282, ""en"", ""zh-cn""))"),"Homfa农舍浴室柜")</f>
        <v>Homfa农舍浴室柜</v>
      </c>
      <c r="E3282" s="1" t="str">
        <f>IFERROR(__xludf.DUMMYFUNCTION("CONCATENATE(GOOGLETRANSLATE(C3282, ""en"", ""ko""))"),"Homfa 농가 욕실 캐비닛")</f>
        <v>Homfa 농가 욕실 캐비닛</v>
      </c>
      <c r="F3282" s="1" t="str">
        <f>IFERROR(__xludf.DUMMYFUNCTION("CONCATENATE(GOOGLETRANSLATE(C3282, ""en"", ""ja""))"),"ホムファ ファームハウスのバスルーム キャビネット")</f>
        <v>ホムファ ファームハウスのバスルーム キャビネット</v>
      </c>
    </row>
    <row r="3283" ht="15.75" customHeight="1">
      <c r="A3283" s="1">
        <v>7344.0</v>
      </c>
      <c r="B3283" s="1" t="s">
        <v>15</v>
      </c>
      <c r="C3283" s="1" t="s">
        <v>2959</v>
      </c>
      <c r="D3283" s="1" t="str">
        <f>IFERROR(__xludf.DUMMYFUNCTION("CONCATENATE(GOOGLETRANSLATE(C3283, ""en"", ""zh-cn""))"),"Ktaxon 高储物柜")</f>
        <v>Ktaxon 高储物柜</v>
      </c>
      <c r="E3283" s="1" t="str">
        <f>IFERROR(__xludf.DUMMYFUNCTION("CONCATENATE(GOOGLETRANSLATE(C3283, ""en"", ""ko""))"),"Ktaxon 키 큰 스토리지 캐비닛")</f>
        <v>Ktaxon 키 큰 스토리지 캐비닛</v>
      </c>
      <c r="F3283" s="1" t="str">
        <f>IFERROR(__xludf.DUMMYFUNCTION("CONCATENATE(GOOGLETRANSLATE(C3283, ""en"", ""ja""))"),"Ktaxon トールストレージキャビネット")</f>
        <v>Ktaxon トールストレージキャビネット</v>
      </c>
    </row>
    <row r="3284" ht="15.75" customHeight="1">
      <c r="A3284" s="1">
        <v>7346.0</v>
      </c>
      <c r="B3284" s="1" t="s">
        <v>15</v>
      </c>
      <c r="C3284" s="1" t="s">
        <v>2960</v>
      </c>
      <c r="D3284" s="1" t="str">
        <f>IFERROR(__xludf.DUMMYFUNCTION("CONCATENATE(GOOGLETRANSLATE(C3284, ""en"", ""zh-cn""))"),"Ktaxon 3 层浴室储物架")</f>
        <v>Ktaxon 3 层浴室储物架</v>
      </c>
      <c r="E3284" s="1" t="str">
        <f>IFERROR(__xludf.DUMMYFUNCTION("CONCATENATE(GOOGLETRANSLATE(C3284, ""en"", ""ko""))"),"Ktaxon 3단 욕실 수납선반")</f>
        <v>Ktaxon 3단 욕실 수납선반</v>
      </c>
      <c r="F3284" s="1" t="str">
        <f>IFERROR(__xludf.DUMMYFUNCTION("CONCATENATE(GOOGLETRANSLATE(C3284, ""en"", ""ja""))"),"Ktaxon 3段バスルーム収納棚")</f>
        <v>Ktaxon 3段バスルーム収納棚</v>
      </c>
    </row>
    <row r="3285" ht="15.75" customHeight="1">
      <c r="A3285" s="1">
        <v>7357.0</v>
      </c>
      <c r="B3285" s="1" t="s">
        <v>15</v>
      </c>
      <c r="C3285" s="1" t="s">
        <v>2961</v>
      </c>
      <c r="D3285" s="1" t="str">
        <f>IFERROR(__xludf.DUMMYFUNCTION("CONCATENATE(GOOGLETRANSLATE(C3285, ""en"", ""zh-cn""))"),"Ktaxon PVC小浴室收纳柜")</f>
        <v>Ktaxon PVC小浴室收纳柜</v>
      </c>
      <c r="E3285" s="1" t="str">
        <f>IFERROR(__xludf.DUMMYFUNCTION("CONCATENATE(GOOGLETRANSLATE(C3285, ""en"", ""ko""))"),"Ktaxon PVC 소형 욕실 보관 캐비닛")</f>
        <v>Ktaxon PVC 소형 욕실 보관 캐비닛</v>
      </c>
      <c r="F3285" s="1" t="str">
        <f>IFERROR(__xludf.DUMMYFUNCTION("CONCATENATE(GOOGLETRANSLATE(C3285, ""en"", ""ja""))"),"Ktaxon PVC 小型バスルーム収納キャビネット")</f>
        <v>Ktaxon PVC 小型バスルーム収納キャビネット</v>
      </c>
    </row>
    <row r="3286" ht="15.75" customHeight="1">
      <c r="A3286" s="1">
        <v>7362.0</v>
      </c>
      <c r="B3286" s="1" t="s">
        <v>15</v>
      </c>
      <c r="C3286" s="1" t="s">
        <v>2962</v>
      </c>
      <c r="D3286" s="1" t="str">
        <f>IFERROR(__xludf.DUMMYFUNCTION("CONCATENATE(GOOGLETRANSLATE(C3286, ""en"", ""zh-cn""))"),"Ktaxon 壁挂式镜面药柜")</f>
        <v>Ktaxon 壁挂式镜面药柜</v>
      </c>
      <c r="E3286" s="1" t="str">
        <f>IFERROR(__xludf.DUMMYFUNCTION("CONCATENATE(GOOGLETRANSLATE(C3286, ""en"", ""ko""))"),"Ktaxon 벽걸이 형 거울 약장")</f>
        <v>Ktaxon 벽걸이 형 거울 약장</v>
      </c>
      <c r="F3286" s="1" t="str">
        <f>IFERROR(__xludf.DUMMYFUNCTION("CONCATENATE(GOOGLETRANSLATE(C3286, ""en"", ""ja""))"),"Ktaxon 壁掛けミラー薬品キャビネット")</f>
        <v>Ktaxon 壁掛けミラー薬品キャビネット</v>
      </c>
    </row>
    <row r="3287" ht="15.75" customHeight="1">
      <c r="A3287" s="1">
        <v>7425.0</v>
      </c>
      <c r="B3287" s="1" t="s">
        <v>15</v>
      </c>
      <c r="C3287" s="1" t="s">
        <v>2963</v>
      </c>
      <c r="D3287" s="1" t="str">
        <f>IFERROR(__xludf.DUMMYFUNCTION("CONCATENATE(GOOGLETRANSLATE(C3287, ""en"", ""zh-cn""))"),"Nispira Blue RF-99XX 水过滤器替换件")</f>
        <v>Nispira Blue RF-99XX 水过滤器替换件</v>
      </c>
      <c r="E3287" s="1" t="str">
        <f>IFERROR(__xludf.DUMMYFUNCTION("CONCATENATE(GOOGLETRANSLATE(C3287, ""en"", ""ko""))"),"Nispira Blue RF-99XX 정수 필터 교체")</f>
        <v>Nispira Blue RF-99XX 정수 필터 교체</v>
      </c>
      <c r="F3287" s="1" t="str">
        <f>IFERROR(__xludf.DUMMYFUNCTION("CONCATENATE(GOOGLETRANSLATE(C3287, ""en"", ""ja""))"),"Nispira ブルー RF-99XX 浄水フィルター交換")</f>
        <v>Nispira ブルー RF-99XX 浄水フィルター交換</v>
      </c>
    </row>
    <row r="3288" ht="15.75" customHeight="1">
      <c r="A3288" s="1">
        <v>7431.0</v>
      </c>
      <c r="B3288" s="1" t="s">
        <v>15</v>
      </c>
      <c r="C3288" s="1" t="s">
        <v>2964</v>
      </c>
      <c r="D3288" s="1" t="str">
        <f>IFERROR(__xludf.DUMMYFUNCTION("CONCATENATE(GOOGLETRANSLATE(C3288, ""en"", ""zh-cn""))"),"Katadyn Micropur 净化片")</f>
        <v>Katadyn Micropur 净化片</v>
      </c>
      <c r="E3288" s="1" t="str">
        <f>IFERROR(__xludf.DUMMYFUNCTION("CONCATENATE(GOOGLETRANSLATE(C3288, ""en"", ""ko""))"),"Katadyn Micropur 정제 정제")</f>
        <v>Katadyn Micropur 정제 정제</v>
      </c>
      <c r="F3288" s="1" t="str">
        <f>IFERROR(__xludf.DUMMYFUNCTION("CONCATENATE(GOOGLETRANSLATE(C3288, ""en"", ""ja""))"),"Katadyn Micropur 精製タブレット")</f>
        <v>Katadyn Micropur 精製タブレット</v>
      </c>
    </row>
    <row r="3289" ht="15.75" customHeight="1">
      <c r="A3289" s="1">
        <v>7436.0</v>
      </c>
      <c r="B3289" s="1" t="s">
        <v>15</v>
      </c>
      <c r="C3289" s="1" t="s">
        <v>2965</v>
      </c>
      <c r="D3289" s="1" t="str">
        <f>IFERROR(__xludf.DUMMYFUNCTION("CONCATENATE(GOOGLETRANSLATE(C3289, ""en"", ""zh-cn""))"),"PUR Plus 卧式水龙头安装水过滤系统")</f>
        <v>PUR Plus 卧式水龙头安装水过滤系统</v>
      </c>
      <c r="E3289" s="1" t="str">
        <f>IFERROR(__xludf.DUMMYFUNCTION("CONCATENATE(GOOGLETRANSLATE(C3289, ""en"", ""ko""))"),"PUR Plus 수평 수도꼭지 장착형 물 여과 시스템")</f>
        <v>PUR Plus 수평 수도꼭지 장착형 물 여과 시스템</v>
      </c>
      <c r="F3289" s="1" t="str">
        <f>IFERROR(__xludf.DUMMYFUNCTION("CONCATENATE(GOOGLETRANSLATE(C3289, ""en"", ""ja""))"),"PUR Plus 横型蛇口取り付け型水ろ過システム")</f>
        <v>PUR Plus 横型蛇口取り付け型水ろ過システム</v>
      </c>
    </row>
    <row r="3290" ht="15.75" customHeight="1">
      <c r="A3290" s="1">
        <v>7440.0</v>
      </c>
      <c r="B3290" s="1" t="s">
        <v>15</v>
      </c>
      <c r="C3290" s="1" t="s">
        <v>2966</v>
      </c>
      <c r="D3290" s="1" t="str">
        <f>IFERROR(__xludf.DUMMYFUNCTION("CONCATENATE(GOOGLETRANSLATE(C3290, ""en"", ""zh-cn""))"),"兼容 AquaCrest 的 Pur PPT711 水过滤器替换件")</f>
        <v>兼容 AquaCrest 的 Pur PPT711 水过滤器替换件</v>
      </c>
      <c r="E3290" s="1" t="str">
        <f>IFERROR(__xludf.DUMMYFUNCTION("CONCATENATE(GOOGLETRANSLATE(C3290, ""en"", ""ko""))"),"AquaCrest의 Pur PPT711 정수 필터 교체 호환")</f>
        <v>AquaCrest의 Pur PPT711 정수 필터 교체 호환</v>
      </c>
      <c r="F3290" s="1" t="str">
        <f>IFERROR(__xludf.DUMMYFUNCTION("CONCATENATE(GOOGLETRANSLATE(C3290, ""en"", ""ja""))"),"AquaCrest と互換性のある Pur PPT711 浄水フィルター交換品")</f>
        <v>AquaCrest と互換性のある Pur PPT711 浄水フィルター交換品</v>
      </c>
    </row>
    <row r="3291" ht="15.75" customHeight="1">
      <c r="A3291" s="1">
        <v>7443.0</v>
      </c>
      <c r="B3291" s="1" t="s">
        <v>15</v>
      </c>
      <c r="C3291" s="1" t="s">
        <v>2967</v>
      </c>
      <c r="D3291" s="1" t="str">
        <f>IFERROR(__xludf.DUMMYFUNCTION("CONCATENATE(GOOGLETRANSLATE(C3291, ""en"", ""zh-cn""))"),"PUR PS971185 SpiroPure 水过滤器，位于 AllFilters.com")</f>
        <v>PUR PS971185 SpiroPure 水过滤器，位于 AllFilters.com</v>
      </c>
      <c r="E3291" s="1" t="str">
        <f>IFERROR(__xludf.DUMMYFUNCTION("CONCATENATE(GOOGLETRANSLATE(C3291, ""en"", ""ko""))"),"AllFilters.com의 SpiroPure PUR PS971185 정수 필터")</f>
        <v>AllFilters.com의 SpiroPure PUR PS971185 정수 필터</v>
      </c>
      <c r="F3291" s="1" t="str">
        <f>IFERROR(__xludf.DUMMYFUNCTION("CONCATENATE(GOOGLETRANSLATE(C3291, ""en"", ""ja""))"),"AllFilters.com の SpiroPure による PUR PS971185 浄水フィルター")</f>
        <v>AllFilters.com の SpiroPure による PUR PS971185 浄水フィルター</v>
      </c>
    </row>
    <row r="3292" ht="15.75" customHeight="1">
      <c r="A3292" s="1">
        <v>7444.0</v>
      </c>
      <c r="B3292" s="1" t="s">
        <v>15</v>
      </c>
      <c r="C3292" s="1" t="s">
        <v>2968</v>
      </c>
      <c r="D3292" s="1" t="str">
        <f>IFERROR(__xludf.DUMMYFUNCTION("CONCATENATE(GOOGLETRANSLATE(C3292, ""en"", ""zh-cn""))"),"Pur 水龙头安装 MineralClear 替换过滤器 3 件装")</f>
        <v>Pur 水龙头安装 MineralClear 替换过滤器 3 件装</v>
      </c>
      <c r="E3292" s="1" t="str">
        <f>IFERROR(__xludf.DUMMYFUNCTION("CONCATENATE(GOOGLETRANSLATE(C3292, ""en"", ""ko""))"),"Pur 수전 마운트 미네랄 클리어 교체 필터 3팩")</f>
        <v>Pur 수전 마운트 미네랄 클리어 교체 필터 3팩</v>
      </c>
      <c r="F3292" s="1" t="str">
        <f>IFERROR(__xludf.DUMMYFUNCTION("CONCATENATE(GOOGLETRANSLATE(C3292, ""en"", ""ja""))"),"Pur フォーセットマウント ミネラルクリア 交換用フィルター 3 個パック")</f>
        <v>Pur フォーセットマウント ミネラルクリア 交換用フィルター 3 個パック</v>
      </c>
    </row>
    <row r="3293" ht="15.75" customHeight="1">
      <c r="A3293" s="1">
        <v>7448.0</v>
      </c>
      <c r="B3293" s="1" t="s">
        <v>15</v>
      </c>
      <c r="C3293" s="1" t="s">
        <v>2969</v>
      </c>
      <c r="D3293" s="1" t="str">
        <f>IFERROR(__xludf.DUMMYFUNCTION("CONCATENATE(GOOGLETRANSLATE(C3293, ""en"", ""zh-cn""))"),"PUR 水龙头安装替换水过滤器基本 2 件装")</f>
        <v>PUR 水龙头安装替换水过滤器基本 2 件装</v>
      </c>
      <c r="E3293" s="1" t="str">
        <f>IFERROR(__xludf.DUMMYFUNCTION("CONCATENATE(GOOGLETRANSLATE(C3293, ""en"", ""ko""))"),"PUR 수전 장착형 교체용 정수 필터 기본 2팩")</f>
        <v>PUR 수전 장착형 교체용 정수 필터 기본 2팩</v>
      </c>
      <c r="F3293" s="1" t="str">
        <f>IFERROR(__xludf.DUMMYFUNCTION("CONCATENATE(GOOGLETRANSLATE(C3293, ""en"", ""ja""))"),"PUR 蛇口マウント交換用浄水フィルターベーシック 2 個パック")</f>
        <v>PUR 蛇口マウント交換用浄水フィルターベーシック 2 個パック</v>
      </c>
    </row>
    <row r="3294" ht="15.75" customHeight="1">
      <c r="A3294" s="1">
        <v>7463.0</v>
      </c>
      <c r="B3294" s="1" t="s">
        <v>15</v>
      </c>
      <c r="C3294" s="1" t="s">
        <v>2970</v>
      </c>
      <c r="D3294" s="1" t="str">
        <f>IFERROR(__xludf.DUMMYFUNCTION("CONCATENATE(GOOGLETRANSLATE(C3294, ""en"", ""zh-cn""))"),"Equate 女性头发再生治疗 3 个月供应量，美国，2 盎司")</f>
        <v>Equate 女性头发再生治疗 3 个月供应量，美国，2 盎司</v>
      </c>
      <c r="E3294" s="1" t="str">
        <f>IFERROR(__xludf.DUMMYFUNCTION("CONCATENATE(GOOGLETRANSLATE(C3294, ""en"", ""ko""))"),"여성용 Equate 모발 재성장 치료 3개월분 미국, 2온스")</f>
        <v>여성용 Equate 모발 재성장 치료 3개월분 미국, 2온스</v>
      </c>
      <c r="F3294" s="1" t="str">
        <f>IFERROR(__xludf.DUMMYFUNCTION("CONCATENATE(GOOGLETRANSLATE(C3294, ""en"", ""ja""))"),"Equate 発毛トリートメント 女性用 3 か月分 米国、2 オンス")</f>
        <v>Equate 発毛トリートメント 女性用 3 か月分 米国、2 オンス</v>
      </c>
    </row>
    <row r="3295" ht="15.75" customHeight="1">
      <c r="A3295" s="1">
        <v>7496.0</v>
      </c>
      <c r="B3295" s="1" t="s">
        <v>15</v>
      </c>
      <c r="C3295" s="1" t="s">
        <v>2971</v>
      </c>
      <c r="D3295" s="1" t="str">
        <f>IFERROR(__xludf.DUMMYFUNCTION("CONCATENATE(GOOGLETRANSLATE(C3295, ""en"", ""zh-cn""))"),"Equate Beauty 湿疹舒缓护肤霜")</f>
        <v>Equate Beauty 湿疹舒缓护肤霜</v>
      </c>
      <c r="E3295" s="1" t="str">
        <f>IFERROR(__xludf.DUMMYFUNCTION("CONCATENATE(GOOGLETRANSLATE(C3295, ""en"", ""ko""))"),"Equate Beauty 습진 완화 피부 보호 크림")</f>
        <v>Equate Beauty 습진 완화 피부 보호 크림</v>
      </c>
      <c r="F3295" s="1" t="str">
        <f>IFERROR(__xludf.DUMMYFUNCTION("CONCATENATE(GOOGLETRANSLATE(C3295, ""en"", ""ja""))"),"Equate Beauty 湿疹緩和スキンプロテクションクリーム")</f>
        <v>Equate Beauty 湿疹緩和スキンプロテクションクリーム</v>
      </c>
    </row>
    <row r="3296" ht="15.75" customHeight="1">
      <c r="A3296" s="1">
        <v>7498.0</v>
      </c>
      <c r="B3296" s="1" t="s">
        <v>15</v>
      </c>
      <c r="C3296" s="1" t="s">
        <v>2972</v>
      </c>
      <c r="D3296" s="1" t="str">
        <f>IFERROR(__xludf.DUMMYFUNCTION("CONCATENATE(GOOGLETRANSLATE(C3296, ""en"", ""zh-cn""))"),"Equate 三效关节健康包衣片")</f>
        <v>Equate 三效关节健康包衣片</v>
      </c>
      <c r="E3296" s="1" t="str">
        <f>IFERROR(__xludf.DUMMYFUNCTION("CONCATENATE(GOOGLETRANSLATE(C3296, ""en"", ""ko""))"),"Equate 트리플 액션 관절 건강 코팅 정제")</f>
        <v>Equate 트리플 액션 관절 건강 코팅 정제</v>
      </c>
      <c r="F3296" s="1" t="str">
        <f>IFERROR(__xludf.DUMMYFUNCTION("CONCATENATE(GOOGLETRANSLATE(C3296, ""en"", ""ja""))"),"トリプルアクションジョイントヘルスコーティング錠と同等")</f>
        <v>トリプルアクションジョイントヘルスコーティング錠と同等</v>
      </c>
    </row>
    <row r="3297" ht="15.75" customHeight="1">
      <c r="A3297" s="1">
        <v>7512.0</v>
      </c>
      <c r="B3297" s="1" t="s">
        <v>15</v>
      </c>
      <c r="C3297" s="1" t="s">
        <v>2973</v>
      </c>
      <c r="D3297" s="1" t="str">
        <f>IFERROR(__xludf.DUMMYFUNCTION("CONCATENATE(GOOGLETRANSLATE(C3297, ""en"", ""zh-cn""))"),"Hi Pro Pac 角蛋白防毛躁头发强效蛋白质护理")</f>
        <v>Hi Pro Pac 角蛋白防毛躁头发强效蛋白质护理</v>
      </c>
      <c r="E3297" s="1" t="str">
        <f>IFERROR(__xludf.DUMMYFUNCTION("CONCATENATE(GOOGLETRANSLATE(C3297, ""en"", ""ko""))"),"하이프로팩 ​​케라틴 프로틴 곱슬거림 없는 헤어 인텐스 프로틴 트리트먼트")</f>
        <v>하이프로팩 ​​케라틴 프로틴 곱슬거림 없는 헤어 인텐스 프로틴 트리트먼트</v>
      </c>
      <c r="F3297" s="1" t="str">
        <f>IFERROR(__xludf.DUMMYFUNCTION("CONCATENATE(GOOGLETRANSLATE(C3297, ""en"", ""ja""))"),"Hi Pro Pac ケラチン プロテイン 縮れ防止ヘア インテンス プロテイン トリートメント")</f>
        <v>Hi Pro Pac ケラチン プロテイン 縮れ防止ヘア インテンス プロテイン トリートメント</v>
      </c>
    </row>
    <row r="3298" ht="15.75" customHeight="1">
      <c r="A3298" s="1">
        <v>7550.0</v>
      </c>
      <c r="B3298" s="1" t="s">
        <v>15</v>
      </c>
      <c r="C3298" s="1" t="s">
        <v>2974</v>
      </c>
      <c r="D3298" s="1" t="str">
        <f>IFERROR(__xludf.DUMMYFUNCTION("CONCATENATE(GOOGLETRANSLATE(C3298, ""en"", ""zh-cn""))"),"露得清阿​​达帕林凝胶痤疮治疗")</f>
        <v>露得清阿​​达帕林凝胶痤疮治疗</v>
      </c>
      <c r="E3298" s="1" t="str">
        <f>IFERROR(__xludf.DUMMYFUNCTION("CONCATENATE(GOOGLETRANSLATE(C3298, ""en"", ""ko""))"),"뉴트로지나 아다팔렌 젤 여드름 치료")</f>
        <v>뉴트로지나 아다팔렌 젤 여드름 치료</v>
      </c>
      <c r="F3298" s="1" t="str">
        <f>IFERROR(__xludf.DUMMYFUNCTION("CONCATENATE(GOOGLETRANSLATE(C3298, ""en"", ""ja""))"),"ニュートロジーナ アダパレン ジェル ニキビ治療薬")</f>
        <v>ニュートロジーナ アダパレン ジェル ニキビ治療薬</v>
      </c>
    </row>
    <row r="3299" ht="15.75" customHeight="1">
      <c r="A3299" s="1">
        <v>7551.0</v>
      </c>
      <c r="B3299" s="1" t="s">
        <v>15</v>
      </c>
      <c r="C3299" s="1" t="s">
        <v>2975</v>
      </c>
      <c r="D3299" s="1" t="str">
        <f>IFERROR(__xludf.DUMMYFUNCTION("CONCATENATE(GOOGLETRANSLATE(C3299, ""en"", ""zh-cn""))"),"露得清透明防御快速凝胶")</f>
        <v>露得清透明防御快速凝胶</v>
      </c>
      <c r="E3299" s="1" t="str">
        <f>IFERROR(__xludf.DUMMYFUNCTION("CONCATENATE(GOOGLETRANSLATE(C3299, ""en"", ""ko""))"),"뉴트로지나 클리어 앤 디펜드 래피드 젤")</f>
        <v>뉴트로지나 클리어 앤 디펜드 래피드 젤</v>
      </c>
      <c r="F3299" s="1" t="str">
        <f>IFERROR(__xludf.DUMMYFUNCTION("CONCATENATE(GOOGLETRANSLATE(C3299, ""en"", ""ja""))"),"ニュートロジーナ クリア＆ディフェンド ラピッドジェル")</f>
        <v>ニュートロジーナ クリア＆ディフェンド ラピッドジェル</v>
      </c>
    </row>
    <row r="3300" ht="15.75" customHeight="1">
      <c r="A3300" s="1">
        <v>7555.0</v>
      </c>
      <c r="B3300" s="1" t="s">
        <v>15</v>
      </c>
      <c r="C3300" s="1" t="s">
        <v>2976</v>
      </c>
      <c r="D3300" s="1" t="str">
        <f>IFERROR(__xludf.DUMMYFUNCTION("CONCATENATE(GOOGLETRANSLATE(C3300, ""en"", ""zh-cn""))"),"露得清细胞面部护理")</f>
        <v>露得清细胞面部护理</v>
      </c>
      <c r="E3300" s="1" t="str">
        <f>IFERROR(__xludf.DUMMYFUNCTION("CONCATENATE(GOOGLETRANSLATE(C3300, ""en"", ""ko""))"),"뉴트로지나 셀룰러 페이셜 트리트먼트")</f>
        <v>뉴트로지나 셀룰러 페이셜 트리트먼트</v>
      </c>
      <c r="F3300" s="1" t="str">
        <f>IFERROR(__xludf.DUMMYFUNCTION("CONCATENATE(GOOGLETRANSLATE(C3300, ""en"", ""ja""))"),"ニュートロジーナ セルラー フェイシャル トリートメント")</f>
        <v>ニュートロジーナ セルラー フェイシャル トリートメント</v>
      </c>
    </row>
    <row r="3301" ht="15.75" customHeight="1">
      <c r="A3301" s="1">
        <v>7567.0</v>
      </c>
      <c r="B3301" s="1" t="s">
        <v>15</v>
      </c>
      <c r="C3301" s="1" t="s">
        <v>2977</v>
      </c>
      <c r="D3301" s="1" t="str">
        <f>IFERROR(__xludf.DUMMYFUNCTION("CONCATENATE(GOOGLETRANSLATE(C3301, ""en"", ""zh-cn""))"),"露得清亮采凝胶霜，15g")</f>
        <v>露得清亮采凝胶霜，15g</v>
      </c>
      <c r="E3301" s="1" t="str">
        <f>IFERROR(__xludf.DUMMYFUNCTION("CONCATENATE(GOOGLETRANSLATE(C3301, ""en"", ""ko""))"),"뉴트로지나 브라이트 부스트 젤 크림, 15g")</f>
        <v>뉴트로지나 브라이트 부스트 젤 크림, 15g</v>
      </c>
      <c r="F3301" s="1" t="str">
        <f>IFERROR(__xludf.DUMMYFUNCTION("CONCATENATE(GOOGLETRANSLATE(C3301, ""en"", ""ja""))"),"ニュートロジーナ ブライト ブースト ジェル クリーム、15g")</f>
        <v>ニュートロジーナ ブライト ブースト ジェル クリーム、15g</v>
      </c>
    </row>
    <row r="3302" ht="15.75" customHeight="1">
      <c r="A3302" s="1">
        <v>7584.0</v>
      </c>
      <c r="B3302" s="1" t="s">
        <v>15</v>
      </c>
      <c r="C3302" s="1" t="s">
        <v>2049</v>
      </c>
      <c r="D3302" s="1" t="str">
        <f>IFERROR(__xludf.DUMMYFUNCTION("CONCATENATE(GOOGLETRANSLATE(C3302, ""en"", ""zh-cn""))"),"露得清 (Neutrogena) 抗痘 SOS 速效凝胶")</f>
        <v>露得清 (Neutrogena) 抗痘 SOS 速效凝胶</v>
      </c>
      <c r="E3302" s="1" t="str">
        <f>IFERROR(__xludf.DUMMYFUNCTION("CONCATENATE(GOOGLETRANSLATE(C3302, ""en"", ""ko""))"),"뉴트로지나 안티 여드름 SOS 인스턴트 에이드 젤")</f>
        <v>뉴트로지나 안티 여드름 SOS 인스턴트 에이드 젤</v>
      </c>
      <c r="F3302" s="1" t="str">
        <f>IFERROR(__xludf.DUMMYFUNCTION("CONCATENATE(GOOGLETRANSLATE(C3302, ""en"", ""ja""))"),"ニュートロジーナ アンチニキビ SOS インスタント エイド ジェル")</f>
        <v>ニュートロジーナ アンチニキビ SOS インスタント エイド ジェル</v>
      </c>
    </row>
    <row r="3303" ht="15.75" customHeight="1">
      <c r="A3303" s="1">
        <v>7594.0</v>
      </c>
      <c r="B3303" s="1" t="s">
        <v>15</v>
      </c>
      <c r="C3303" s="1" t="s">
        <v>2974</v>
      </c>
      <c r="D3303" s="1" t="str">
        <f>IFERROR(__xludf.DUMMYFUNCTION("CONCATENATE(GOOGLETRANSLATE(C3303, ""en"", ""zh-cn""))"),"露得清阿​​达帕林凝胶痤疮治疗")</f>
        <v>露得清阿​​达帕林凝胶痤疮治疗</v>
      </c>
      <c r="E3303" s="1" t="str">
        <f>IFERROR(__xludf.DUMMYFUNCTION("CONCATENATE(GOOGLETRANSLATE(C3303, ""en"", ""ko""))"),"뉴트로지나 아다팔렌 젤 여드름 치료")</f>
        <v>뉴트로지나 아다팔렌 젤 여드름 치료</v>
      </c>
      <c r="F3303" s="1" t="str">
        <f>IFERROR(__xludf.DUMMYFUNCTION("CONCATENATE(GOOGLETRANSLATE(C3303, ""en"", ""ja""))"),"ニュートロジーナ アダパレン ジェル ニキビ治療薬")</f>
        <v>ニュートロジーナ アダパレン ジェル ニキビ治療薬</v>
      </c>
    </row>
    <row r="3304" ht="15.75" customHeight="1">
      <c r="A3304" s="1">
        <v>7599.0</v>
      </c>
      <c r="B3304" s="1" t="s">
        <v>15</v>
      </c>
      <c r="C3304" s="1" t="s">
        <v>2978</v>
      </c>
      <c r="D3304" s="1" t="str">
        <f>IFERROR(__xludf.DUMMYFUNCTION("CONCATENATE(GOOGLETRANSLATE(C3304, ""en"", ""zh-cn""))"),"露得清 Hydro Boost 凝胶霜超干性皮肤")</f>
        <v>露得清 Hydro Boost 凝胶霜超干性皮肤</v>
      </c>
      <c r="E3304" s="1" t="str">
        <f>IFERROR(__xludf.DUMMYFUNCTION("CONCATENATE(GOOGLETRANSLATE(C3304, ""en"", ""ko""))"),"뉴트로지나 하이드로 부스트 젤-크림 엑스트라-드라이 스킨")</f>
        <v>뉴트로지나 하이드로 부스트 젤-크림 엑스트라-드라이 스킨</v>
      </c>
      <c r="F3304" s="1" t="str">
        <f>IFERROR(__xludf.DUMMYFUNCTION("CONCATENATE(GOOGLETRANSLATE(C3304, ""en"", ""ja""))"),"ニュートロジーナ ハイドロ ブースト ジェルクリーム エクストラドライスキン")</f>
        <v>ニュートロジーナ ハイドロ ブースト ジェルクリーム エクストラドライスキン</v>
      </c>
    </row>
    <row r="3305" ht="15.75" customHeight="1">
      <c r="A3305" s="1">
        <v>7606.0</v>
      </c>
      <c r="B3305" s="1" t="s">
        <v>15</v>
      </c>
      <c r="C3305" s="1" t="s">
        <v>2979</v>
      </c>
      <c r="D3305" s="1" t="str">
        <f>IFERROR(__xludf.DUMMYFUNCTION("CONCATENATE(GOOGLETRANSLATE(C3305, ""en"", ""zh-cn""))"),"露得清强效修复积雪草膏")</f>
        <v>露得清强效修复积雪草膏</v>
      </c>
      <c r="E3305" s="1" t="str">
        <f>IFERROR(__xludf.DUMMYFUNCTION("CONCATENATE(GOOGLETRANSLATE(C3305, ""en"", ""ko""))"),"뉴트로지나 인텐스 리페어 시카 밤")</f>
        <v>뉴트로지나 인텐스 리페어 시카 밤</v>
      </c>
      <c r="F3305" s="1" t="str">
        <f>IFERROR(__xludf.DUMMYFUNCTION("CONCATENATE(GOOGLETRANSLATE(C3305, ""en"", ""ja""))"),"ニュートロジーナ インテンスリペア シカバーム")</f>
        <v>ニュートロジーナ インテンスリペア シカバーム</v>
      </c>
    </row>
    <row r="3306" ht="15.75" customHeight="1">
      <c r="A3306" s="1">
        <v>7609.0</v>
      </c>
      <c r="B3306" s="1" t="s">
        <v>15</v>
      </c>
      <c r="C3306" s="1" t="s">
        <v>2980</v>
      </c>
      <c r="D3306" s="1" t="str">
        <f>IFERROR(__xludf.DUMMYFUNCTION("CONCATENATE(GOOGLETRANSLATE(C3306, ""en"", ""zh-cn""))"),"Neutrogena Ageless Intenses 抗皱深层皱纹保湿夜间保湿霜")</f>
        <v>Neutrogena Ageless Intenses 抗皱深层皱纹保湿夜间保湿霜</v>
      </c>
      <c r="E3306" s="1" t="str">
        <f>IFERROR(__xludf.DUMMYFUNCTION("CONCATENATE(GOOGLETRANSLATE(C3306, ""en"", ""ko""))"),"뉴트로지나 에이지리스 인텐시브 안티 링클 딥 링클 모이스처 나이트 모이스처라이저")</f>
        <v>뉴트로지나 에이지리스 인텐시브 안티 링클 딥 링클 모이스처 나이트 모이스처라이저</v>
      </c>
      <c r="F3306" s="1" t="str">
        <f>IFERROR(__xludf.DUMMYFUNCTION("CONCATENATE(GOOGLETRANSLATE(C3306, ""en"", ""ja""))"),"ニュートロジーナ エイジレス インテンシブ アンチリンクル ディープリンクル モイスチャー ナイト モイスチャライザー")</f>
        <v>ニュートロジーナ エイジレス インテンシブ アンチリンクル ディープリンクル モイスチャー ナイト モイスチャライザー</v>
      </c>
    </row>
    <row r="3307" ht="15.75" customHeight="1">
      <c r="A3307" s="1">
        <v>7611.0</v>
      </c>
      <c r="B3307" s="1" t="s">
        <v>15</v>
      </c>
      <c r="C3307" s="1" t="s">
        <v>2049</v>
      </c>
      <c r="D3307" s="1" t="str">
        <f>IFERROR(__xludf.DUMMYFUNCTION("CONCATENATE(GOOGLETRANSLATE(C3307, ""en"", ""zh-cn""))"),"露得清 (Neutrogena) 抗痘 SOS 速效凝胶")</f>
        <v>露得清 (Neutrogena) 抗痘 SOS 速效凝胶</v>
      </c>
      <c r="E3307" s="1" t="str">
        <f>IFERROR(__xludf.DUMMYFUNCTION("CONCATENATE(GOOGLETRANSLATE(C3307, ""en"", ""ko""))"),"뉴트로지나 안티 여드름 SOS 인스턴트 에이드 젤")</f>
        <v>뉴트로지나 안티 여드름 SOS 인스턴트 에이드 젤</v>
      </c>
      <c r="F3307" s="1" t="str">
        <f>IFERROR(__xludf.DUMMYFUNCTION("CONCATENATE(GOOGLETRANSLATE(C3307, ""en"", ""ja""))"),"ニュートロジーナ アンチニキビ SOS インスタント エイド ジェル")</f>
        <v>ニュートロジーナ アンチニキビ SOS インスタント エイド ジェル</v>
      </c>
    </row>
    <row r="3308" ht="15.75" customHeight="1">
      <c r="A3308" s="1">
        <v>7635.0</v>
      </c>
      <c r="B3308" s="1" t="s">
        <v>15</v>
      </c>
      <c r="C3308" s="1" t="s">
        <v>2981</v>
      </c>
      <c r="D3308" s="1" t="str">
        <f>IFERROR(__xludf.DUMMYFUNCTION("CONCATENATE(GOOGLETRANSLATE(C3308, ""en"", ""zh-cn""))"),"露得清 Hydro Boost 水凝胶")</f>
        <v>露得清 Hydro Boost 水凝胶</v>
      </c>
      <c r="E3308" s="1" t="str">
        <f>IFERROR(__xludf.DUMMYFUNCTION("CONCATENATE(GOOGLETRANSLATE(C3308, ""en"", ""ko""))"),"하이드로 부스트 워터 젤 뉴트로지나")</f>
        <v>하이드로 부스트 워터 젤 뉴트로지나</v>
      </c>
      <c r="F3308" s="1" t="str">
        <f>IFERROR(__xludf.DUMMYFUNCTION("CONCATENATE(GOOGLETRANSLATE(C3308, ""en"", ""ja""))"),"ハイドロ ブースト ウォーター ジェル ニュートロジーナ")</f>
        <v>ハイドロ ブースト ウォーター ジェル ニュートロジーナ</v>
      </c>
    </row>
    <row r="3309" ht="15.75" customHeight="1">
      <c r="A3309" s="1">
        <v>7636.0</v>
      </c>
      <c r="B3309" s="1" t="s">
        <v>15</v>
      </c>
      <c r="C3309" s="1" t="s">
        <v>2982</v>
      </c>
      <c r="D3309" s="1" t="str">
        <f>IFERROR(__xludf.DUMMYFUNCTION("CONCATENATE(GOOGLETRANSLATE(C3309, ""en"", ""zh-cn""))"),"露得清 (Neutrogena) 顽固疤痕 PM 治疗")</f>
        <v>露得清 (Neutrogena) 顽固疤痕 PM 治疗</v>
      </c>
      <c r="E3309" s="1" t="str">
        <f>IFERROR(__xludf.DUMMYFUNCTION("CONCATENATE(GOOGLETRANSLATE(C3309, ""en"", ""ko""))"),"뉴트로지나 스터번 마크 PM 트리트먼트")</f>
        <v>뉴트로지나 스터번 마크 PM 트리트먼트</v>
      </c>
      <c r="F3309" s="1" t="str">
        <f>IFERROR(__xludf.DUMMYFUNCTION("CONCATENATE(GOOGLETRANSLATE(C3309, ""en"", ""ja""))"),"ニュートロジーナ 頑固なマーク PM トリートメント")</f>
        <v>ニュートロジーナ 頑固なマーク PM トリートメント</v>
      </c>
    </row>
    <row r="3310" ht="15.75" customHeight="1">
      <c r="A3310" s="1">
        <v>7637.0</v>
      </c>
      <c r="B3310" s="1" t="s">
        <v>15</v>
      </c>
      <c r="C3310" s="1" t="s">
        <v>2983</v>
      </c>
      <c r="D3310" s="1" t="str">
        <f>IFERROR(__xludf.DUMMYFUNCTION("CONCATENATE(GOOGLETRANSLATE(C3310, ""en"", ""zh-cn""))"),"Arm Hammer SLIDE Platinum Multi-Cat 轻松清理结块猫砂，14 天防臭 18 磅")</f>
        <v>Arm Hammer SLIDE Platinum Multi-Cat 轻松清理结块猫砂，14 天防臭 18 磅</v>
      </c>
      <c r="E3310" s="1" t="str">
        <f>IFERROR(__xludf.DUMMYFUNCTION("CONCATENATE(GOOGLETRANSLATE(C3310, ""en"", ""ko""))"),"암 해머 슬라이드 플래티넘 다중 고양이 간편한 청소 덩어리 고양이 쓰레기, 14일 냄새 제어 18lb")</f>
        <v>암 해머 슬라이드 플래티넘 다중 고양이 간편한 청소 덩어리 고양이 쓰레기, 14일 냄새 제어 18lb</v>
      </c>
      <c r="F3310" s="1" t="str">
        <f>IFERROR(__xludf.DUMMYFUNCTION("CONCATENATE(GOOGLETRANSLATE(C3310, ""en"", ""ja""))"),"アームハンマー スライド プラチナ マルチキャット 簡単お掃除 固まる猫砂 14日間の臭気抑制 18ポンド")</f>
        <v>アームハンマー スライド プラチナ マルチキャット 簡単お掃除 固まる猫砂 14日間の臭気抑制 18ポンド</v>
      </c>
    </row>
    <row r="3311" ht="15.75" customHeight="1">
      <c r="A3311" s="1">
        <v>7644.0</v>
      </c>
      <c r="B3311" s="1" t="s">
        <v>15</v>
      </c>
      <c r="C3311" s="1" t="s">
        <v>2984</v>
      </c>
      <c r="D3311" s="1" t="str">
        <f>IFERROR(__xludf.DUMMYFUNCTION("CONCATENATE(GOOGLETRANSLATE(C3311, ""en"", ""zh-cn""))"),"宠物手臂和锤子狗用牙科水添加剂，牙垢控制 |狗牙齿护理无需刷牙即可减少牙菌斑和牙垢堆积| 16 盎司 - 24 包，无臭无味")</f>
        <v>宠物手臂和锤子狗用牙科水添加剂，牙垢控制 |狗牙齿护理无需刷牙即可减少牙菌斑和牙垢堆积| 16 盎司 - 24 包，无臭无味</v>
      </c>
      <c r="E3311" s="1" t="str">
        <f>IFERROR(__xludf.DUMMYFUNCTION("CONCATENATE(GOOGLETRANSLATE(C3311, ""en"", ""ko""))"),"애완동물용 암 앤 해머 강아지용 치과용 첨가물, 치석 관리 | 개 치과 치료는 양치 없이 플라크 및 치석 축적을 줄입니다 | 16온스 - 24팩, 무취, 무향")</f>
        <v>애완동물용 암 앤 해머 강아지용 치과용 첨가물, 치석 관리 | 개 치과 치료는 양치 없이 플라크 및 치석 축적을 줄입니다 | 16온스 - 24팩, 무취, 무향</v>
      </c>
      <c r="F3311" s="1" t="str">
        <f>IFERROR(__xludf.DUMMYFUNCTION("CONCATENATE(GOOGLETRANSLATE(C3311, ""en"", ""ja""))"),"ペット用アーム＆ハンマー 犬用歯科用水添加剤、歯石コントロール |犬のデンタルケアはブラッシングなしで歯垢と歯石の蓄積を軽減します | 16オンス - 24パック、無臭、無味")</f>
        <v>ペット用アーム＆ハンマー 犬用歯科用水添加剤、歯石コントロール |犬のデンタルケアはブラッシングなしで歯垢と歯石の蓄積を軽減します | 16オンス - 24パック、無臭、無味</v>
      </c>
    </row>
    <row r="3312" ht="15.75" customHeight="1">
      <c r="A3312" s="1">
        <v>7655.0</v>
      </c>
      <c r="B3312" s="1" t="s">
        <v>15</v>
      </c>
      <c r="C3312" s="1" t="s">
        <v>2985</v>
      </c>
      <c r="D3312" s="1" t="str">
        <f>IFERROR(__xludf.DUMMYFUNCTION("CONCATENATE(GOOGLETRANSLATE(C3312, ""en"", ""zh-cn""))"),"Arm &amp; Hammer 多种猫砂除臭剂，含小苏打（3 件装）")</f>
        <v>Arm &amp; Hammer 多种猫砂除臭剂，含小苏打（3 件装）</v>
      </c>
      <c r="E3312" s="1" t="str">
        <f>IFERROR(__xludf.DUMMYFUNCTION("CONCATENATE(GOOGLETRANSLATE(C3312, ""en"", ""ko""))"),"암 앤 해머 멀티플 고양이 쓰레기 탈취제(베이킹소다 함유)(3팩)")</f>
        <v>암 앤 해머 멀티플 고양이 쓰레기 탈취제(베이킹소다 함유)(3팩)</v>
      </c>
      <c r="F3312" s="1" t="str">
        <f>IFERROR(__xludf.DUMMYFUNCTION("CONCATENATE(GOOGLETRANSLATE(C3312, ""en"", ""ja""))"),"Arm &amp; Hammer マルチプル猫砂消臭剤 重曹入り (3 パック)")</f>
        <v>Arm &amp; Hammer マルチプル猫砂消臭剤 重曹入り (3 パック)</v>
      </c>
    </row>
    <row r="3313" ht="15.75" customHeight="1">
      <c r="A3313" s="1">
        <v>7657.0</v>
      </c>
      <c r="B3313" s="1" t="s">
        <v>15</v>
      </c>
      <c r="C3313" s="1" t="s">
        <v>2986</v>
      </c>
      <c r="D3313" s="1" t="str">
        <f>IFERROR(__xludf.DUMMYFUNCTION("CONCATENATE(GOOGLETRANSLATE(C3313, ""en"", ""zh-cn""))"),"ARM &amp; HAMMER HardBall 轻便易清理花园花朵香味白金多猫结块猫砂，8.5 磅袋")</f>
        <v>ARM &amp; HAMMER HardBall 轻便易清理花园花朵香味白金多猫结块猫砂，8.5 磅袋</v>
      </c>
      <c r="E3313" s="1" t="str">
        <f>IFERROR(__xludf.DUMMYFUNCTION("CONCATENATE(GOOGLETRANSLATE(C3313, ""en"", ""ko""))"),"ARM &amp; HAMMER HardBall 경량의 간편하고 지저분하지 않은 스쿠핑 가든 블룸 향기 플래티넘 멀티캣 클럼핑 쓰레기, 8.5LB 가방")</f>
        <v>ARM &amp; HAMMER HardBall 경량의 간편하고 지저분하지 않은 스쿠핑 가든 블룸 향기 플래티넘 멀티캣 클럼핑 쓰레기, 8.5LB 가방</v>
      </c>
      <c r="F3313" s="1" t="str">
        <f>IFERROR(__xludf.DUMMYFUNCTION("CONCATENATE(GOOGLETRANSLATE(C3313, ""en"", ""ja""))"),"ARM &amp; HAMMER 硬式ボール 軽量 簡単 散らからないすくい ガーデンブルームの香り プラチナ マルチキャット 固まる砂 8.5ポンド バッグ")</f>
        <v>ARM &amp; HAMMER 硬式ボール 軽量 簡単 散らからないすくい ガーデンブルームの香り プラチナ マルチキャット 固まる砂 8.5ポンド バッグ</v>
      </c>
    </row>
    <row r="3314" ht="15.75" customHeight="1">
      <c r="A3314" s="1">
        <v>7665.0</v>
      </c>
      <c r="B3314" s="1" t="s">
        <v>15</v>
      </c>
      <c r="C3314" s="1" t="s">
        <v>2987</v>
      </c>
      <c r="D3314" s="1" t="str">
        <f>IFERROR(__xludf.DUMMYFUNCTION("CONCATENATE(GOOGLETRANSLATE(C3314, ""en"", ""zh-cn""))"),"ARM &amp; HAMMER 硬球轻质白金多猫砂 轻松、不乱铲、结块猫砂，16.5 磅袋，花园花香，在线独家配方")</f>
        <v>ARM &amp; HAMMER 硬球轻质白金多猫砂 轻松、不乱铲、结块猫砂，16.5 磅袋，花园花香，在线独家配方</v>
      </c>
      <c r="E3314" s="1" t="str">
        <f>IFERROR(__xludf.DUMMYFUNCTION("CONCATENATE(GOOGLETRANSLATE(C3314, ""en"", ""ko""))"),"ARM &amp; HAMMER 하드볼 경량 플래티넘 멀티캣 간편하고 지저분하지 않은 스쿠핑, 클럼핑 고양이 쓰레기, 16.5LB 가방, 가든 블룸 향, 온라인 독점 포뮬러")</f>
        <v>ARM &amp; HAMMER 하드볼 경량 플래티넘 멀티캣 간편하고 지저분하지 않은 스쿠핑, 클럼핑 고양이 쓰레기, 16.5LB 가방, 가든 블룸 향, 온라인 독점 포뮬러</v>
      </c>
      <c r="F3314" s="1" t="str">
        <f>IFERROR(__xludf.DUMMYFUNCTION("CONCATENATE(GOOGLETRANSLATE(C3314, ""en"", ""ja""))"),"ARM &amp; HAMMER 硬式軽量プラチナ マルチキャット 簡単、散らからないすくい、固まる猫砂、16.5ポンドバッグ、ガーデンブルームの香り、オンライン限定フォーミュラ")</f>
        <v>ARM &amp; HAMMER 硬式軽量プラチナ マルチキャット 簡単、散らからないすくい、固まる猫砂、16.5ポンドバッグ、ガーデンブルームの香り、オンライン限定フォーミュラ</v>
      </c>
    </row>
    <row r="3315" ht="15.75" customHeight="1">
      <c r="A3315" s="1">
        <v>7667.0</v>
      </c>
      <c r="B3315" s="1" t="s">
        <v>15</v>
      </c>
      <c r="C3315" s="1" t="s">
        <v>2988</v>
      </c>
      <c r="D3315" s="1" t="str">
        <f>IFERROR(__xludf.DUMMYFUNCTION("CONCATENATE(GOOGLETRANSLATE(C3315, ""en"", ""zh-cn""))"),"Arm &amp; Hammer Arm Hammer Ultra Last 无味结块猫砂，MultiCat 18 磅，宠物友好型，含小苏打")</f>
        <v>Arm &amp; Hammer Arm Hammer Ultra Last 无味结块猫砂，MultiCat 18 磅，宠物友好型，含小苏打</v>
      </c>
      <c r="E3315" s="1" t="str">
        <f>IFERROR(__xludf.DUMMYFUNCTION("CONCATENATE(GOOGLETRANSLATE(C3315, ""en"", ""ko""))"),"암 앤 해머 암 해머 울트라 라스트 무향 클럼핑 고양이 모래, MultiCat 18lb, 베이킹 소다 함유 애완동물 친화적")</f>
        <v>암 앤 해머 암 해머 울트라 라스트 무향 클럼핑 고양이 모래, MultiCat 18lb, 베이킹 소다 함유 애완동물 친화적</v>
      </c>
      <c r="F3315" s="1" t="str">
        <f>IFERROR(__xludf.DUMMYFUNCTION("CONCATENATE(GOOGLETRANSLATE(C3315, ""en"", ""ja""))"),"Arm &amp; Hammer アームハンマー ウルトララスト 無香料 固まる猫砂 マルチキャット 18ポンド ペットに優しい 重曹入り")</f>
        <v>Arm &amp; Hammer アームハンマー ウルトララスト 無香料 固まる猫砂 マルチキャット 18ポンド ペットに優しい 重曹入り</v>
      </c>
    </row>
    <row r="3316" ht="15.75" customHeight="1">
      <c r="A3316" s="1">
        <v>7670.0</v>
      </c>
      <c r="B3316" s="1" t="s">
        <v>15</v>
      </c>
      <c r="C3316" s="1" t="s">
        <v>2989</v>
      </c>
      <c r="D3316" s="1" t="str">
        <f>IFERROR(__xludf.DUMMYFUNCTION("CONCATENATE(GOOGLETRANSLATE(C3316, ""en"", ""zh-cn""))"),"ARM &amp; HAMMER Clump &amp; Seal Platinum Multi-Cat 完全气味密封结块猫砂，可 14 天控制气味，37 磅，在线独家配方")</f>
        <v>ARM &amp; HAMMER Clump &amp; Seal Platinum Multi-Cat 完全气味密封结块猫砂，可 14 天控制气味，37 磅，在线独家配方</v>
      </c>
      <c r="E3316" s="1" t="str">
        <f>IFERROR(__xludf.DUMMYFUNCTION("CONCATENATE(GOOGLETRANSLATE(C3316, ""en"", ""ko""))"),"ARM &amp; HAMMER Clump &amp; Seal Platinum Multi-Cat 완전한 냄새 밀봉 클럼핑 고양이 쓰레기, 14일간의 냄새 제어 기능 포함, 37lbs, 온라인 독점 포뮬라")</f>
        <v>ARM &amp; HAMMER Clump &amp; Seal Platinum Multi-Cat 완전한 냄새 밀봉 클럼핑 고양이 쓰레기, 14일간의 냄새 제어 기능 포함, 37lbs, 온라인 독점 포뮬라</v>
      </c>
      <c r="F3316" s="1" t="str">
        <f>IFERROR(__xludf.DUMMYFUNCTION("CONCATENATE(GOOGLETRANSLATE(C3316, ""en"", ""ja""))"),"ARM &amp; HAMMER クランプ &amp; シール プラチナム マルチキャット 完全臭気シール 塊状猫砂 14 日間の臭気制御機能付き、37 ポンド、オンライン限定フォーミュラ")</f>
        <v>ARM &amp; HAMMER クランプ &amp; シール プラチナム マルチキャット 完全臭気シール 塊状猫砂 14 日間の臭気制御機能付き、37 ポンド、オンライン限定フォーミュラ</v>
      </c>
    </row>
    <row r="3317" ht="15.75" customHeight="1">
      <c r="A3317" s="1">
        <v>7684.0</v>
      </c>
      <c r="B3317" s="1" t="s">
        <v>15</v>
      </c>
      <c r="C3317" s="1" t="s">
        <v>2990</v>
      </c>
      <c r="D3317" s="1" t="str">
        <f>IFERROR(__xludf.DUMMYFUNCTION("CONCATENATE(GOOGLETRANSLATE(C3317, ""en"", ""zh-cn""))"),"PetSafe Scoop Crystal Pro 自动自清洁猫砂盒 (27.6x19.1x16)，配有 1 个一次性猫砂盘（灰色）")</f>
        <v>PetSafe Scoop Crystal Pro 自动自清洁猫砂盒 (27.6x19.1x16)，配有 1 个一次性猫砂盘（灰色）</v>
      </c>
      <c r="E3317" s="1" t="str">
        <f>IFERROR(__xludf.DUMMYFUNCTION("CONCATENATE(GOOGLETRANSLATE(C3317, ""en"", ""ko""))"),"PetSafe Scoop Crystal Pro 자동 자가 청소 고양이 배변 상자(27.6x19.1x16), 일회용 배변 트레이(회색) 1개 포함")</f>
        <v>PetSafe Scoop Crystal Pro 자동 자가 청소 고양이 배변 상자(27.6x19.1x16), 일회용 배변 트레이(회색) 1개 포함</v>
      </c>
      <c r="F3317" s="1" t="str">
        <f>IFERROR(__xludf.DUMMYFUNCTION("CONCATENATE(GOOGLETRANSLATE(C3317, ""en"", ""ja""))"),"PetSafe スクープ クリスタル プロ 自動セルフクリーニング猫用トイレ (27.6x19.1x16) 使い捨てトイレ 1 個付き (グレー)")</f>
        <v>PetSafe スクープ クリスタル プロ 自動セルフクリーニング猫用トイレ (27.6x19.1x16) 使い捨てトイレ 1 個付き (グレー)</v>
      </c>
    </row>
    <row r="3318" ht="15.75" customHeight="1">
      <c r="A3318" s="1">
        <v>7694.0</v>
      </c>
      <c r="B3318" s="1" t="s">
        <v>15</v>
      </c>
      <c r="C3318" s="1" t="s">
        <v>2991</v>
      </c>
      <c r="D3318" s="1" t="str">
        <f>IFERROR(__xludf.DUMMYFUNCTION("CONCATENATE(GOOGLETRANSLATE(C3318, ""en"", ""zh-cn""))"),"PetSafe ScoopFree 水晶猫砂和补充托盘，清新香味，每个托盘 4.3 磅袋装，3 件装")</f>
        <v>PetSafe ScoopFree 水晶猫砂和补充托盘，清新香味，每个托盘 4.3 磅袋装，3 件装</v>
      </c>
      <c r="E3318" s="1" t="str">
        <f>IFERROR(__xludf.DUMMYFUNCTION("CONCATENATE(GOOGLETRANSLATE(C3318, ""en"", ""ko""))"),"PetSafe ScoopFree 크리스탈 고양이 모래 및 리필 트레이, 신선한 향기, 각 트레이가 포함된 4.3파운드 가방, 3개 팩")</f>
        <v>PetSafe ScoopFree 크리스탈 고양이 모래 및 리필 트레이, 신선한 향기, 각 트레이가 포함된 4.3파운드 가방, 3개 팩</v>
      </c>
      <c r="F3318" s="1" t="str">
        <f>IFERROR(__xludf.DUMMYFUNCTION("CONCATENATE(GOOGLETRANSLATE(C3318, ""en"", ""ja""))"),"PetSafe ScoopFree クリスタル猫砂 &amp; 詰め替えトレイ、フレッシュな香り、各トレイ付き 4.3 ポンドバッグ、3 個パック")</f>
        <v>PetSafe ScoopFree クリスタル猫砂 &amp; 詰め替えトレイ、フレッシュな香り、各トレイ付き 4.3 ポンドバッグ、3 個パック</v>
      </c>
    </row>
    <row r="3319" ht="15.75" customHeight="1">
      <c r="A3319" s="1">
        <v>7696.0</v>
      </c>
      <c r="B3319" s="1" t="s">
        <v>15</v>
      </c>
      <c r="C3319" s="1" t="s">
        <v>2992</v>
      </c>
      <c r="D3319" s="1" t="str">
        <f>IFERROR(__xludf.DUMMYFUNCTION("CONCATENATE(GOOGLETRANSLATE(C3319, ""en"", ""zh-cn""))"),"MidWest Homes for Pets Spree 旅行宠物背带、狗背带易于组装，无需像竞争对手那样进行繁琐的螺母和螺栓组装，非常适合小型犬和猫")</f>
        <v>MidWest Homes for Pets Spree 旅行宠物背带、狗背带易于组装，无需像竞争对手那样进行繁琐的螺母和螺栓组装，非常适合小型犬和猫</v>
      </c>
      <c r="E3319" s="1" t="str">
        <f>IFERROR(__xludf.DUMMYFUNCTION("CONCATENATE(GOOGLETRANSLATE(C3319, ""en"", ""ko""))"),"애완동물을 위한 MidWest 주택 연속 여행용 애완동물 캐리어, 개 캐리어는 조립이 쉽고 경쟁업체의 지루한 너트 및 볼트 조립이 아닌 소형 개 및 고양이에게 이상적입니다.")</f>
        <v>애완동물을 위한 MidWest 주택 연속 여행용 애완동물 캐리어, 개 캐리어는 조립이 쉽고 경쟁업체의 지루한 너트 및 볼트 조립이 아닌 소형 개 및 고양이에게 이상적입니다.</v>
      </c>
      <c r="F3319" s="1" t="str">
        <f>IFERROR(__xludf.DUMMYFUNCTION("CONCATENATE(GOOGLETRANSLATE(C3319, ""en"", ""ja""))"),"MidWest Homes for Pets Spree Travel ペットキャリア、犬用キャリアは簡単な組み立てが特徴で、競合他社の面倒なナットとボルトの組み立てが不要で、小型犬や猫に最適です。")</f>
        <v>MidWest Homes for Pets Spree Travel ペットキャリア、犬用キャリアは簡単な組み立てが特徴で、競合他社の面倒なナットとボルトの組み立てが不要で、小型犬や猫に最適です。</v>
      </c>
    </row>
    <row r="3320" ht="15.75" customHeight="1">
      <c r="A3320" s="1">
        <v>7705.0</v>
      </c>
      <c r="B3320" s="1" t="s">
        <v>15</v>
      </c>
      <c r="C3320" s="1" t="s">
        <v>2993</v>
      </c>
      <c r="D3320" s="1" t="str">
        <f>IFERROR(__xludf.DUMMYFUNCTION("CONCATENATE(GOOGLETRANSLATE(C3320, ""en"", ""zh-cn""))"),"中型狗笼| MidWest Life Stages 30 英寸折叠金属分隔板、地板保护脚、塑料托盘 30 长 x 19 宽 21 高英寸，品种")</f>
        <v>中型狗笼| MidWest Life Stages 30 英寸折叠金属分隔板、地板保护脚、塑料托盘 30 长 x 19 宽 21 高英寸，品种</v>
      </c>
      <c r="E3320" s="1" t="str">
        <f>IFERROR(__xludf.DUMMYFUNCTION("CONCATENATE(GOOGLETRANSLATE(C3320, ""en"", ""ko""))"),"중형 개 상자 | MidWest Life Stages 30"" 접이식 금속 칸막이 패널, 바닥 보호 발, 플라스틱 트레이 30L x 19W 21H 인치, 품종")</f>
        <v>중형 개 상자 | MidWest Life Stages 30" 접이식 금속 칸막이 패널, 바닥 보호 발, 플라스틱 트레이 30L x 19W 21H 인치, 품종</v>
      </c>
      <c r="F3320" s="1" t="str">
        <f>IFERROR(__xludf.DUMMYFUNCTION("CONCATENATE(GOOGLETRANSLATE(C3320, ""en"", ""ja""))"),"中型犬用クレート | MidWest Life Stages 30インチ折りたたみ金属仕切りパネル、床保護足、プラスチックトレイ30L x 19W 21Hインチ、品種")</f>
        <v>中型犬用クレート | MidWest Life Stages 30インチ折りたたみ金属仕切りパネル、床保護足、プラスチックトレイ30L x 19W 21Hインチ、品種</v>
      </c>
    </row>
    <row r="3321" ht="15.75" customHeight="1">
      <c r="A3321" s="1">
        <v>7717.0</v>
      </c>
      <c r="B3321" s="1" t="s">
        <v>15</v>
      </c>
      <c r="C3321" s="1" t="s">
        <v>2994</v>
      </c>
      <c r="D3321" s="1" t="str">
        <f>IFERROR(__xludf.DUMMYFUNCTION("CONCATENATE(GOOGLETRANSLATE(C3321, ""en"", ""zh-cn""))"),"MidWest Homes for Pets 替换狗笼盘，适用于中西部和新世界狗笼，36 英寸（LS），黑色")</f>
        <v>MidWest Homes for Pets 替换狗笼盘，适用于中西部和新世界狗笼，36 英寸（LS），黑色</v>
      </c>
      <c r="E3321" s="1" t="str">
        <f>IFERROR(__xludf.DUMMYFUNCTION("CONCATENATE(GOOGLETRANSLATE(C3321, ""en"", ""ko""))"),"MidWest Homes for Pets MidWest 및 New World 개 상자용 교체 개 상자 팬, 36인치(LS), 검정색")</f>
        <v>MidWest Homes for Pets MidWest 및 New World 개 상자용 교체 개 상자 팬, 36인치(LS), 검정색</v>
      </c>
      <c r="F3321" s="1" t="str">
        <f>IFERROR(__xludf.DUMMYFUNCTION("CONCATENATE(GOOGLETRANSLATE(C3321, ""en"", ""ja""))"),"MidWest Homes for Pets 中西部および新世界の犬用クレート用交換用犬クレートパン、36 インチ (LS)、ブラック")</f>
        <v>MidWest Homes for Pets 中西部および新世界の犬用クレート用交換用犬クレートパン、36 インチ (LS)、ブラック</v>
      </c>
    </row>
    <row r="3322" ht="15.75" customHeight="1">
      <c r="A3322" s="1">
        <v>7719.0</v>
      </c>
      <c r="B3322" s="1" t="s">
        <v>15</v>
      </c>
      <c r="C3322" s="1" t="s">
        <v>2995</v>
      </c>
      <c r="D3322" s="1" t="str">
        <f>IFERROR(__xludf.DUMMYFUNCTION("CONCATENATE(GOOGLETRANSLATE(C3322, ""en"", ""zh-cn""))"),"PetSafe 原装替换盖板、狗门替换盖板（中号）、狗狗盖板由无毒材料制成，耐候，（尺寸 - 大号）")</f>
        <v>PetSafe 原装替换盖板、狗门替换盖板（中号）、狗狗盖板由无毒材料制成，耐候，（尺寸 - 大号）</v>
      </c>
      <c r="E3322" s="1" t="str">
        <f>IFERROR(__xludf.DUMMYFUNCTION("CONCATENATE(GOOGLETRANSLATE(C3322, ""en"", ""ko""))"),"PetSafe 오리지널 교체 플랩, 강아지 도어 교체 플랩(중형), 무독성 소재로 제작된 강아지 플랩, 내후성,(사이즈-대형)")</f>
        <v>PetSafe 오리지널 교체 플랩, 강아지 도어 교체 플랩(중형), 무독성 소재로 제작된 강아지 플랩, 내후성,(사이즈-대형)</v>
      </c>
      <c r="F3322" s="1" t="str">
        <f>IFERROR(__xludf.DUMMYFUNCTION("CONCATENATE(GOOGLETRANSLATE(C3322, ""en"", ""ja""))"),"ペットセーフオリジナル 交換用フラップ 犬用ドア用交換用フラップ(中) 非毒性素材製ドギー用フラップ 耐候性 (サイズ-大)")</f>
        <v>ペットセーフオリジナル 交換用フラップ 犬用ドア用交換用フラップ(中) 非毒性素材製ドギー用フラップ 耐候性 (サイズ-大)</v>
      </c>
    </row>
    <row r="3323" ht="15.75" customHeight="1">
      <c r="A3323" s="1">
        <v>7720.0</v>
      </c>
      <c r="B3323" s="1" t="s">
        <v>15</v>
      </c>
      <c r="C3323" s="1" t="s">
        <v>2996</v>
      </c>
      <c r="D3323" s="1" t="str">
        <f>IFERROR(__xludf.DUMMYFUNCTION("CONCATENATE(GOOGLETRANSLATE(C3323, ""en"", ""zh-cn""))"),"PetSafe Busy Buddy 鬃骨，中号，有助于保持狗狗的牙齿清洁，持久玩耍")</f>
        <v>PetSafe Busy Buddy 鬃骨，中号，有助于保持狗狗的牙齿清洁，持久玩耍</v>
      </c>
      <c r="E3323" s="1" t="str">
        <f>IFERROR(__xludf.DUMMYFUNCTION("CONCATENATE(GOOGLETRANSLATE(C3323, ""en"", ""ko""))"),"PetSafe Busy Buddy Bristle Bone, 미디엄, 반려견의 치아를 깨끗하게 유지하고 오래 지속되는 놀이 시간을 돕습니다.")</f>
        <v>PetSafe Busy Buddy Bristle Bone, 미디엄, 반려견의 치아를 깨끗하게 유지하고 오래 지속되는 놀이 시간을 돕습니다.</v>
      </c>
      <c r="F3323" s="1" t="str">
        <f>IFERROR(__xludf.DUMMYFUNCTION("CONCATENATE(GOOGLETRANSLATE(C3323, ""en"", ""ja""))"),"PetSafe ビジーバディ ブリスルボーン、ミディアム、犬の歯を清潔に保ち、長時間遊ぶのに役立ちます")</f>
        <v>PetSafe ビジーバディ ブリスルボーン、ミディアム、犬の歯を清潔に保ち、長時間遊ぶのに役立ちます</v>
      </c>
    </row>
    <row r="3324" ht="15.75" customHeight="1">
      <c r="A3324" s="1">
        <v>7728.0</v>
      </c>
      <c r="B3324" s="1" t="s">
        <v>15</v>
      </c>
      <c r="C3324" s="1" t="s">
        <v>2997</v>
      </c>
      <c r="D3324" s="1" t="str">
        <f>IFERROR(__xludf.DUMMYFUNCTION("CONCATENATE(GOOGLETRANSLATE(C3324, ""en"", ""zh-cn""))"),"PetSafe 替换项圈配件套件，适用于地下和无线狗接收器项圈 - 包括短接触点和长接触点、水平盖、来自 INVISIBLE FENCE 品牌母公司的硬件")</f>
        <v>PetSafe 替换项圈配件套件，适用于地下和无线狗接收器项圈 - 包括短接触点和长接触点、水平盖、来自 INVISIBLE FENCE 品牌母公司的硬件</v>
      </c>
      <c r="E3324" s="1" t="str">
        <f>IFERROR(__xludf.DUMMYFUNCTION("CONCATENATE(GOOGLETRANSLATE(C3324, ""en"", ""ko""))"),"지상 및 무선 개 수신기 목줄용 PetSafe 교체 목줄 액세서리 키트 - INVISIBLE FENCE 브랜드의 모회사에서 제공하는 단거리 및 장거리 접점, 레벨 커버, 하드웨어 포함")</f>
        <v>지상 및 무선 개 수신기 목줄용 PetSafe 교체 목줄 액세서리 키트 - INVISIBLE FENCE 브랜드의 모회사에서 제공하는 단거리 및 장거리 접점, 레벨 커버, 하드웨어 포함</v>
      </c>
      <c r="F3324" s="1" t="str">
        <f>IFERROR(__xludf.DUMMYFUNCTION("CONCATENATE(GOOGLETRANSLATE(C3324, ""en"", ""ja""))"),"PetSafe 交換用首輪アクセサリーキット、地中およびワイヤレス犬用受信機首輪用 - INVISIBLE FENCE ブランドの親会社の短および長接触点、レベルカバー、ハードウェアが含まれています")</f>
        <v>PetSafe 交換用首輪アクセサリーキット、地中およびワイヤレス犬用受信機首輪用 - INVISIBLE FENCE ブランドの親会社の短および長接触点、レベルカバー、ハードウェアが含まれています</v>
      </c>
    </row>
    <row r="3325" ht="15.75" customHeight="1">
      <c r="A3325" s="1">
        <v>7743.0</v>
      </c>
      <c r="B3325" s="1" t="s">
        <v>15</v>
      </c>
      <c r="C3325" s="1" t="s">
        <v>2998</v>
      </c>
      <c r="D3325" s="1" t="str">
        <f>IFERROR(__xludf.DUMMYFUNCTION("CONCATENATE(GOOGLETRANSLATE(C3325, ""en"", ""zh-cn""))"),"Aqueon 20 加仑长水族箱")</f>
        <v>Aqueon 20 加仑长水族箱</v>
      </c>
      <c r="E3325" s="1" t="str">
        <f>IFERROR(__xludf.DUMMYFUNCTION("CONCATENATE(GOOGLETRANSLATE(C3325, ""en"", ""ko""))"),"Aqueon 20 갤런 롱 수족관")</f>
        <v>Aqueon 20 갤런 롱 수족관</v>
      </c>
      <c r="F3325" s="1" t="str">
        <f>IFERROR(__xludf.DUMMYFUNCTION("CONCATENATE(GOOGLETRANSLATE(C3325, ""en"", ""ja""))"),"Aqueon 20 ガロンロング水族館")</f>
        <v>Aqueon 20 ガロンロング水族館</v>
      </c>
    </row>
    <row r="3326" ht="15.75" customHeight="1">
      <c r="A3326" s="1">
        <v>7755.0</v>
      </c>
      <c r="B3326" s="1" t="s">
        <v>15</v>
      </c>
      <c r="C3326" s="1" t="s">
        <v>2999</v>
      </c>
      <c r="D3326" s="1" t="str">
        <f>IFERROR(__xludf.DUMMYFUNCTION("CONCATENATE(GOOGLETRANSLATE(C3326, ""en"", ""zh-cn""))"),"Aqueon 10 加仑 LED 水族箱套件")</f>
        <v>Aqueon 10 加仑 LED 水族箱套件</v>
      </c>
      <c r="E3326" s="1" t="str">
        <f>IFERROR(__xludf.DUMMYFUNCTION("CONCATENATE(GOOGLETRANSLATE(C3326, ""en"", ""ko""))"),"Aqueon 10갤런 LED 수족관 키트")</f>
        <v>Aqueon 10갤런 LED 수족관 키트</v>
      </c>
      <c r="F3326" s="1" t="str">
        <f>IFERROR(__xludf.DUMMYFUNCTION("CONCATENATE(GOOGLETRANSLATE(C3326, ""en"", ""ja""))"),"Aqueon 10 ガロン LED 水族館キット")</f>
        <v>Aqueon 10 ガロン LED 水族館キット</v>
      </c>
    </row>
    <row r="3327" ht="15.75" customHeight="1">
      <c r="A3327" s="1">
        <v>7768.0</v>
      </c>
      <c r="B3327" s="1" t="s">
        <v>15</v>
      </c>
      <c r="C3327" s="1" t="s">
        <v>3000</v>
      </c>
      <c r="D3327" s="1" t="str">
        <f>IFERROR(__xludf.DUMMYFUNCTION("CONCATENATE(GOOGLETRANSLATE(C3327, ""en"", ""zh-cn""))"),"Aqueon LED MiniBow 5 SmartClean 水族箱套件")</f>
        <v>Aqueon LED MiniBow 5 SmartClean 水族箱套件</v>
      </c>
      <c r="E3327" s="1" t="str">
        <f>IFERROR(__xludf.DUMMYFUNCTION("CONCATENATE(GOOGLETRANSLATE(C3327, ""en"", ""ko""))"),"Aqueon LED MiniBow 5 SmartClean 수족관 키트")</f>
        <v>Aqueon LED MiniBow 5 SmartClean 수족관 키트</v>
      </c>
      <c r="F3327" s="1" t="str">
        <f>IFERROR(__xludf.DUMMYFUNCTION("CONCATENATE(GOOGLETRANSLATE(C3327, ""en"", ""ja""))"),"Aqueon LED MiniBow 5 SmartClean 水族館キット")</f>
        <v>Aqueon LED MiniBow 5 SmartClean 水族館キット</v>
      </c>
    </row>
    <row r="3328" ht="15.75" customHeight="1">
      <c r="A3328" s="1">
        <v>7779.0</v>
      </c>
      <c r="B3328" s="1" t="s">
        <v>15</v>
      </c>
      <c r="C3328" s="1" t="s">
        <v>3001</v>
      </c>
      <c r="D3328" s="1" t="str">
        <f>IFERROR(__xludf.DUMMYFUNCTION("CONCATENATE(GOOGLETRANSLATE(C3328, ""en"", ""zh-cn""))"),"Aqueon LED BettaBow 2.5 SmartClean 水族箱套件")</f>
        <v>Aqueon LED BettaBow 2.5 SmartClean 水族箱套件</v>
      </c>
      <c r="E3328" s="1" t="str">
        <f>IFERROR(__xludf.DUMMYFUNCTION("CONCATENATE(GOOGLETRANSLATE(C3328, ""en"", ""ko""))"),"Aqueon LED BettaBow 2.5 SmartClean 수족관 키트")</f>
        <v>Aqueon LED BettaBow 2.5 SmartClean 수족관 키트</v>
      </c>
      <c r="F3328" s="1" t="str">
        <f>IFERROR(__xludf.DUMMYFUNCTION("CONCATENATE(GOOGLETRANSLATE(C3328, ""en"", ""ja""))"),"Aqueon LED BettaBow 2.5 SmartClean 水族館キット")</f>
        <v>Aqueon LED BettaBow 2.5 SmartClean 水族館キット</v>
      </c>
    </row>
    <row r="3329" ht="15.75" customHeight="1">
      <c r="A3329" s="1">
        <v>7782.0</v>
      </c>
      <c r="B3329" s="1" t="s">
        <v>15</v>
      </c>
      <c r="C3329" s="1" t="s">
        <v>3002</v>
      </c>
      <c r="D3329" s="1" t="str">
        <f>IFERROR(__xludf.DUMMYFUNCTION("CONCATENATE(GOOGLETRANSLATE(C3329, ""en"", ""zh-cn""))"),"Aqueon 豪华 LED 水族箱遮光罩")</f>
        <v>Aqueon 豪华 LED 水族箱遮光罩</v>
      </c>
      <c r="E3329" s="1" t="str">
        <f>IFERROR(__xludf.DUMMYFUNCTION("CONCATENATE(GOOGLETRANSLATE(C3329, ""en"", ""ko""))"),"Aqueon 디럭스 LED 풀 수족관 후드")</f>
        <v>Aqueon 디럭스 LED 풀 수족관 후드</v>
      </c>
      <c r="F3329" s="1" t="str">
        <f>IFERROR(__xludf.DUMMYFUNCTION("CONCATENATE(GOOGLETRANSLATE(C3329, ""en"", ""ja""))"),"Aqueon デラックス LED フルアクアリウムフード")</f>
        <v>Aqueon デラックス LED フルアクアリウムフード</v>
      </c>
    </row>
    <row r="3330" ht="15.75" customHeight="1">
      <c r="A3330" s="1">
        <v>7789.0</v>
      </c>
      <c r="B3330" s="1" t="s">
        <v>15</v>
      </c>
      <c r="C3330" s="1" t="s">
        <v>3003</v>
      </c>
      <c r="D3330" s="1" t="str">
        <f>IFERROR(__xludf.DUMMYFUNCTION("CONCATENATE(GOOGLETRANSLATE(C3330, ""en"", ""zh-cn""))"),"Tetra 26445 动物水生爬行动物加热器适用于青蛙、蝾螈和海龟，100 瓦，绿色")</f>
        <v>Tetra 26445 动物水生爬行动物加热器适用于青蛙、蝾螈和海龟，100 瓦，绿色</v>
      </c>
      <c r="E3330" s="1" t="str">
        <f>IFERROR(__xludf.DUMMYFUNCTION("CONCATENATE(GOOGLETRANSLATE(C3330, ""en"", ""ko""))"),"Tetra 26445 개구리, 도롱뇽, 거북이용 동식물 수생 파충류 히터, 100W, 녹색")</f>
        <v>Tetra 26445 개구리, 도롱뇽, 거북이용 동식물 수생 파충류 히터, 100W, 녹색</v>
      </c>
      <c r="F3330" s="1" t="str">
        <f>IFERROR(__xludf.DUMMYFUNCTION("CONCATENATE(GOOGLETRANSLATE(C3330, ""en"", ""ja""))"),"Tetra 26445 Fauna 水生爬虫類ヒーター カエル、イモリ、カメ用、100 ワット、グリーン")</f>
        <v>Tetra 26445 Fauna 水生爬虫類ヒーター カエル、イモリ、カメ用、100 ワット、グリーン</v>
      </c>
    </row>
    <row r="3331" ht="15.75" customHeight="1">
      <c r="A3331" s="1">
        <v>7808.0</v>
      </c>
      <c r="B3331" s="1" t="s">
        <v>15</v>
      </c>
      <c r="C3331" s="1" t="s">
        <v>3004</v>
      </c>
      <c r="D3331" s="1" t="str">
        <f>IFERROR(__xludf.DUMMYFUNCTION("CONCATENATE(GOOGLETRANSLATE(C3331, ""en"", ""zh-cn""))"),"Gigglescape 活动表")</f>
        <v>Gigglescape 活动表</v>
      </c>
      <c r="E3331" s="1" t="str">
        <f>IFERROR(__xludf.DUMMYFUNCTION("CONCATENATE(GOOGLETRANSLATE(C3331, ""en"", ""ko""))"),"Gigglescape 활동 테이블")</f>
        <v>Gigglescape 활동 테이블</v>
      </c>
      <c r="F3331" s="1" t="str">
        <f>IFERROR(__xludf.DUMMYFUNCTION("CONCATENATE(GOOGLETRANSLATE(C3331, ""en"", ""ja""))"),"Gigglescape アクティビティ テーブル")</f>
        <v>Gigglescape アクティビティ テーブル</v>
      </c>
    </row>
    <row r="3332" ht="15.75" customHeight="1">
      <c r="A3332" s="1">
        <v>7821.0</v>
      </c>
      <c r="B3332" s="1" t="s">
        <v>15</v>
      </c>
      <c r="C3332" s="1" t="s">
        <v>3005</v>
      </c>
      <c r="D3332" s="1" t="str">
        <f>IFERROR(__xludf.DUMMYFUNCTION("CONCATENATE(GOOGLETRANSLATE(C3332, ""en"", ""zh-cn""))"),"卡罗来纳州活动表")</f>
        <v>卡罗来纳州活动表</v>
      </c>
      <c r="E3332" s="1" t="str">
        <f>IFERROR(__xludf.DUMMYFUNCTION("CONCATENATE(GOOGLETRANSLATE(C3332, ""en"", ""ko""))"),"캐롤라이나 활동표")</f>
        <v>캐롤라이나 활동표</v>
      </c>
      <c r="F3332" s="1" t="str">
        <f>IFERROR(__xludf.DUMMYFUNCTION("CONCATENATE(GOOGLETRANSLATE(C3332, ""en"", ""ja""))"),"カロライナアクティビティテーブル")</f>
        <v>カロライナアクティビティテーブル</v>
      </c>
    </row>
    <row r="3333" ht="15.75" customHeight="1">
      <c r="A3333" s="1">
        <v>7822.0</v>
      </c>
      <c r="B3333" s="1" t="s">
        <v>15</v>
      </c>
      <c r="C3333" s="1" t="s">
        <v>3006</v>
      </c>
      <c r="D3333" s="1" t="str">
        <f>IFERROR(__xludf.DUMMYFUNCTION("CONCATENATE(GOOGLETRANSLATE(C3333, ""en"", ""zh-cn""))"),"Guidecraft 儿童感官桌系统")</f>
        <v>Guidecraft 儿童感官桌系统</v>
      </c>
      <c r="E3333" s="1" t="str">
        <f>IFERROR(__xludf.DUMMYFUNCTION("CONCATENATE(GOOGLETRANSLATE(C3333, ""en"", ""ko""))"),"Guidecraft 어린이 감각 테이블 시스템")</f>
        <v>Guidecraft 어린이 감각 테이블 시스템</v>
      </c>
      <c r="F3333" s="1" t="str">
        <f>IFERROR(__xludf.DUMMYFUNCTION("CONCATENATE(GOOGLETRANSLATE(C3333, ""en"", ""ja""))"),"ガイドクラフトキッズ感覚表システム")</f>
        <v>ガイドクラフトキッズ感覚表システム</v>
      </c>
    </row>
    <row r="3334" ht="15.75" customHeight="1">
      <c r="A3334" s="1">
        <v>7869.0</v>
      </c>
      <c r="B3334" s="1" t="s">
        <v>15</v>
      </c>
      <c r="C3334" s="1" t="s">
        <v>3007</v>
      </c>
      <c r="D3334" s="1" t="str">
        <f>IFERROR(__xludf.DUMMYFUNCTION("CONCATENATE(GOOGLETRANSLATE(C3334, ""en"", ""zh-cn""))"),"凯尔蒂营地豪华厨房")</f>
        <v>凯尔蒂营地豪华厨房</v>
      </c>
      <c r="E3334" s="1" t="str">
        <f>IFERROR(__xludf.DUMMYFUNCTION("CONCATENATE(GOOGLETRANSLATE(C3334, ""en"", ""ko""))"),"켈티 캠프 갤리 디럭스")</f>
        <v>켈티 캠프 갤리 디럭스</v>
      </c>
      <c r="F3334" s="1" t="str">
        <f>IFERROR(__xludf.DUMMYFUNCTION("CONCATENATE(GOOGLETRANSLATE(C3334, ""en"", ""ja""))"),"ケルティ キャンプ ギャレー デラックス")</f>
        <v>ケルティ キャンプ ギャレー デラックス</v>
      </c>
    </row>
    <row r="3335" ht="15.75" customHeight="1">
      <c r="A3335" s="1">
        <v>7873.0</v>
      </c>
      <c r="B3335" s="1" t="s">
        <v>15</v>
      </c>
      <c r="C3335" s="1" t="s">
        <v>3008</v>
      </c>
      <c r="D3335" s="1" t="str">
        <f>IFERROR(__xludf.DUMMYFUNCTION("CONCATENATE(GOOGLETRANSLATE(C3335, ""en"", ""zh-cn""))"),"Coleman 4 人小屋露营帐篷，可即时设置")</f>
        <v>Coleman 4 人小屋露营帐篷，可即时设置</v>
      </c>
      <c r="E3335" s="1" t="str">
        <f>IFERROR(__xludf.DUMMYFUNCTION("CONCATENATE(GOOGLETRANSLATE(C3335, ""en"", ""ko""))"),"즉시 설치가 가능한 콜맨 4인용 캐빈 캠핑 텐트")</f>
        <v>즉시 설치가 가능한 콜맨 4인용 캐빈 캠핑 텐트</v>
      </c>
      <c r="F3335" s="1" t="str">
        <f>IFERROR(__xludf.DUMMYFUNCTION("CONCATENATE(GOOGLETRANSLATE(C3335, ""en"", ""ja""))"),"コールマン 4 人用キャビン キャンプ テント (インスタントセットアップ付き)")</f>
        <v>コールマン 4 人用キャビン キャンプ テント (インスタントセットアップ付き)</v>
      </c>
    </row>
    <row r="3336" ht="15.75" customHeight="1">
      <c r="A3336" s="1">
        <v>7876.0</v>
      </c>
      <c r="B3336" s="1" t="s">
        <v>15</v>
      </c>
      <c r="C3336" s="1" t="s">
        <v>3009</v>
      </c>
      <c r="D3336" s="1" t="str">
        <f>IFERROR(__xludf.DUMMYFUNCTION("CONCATENATE(GOOGLETRANSLATE(C3336, ""en"", ""zh-cn""))"),"E-Z Up 露营立方体")</f>
        <v>E-Z Up 露营立方体</v>
      </c>
      <c r="E3336" s="1" t="str">
        <f>IFERROR(__xludf.DUMMYFUNCTION("CONCATENATE(GOOGLETRANSLATE(C3336, ""en"", ""ko""))"),"E-Z 업 캠핑 큐브")</f>
        <v>E-Z 업 캠핑 큐브</v>
      </c>
      <c r="F3336" s="1" t="str">
        <f>IFERROR(__xludf.DUMMYFUNCTION("CONCATENATE(GOOGLETRANSLATE(C3336, ""en"", ""ja""))"),"E-Zアップ キャンピングキューブ")</f>
        <v>E-Zアップ キャンピングキューブ</v>
      </c>
    </row>
    <row r="3337" ht="15.75" customHeight="1">
      <c r="A3337" s="1">
        <v>7906.0</v>
      </c>
      <c r="B3337" s="1" t="s">
        <v>15</v>
      </c>
      <c r="C3337" s="1" t="s">
        <v>3010</v>
      </c>
      <c r="D3337" s="1" t="str">
        <f>IFERROR(__xludf.DUMMYFUNCTION("CONCATENATE(GOOGLETRANSLATE(C3337, ""en"", ""zh-cn""))"),"Ozark Trail 1 人轻型背包帐篷，82 英寸。 X 51 英寸，3.65 磅。承载重量，橙色，")</f>
        <v>Ozark Trail 1 人轻型背包帐篷，82 英寸。 X 51 英寸，3.65 磅。承载重量，橙色，</v>
      </c>
      <c r="E3337" s="1" t="str">
        <f>IFERROR(__xludf.DUMMYFUNCTION("CONCATENATE(GOOGLETRANSLATE(C3337, ""en"", ""ko""))"),"Ozark Trail 1인용 경량 백패킹 텐트, 82인치. X 51인치, 3.65파운드 운반용 무게, 주황색,")</f>
        <v>Ozark Trail 1인용 경량 백패킹 텐트, 82인치. X 51인치, 3.65파운드 운반용 무게, 주황색,</v>
      </c>
      <c r="F3337" s="1" t="str">
        <f>IFERROR(__xludf.DUMMYFUNCTION("CONCATENATE(GOOGLETRANSLATE(C3337, ""en"", ""ja""))"),"オザーク トレイル 1 人用軽量バックパッキング テント、82 イ​​ンチ。 X 51 インチ、3.65 ポンド。キャリーウェイト、オレンジ、")</f>
        <v>オザーク トレイル 1 人用軽量バックパッキング テント、82 イ​​ンチ。 X 51 インチ、3.65 ポンド。キャリーウェイト、オレンジ、</v>
      </c>
    </row>
    <row r="3338" ht="15.75" customHeight="1">
      <c r="A3338" s="1">
        <v>7909.0</v>
      </c>
      <c r="B3338" s="1" t="s">
        <v>15</v>
      </c>
      <c r="C3338" s="1" t="s">
        <v>3011</v>
      </c>
      <c r="D3338" s="1" t="str">
        <f>IFERROR(__xludf.DUMMYFUNCTION("CONCATENATE(GOOGLETRANSLATE(C3338, ""en"", ""zh-cn""))"),"奥扎克步道 3 人露营圆顶帐篷")</f>
        <v>奥扎克步道 3 人露营圆顶帐篷</v>
      </c>
      <c r="E3338" s="1" t="str">
        <f>IFERROR(__xludf.DUMMYFUNCTION("CONCATENATE(GOOGLETRANSLATE(C3338, ""en"", ""ko""))"),"오자크 트레일 3인용 캠핑 돔 텐트")</f>
        <v>오자크 트레일 3인용 캠핑 돔 텐트</v>
      </c>
      <c r="F3338" s="1" t="str">
        <f>IFERROR(__xludf.DUMMYFUNCTION("CONCATENATE(GOOGLETRANSLATE(C3338, ""en"", ""ja""))"),"オザーク トレイル 3 人用キャンプ ドーム テント")</f>
        <v>オザーク トレイル 3 人用キャンプ ドーム テント</v>
      </c>
    </row>
    <row r="3339" ht="15.75" customHeight="1">
      <c r="A3339" s="1">
        <v>7911.0</v>
      </c>
      <c r="B3339" s="1" t="s">
        <v>15</v>
      </c>
      <c r="C3339" s="1" t="s">
        <v>3012</v>
      </c>
      <c r="D3339" s="1" t="str">
        <f>IFERROR(__xludf.DUMMYFUNCTION("CONCATENATE(GOOGLETRANSLATE(C3339, ""en"", ""zh-cn""))"),"Ozark Trail，21' X 15' X 78"" 10 人家庭露营帐篷，26.4 磅，")</f>
        <v>Ozark Trail，21' X 15' X 78" 10 人家庭露营帐篷，26.4 磅，</v>
      </c>
      <c r="E3339" s="1" t="str">
        <f>IFERROR(__xludf.DUMMYFUNCTION("CONCATENATE(GOOGLETRANSLATE(C3339, ""en"", ""ko""))"),"Ozark Trail, 21' X 15' X 78"" 10인용 가족 캠핑 텐트, 26.4파운드,")</f>
        <v>Ozark Trail, 21' X 15' X 78" 10인용 가족 캠핑 텐트, 26.4파운드,</v>
      </c>
      <c r="F3339" s="1" t="str">
        <f>IFERROR(__xludf.DUMMYFUNCTION("CONCATENATE(GOOGLETRANSLATE(C3339, ""en"", ""ja""))"),"オザーク トレイル、21 フィート X 15 フィート X 78 インチ 10 人用ファミリー キャンプ テント、26.4 ポンド、")</f>
        <v>オザーク トレイル、21 フィート X 15 フィート X 78 インチ 10 人用ファミリー キャンプ テント、26.4 ポンド、</v>
      </c>
    </row>
    <row r="3340" ht="15.75" customHeight="1">
      <c r="A3340" s="1">
        <v>7916.0</v>
      </c>
      <c r="B3340" s="1" t="s">
        <v>15</v>
      </c>
      <c r="C3340" s="1" t="s">
        <v>3013</v>
      </c>
      <c r="D3340" s="1" t="str">
        <f>IFERROR(__xludf.DUMMYFUNCTION("CONCATENATE(GOOGLETRANSLATE(C3340, ""en"", ""zh-cn""))"),"Ozark Trail，12' X 8'，6 人圆顶露营帐篷，")</f>
        <v>Ozark Trail，12' X 8'，6 人圆顶露营帐篷，</v>
      </c>
      <c r="E3340" s="1" t="str">
        <f>IFERROR(__xludf.DUMMYFUNCTION("CONCATENATE(GOOGLETRANSLATE(C3340, ""en"", ""ko""))"),"Ozark Trail, 12' X 8', 6인용 돔 캠핑 텐트,")</f>
        <v>Ozark Trail, 12' X 8', 6인용 돔 캠핑 텐트,</v>
      </c>
      <c r="F3340" s="1" t="str">
        <f>IFERROR(__xludf.DUMMYFUNCTION("CONCATENATE(GOOGLETRANSLATE(C3340, ""en"", ""ja""))"),"オザーク トレイル、12 フィート X 8 フィート、6 人用ドーム キャンプ テント、")</f>
        <v>オザーク トレイル、12 フィート X 8 フィート、6 人用ドーム キャンプ テント、</v>
      </c>
    </row>
    <row r="3341" ht="15.75" customHeight="1">
      <c r="A3341" s="1">
        <v>7922.0</v>
      </c>
      <c r="B3341" s="1" t="s">
        <v>15</v>
      </c>
      <c r="C3341" s="1" t="s">
        <v>3014</v>
      </c>
      <c r="D3341" s="1" t="str">
        <f>IFERROR(__xludf.DUMMYFUNCTION("CONCATENATE(GOOGLETRANSLATE(C3341, ""en"", ""zh-cn""))"),"奥扎克步道 8 人蒙古包露营帐篷")</f>
        <v>奥扎克步道 8 人蒙古包露营帐篷</v>
      </c>
      <c r="E3341" s="1" t="str">
        <f>IFERROR(__xludf.DUMMYFUNCTION("CONCATENATE(GOOGLETRANSLATE(C3341, ""en"", ""ko""))"),"오자크 트레일 8인용 유르트 캠핑 텐트")</f>
        <v>오자크 트레일 8인용 유르트 캠핑 텐트</v>
      </c>
      <c r="F3341" s="1" t="str">
        <f>IFERROR(__xludf.DUMMYFUNCTION("CONCATENATE(GOOGLETRANSLATE(C3341, ""en"", ""ja""))"),"オザーク トレイル 8 人用パオ キャンプ テント")</f>
        <v>オザーク トレイル 8 人用パオ キャンプ テント</v>
      </c>
    </row>
    <row r="3342" ht="15.75" customHeight="1">
      <c r="A3342" s="1">
        <v>7923.0</v>
      </c>
      <c r="B3342" s="1" t="s">
        <v>15</v>
      </c>
      <c r="C3342" s="1" t="s">
        <v>3015</v>
      </c>
      <c r="D3342" s="1" t="str">
        <f>IFERROR(__xludf.DUMMYFUNCTION("CONCATENATE(GOOGLETRANSLATE(C3342, ""en"", ""zh-cn""))"),"Ozark Trail 8 人即时六角小屋帐篷")</f>
        <v>Ozark Trail 8 人即时六角小屋帐篷</v>
      </c>
      <c r="E3342" s="1" t="str">
        <f>IFERROR(__xludf.DUMMYFUNCTION("CONCATENATE(GOOGLETRANSLATE(C3342, ""en"", ""ko""))"),"오자크 트레일 8인용 인스턴트 헥사곤 캐빈 텐트")</f>
        <v>오자크 트레일 8인용 인스턴트 헥사곤 캐빈 텐트</v>
      </c>
      <c r="F3342" s="1" t="str">
        <f>IFERROR(__xludf.DUMMYFUNCTION("CONCATENATE(GOOGLETRANSLATE(C3342, ""en"", ""ja""))"),"オザーク トレイル 8 人用インスタント ヘキサゴン キャビン テント")</f>
        <v>オザーク トレイル 8 人用インスタント ヘキサゴン キャビン テント</v>
      </c>
    </row>
    <row r="3343" ht="15.75" customHeight="1">
      <c r="A3343" s="1">
        <v>7943.0</v>
      </c>
      <c r="B3343" s="1" t="s">
        <v>15</v>
      </c>
      <c r="C3343" s="1" t="s">
        <v>3016</v>
      </c>
      <c r="D3343" s="1" t="str">
        <f>IFERROR(__xludf.DUMMYFUNCTION("CONCATENATE(GOOGLETRANSLATE(C3343, ""en"", ""zh-cn""))"),"AutoDrive 碳纤维汽车脚垫")</f>
        <v>AutoDrive 碳纤维汽车脚垫</v>
      </c>
      <c r="E3343" s="1" t="str">
        <f>IFERROR(__xludf.DUMMYFUNCTION("CONCATENATE(GOOGLETRANSLATE(C3343, ""en"", ""ko""))"),"AutoDrive 탄소 섬유 자동차 바닥 매트")</f>
        <v>AutoDrive 탄소 섬유 자동차 바닥 매트</v>
      </c>
      <c r="F3343" s="1" t="str">
        <f>IFERROR(__xludf.DUMMYFUNCTION("CONCATENATE(GOOGLETRANSLATE(C3343, ""en"", ""ja""))"),"AutoDrive カーボンファイバーカーフロアマット")</f>
        <v>AutoDrive カーボンファイバーカーフロアマット</v>
      </c>
    </row>
    <row r="3344" ht="15.75" customHeight="1">
      <c r="A3344" s="1">
        <v>7944.0</v>
      </c>
      <c r="B3344" s="1" t="s">
        <v>15</v>
      </c>
      <c r="C3344" s="1" t="s">
        <v>3017</v>
      </c>
      <c r="D3344" s="1" t="str">
        <f>IFERROR(__xludf.DUMMYFUNCTION("CONCATENATE(GOOGLETRANSLATE(C3344, ""en"", ""zh-cn""))"),"Auto Drive 2 件套汽车座套")</f>
        <v>Auto Drive 2 件套汽车座套</v>
      </c>
      <c r="E3344" s="1" t="str">
        <f>IFERROR(__xludf.DUMMYFUNCTION("CONCATENATE(GOOGLETRANSLATE(C3344, ""en"", ""ko""))"),"자동 드라이브 2피스 카시트 커버")</f>
        <v>자동 드라이브 2피스 카시트 커버</v>
      </c>
      <c r="F3344" s="1" t="str">
        <f>IFERROR(__xludf.DUMMYFUNCTION("CONCATENATE(GOOGLETRANSLATE(C3344, ""en"", ""ja""))"),"Auto Drive 2ピースカーシートカバー")</f>
        <v>Auto Drive 2ピースカーシートカバー</v>
      </c>
    </row>
    <row r="3345" ht="15.75" customHeight="1">
      <c r="A3345" s="1">
        <v>7962.0</v>
      </c>
      <c r="B3345" s="1" t="s">
        <v>15</v>
      </c>
      <c r="C3345" s="1" t="s">
        <v>3018</v>
      </c>
      <c r="D3345" s="1" t="str">
        <f>IFERROR(__xludf.DUMMYFUNCTION("CONCATENATE(GOOGLETRANSLATE(C3345, ""en"", ""zh-cn""))"),"自动驾驶亚历克斯运动汽车套件")</f>
        <v>自动驾驶亚历克斯运动汽车套件</v>
      </c>
      <c r="E3345" s="1" t="str">
        <f>IFERROR(__xludf.DUMMYFUNCTION("CONCATENATE(GOOGLETRANSLATE(C3345, ""en"", ""ko""))"),"자동 드라이브 Alex 스포티 자동차 키트")</f>
        <v>자동 드라이브 Alex 스포티 자동차 키트</v>
      </c>
      <c r="F3345" s="1" t="str">
        <f>IFERROR(__xludf.DUMMYFUNCTION("CONCATENATE(GOOGLETRANSLATE(C3345, ""en"", ""ja""))"),"オートドライブアレックススポーティカーキット")</f>
        <v>オートドライブアレックススポーティカーキット</v>
      </c>
    </row>
    <row r="3346" ht="15.75" customHeight="1">
      <c r="A3346" s="1">
        <v>7971.0</v>
      </c>
      <c r="B3346" s="1" t="s">
        <v>15</v>
      </c>
      <c r="C3346" s="1" t="s">
        <v>3019</v>
      </c>
      <c r="D3346" s="1" t="str">
        <f>IFERROR(__xludf.DUMMYFUNCTION("CONCATENATE(GOOGLETRANSLATE(C3346, ""en"", ""zh-cn""))"),"Armor 所有汽车座椅收纳盒 2 件装")</f>
        <v>Armor 所有汽车座椅收纳盒 2 件装</v>
      </c>
      <c r="E3346" s="1" t="str">
        <f>IFERROR(__xludf.DUMMYFUNCTION("CONCATENATE(GOOGLETRANSLATE(C3346, ""en"", ""ko""))"),"Armor 모든 카시트 정리함 2팩")</f>
        <v>Armor 모든 카시트 정리함 2팩</v>
      </c>
      <c r="F3346" s="1" t="str">
        <f>IFERROR(__xludf.DUMMYFUNCTION("CONCATENATE(GOOGLETRANSLATE(C3346, ""en"", ""ja""))"),"Armor All カーシート オーガナイザー 2 パック")</f>
        <v>Armor All カーシート オーガナイザー 2 パック</v>
      </c>
    </row>
    <row r="3347" ht="15.75" customHeight="1">
      <c r="A3347" s="1">
        <v>7981.0</v>
      </c>
      <c r="B3347" s="1" t="s">
        <v>15</v>
      </c>
      <c r="C3347" s="1" t="s">
        <v>3020</v>
      </c>
      <c r="D3347" s="1" t="str">
        <f>IFERROR(__xludf.DUMMYFUNCTION("CONCATENATE(GOOGLETRANSLATE(C3347, ""en"", ""zh-cn""))"),"Armor All 12 隔层行李箱收纳袋")</f>
        <v>Armor All 12 隔层行李箱收纳袋</v>
      </c>
      <c r="E3347" s="1" t="str">
        <f>IFERROR(__xludf.DUMMYFUNCTION("CONCATENATE(GOOGLETRANSLATE(C3347, ""en"", ""ko""))"),"갑옷 전체 12칸 트렁크 정리함")</f>
        <v>갑옷 전체 12칸 트렁크 정리함</v>
      </c>
      <c r="F3347" s="1" t="str">
        <f>IFERROR(__xludf.DUMMYFUNCTION("CONCATENATE(GOOGLETRANSLATE(C3347, ""en"", ""ja""))"),"Armor All 12 コンパートメント トランク オーガナイザー")</f>
        <v>Armor All 12 コンパートメント トランク オーガナイザー</v>
      </c>
    </row>
    <row r="3348" ht="15.75" customHeight="1">
      <c r="A3348" s="1">
        <v>7982.0</v>
      </c>
      <c r="B3348" s="1" t="s">
        <v>15</v>
      </c>
      <c r="C3348" s="1" t="s">
        <v>3021</v>
      </c>
      <c r="D3348" s="1" t="str">
        <f>IFERROR(__xludf.DUMMYFUNCTION("CONCATENATE(GOOGLETRANSLATE(C3348, ""en"", ""zh-cn""))"),"Armor All 通用汽车座椅间隙收纳袋 2 件装")</f>
        <v>Armor All 通用汽车座椅间隙收纳袋 2 件装</v>
      </c>
      <c r="E3348" s="1" t="str">
        <f>IFERROR(__xludf.DUMMYFUNCTION("CONCATENATE(GOOGLETRANSLATE(C3348, ""en"", ""ko""))"),"Armor All 범용 카시트 갭 정리함 2팩")</f>
        <v>Armor All 범용 카시트 갭 정리함 2팩</v>
      </c>
      <c r="F3348" s="1" t="str">
        <f>IFERROR(__xludf.DUMMYFUNCTION("CONCATENATE(GOOGLETRANSLATE(C3348, ""en"", ""ja""))"),"Armor All ユニバーサル カーシート ギャップ オーガナイザー 2 個パック")</f>
        <v>Armor All ユニバーサル カーシート ギャップ オーガナイザー 2 個パック</v>
      </c>
    </row>
    <row r="3349" ht="15.75" customHeight="1">
      <c r="A3349" s="1">
        <v>7984.0</v>
      </c>
      <c r="B3349" s="1" t="s">
        <v>15</v>
      </c>
      <c r="C3349" s="1" t="s">
        <v>3022</v>
      </c>
      <c r="D3349" s="1" t="str">
        <f>IFERROR(__xludf.DUMMYFUNCTION("CONCATENATE(GOOGLETRANSLATE(C3349, ""en"", ""zh-cn""))"),"Armor 全车清洁套件 7 件套")</f>
        <v>Armor 全车清洁套件 7 件套</v>
      </c>
      <c r="E3349" s="1" t="str">
        <f>IFERROR(__xludf.DUMMYFUNCTION("CONCATENATE(GOOGLETRANSLATE(C3349, ""en"", ""ko""))"),"Armor 모든 차량 청소 키트 7종 세트")</f>
        <v>Armor 모든 차량 청소 키트 7종 세트</v>
      </c>
      <c r="F3349" s="1" t="str">
        <f>IFERROR(__xludf.DUMMYFUNCTION("CONCATENATE(GOOGLETRANSLATE(C3349, ""en"", ""ja""))"),"アーマーオールカークリーニングキット7点セット")</f>
        <v>アーマーオールカークリーニングキット7点セット</v>
      </c>
    </row>
    <row r="3350" ht="15.75" customHeight="1">
      <c r="A3350" s="1">
        <v>8002.0</v>
      </c>
      <c r="B3350" s="1" t="s">
        <v>15</v>
      </c>
      <c r="C3350" s="1" t="s">
        <v>3023</v>
      </c>
      <c r="D3350" s="1" t="str">
        <f>IFERROR(__xludf.DUMMYFUNCTION("CONCATENATE(GOOGLETRANSLATE(C3350, ""en"", ""zh-cn""))"),"Armor All 超亮防护剂")</f>
        <v>Armor All 超亮防护剂</v>
      </c>
      <c r="E3350" s="1" t="str">
        <f>IFERROR(__xludf.DUMMYFUNCTION("CONCATENATE(GOOGLETRANSLATE(C3350, ""en"", ""ko""))"),"아머 올 울트라 샤인 프로텍턴트")</f>
        <v>아머 올 울트라 샤인 프로텍턴트</v>
      </c>
      <c r="F3350" s="1" t="str">
        <f>IFERROR(__xludf.DUMMYFUNCTION("CONCATENATE(GOOGLETRANSLATE(C3350, ""en"", ""ja""))"),"アーマーオール ウルトラシャインプロテクタント")</f>
        <v>アーマーオール ウルトラシャインプロテクタント</v>
      </c>
    </row>
    <row r="3351" ht="15.75" customHeight="1">
      <c r="A3351" s="1">
        <v>8009.0</v>
      </c>
      <c r="B3351" s="1" t="s">
        <v>15</v>
      </c>
      <c r="C3351" s="1" t="s">
        <v>3024</v>
      </c>
      <c r="D3351" s="1" t="str">
        <f>IFERROR(__xludf.DUMMYFUNCTION("CONCATENATE(GOOGLETRANSLATE(C3351, ""en"", ""zh-cn""))"),"佳得乐 Fit 电解质饮料")</f>
        <v>佳得乐 Fit 电解质饮料</v>
      </c>
      <c r="E3351" s="1" t="str">
        <f>IFERROR(__xludf.DUMMYFUNCTION("CONCATENATE(GOOGLETRANSLATE(C3351, ""en"", ""ko""))"),"게토레이 핏 전해질 음료")</f>
        <v>게토레이 핏 전해질 음료</v>
      </c>
      <c r="F3351" s="1" t="str">
        <f>IFERROR(__xludf.DUMMYFUNCTION("CONCATENATE(GOOGLETRANSLATE(C3351, ""en"", ""ja""))"),"ゲータレード フィット電解質飲料")</f>
        <v>ゲータレード フィット電解質飲料</v>
      </c>
    </row>
    <row r="3352" ht="15.75" customHeight="1">
      <c r="A3352" s="1">
        <v>8041.0</v>
      </c>
      <c r="B3352" s="1" t="s">
        <v>15</v>
      </c>
      <c r="C3352" s="1" t="s">
        <v>3025</v>
      </c>
      <c r="D3352" s="1" t="str">
        <f>IFERROR(__xludf.DUMMYFUNCTION("CONCATENATE(GOOGLETRANSLATE(C3352, ""en"", ""zh-cn""))"),"佳得乐水果宾治解渴剂 24 液体盎司塑料瓶")</f>
        <v>佳得乐水果宾治解渴剂 24 液体盎司塑料瓶</v>
      </c>
      <c r="E3352" s="1" t="str">
        <f>IFERROR(__xludf.DUMMYFUNCTION("CONCATENATE(GOOGLETRANSLATE(C3352, ""en"", ""ko""))"),"게토레이 과일 펀치 갈증 해소제 24 Fld Oz 플라스틱 병")</f>
        <v>게토레이 과일 펀치 갈증 해소제 24 Fld Oz 플라스틱 병</v>
      </c>
      <c r="F3352" s="1" t="str">
        <f>IFERROR(__xludf.DUMMYFUNCTION("CONCATENATE(GOOGLETRANSLATE(C3352, ""en"", ""ja""))"),"ゲータレード フルーツパンチ サースト クエンチャー 24 Fld Oz プラスチックボトル")</f>
        <v>ゲータレード フルーツパンチ サースト クエンチャー 24 Fld Oz プラスチックボトル</v>
      </c>
    </row>
    <row r="3353" ht="15.75" customHeight="1">
      <c r="A3353" s="1">
        <v>8058.0</v>
      </c>
      <c r="B3353" s="1" t="s">
        <v>15</v>
      </c>
      <c r="C3353" s="1" t="s">
        <v>3026</v>
      </c>
      <c r="D3353" s="1" t="str">
        <f>IFERROR(__xludf.DUMMYFUNCTION("CONCATENATE(GOOGLETRANSLATE(C3353, ""en"", ""zh-cn""))"),"宴会鸡胸肉")</f>
        <v>宴会鸡胸肉</v>
      </c>
      <c r="E3353" s="1" t="str">
        <f>IFERROR(__xludf.DUMMYFUNCTION("CONCATENATE(GOOGLETRANSLATE(C3353, ""en"", ""ko""))"),"연회 닭가슴살 텐더")</f>
        <v>연회 닭가슴살 텐더</v>
      </c>
      <c r="F3353" s="1" t="str">
        <f>IFERROR(__xludf.DUMMYFUNCTION("CONCATENATE(GOOGLETRANSLATE(C3353, ""en"", ""ja""))"),"宴会用鶏むね肉のささみ")</f>
        <v>宴会用鶏むね肉のささみ</v>
      </c>
    </row>
    <row r="3354" ht="15.75" customHeight="1">
      <c r="A3354" s="1">
        <v>8064.0</v>
      </c>
      <c r="B3354" s="1" t="s">
        <v>15</v>
      </c>
      <c r="C3354" s="1" t="s">
        <v>3027</v>
      </c>
      <c r="D3354" s="1" t="str">
        <f>IFERROR(__xludf.DUMMYFUNCTION("CONCATENATE(GOOGLETRANSLATE(C3354, ""en"", ""zh-cn""))"),"宴会鸡肉炒牛肉牛排餐")</f>
        <v>宴会鸡肉炒牛肉牛排餐</v>
      </c>
      <c r="E3354" s="1" t="str">
        <f>IFERROR(__xludf.DUMMYFUNCTION("CONCATENATE(GOOGLETRANSLATE(C3354, ""en"", ""ko""))"),"연회 치킨 프라이드 비프 스테이크 식사")</f>
        <v>연회 치킨 프라이드 비프 스테이크 식사</v>
      </c>
      <c r="F3354" s="1" t="str">
        <f>IFERROR(__xludf.DUMMYFUNCTION("CONCATENATE(GOOGLETRANSLATE(C3354, ""en"", ""ja""))"),"宴会チキンフライドビーフステーキ膳")</f>
        <v>宴会チキンフライドビーフステーキ膳</v>
      </c>
    </row>
    <row r="3355" ht="15.75" customHeight="1">
      <c r="A3355" s="1">
        <v>8070.0</v>
      </c>
      <c r="B3355" s="1" t="s">
        <v>15</v>
      </c>
      <c r="C3355" s="1" t="s">
        <v>3028</v>
      </c>
      <c r="D3355" s="1" t="str">
        <f>IFERROR(__xludf.DUMMYFUNCTION("CONCATENATE(GOOGLETRANSLATE(C3355, ""en"", ""zh-cn""))"),"宴会基本鸡块和薯条")</f>
        <v>宴会基本鸡块和薯条</v>
      </c>
      <c r="E3355" s="1" t="str">
        <f>IFERROR(__xludf.DUMMYFUNCTION("CONCATENATE(GOOGLETRANSLATE(C3355, ""en"", ""ko""))"),"연회 기본 치킨너겟과 감자튀김")</f>
        <v>연회 기본 치킨너겟과 감자튀김</v>
      </c>
      <c r="F3355" s="1" t="str">
        <f>IFERROR(__xludf.DUMMYFUNCTION("CONCATENATE(GOOGLETRANSLATE(C3355, ""en"", ""ja""))"),"宴会ベーシックチキンナゲットとフライドポテト")</f>
        <v>宴会ベーシックチキンナゲットとフライドポテト</v>
      </c>
    </row>
    <row r="3356" ht="15.75" customHeight="1">
      <c r="A3356" s="1">
        <v>8075.0</v>
      </c>
      <c r="B3356" s="1" t="s">
        <v>15</v>
      </c>
      <c r="C3356" s="1" t="s">
        <v>3029</v>
      </c>
      <c r="D3356" s="1" t="str">
        <f>IFERROR(__xludf.DUMMYFUNCTION("CONCATENATE(GOOGLETRANSLATE(C3356, ""en"", ""zh-cn""))"),"宴会大餐乡村炸鸡")</f>
        <v>宴会大餐乡村炸鸡</v>
      </c>
      <c r="E3356" s="1" t="str">
        <f>IFERROR(__xludf.DUMMYFUNCTION("CONCATENATE(GOOGLETRANSLATE(C3356, ""en"", ""ko""))"),"연회 메가밀 컨트리 프라이드치킨")</f>
        <v>연회 메가밀 컨트리 프라이드치킨</v>
      </c>
      <c r="F3356" s="1" t="str">
        <f>IFERROR(__xludf.DUMMYFUNCTION("CONCATENATE(GOOGLETRANSLATE(C3356, ""en"", ""ja""))"),"宴会メガミール カントリーフライドチキン")</f>
        <v>宴会メガミール カントリーフライドチキン</v>
      </c>
    </row>
    <row r="3357" ht="15.75" customHeight="1">
      <c r="A3357" s="1">
        <v>8081.0</v>
      </c>
      <c r="B3357" s="1" t="s">
        <v>15</v>
      </c>
      <c r="C3357" s="1" t="s">
        <v>3030</v>
      </c>
      <c r="D3357" s="1" t="str">
        <f>IFERROR(__xludf.DUMMYFUNCTION("CONCATENATE(GOOGLETRANSLATE(C3357, ""en"", ""zh-cn""))"),"宴会经典意大利面和肉丸，易于准备的餐食（10 盎司，12 件装）")</f>
        <v>宴会经典意大利面和肉丸，易于准备的餐食（10 盎司，12 件装）</v>
      </c>
      <c r="E3357" s="1" t="str">
        <f>IFERROR(__xludf.DUMMYFUNCTION("CONCATENATE(GOOGLETRANSLATE(C3357, ""en"", ""ko""))"),"연회 클래식 스파게티와 미트볼, 간편하게 준비할 수 있는 식사(10온스, 12팩)")</f>
        <v>연회 클래식 스파게티와 미트볼, 간편하게 준비할 수 있는 식사(10온스, 12팩)</v>
      </c>
      <c r="F3357" s="1" t="str">
        <f>IFERROR(__xludf.DUMMYFUNCTION("CONCATENATE(GOOGLETRANSLATE(C3357, ""en"", ""ja""))"),"バンケットクラシックスパゲッティとミートボール、簡単に準備できる食事（10オンス、12個パック）")</f>
        <v>バンケットクラシックスパゲッティとミートボール、簡単に準備できる食事（10オンス、12個パック）</v>
      </c>
    </row>
    <row r="3358" ht="15.75" customHeight="1">
      <c r="A3358" s="1">
        <v>8090.0</v>
      </c>
      <c r="B3358" s="1" t="s">
        <v>15</v>
      </c>
      <c r="C3358" s="1" t="s">
        <v>3027</v>
      </c>
      <c r="D3358" s="1" t="str">
        <f>IFERROR(__xludf.DUMMYFUNCTION("CONCATENATE(GOOGLETRANSLATE(C3358, ""en"", ""zh-cn""))"),"宴会鸡肉炒牛肉牛排餐")</f>
        <v>宴会鸡肉炒牛肉牛排餐</v>
      </c>
      <c r="E3358" s="1" t="str">
        <f>IFERROR(__xludf.DUMMYFUNCTION("CONCATENATE(GOOGLETRANSLATE(C3358, ""en"", ""ko""))"),"연회 치킨 프라이드 비프 스테이크 식사")</f>
        <v>연회 치킨 프라이드 비프 스테이크 식사</v>
      </c>
      <c r="F3358" s="1" t="str">
        <f>IFERROR(__xludf.DUMMYFUNCTION("CONCATENATE(GOOGLETRANSLATE(C3358, ""en"", ""ja""))"),"宴会チキンフライドビーフステーキ膳")</f>
        <v>宴会チキンフライドビーフステーキ膳</v>
      </c>
    </row>
    <row r="3359" ht="15.75" customHeight="1">
      <c r="A3359" s="1">
        <v>8094.0</v>
      </c>
      <c r="B3359" s="1" t="s">
        <v>15</v>
      </c>
      <c r="C3359" s="1" t="s">
        <v>3031</v>
      </c>
      <c r="D3359" s="1" t="str">
        <f>IFERROR(__xludf.DUMMYFUNCTION("CONCATENATE(GOOGLETRANSLATE(C3359, ""en"", ""zh-cn""))"),"宴会经典肉饼餐")</f>
        <v>宴会经典肉饼餐</v>
      </c>
      <c r="E3359" s="1" t="str">
        <f>IFERROR(__xludf.DUMMYFUNCTION("CONCATENATE(GOOGLETRANSLATE(C3359, ""en"", ""ko""))"),"연회 클래식 미트로프 식사")</f>
        <v>연회 클래식 미트로프 식사</v>
      </c>
      <c r="F3359" s="1" t="str">
        <f>IFERROR(__xludf.DUMMYFUNCTION("CONCATENATE(GOOGLETRANSLATE(C3359, ""en"", ""ja""))"),"宴会クラシックミートローフミール")</f>
        <v>宴会クラシックミートローフミール</v>
      </c>
    </row>
    <row r="3360" ht="15.75" customHeight="1">
      <c r="A3360" s="1">
        <v>8103.0</v>
      </c>
      <c r="B3360" s="1" t="s">
        <v>15</v>
      </c>
      <c r="C3360" s="1" t="s">
        <v>3032</v>
      </c>
      <c r="D3360" s="1" t="str">
        <f>IFERROR(__xludf.DUMMYFUNCTION("CONCATENATE(GOOGLETRANSLATE(C3360, ""en"", ""zh-cn""))"),"宴会大碗鸡肉炸牛排")</f>
        <v>宴会大碗鸡肉炸牛排</v>
      </c>
      <c r="E3360" s="1" t="str">
        <f>IFERROR(__xludf.DUMMYFUNCTION("CONCATENATE(GOOGLETRANSLATE(C3360, ""en"", ""ko""))"),"연회 메가볼 치킨 프라이드 비프 스테이크")</f>
        <v>연회 메가볼 치킨 프라이드 비프 스테이크</v>
      </c>
      <c r="F3360" s="1" t="str">
        <f>IFERROR(__xludf.DUMMYFUNCTION("CONCATENATE(GOOGLETRANSLATE(C3360, ""en"", ""ja""))"),"宴会メガ丼 チキンフライドビーフステーキ")</f>
        <v>宴会メガ丼 チキンフライドビーフステーキ</v>
      </c>
    </row>
    <row r="3361" ht="15.75" customHeight="1">
      <c r="A3361" s="1">
        <v>8114.0</v>
      </c>
      <c r="B3361" s="1" t="s">
        <v>15</v>
      </c>
      <c r="C3361" s="1" t="s">
        <v>3033</v>
      </c>
      <c r="D3361" s="1" t="str">
        <f>IFERROR(__xludf.DUMMYFUNCTION("CONCATENATE(GOOGLETRANSLATE(C3361, ""en"", ""zh-cn""))"),"Bornstein Seafoods 虾肉 350-500 片")</f>
        <v>Bornstein Seafoods 虾肉 350-500 片</v>
      </c>
      <c r="E3361" s="1" t="str">
        <f>IFERROR(__xludf.DUMMYFUNCTION("CONCATENATE(GOOGLETRANSLATE(C3361, ""en"", ""ko""))"),"Bornstein Seafoods 새우 고기 350-500개")</f>
        <v>Bornstein Seafoods 새우 고기 350-500개</v>
      </c>
      <c r="F3361" s="1" t="str">
        <f>IFERROR(__xludf.DUMMYFUNCTION("CONCATENATE(GOOGLETRANSLATE(C3361, ""en"", ""ja""))"),"ボーンスタイン シーフード エビ肉 350-500 匹")</f>
        <v>ボーンスタイン シーフード エビ肉 350-500 匹</v>
      </c>
    </row>
    <row r="3362" ht="15.75" customHeight="1">
      <c r="A3362" s="1">
        <v>8117.0</v>
      </c>
      <c r="B3362" s="1" t="s">
        <v>15</v>
      </c>
      <c r="C3362" s="1" t="s">
        <v>3034</v>
      </c>
      <c r="D3362" s="1" t="str">
        <f>IFERROR(__xludf.DUMMYFUNCTION("CONCATENATE(GOOGLETRANSLATE(C3362, ""en"", ""zh-cn""))"),"乡村男孩鳄鱼腌制鳄鱼腿")</f>
        <v>乡村男孩鳄鱼腌制鳄鱼腿</v>
      </c>
      <c r="E3362" s="1" t="str">
        <f>IFERROR(__xludf.DUMMYFUNCTION("CONCATENATE(GOOGLETRANSLATE(C3362, ""en"", ""ko""))"),"컨트리 보이 게이터 절인 악어 다리")</f>
        <v>컨트리 보이 게이터 절인 악어 다리</v>
      </c>
      <c r="F3362" s="1" t="str">
        <f>IFERROR(__xludf.DUMMYFUNCTION("CONCATENATE(GOOGLETRANSLATE(C3362, ""en"", ""ja""))"),"カントリーボーイゲーター アリゲーター足のマリネ")</f>
        <v>カントリーボーイゲーター アリゲーター足のマリネ</v>
      </c>
    </row>
    <row r="3363" ht="15.75" customHeight="1">
      <c r="A3363" s="1">
        <v>8121.0</v>
      </c>
      <c r="B3363" s="1" t="s">
        <v>15</v>
      </c>
      <c r="C3363" s="1" t="s">
        <v>3035</v>
      </c>
      <c r="D3363" s="1" t="str">
        <f>IFERROR(__xludf.DUMMYFUNCTION("CONCATENATE(GOOGLETRANSLATE(C3363, ""en"", ""zh-cn""))"),"整个布兰齐诺| Meat N' Bone 地中海风味餐厅")</f>
        <v>整个布兰齐诺| Meat N' Bone 地中海风味餐厅</v>
      </c>
      <c r="E3363" s="1" t="str">
        <f>IFERROR(__xludf.DUMMYFUNCTION("CONCATENATE(GOOGLETRANSLATE(C3363, ""en"", ""ko""))"),"브란지노 전체 | Meat N' Bone의 지중해 요리")</f>
        <v>브란지노 전체 | Meat N' Bone의 지중해 요리</v>
      </c>
      <c r="F3363" s="1" t="str">
        <f>IFERROR(__xludf.DUMMYFUNCTION("CONCATENATE(GOOGLETRANSLATE(C3363, ""en"", ""ja""))"),"ブランジーノ全体 |地中海料理 by Meat N' Bone")</f>
        <v>ブランジーノ全体 |地中海料理 by Meat N' Bone</v>
      </c>
    </row>
    <row r="3364" ht="15.75" customHeight="1">
      <c r="A3364" s="1">
        <v>8147.0</v>
      </c>
      <c r="B3364" s="1" t="s">
        <v>15</v>
      </c>
      <c r="C3364" s="1" t="s">
        <v>3036</v>
      </c>
      <c r="D3364" s="1" t="str">
        <f>IFERROR(__xludf.DUMMYFUNCTION("CONCATENATE(GOOGLETRANSLATE(C3364, ""en"", ""zh-cn""))"),"超值水中金枪鱼块")</f>
        <v>超值水中金枪鱼块</v>
      </c>
      <c r="E3364" s="1" t="str">
        <f>IFERROR(__xludf.DUMMYFUNCTION("CONCATENATE(GOOGLETRANSLATE(C3364, ""en"", ""ko""))"),"훌륭한 가치의 청크 라이트 참치 물")</f>
        <v>훌륭한 가치의 청크 라이트 참치 물</v>
      </c>
      <c r="F3364" s="1" t="str">
        <f>IFERROR(__xludf.DUMMYFUNCTION("CONCATENATE(GOOGLETRANSLATE(C3364, ""en"", ""ja""))"),"お得な塊状ライトマグロの水煮")</f>
        <v>お得な塊状ライトマグロの水煮</v>
      </c>
    </row>
    <row r="3365" ht="15.75" customHeight="1">
      <c r="A3365" s="1">
        <v>8152.0</v>
      </c>
      <c r="B3365" s="1" t="s">
        <v>15</v>
      </c>
      <c r="C3365" s="1" t="s">
        <v>3037</v>
      </c>
      <c r="D3365" s="1" t="str">
        <f>IFERROR(__xludf.DUMMYFUNCTION("CONCATENATE(GOOGLETRANSLATE(C3365, ""en"", ""zh-cn""))"),"新鲜野生捕获的大虾出售|全部新鲜海鲜")</f>
        <v>新鲜野生捕获的大虾出售|全部新鲜海鲜</v>
      </c>
      <c r="E3365" s="1" t="str">
        <f>IFERROR(__xludf.DUMMYFUNCTION("CONCATENATE(GOOGLETRANSLATE(C3365, ""en"", ""ko""))"),"신선한 야생 포획 거대 새우 판매 | 모든 신선한 해산물")</f>
        <v>신선한 야생 포획 거대 새우 판매 | 모든 신선한 해산물</v>
      </c>
      <c r="F3365" s="1" t="str">
        <f>IFERROR(__xludf.DUMMYFUNCTION("CONCATENATE(GOOGLETRANSLATE(C3365, ""en"", ""ja""))"),"新鮮な天然の巨大なエビを販売 |全て新鮮な魚介類")</f>
        <v>新鮮な天然の巨大なエビを販売 |全て新鮮な魚介類</v>
      </c>
    </row>
    <row r="3366" ht="15.75" customHeight="1">
      <c r="A3366" s="1">
        <v>8171.0</v>
      </c>
      <c r="B3366" s="1" t="s">
        <v>15</v>
      </c>
      <c r="C3366" s="1" t="s">
        <v>3038</v>
      </c>
      <c r="D3366" s="1" t="str">
        <f>IFERROR(__xludf.DUMMYFUNCTION("CONCATENATE(GOOGLETRANSLATE(C3366, ""en"", ""zh-cn""))"),"Dowinx 游戏椅，带猫耳和按摩腰部支撑")</f>
        <v>Dowinx 游戏椅，带猫耳和按摩腰部支撑</v>
      </c>
      <c r="E3366" s="1" t="str">
        <f>IFERROR(__xludf.DUMMYFUNCTION("CONCATENATE(GOOGLETRANSLATE(C3366, ""en"", ""ko""))"),"고양이 귀와 마사지 요추 지지대가 포함된 Dowinx 게이밍 의자")</f>
        <v>고양이 귀와 마사지 요추 지지대가 포함된 Dowinx 게이밍 의자</v>
      </c>
      <c r="F3366" s="1" t="str">
        <f>IFERROR(__xludf.DUMMYFUNCTION("CONCATENATE(GOOGLETRANSLATE(C3366, ""en"", ""ja""))"),"Dowinx 猫耳とマッサージランバーサポート付きゲーミングチェア")</f>
        <v>Dowinx 猫耳とマッサージランバーサポート付きゲーミングチェア</v>
      </c>
    </row>
    <row r="3367" ht="15.75" customHeight="1">
      <c r="A3367" s="1">
        <v>8188.0</v>
      </c>
      <c r="B3367" s="1" t="s">
        <v>15</v>
      </c>
      <c r="C3367" s="1" t="s">
        <v>3039</v>
      </c>
      <c r="D3367" s="1" t="str">
        <f>IFERROR(__xludf.DUMMYFUNCTION("CONCATENATE(GOOGLETRANSLATE(C3367, ""en"", ""zh-cn""))"),"Dowinx 布艺游戏椅带袋装弹簧垫，透气电脑椅带按摩腰部支撑和脚踏板，高背游戏办公椅")</f>
        <v>Dowinx 布艺游戏椅带袋装弹簧垫，透气电脑椅带按摩腰部支撑和脚踏板，高背游戏办公椅</v>
      </c>
      <c r="E3367" s="1" t="str">
        <f>IFERROR(__xludf.DUMMYFUNCTION("CONCATENATE(GOOGLETRANSLATE(C3367, ""en"", ""ko""))"),"포켓 스프링 쿠션이 있는 Dowinx 패브릭 게임 의자, 마사지 요추 지지대 및 발판이 있는 통기성 컴퓨터 의자, 하이백 게임 사무실 의자")</f>
        <v>포켓 스프링 쿠션이 있는 Dowinx 패브릭 게임 의자, 마사지 요추 지지대 및 발판이 있는 통기성 컴퓨터 의자, 하이백 게임 사무실 의자</v>
      </c>
      <c r="F3367" s="1" t="str">
        <f>IFERROR(__xludf.DUMMYFUNCTION("CONCATENATE(GOOGLETRANSLATE(C3367, ""en"", ""ja""))"),"Dowinx ファブリックゲーミングチェア、ポケットスプリングクッション付き、マッサージランバーサポートとフットレスト付きの通気性のあるコンピュータチェア、ハイバックゲームオフィスチェア")</f>
        <v>Dowinx ファブリックゲーミングチェア、ポケットスプリングクッション付き、マッサージランバーサポートとフットレスト付きの通気性のあるコンピュータチェア、ハイバックゲームオフィスチェア</v>
      </c>
    </row>
    <row r="3368" ht="15.75" customHeight="1">
      <c r="A3368" s="1">
        <v>8193.0</v>
      </c>
      <c r="B3368" s="1" t="s">
        <v>15</v>
      </c>
      <c r="C3368" s="1" t="s">
        <v>3040</v>
      </c>
      <c r="D3368" s="1" t="str">
        <f>IFERROR(__xludf.DUMMYFUNCTION("CONCATENATE(GOOGLETRANSLATE(C3368, ""en"", ""zh-cn""))"),"带 LED 灯的 Dowinx RGB 游戏椅、符合人体工程学的成人电脑椅、躺椅、带可调节腰部支撑的视频游戏椅、")</f>
        <v>带 LED 灯的 Dowinx RGB 游戏椅、符合人体工程学的成人电脑椅、躺椅、带可调节腰部支撑的视频游戏椅、</v>
      </c>
      <c r="E3368" s="1" t="str">
        <f>IFERROR(__xludf.DUMMYFUNCTION("CONCATENATE(GOOGLETRANSLATE(C3368, ""en"", ""ko""))"),"LED 조명이 장착된 Dowinx RGB 게임 의자, 성인용 인체공학적 컴퓨터 의자, 리클라이닝 의자, 조정 가능한 요추 지지대가 있는 비디오 게임 의자,")</f>
        <v>LED 조명이 장착된 Dowinx RGB 게임 의자, 성인용 인체공학적 컴퓨터 의자, 리클라이닝 의자, 조정 가능한 요추 지지대가 있는 비디오 게임 의자,</v>
      </c>
      <c r="F3368" s="1" t="str">
        <f>IFERROR(__xludf.DUMMYFUNCTION("CONCATENATE(GOOGLETRANSLATE(C3368, ""en"", ""ja""))"),"LEDライト付きDowinx RGBゲーミングチェア、大人用人間工学に基づいたコンピュータチェア、リクライニングチェア、調節可能なランバーサポート付きビデオゲームチェア、")</f>
        <v>LEDライト付きDowinx RGBゲーミングチェア、大人用人間工学に基づいたコンピュータチェア、リクライニングチェア、調節可能なランバーサポート付きビデオゲームチェア、</v>
      </c>
    </row>
    <row r="3369" ht="15.75" customHeight="1">
      <c r="A3369" s="1">
        <v>8197.0</v>
      </c>
      <c r="B3369" s="1" t="s">
        <v>15</v>
      </c>
      <c r="C3369" s="1" t="s">
        <v>3041</v>
      </c>
      <c r="D3369" s="1" t="str">
        <f>IFERROR(__xludf.DUMMYFUNCTION("CONCATENATE(GOOGLETRANSLATE(C3369, ""en"", ""zh-cn""))"),"采用高科技面料的 Dowinx 游戏椅")</f>
        <v>采用高科技面料的 Dowinx 游戏椅</v>
      </c>
      <c r="E3369" s="1" t="str">
        <f>IFERROR(__xludf.DUMMYFUNCTION("CONCATENATE(GOOGLETRANSLATE(C3369, ""en"", ""ko""))"),"Tech Fabric을 사용한 Dowinx 게이밍 의자")</f>
        <v>Tech Fabric을 사용한 Dowinx 게이밍 의자</v>
      </c>
      <c r="F3369" s="1" t="str">
        <f>IFERROR(__xludf.DUMMYFUNCTION("CONCATENATE(GOOGLETRANSLATE(C3369, ""en"", ""ja""))"),"Tech Fabric を使用した Dowinx ゲーミングチェア")</f>
        <v>Tech Fabric を使用した Dowinx ゲーミングチェア</v>
      </c>
    </row>
    <row r="3370" ht="15.75" customHeight="1">
      <c r="A3370" s="1">
        <v>8202.0</v>
      </c>
      <c r="B3370" s="1" t="s">
        <v>15</v>
      </c>
      <c r="C3370" s="1" t="s">
        <v>3042</v>
      </c>
      <c r="D3370" s="1" t="str">
        <f>IFERROR(__xludf.DUMMYFUNCTION("CONCATENATE(GOOGLETRANSLATE(C3370, ""en"", ""zh-cn""))"),"Dowinx 6657A 游戏椅")</f>
        <v>Dowinx 6657A 游戏椅</v>
      </c>
      <c r="E3370" s="1" t="str">
        <f>IFERROR(__xludf.DUMMYFUNCTION("CONCATENATE(GOOGLETRANSLATE(C3370, ""en"", ""ko""))"),"Dowinx 6657A 게임용 의자")</f>
        <v>Dowinx 6657A 게임용 의자</v>
      </c>
      <c r="F3370" s="1" t="str">
        <f>IFERROR(__xludf.DUMMYFUNCTION("CONCATENATE(GOOGLETRANSLATE(C3370, ""en"", ""ja""))"),"Dowinx 6657A ゲーミングチェア")</f>
        <v>Dowinx 6657A ゲーミングチェア</v>
      </c>
    </row>
    <row r="3371" ht="15.75" customHeight="1">
      <c r="A3371" s="1">
        <v>8206.0</v>
      </c>
      <c r="B3371" s="1" t="s">
        <v>15</v>
      </c>
      <c r="C3371" s="1" t="s">
        <v>3043</v>
      </c>
      <c r="D3371" s="1" t="str">
        <f>IFERROR(__xludf.DUMMYFUNCTION("CONCATENATE(GOOGLETRANSLATE(C3371, ""en"", ""zh-cn""))"),"Dowinx 游戏椅符合人体工程学赛车风格躺椅带按摩腰部支撑 4D 扶手电脑 PU 皮革游戏玩家椅")</f>
        <v>Dowinx 游戏椅符合人体工程学赛车风格躺椅带按摩腰部支撑 4D 扶手电脑 PU 皮革游戏玩家椅</v>
      </c>
      <c r="E3371" s="1" t="str">
        <f>IFERROR(__xludf.DUMMYFUNCTION("CONCATENATE(GOOGLETRANSLATE(C3371, ""en"", ""ko""))"),"Dowinx 게임 의자 인체 공학적 레이싱 스타일 안락 의자 마사지 요추 지원 4D 팔걸이 컴퓨터 PU 가죽 용 게이머 의자")</f>
        <v>Dowinx 게임 의자 인체 공학적 레이싱 스타일 안락 의자 마사지 요추 지원 4D 팔걸이 컴퓨터 PU 가죽 용 게이머 의자</v>
      </c>
      <c r="F3371" s="1" t="str">
        <f>IFERROR(__xludf.DUMMYFUNCTION("CONCATENATE(GOOGLETRANSLATE(C3371, ""en"", ""ja""))"),"Dowinx ゲーミングチェア人間工学に基づいたレーシングスタイルリクライニングチェアマッサージランバーサポート付き 4D アームレストゲーマーチェアコンピュータ用 PU レザー")</f>
        <v>Dowinx ゲーミングチェア人間工学に基づいたレーシングスタイルリクライニングチェアマッサージランバーサポート付き 4D アームレストゲーマーチェアコンピュータ用 PU レザー</v>
      </c>
    </row>
    <row r="3372" ht="15.75" customHeight="1">
      <c r="A3372" s="1">
        <v>8217.0</v>
      </c>
      <c r="B3372" s="1" t="s">
        <v>15</v>
      </c>
      <c r="C3372" s="1" t="s">
        <v>3044</v>
      </c>
      <c r="D3372" s="1" t="str">
        <f>IFERROR(__xludf.DUMMYFUNCTION("CONCATENATE(GOOGLETRANSLATE(C3372, ""en"", ""zh-cn""))"),"Fitmax Ipool 健身房引体向上杆（适用于上半身）")</f>
        <v>Fitmax Ipool 健身房引体向上杆（适用于上半身）</v>
      </c>
      <c r="E3372" s="1" t="str">
        <f>IFERROR(__xludf.DUMMYFUNCTION("CONCATENATE(GOOGLETRANSLATE(C3372, ""en"", ""ko""))"),"Fitmax Ipool Gym 턱 업 바(상체용)")</f>
        <v>Fitmax Ipool Gym 턱 업 바(상체용)</v>
      </c>
      <c r="F3372" s="1" t="str">
        <f>IFERROR(__xludf.DUMMYFUNCTION("CONCATENATE(GOOGLETRANSLATE(C3372, ""en"", ""ja""))"),"Fitmax Ipool ジム チンアップバー 上半身用")</f>
        <v>Fitmax Ipool ジム チンアップバー 上半身用</v>
      </c>
    </row>
    <row r="3373" ht="15.75" customHeight="1">
      <c r="A3373" s="1">
        <v>8222.0</v>
      </c>
      <c r="B3373" s="1" t="s">
        <v>15</v>
      </c>
      <c r="C3373" s="1" t="s">
        <v>3045</v>
      </c>
      <c r="D3373" s="1" t="str">
        <f>IFERROR(__xludf.DUMMYFUNCTION("CONCATENATE(GOOGLETRANSLATE(C3373, ""en"", ""zh-cn""))"),"FitKicks 女士运动鞋")</f>
        <v>FitKicks 女士运动鞋</v>
      </c>
      <c r="E3373" s="1" t="str">
        <f>IFERROR(__xludf.DUMMYFUNCTION("CONCATENATE(GOOGLETRANSLATE(C3373, ""en"", ""ko""))"),"FitKicks 여성용 액티브 신발")</f>
        <v>FitKicks 여성용 액티브 신발</v>
      </c>
      <c r="F3373" s="1" t="str">
        <f>IFERROR(__xludf.DUMMYFUNCTION("CONCATENATE(GOOGLETRANSLATE(C3373, ""en"", ""ja""))"),"FitKicks レディース アクティブ フットウェア")</f>
        <v>FitKicks レディース アクティブ フットウェア</v>
      </c>
    </row>
    <row r="3374" ht="15.75" customHeight="1">
      <c r="A3374" s="1">
        <v>8231.0</v>
      </c>
      <c r="B3374" s="1" t="s">
        <v>15</v>
      </c>
      <c r="C3374" s="1" t="s">
        <v>3046</v>
      </c>
      <c r="D3374" s="1" t="str">
        <f>IFERROR(__xludf.DUMMYFUNCTION("CONCATENATE(GOOGLETRANSLATE(C3374, ""en"", ""zh-cn""))"),"Inspire Fitness FTX 功能训练器")</f>
        <v>Inspire Fitness FTX 功能训练器</v>
      </c>
      <c r="E3374" s="1" t="str">
        <f>IFERROR(__xludf.DUMMYFUNCTION("CONCATENATE(GOOGLETRANSLATE(C3374, ""en"", ""ko""))"),"인스파이어 피트니스 FTX 기능성 트레이너")</f>
        <v>인스파이어 피트니스 FTX 기능성 트레이너</v>
      </c>
      <c r="F3374" s="1" t="str">
        <f>IFERROR(__xludf.DUMMYFUNCTION("CONCATENATE(GOOGLETRANSLATE(C3374, ""en"", ""ja""))"),"Inspire Fitness FTX ファンクショナル トレーナー")</f>
        <v>Inspire Fitness FTX ファンクショナル トレーナー</v>
      </c>
    </row>
    <row r="3375" ht="15.75" customHeight="1">
      <c r="A3375" s="1">
        <v>8239.0</v>
      </c>
      <c r="B3375" s="1" t="s">
        <v>15</v>
      </c>
      <c r="C3375" s="1" t="s">
        <v>3047</v>
      </c>
      <c r="D3375" s="1" t="str">
        <f>IFERROR(__xludf.DUMMYFUNCTION("CONCATENATE(GOOGLETRANSLATE(C3375, ""en"", ""zh-cn""))"),"Ritkeep 2025 年新年促销功能训练器 1500 磅容量多功能可调节动力笼组合 Destroyer M10")</f>
        <v>Ritkeep 2025 年新年促销功能训练器 1500 磅容量多功能可调节动力笼组合 Destroyer M10</v>
      </c>
      <c r="E3375" s="1" t="str">
        <f>IFERROR(__xludf.DUMMYFUNCTION("CONCATENATE(GOOGLETRANSLATE(C3375, ""en"", ""ko""))"),"Ritkeep 2025 신년 세일 기능성 트레이너 1500lb 용량 다기능 조절 가능한 파워 케이지 콤보 구축함 M10")</f>
        <v>Ritkeep 2025 신년 세일 기능성 트레이너 1500lb 용량 다기능 조절 가능한 파워 케이지 콤보 구축함 M10</v>
      </c>
      <c r="F3375" s="1" t="str">
        <f>IFERROR(__xludf.DUMMYFUNCTION("CONCATENATE(GOOGLETRANSLATE(C3375, ""en"", ""ja""))"),"Ritkeep 2025 新年セール機能トレーナー 1500 ポンド容量多機能調整可能なパワーケージコンボデストロイヤー M10")</f>
        <v>Ritkeep 2025 新年セール機能トレーナー 1500 ポンド容量多機能調整可能なパワーケージコンボデストロイヤー M10</v>
      </c>
    </row>
    <row r="3376" ht="15.75" customHeight="1">
      <c r="A3376" s="1">
        <v>8247.0</v>
      </c>
      <c r="B3376" s="1" t="s">
        <v>15</v>
      </c>
      <c r="C3376" s="1" t="s">
        <v>3048</v>
      </c>
      <c r="D3376" s="1" t="str">
        <f>IFERROR(__xludf.DUMMYFUNCTION("CONCATENATE(GOOGLETRANSLATE(C3376, ""en"", ""zh-cn""))"),"Fitvids LX750 多功能全套家用健身系统锻炼站")</f>
        <v>Fitvids LX750 多功能全套家用健身系统锻炼站</v>
      </c>
      <c r="E3376" s="1" t="str">
        <f>IFERROR(__xludf.DUMMYFUNCTION("CONCATENATE(GOOGLETRANSLATE(C3376, ""en"", ""ko""))"),"Fitvids LX750 다기능 풀 홈 체육관 시스템 운동 스테이션")</f>
        <v>Fitvids LX750 다기능 풀 홈 체육관 시스템 운동 스테이션</v>
      </c>
      <c r="F3376" s="1" t="str">
        <f>IFERROR(__xludf.DUMMYFUNCTION("CONCATENATE(GOOGLETRANSLATE(C3376, ""en"", ""ja""))"),"Fitvids LX750 多機能フルホームジムシステムワークアウトステーション")</f>
        <v>Fitvids LX750 多機能フルホームジムシステムワークアウトステーション</v>
      </c>
    </row>
    <row r="3377" ht="15.75" customHeight="1">
      <c r="A3377" s="1">
        <v>8248.0</v>
      </c>
      <c r="B3377" s="1" t="s">
        <v>15</v>
      </c>
      <c r="C3377" s="1" t="s">
        <v>3049</v>
      </c>
      <c r="D3377" s="1" t="str">
        <f>IFERROR(__xludf.DUMMYFUNCTION("CONCATENATE(GOOGLETRANSLATE(C3377, ""en"", ""zh-cn""))"),"Fitvids 多功能健身器材")</f>
        <v>Fitvids 多功能健身器材</v>
      </c>
      <c r="E3377" s="1" t="str">
        <f>IFERROR(__xludf.DUMMYFUNCTION("CONCATENATE(GOOGLETRANSLATE(C3377, ""en"", ""ko""))"),"Fitvids 다기능 운동 장비")</f>
        <v>Fitvids 다기능 운동 장비</v>
      </c>
      <c r="F3377" s="1" t="str">
        <f>IFERROR(__xludf.DUMMYFUNCTION("CONCATENATE(GOOGLETRANSLATE(C3377, ""en"", ""ja""))"),"Fitvids 多機能トレーニング機器")</f>
        <v>Fitvids 多機能トレーニング機器</v>
      </c>
    </row>
    <row r="3378" ht="15.75" customHeight="1">
      <c r="A3378" s="1">
        <v>8253.0</v>
      </c>
      <c r="B3378" s="1" t="s">
        <v>15</v>
      </c>
      <c r="C3378" s="1" t="s">
        <v>3050</v>
      </c>
      <c r="D3378" s="1" t="str">
        <f>IFERROR(__xludf.DUMMYFUNCTION("CONCATENATE(GOOGLETRANSLATE(C3378, ""en"", ""zh-cn""))"),"Fitvids 多功能家庭健身系统锻炼站")</f>
        <v>Fitvids 多功能家庭健身系统锻炼站</v>
      </c>
      <c r="E3378" s="1" t="str">
        <f>IFERROR(__xludf.DUMMYFUNCTION("CONCATENATE(GOOGLETRANSLATE(C3378, ""en"", ""ko""))"),"Fitvids 다기능 홈 체육관 시스템 운동 스테이션")</f>
        <v>Fitvids 다기능 홈 체육관 시스템 운동 스테이션</v>
      </c>
      <c r="F3378" s="1" t="str">
        <f>IFERROR(__xludf.DUMMYFUNCTION("CONCATENATE(GOOGLETRANSLATE(C3378, ""en"", ""ja""))"),"Fitvids 多機能ホームジム システム ワークアウト ステーション")</f>
        <v>Fitvids 多機能ホームジム システム ワークアウト ステーション</v>
      </c>
    </row>
    <row r="3379" ht="15.75" customHeight="1">
      <c r="A3379" s="1">
        <v>8254.0</v>
      </c>
      <c r="B3379" s="1" t="s">
        <v>15</v>
      </c>
      <c r="C3379" s="1" t="s">
        <v>3051</v>
      </c>
      <c r="D3379" s="1" t="str">
        <f>IFERROR(__xludf.DUMMYFUNCTION("CONCATENATE(GOOGLETRANSLATE(C3379, ""en"", ""zh-cn""))"),"Fitvids 机器动力架家庭健身房")</f>
        <v>Fitvids 机器动力架家庭健身房</v>
      </c>
      <c r="E3379" s="1" t="str">
        <f>IFERROR(__xludf.DUMMYFUNCTION("CONCATENATE(GOOGLETRANSLATE(C3379, ""en"", ""ko""))"),"Fitvids 머신 파워 랙 홈 체육관")</f>
        <v>Fitvids 머신 파워 랙 홈 체육관</v>
      </c>
      <c r="F3379" s="1" t="str">
        <f>IFERROR(__xludf.DUMMYFUNCTION("CONCATENATE(GOOGLETRANSLATE(C3379, ""en"", ""ja""))"),"Fitvids マシン パワーラック ホームジム")</f>
        <v>Fitvids マシン パワーラック ホームジム</v>
      </c>
    </row>
    <row r="3380" ht="15.75" customHeight="1">
      <c r="A3380" s="1">
        <v>8255.0</v>
      </c>
      <c r="B3380" s="1" t="s">
        <v>15</v>
      </c>
      <c r="C3380" s="1" t="s">
        <v>3052</v>
      </c>
      <c r="D3380" s="1" t="str">
        <f>IFERROR(__xludf.DUMMYFUNCTION("CONCATENATE(GOOGLETRANSLATE(C3380, ""en"", ""zh-cn""))"),"Gymshark Lift 无缝紧身裤")</f>
        <v>Gymshark Lift 无缝紧身裤</v>
      </c>
      <c r="E3380" s="1" t="str">
        <f>IFERROR(__xludf.DUMMYFUNCTION("CONCATENATE(GOOGLETRANSLATE(C3380, ""en"", ""ko""))"),"Gymshark 리프트 심리스 레깅스")</f>
        <v>Gymshark 리프트 심리스 레깅스</v>
      </c>
      <c r="F3380" s="1" t="str">
        <f>IFERROR(__xludf.DUMMYFUNCTION("CONCATENATE(GOOGLETRANSLATE(C3380, ""en"", ""ja""))"),"Gymshark リフト シームレス レギンス")</f>
        <v>Gymshark リフト シームレス レギンス</v>
      </c>
    </row>
    <row r="3381" ht="15.75" customHeight="1">
      <c r="A3381" s="1">
        <v>8279.0</v>
      </c>
      <c r="B3381" s="1" t="s">
        <v>15</v>
      </c>
      <c r="C3381" s="1" t="s">
        <v>3053</v>
      </c>
      <c r="D3381" s="1" t="str">
        <f>IFERROR(__xludf.DUMMYFUNCTION("CONCATENATE(GOOGLETRANSLATE(C3381, ""en"", ""zh-cn""))"),"PcheeBum Pchee V 腰口袋打底裤")</f>
        <v>PcheeBum Pchee V 腰口袋打底裤</v>
      </c>
      <c r="E3381" s="1" t="str">
        <f>IFERROR(__xludf.DUMMYFUNCTION("CONCATENATE(GOOGLETRANSLATE(C3381, ""en"", ""ko""))"),"PcheeBum Pchee V-웨이스트 포켓 레깅스")</f>
        <v>PcheeBum Pchee V-웨이스트 포켓 레깅스</v>
      </c>
      <c r="F3381" s="1" t="str">
        <f>IFERROR(__xludf.DUMMYFUNCTION("CONCATENATE(GOOGLETRANSLATE(C3381, ""en"", ""ja""))"),"PcheeBum Pchee V ウエスト ポケット レギンス")</f>
        <v>PcheeBum Pchee V ウエスト ポケット レギンス</v>
      </c>
    </row>
    <row r="3382" ht="15.75" customHeight="1">
      <c r="A3382" s="1">
        <v>8292.0</v>
      </c>
      <c r="B3382" s="1" t="s">
        <v>15</v>
      </c>
      <c r="C3382" s="1" t="s">
        <v>3054</v>
      </c>
      <c r="D3382" s="1" t="str">
        <f>IFERROR(__xludf.DUMMYFUNCTION("CONCATENATE(GOOGLETRANSLATE(C3382, ""en"", ""zh-cn""))"),"Mountain Valley Seed Company 有机黑麦谷物植物种子")</f>
        <v>Mountain Valley Seed Company 有机黑麦谷物植物种子</v>
      </c>
      <c r="E3382" s="1" t="str">
        <f>IFERROR(__xludf.DUMMYFUNCTION("CONCATENATE(GOOGLETRANSLATE(C3382, ""en"", ""ko""))"),"Mountain Valley Seed Company 유기농 호밀 곡물 식물 씨앗")</f>
        <v>Mountain Valley Seed Company 유기농 호밀 곡물 식물 씨앗</v>
      </c>
      <c r="F3382" s="1" t="str">
        <f>IFERROR(__xludf.DUMMYFUNCTION("CONCATENATE(GOOGLETRANSLATE(C3382, ""en"", ""ja""))"),"Mountain Valley Seed Company 有機ライ麦植物の種子")</f>
        <v>Mountain Valley Seed Company 有機ライ麦植物の種子</v>
      </c>
    </row>
    <row r="3383" ht="15.75" customHeight="1">
      <c r="A3383" s="1">
        <v>8298.0</v>
      </c>
      <c r="B3383" s="1" t="s">
        <v>15</v>
      </c>
      <c r="C3383" s="1" t="s">
        <v>3055</v>
      </c>
      <c r="D3383" s="1" t="str">
        <f>IFERROR(__xludf.DUMMYFUNCTION("CONCATENATE(GOOGLETRANSLATE(C3383, ""en"", ""zh-cn""))"),"更明亮的花朵影影大师皂荚树")</f>
        <v>更明亮的花朵影影大师皂荚树</v>
      </c>
      <c r="E3383" s="1" t="str">
        <f>IFERROR(__xludf.DUMMYFUNCTION("CONCATENATE(GOOGLETRANSLATE(C3383, ""en"", ""ko""))"),"더 밝게 피어나는 그늘지기 허니로커스트 나무")</f>
        <v>더 밝게 피어나는 그늘지기 허니로커스트 나무</v>
      </c>
      <c r="F3383" s="1" t="str">
        <f>IFERROR(__xludf.DUMMYFUNCTION("CONCATENATE(GOOGLETRANSLATE(C3383, ""en"", ""ja""))"),"明るく咲くシェードマスター ハニーバッタの木")</f>
        <v>明るく咲くシェードマスター ハニーバッタの木</v>
      </c>
    </row>
    <row r="3384" ht="15.75" customHeight="1">
      <c r="A3384" s="1">
        <v>8300.0</v>
      </c>
      <c r="B3384" s="1" t="s">
        <v>15</v>
      </c>
      <c r="C3384" s="1" t="s">
        <v>3056</v>
      </c>
      <c r="D3384" s="1" t="str">
        <f>IFERROR(__xludf.DUMMYFUNCTION("CONCATENATE(GOOGLETRANSLATE(C3384, ""en"", ""zh-cn""))"),"颤抖的白杨树种子")</f>
        <v>颤抖的白杨树种子</v>
      </c>
      <c r="E3384" s="1" t="str">
        <f>IFERROR(__xludf.DUMMYFUNCTION("CONCATENATE(GOOGLETRANSLATE(C3384, ""en"", ""ko""))"),"흔들리는 사시나무 씨앗")</f>
        <v>흔들리는 사시나무 씨앗</v>
      </c>
      <c r="F3384" s="1" t="str">
        <f>IFERROR(__xludf.DUMMYFUNCTION("CONCATENATE(GOOGLETRANSLATE(C3384, ""en"", ""ja""))"),"震えるポプラの木の種子")</f>
        <v>震えるポプラの木の種子</v>
      </c>
    </row>
    <row r="3385" ht="15.75" customHeight="1">
      <c r="A3385" s="1">
        <v>8315.0</v>
      </c>
      <c r="B3385" s="1" t="s">
        <v>15</v>
      </c>
      <c r="C3385" s="1" t="s">
        <v>3057</v>
      </c>
      <c r="D3385" s="1" t="str">
        <f>IFERROR(__xludf.DUMMYFUNCTION("CONCATENATE(GOOGLETRANSLATE(C3385, ""en"", ""zh-cn""))"),"加州梧桐树种子（PLATANUS RACEMOSA）（西梧桐）（加州梧桐树）")</f>
        <v>加州梧桐树种子（PLATANUS RACEMOSA）（西梧桐）（加州梧桐树）</v>
      </c>
      <c r="E3385" s="1" t="str">
        <f>IFERROR(__xludf.DUMMYFUNCTION("CONCATENATE(GOOGLETRANSLATE(C3385, ""en"", ""ko""))"),"캘리포니아 플라타너스 나무 씨앗(PLATANUS RACEMOSA)(서부 플라타너스)(캘리포니아 플라타너스)")</f>
        <v>캘리포니아 플라타너스 나무 씨앗(PLATANUS RACEMOSA)(서부 플라타너스)(캘리포니아 플라타너스)</v>
      </c>
      <c r="F3385" s="1" t="str">
        <f>IFERROR(__xludf.DUMMYFUNCTION("CONCATENATE(GOOGLETRANSLATE(C3385, ""en"", ""ja""))"),"カリフォルニアプラタナスの木の種子 (PLATANUS RACEMOSA) (ウエスタンプラタナス) (カリフォルニアプラタナス)")</f>
        <v>カリフォルニアプラタナスの木の種子 (PLATANUS RACEMOSA) (ウエスタンプラタナス) (カリフォルニアプラタナス)</v>
      </c>
    </row>
    <row r="3386" ht="15.75" customHeight="1">
      <c r="A3386" s="1">
        <v>8320.0</v>
      </c>
      <c r="B3386" s="1" t="s">
        <v>15</v>
      </c>
      <c r="C3386" s="1" t="s">
        <v>3058</v>
      </c>
      <c r="D3386" s="1" t="str">
        <f>IFERROR(__xludf.DUMMYFUNCTION("CONCATENATE(GOOGLETRANSLATE(C3386, ""en"", ""zh-cn""))"),"皇家泡桐 1000 多个种子，世界上生长最快的树")</f>
        <v>皇家泡桐 1000 多个种子，世界上生长最快的树</v>
      </c>
      <c r="E3386" s="1" t="str">
        <f>IFERROR(__xludf.DUMMYFUNCTION("CONCATENATE(GOOGLETRANSLATE(C3386, ""en"", ""ko""))"),"Royal Paulownia Tomentosa 1000개 이상의 씨앗, 세계에서 가장 빠르게 자라는 나무")</f>
        <v>Royal Paulownia Tomentosa 1000개 이상의 씨앗, 세계에서 가장 빠르게 자라는 나무</v>
      </c>
      <c r="F3386" s="1" t="str">
        <f>IFERROR(__xludf.DUMMYFUNCTION("CONCATENATE(GOOGLETRANSLATE(C3386, ""en"", ""ja""))"),"Royal Paulownia Tomentosa 1000以上の種子、世界で最も早く成長する木")</f>
        <v>Royal Paulownia Tomentosa 1000以上の種子、世界で最も早く成長する木</v>
      </c>
    </row>
    <row r="3387" ht="15.75" customHeight="1">
      <c r="A3387" s="1">
        <v>8326.0</v>
      </c>
      <c r="B3387" s="1" t="s">
        <v>15</v>
      </c>
      <c r="C3387" s="1" t="s">
        <v>3059</v>
      </c>
      <c r="D3387" s="1" t="str">
        <f>IFERROR(__xludf.DUMMYFUNCTION("CONCATENATE(GOOGLETRANSLATE(C3387, ""en"", ""zh-cn""))"),"CZ 粒垂银桦树植物种子")</f>
        <v>CZ 粒垂银桦树植物种子</v>
      </c>
      <c r="E3387" s="1" t="str">
        <f>IFERROR(__xludf.DUMMYFUNCTION("CONCATENATE(GOOGLETRANSLATE(C3387, ""en"", ""ko""))"),"CZ 곡물 수양은 자작 나무 식물 씨앗")</f>
        <v>CZ 곡물 수양은 자작 나무 식물 씨앗</v>
      </c>
      <c r="F3387" s="1" t="str">
        <f>IFERROR(__xludf.DUMMYFUNCTION("CONCATENATE(GOOGLETRANSLATE(C3387, ""en"", ""ja""))"),"CZ グレイン ウィーピング シルバー バーチ ツリー 植物の種子")</f>
        <v>CZ グレイン ウィーピング シルバー バーチ ツリー 植物の種子</v>
      </c>
    </row>
    <row r="3388" ht="15.75" customHeight="1">
      <c r="A3388" s="1">
        <v>3158.0</v>
      </c>
      <c r="B3388" s="1" t="s">
        <v>381</v>
      </c>
      <c r="C3388" s="1" t="s">
        <v>3060</v>
      </c>
      <c r="D3388" s="1" t="str">
        <f>IFERROR(__xludf.DUMMYFUNCTION("CONCATENATE(GOOGLETRANSLATE(C3388, ""en"", ""zh-cn""))"),"S/M/L 独特形状木制黑猫拼图玩具拼图光滑防水拼图艺术玩具家庭游戏礼物")</f>
        <v>S/M/L 独特形状木制黑猫拼图玩具拼图光滑防水拼图艺术玩具家庭游戏礼物</v>
      </c>
      <c r="E3388" s="1" t="str">
        <f>IFERROR(__xludf.DUMMYFUNCTION("CONCATENATE(GOOGLETRANSLATE(C3388, ""en"", ""ko""))"),"S/M/L 독특한 모양 나무 어두운 고양이 퍼즐 장난감 퍼즐 조각 부드럽고 방수 퍼즐 아트 장난감 가족 게임을위한 선물")</f>
        <v>S/M/L 독특한 모양 나무 어두운 고양이 퍼즐 장난감 퍼즐 조각 부드럽고 방수 퍼즐 아트 장난감 가족 게임을위한 선물</v>
      </c>
      <c r="F3388" s="1" t="str">
        <f>IFERROR(__xludf.DUMMYFUNCTION("CONCATENATE(GOOGLETRANSLATE(C3388, ""en"", ""ja""))"),"S/M/L ユニークな形状の木製ダークキャットパズルおもちゃジグソーピース滑らかで防水パズルアートおもちゃギフト家族ゲーム")</f>
        <v>S/M/L ユニークな形状の木製ダークキャットパズルおもちゃジグソーピース滑らかで防水パズルアートおもちゃギフト家族ゲーム</v>
      </c>
    </row>
    <row r="3389" ht="15.75" customHeight="1">
      <c r="A3389" s="1">
        <v>3165.0</v>
      </c>
      <c r="B3389" s="1" t="s">
        <v>381</v>
      </c>
      <c r="C3389" s="1" t="s">
        <v>3061</v>
      </c>
      <c r="D3389" s="1" t="str">
        <f>IFERROR(__xludf.DUMMYFUNCTION("CONCATENATE(GOOGLETRANSLATE(C3389, ""en"", ""zh-cn""))"),"M10 双模鼠标 2.4G 蓝牙兼容静音无声无线鼠标可充电笔记本电脑")</f>
        <v>M10 双模鼠标 2.4G 蓝牙兼容静音无声无线鼠标可充电笔记本电脑</v>
      </c>
      <c r="E3389" s="1" t="str">
        <f>IFERROR(__xludf.DUMMYFUNCTION("CONCATENATE(GOOGLETRANSLATE(C3389, ""en"", ""ko""))"),"M10 듀얼 모드 마우스 2.4G 블루투스 호환 음소거 무음 무선 마우스 노트북 충전 가능")</f>
        <v>M10 듀얼 모드 마우스 2.4G 블루투스 호환 음소거 무음 무선 마우스 노트북 충전 가능</v>
      </c>
      <c r="F3389" s="1" t="str">
        <f>IFERROR(__xludf.DUMMYFUNCTION("CONCATENATE(GOOGLETRANSLATE(C3389, ""en"", ""ja""))"),"M10 デュアルモードマウス 2.4G Bluetooth 互換ミュートサイレントワイヤレスマウス充電可能ラップトップ用")</f>
        <v>M10 デュアルモードマウス 2.4G Bluetooth 互換ミュートサイレントワイヤレスマウス充電可能ラップトップ用</v>
      </c>
    </row>
    <row r="3390" ht="15.75" customHeight="1">
      <c r="A3390" s="1">
        <v>3171.0</v>
      </c>
      <c r="B3390" s="1" t="s">
        <v>381</v>
      </c>
      <c r="C3390" s="1" t="s">
        <v>690</v>
      </c>
      <c r="D3390" s="1" t="str">
        <f>IFERROR(__xludf.DUMMYFUNCTION("CONCATENATE(GOOGLETRANSLATE(C3390, ""en"", ""zh-cn""))"),"男式拼色前拉链连帽风衣夹克")</f>
        <v>男式拼色前拉链连帽风衣夹克</v>
      </c>
      <c r="E3390" s="1" t="str">
        <f>IFERROR(__xludf.DUMMYFUNCTION("CONCATENATE(GOOGLETRANSLATE(C3390, ""en"", ""ko""))"),"남성용 컬러 블록 패치워크 지퍼 프론트 후드 윈드브레이커 재킷")</f>
        <v>남성용 컬러 블록 패치워크 지퍼 프론트 후드 윈드브레이커 재킷</v>
      </c>
      <c r="F3390" s="1" t="str">
        <f>IFERROR(__xludf.DUMMYFUNCTION("CONCATENATE(GOOGLETRANSLATE(C3390, ""en"", ""ja""))"),"メンズ カラーブロック パッチワーク ジップ フロント フード付き ウインドブレーカー ジャケット")</f>
        <v>メンズ カラーブロック パッチワーク ジップ フロント フード付き ウインドブレーカー ジャケット</v>
      </c>
    </row>
    <row r="3391" ht="15.75" customHeight="1">
      <c r="A3391" s="1">
        <v>3198.0</v>
      </c>
      <c r="B3391" s="1" t="s">
        <v>15</v>
      </c>
      <c r="C3391" s="1" t="s">
        <v>3062</v>
      </c>
      <c r="D3391" s="1" t="str">
        <f>IFERROR(__xludf.DUMMYFUNCTION("CONCATENATE(GOOGLETRANSLATE(C3391, ""en"", ""zh-cn""))"),"Jura GIGA 6 铝制自动咖啡机")</f>
        <v>Jura GIGA 6 铝制自动咖啡机</v>
      </c>
      <c r="E3391" s="1" t="str">
        <f>IFERROR(__xludf.DUMMYFUNCTION("CONCATENATE(GOOGLETRANSLATE(C3391, ""en"", ""ko""))"),"Jura GIGA 6 알루미늄 자동 커피 머신")</f>
        <v>Jura GIGA 6 알루미늄 자동 커피 머신</v>
      </c>
      <c r="F3391" s="1" t="str">
        <f>IFERROR(__xludf.DUMMYFUNCTION("CONCATENATE(GOOGLETRANSLATE(C3391, ""en"", ""ja""))"),"Jura GIGA 6 アルミニウム自動コーヒーマシン")</f>
        <v>Jura GIGA 6 アルミニウム自動コーヒーマシン</v>
      </c>
    </row>
    <row r="3392" ht="15.75" customHeight="1">
      <c r="A3392" s="1">
        <v>3211.0</v>
      </c>
      <c r="B3392" s="1" t="s">
        <v>15</v>
      </c>
      <c r="C3392" s="1" t="s">
        <v>3063</v>
      </c>
      <c r="D3392" s="1" t="str">
        <f>IFERROR(__xludf.DUMMYFUNCTION("CONCATENATE(GOOGLETRANSLATE(C3392, ""en"", ""zh-cn""))"),"Acme 家具 1 个抽屉和 4 个门木服务器，仿古白色")</f>
        <v>Acme 家具 1 个抽屉和 4 个门木服务器，仿古白色</v>
      </c>
      <c r="E3392" s="1" t="str">
        <f>IFERROR(__xludf.DUMMYFUNCTION("CONCATENATE(GOOGLETRANSLATE(C3392, ""en"", ""ko""))"),"Acme 가구 서랍 1개 및 문 4개 목재 서버, 앤티크 화이트")</f>
        <v>Acme 가구 서랍 1개 및 문 4개 목재 서버, 앤티크 화이트</v>
      </c>
      <c r="F3392" s="1" t="str">
        <f>IFERROR(__xludf.DUMMYFUNCTION("CONCATENATE(GOOGLETRANSLATE(C3392, ""en"", ""ja""))"),"Acme Furniture 1 引き出しと 4 ドアの木製サーバー、アンティーク ホワイト")</f>
        <v>Acme Furniture 1 引き出しと 4 ドアの木製サーバー、アンティーク ホワイト</v>
      </c>
    </row>
    <row r="3393" ht="15.75" customHeight="1">
      <c r="A3393" s="1">
        <v>3216.0</v>
      </c>
      <c r="B3393" s="1" t="s">
        <v>15</v>
      </c>
      <c r="C3393" s="1" t="s">
        <v>3064</v>
      </c>
      <c r="D3393" s="1" t="str">
        <f>IFERROR(__xludf.DUMMYFUNCTION("CONCATENATE(GOOGLETRANSLATE(C3393, ""en"", ""zh-cn""))"),"Jura Expresso S8 钢琴黑 - 15381")</f>
        <v>Jura Expresso S8 钢琴黑 - 15381</v>
      </c>
      <c r="E3393" s="1" t="str">
        <f>IFERROR(__xludf.DUMMYFUNCTION("CONCATENATE(GOOGLETRANSLATE(C3393, ""en"", ""ko""))"),"Jura Expresso S8 피아노 블랙 - 15381")</f>
        <v>Jura Expresso S8 피아노 블랙 - 15381</v>
      </c>
      <c r="F3393" s="1" t="str">
        <f>IFERROR(__xludf.DUMMYFUNCTION("CONCATENATE(GOOGLETRANSLATE(C3393, ""en"", ""ja""))"),"ジュラ エクスプレッソ S8 ピアノ ブラック - 15381")</f>
        <v>ジュラ エクスプレッソ S8 ピアノ ブラック - 15381</v>
      </c>
    </row>
    <row r="3394" ht="15.75" customHeight="1">
      <c r="A3394" s="1">
        <v>3221.0</v>
      </c>
      <c r="B3394" s="1" t="s">
        <v>15</v>
      </c>
      <c r="C3394" s="1" t="s">
        <v>3065</v>
      </c>
      <c r="D3394" s="1" t="str">
        <f>IFERROR(__xludf.DUMMYFUNCTION("CONCATENATE(GOOGLETRANSLATE(C3394, ""en"", ""zh-cn""))"),"Jura E8 自动咖啡机 15271， 64Fl oz， 镀铬")</f>
        <v>Jura E8 自动咖啡机 15271， 64Fl oz， 镀铬</v>
      </c>
      <c r="E3394" s="1" t="str">
        <f>IFERROR(__xludf.DUMMYFUNCTION("CONCATENATE(GOOGLETRANSLATE(C3394, ""en"", ""ko""))"),"Jura E8 자동 커피 머신 15271, 64Fl oz, 크롬")</f>
        <v>Jura E8 자동 커피 머신 15271, 64Fl oz, 크롬</v>
      </c>
      <c r="F3394" s="1" t="str">
        <f>IFERROR(__xludf.DUMMYFUNCTION("CONCATENATE(GOOGLETRANSLATE(C3394, ""en"", ""ja""))"),"Jura E8 自動コーヒーマシン 15271、64 液量オンス、クロム")</f>
        <v>Jura E8 自動コーヒーマシン 15271、64 液量オンス、クロム</v>
      </c>
    </row>
    <row r="3395" ht="15.75" customHeight="1">
      <c r="A3395" s="1">
        <v>3222.0</v>
      </c>
      <c r="B3395" s="1" t="s">
        <v>15</v>
      </c>
      <c r="C3395" s="1" t="s">
        <v>3066</v>
      </c>
      <c r="D3395" s="1" t="str">
        <f>IFERROR(__xludf.DUMMYFUNCTION("CONCATENATE(GOOGLETRANSLATE(C3395, ""en"", ""zh-cn""))"),"Jura E8 镀铬自动咖啡机， 64oz")</f>
        <v>Jura E8 镀铬自动咖啡机， 64oz</v>
      </c>
      <c r="E3395" s="1" t="str">
        <f>IFERROR(__xludf.DUMMYFUNCTION("CONCATENATE(GOOGLETRANSLATE(C3395, ""en"", ""ko""))"),"Jura E8 크롬 자동 커피 머신, 64온스")</f>
        <v>Jura E8 크롬 자동 커피 머신, 64온스</v>
      </c>
      <c r="F3395" s="1" t="str">
        <f>IFERROR(__xludf.DUMMYFUNCTION("CONCATENATE(GOOGLETRANSLATE(C3395, ""en"", ""ja""))"),"Jura E8 クロム自動コーヒーマシン、64オンス")</f>
        <v>Jura E8 クロム自動コーヒーマシン、64オンス</v>
      </c>
    </row>
    <row r="3396" ht="15.75" customHeight="1">
      <c r="A3396" s="1">
        <v>3227.0</v>
      </c>
      <c r="B3396" s="1" t="s">
        <v>15</v>
      </c>
      <c r="C3396" s="1" t="s">
        <v>3067</v>
      </c>
      <c r="D3396" s="1" t="str">
        <f>IFERROR(__xludf.DUMMYFUNCTION("CONCATENATE(GOOGLETRANSLATE(C3396, ""en"", ""zh-cn""))"),"Jura Z6 自动咖啡机，铝制（更新）")</f>
        <v>Jura Z6 自动咖啡机，铝制（更新）</v>
      </c>
      <c r="E3396" s="1" t="str">
        <f>IFERROR(__xludf.DUMMYFUNCTION("CONCATENATE(GOOGLETRANSLATE(C3396, ""en"", ""ko""))"),"Jura Z6 자동 커피 머신, 알루미늄(리뉴얼)")</f>
        <v>Jura Z6 자동 커피 머신, 알루미늄(리뉴얼)</v>
      </c>
      <c r="F3396" s="1" t="str">
        <f>IFERROR(__xludf.DUMMYFUNCTION("CONCATENATE(GOOGLETRANSLATE(C3396, ""en"", ""ja""))"),"Jura Z6 自動コーヒーマシン、アルミニウム (リニューアル)")</f>
        <v>Jura Z6 自動コーヒーマシン、アルミニウム (リニューアル)</v>
      </c>
    </row>
    <row r="3397" ht="15.75" customHeight="1">
      <c r="A3397" s="1">
        <v>3236.0</v>
      </c>
      <c r="B3397" s="1" t="s">
        <v>15</v>
      </c>
      <c r="C3397" s="1" t="s">
        <v>3068</v>
      </c>
      <c r="D3397" s="1" t="str">
        <f>IFERROR(__xludf.DUMMYFUNCTION("CONCATENATE(GOOGLETRANSLATE(C3397, ""en"", ""zh-cn""))"),"Acme 家具沙发，棕褐色，图案织物和古董橡木")</f>
        <v>Acme 家具沙发，棕褐色，图案织物和古董橡木</v>
      </c>
      <c r="E3397" s="1" t="str">
        <f>IFERROR(__xludf.DUMMYFUNCTION("CONCATENATE(GOOGLETRANSLATE(C3397, ""en"", ""ko""))"),"Acme 가구 소파, 황갈색, 패턴 패브릭 및 앤티크 오크")</f>
        <v>Acme 가구 소파, 황갈색, 패턴 패브릭 및 앤티크 오크</v>
      </c>
      <c r="F3397" s="1" t="str">
        <f>IFERROR(__xludf.DUMMYFUNCTION("CONCATENATE(GOOGLETRANSLATE(C3397, ""en"", ""ja""))"),"Acme Furniture ソファ、タン、パターンファブリック &amp; アンティークオーク")</f>
        <v>Acme Furniture ソファ、タン、パターンファブリック &amp; アンティークオーク</v>
      </c>
    </row>
    <row r="3398" ht="15.75" customHeight="1">
      <c r="A3398" s="1">
        <v>3239.0</v>
      </c>
      <c r="B3398" s="1" t="s">
        <v>15</v>
      </c>
      <c r="C3398" s="1" t="s">
        <v>3069</v>
      </c>
      <c r="D3398" s="1" t="str">
        <f>IFERROR(__xludf.DUMMYFUNCTION("CONCATENATE(GOOGLETRANSLATE(C3398, ""en"", ""zh-cn""))"),"Acme Furniture 软体沙发，棕褐色/棕色/浓咖啡")</f>
        <v>Acme Furniture 软体沙发，棕褐色/棕色/浓咖啡</v>
      </c>
      <c r="E3398" s="1" t="str">
        <f>IFERROR(__xludf.DUMMYFUNCTION("CONCATENATE(GOOGLETRANSLATE(C3398, ""en"", ""ko""))"),"Acme 가구 덮개를 씌운 소파, 황갈색/브라운/에스프레소")</f>
        <v>Acme 가구 덮개를 씌운 소파, 황갈색/브라운/에스프레소</v>
      </c>
      <c r="F3398" s="1" t="str">
        <f>IFERROR(__xludf.DUMMYFUNCTION("CONCATENATE(GOOGLETRANSLATE(C3398, ""en"", ""ja""))"),"Acme Furniture 布張りソファ、タン/ブラウン/エスプレッソ")</f>
        <v>Acme Furniture 布張りソファ、タン/ブラウン/エスプレッソ</v>
      </c>
    </row>
    <row r="3399" ht="15.75" customHeight="1">
      <c r="A3399" s="1">
        <v>3267.0</v>
      </c>
      <c r="B3399" s="1" t="s">
        <v>15</v>
      </c>
      <c r="C3399" s="1" t="s">
        <v>3070</v>
      </c>
      <c r="D3399" s="1" t="str">
        <f>IFERROR(__xludf.DUMMYFUNCTION("CONCATENATE(GOOGLETRANSLATE(C3399, ""en"", ""zh-cn""))"),"Acme Furniture Noralie 镜面人造钻石餐桌")</f>
        <v>Acme Furniture Noralie 镜面人造钻石餐桌</v>
      </c>
      <c r="E3399" s="1" t="str">
        <f>IFERROR(__xludf.DUMMYFUNCTION("CONCATENATE(GOOGLETRANSLATE(C3399, ""en"", ""ko""))"),"거울과 인조 다이아몬드 소재의 Acme Furniture Noralie 식탁")</f>
        <v>거울과 인조 다이아몬드 소재의 Acme Furniture Noralie 식탁</v>
      </c>
      <c r="F3399" s="1" t="str">
        <f>IFERROR(__xludf.DUMMYFUNCTION("CONCATENATE(GOOGLETRANSLATE(C3399, ""en"", ""ja""))"),"Acme Furniture Noralie ミラーリングとフェイクダイヤモンドのダイニング テーブル")</f>
        <v>Acme Furniture Noralie ミラーリングとフェイクダイヤモンドのダイニング テーブル</v>
      </c>
    </row>
    <row r="3400" ht="15.75" customHeight="1">
      <c r="A3400" s="1">
        <v>3284.0</v>
      </c>
      <c r="B3400" s="1" t="s">
        <v>15</v>
      </c>
      <c r="C3400" s="1" t="s">
        <v>3071</v>
      </c>
      <c r="D3400" s="1" t="str">
        <f>IFERROR(__xludf.DUMMYFUNCTION("CONCATENATE(GOOGLETRANSLATE(C3400, ""en"", ""zh-cn""))"),"Bridgevine 75 英寸电视家用电视柜，75 英寸电视娱乐中心，带储物空间的电视柜，已完全组装")</f>
        <v>Bridgevine 75 英寸电视家用电视柜，75 英寸电视娱乐中心，带储物空间的电视柜，已完全组装</v>
      </c>
      <c r="E3400" s="1" t="str">
        <f>IFERROR(__xludf.DUMMYFUNCTION("CONCATENATE(GOOGLETRANSLATE(C3400, ""en"", ""ko""))"),"75인치 TV용 브리지바인 홈 TV 스탠드, 75인치 TV용 엔터테인먼트 센터, 보관함을 갖춘 TV 스탠드, 완전 조립됨")</f>
        <v>75인치 TV용 브리지바인 홈 TV 스탠드, 75인치 TV용 엔터테인먼트 센터, 보관함을 갖춘 TV 스탠드, 완전 조립됨</v>
      </c>
      <c r="F3400" s="1" t="str">
        <f>IFERROR(__xludf.DUMMYFUNCTION("CONCATENATE(GOOGLETRANSLATE(C3400, ""en"", ""ja""))"),"Bridgevine ホーム テレビ スタンド 75 インチ テレビ用、エンターテイメント センター 75 インチ テレビ用、収納付きテレビ スタンド、完全組み立て")</f>
        <v>Bridgevine ホーム テレビ スタンド 75 インチ テレビ用、エンターテイメント センター 75 インチ テレビ用、収納付きテレビ スタンド、完全組み立て</v>
      </c>
    </row>
    <row r="3401" ht="15.75" customHeight="1">
      <c r="A3401" s="1">
        <v>3295.0</v>
      </c>
      <c r="B3401" s="1" t="s">
        <v>15</v>
      </c>
      <c r="C3401" s="1" t="s">
        <v>3072</v>
      </c>
      <c r="D3401" s="1" t="str">
        <f>IFERROR(__xludf.DUMMYFUNCTION("CONCATENATE(GOOGLETRANSLATE(C3401, ""en"", ""zh-cn""))"),"HONBAY 组合沙发 U 型组合沙发带脚凳 双面组合沙发 7 座沙发带储物座椅，灰色")</f>
        <v>HONBAY 组合沙发 U 型组合沙发带脚凳 双面组合沙发 7 座沙发带储物座椅，灰色</v>
      </c>
      <c r="E3401" s="1" t="str">
        <f>IFERROR(__xludf.DUMMYFUNCTION("CONCATENATE(GOOGLETRANSLATE(C3401, ""en"", ""ko""))"),"HONBAY 모듈형 단면 소파 U자형 단면 소파(오스만 포함) 가역 모듈형 소파 7인용 소파(수납 시트 포함), 회색")</f>
        <v>HONBAY 모듈형 단면 소파 U자형 단면 소파(오스만 포함) 가역 모듈형 소파 7인용 소파(수납 시트 포함), 회색</v>
      </c>
      <c r="F3401" s="1" t="str">
        <f>IFERROR(__xludf.DUMMYFUNCTION("CONCATENATE(GOOGLETRANSLATE(C3401, ""en"", ""ja""))"),"HONBAY モジュール式セクショナルソファ U 字型セクショナルソファ オットマン付き リバーシブル モジュール式ソファ 7人掛けソファ 収納シート付き グレー")</f>
        <v>HONBAY モジュール式セクショナルソファ U 字型セクショナルソファ オットマン付き リバーシブル モジュール式ソファ 7人掛けソファ 収納シート付き グレー</v>
      </c>
    </row>
    <row r="3402" ht="15.75" customHeight="1">
      <c r="A3402" s="1">
        <v>3298.0</v>
      </c>
      <c r="B3402" s="1" t="s">
        <v>15</v>
      </c>
      <c r="C3402" s="1" t="s">
        <v>3073</v>
      </c>
      <c r="D3402" s="1" t="str">
        <f>IFERROR(__xludf.DUMMYFUNCTION("CONCATENATE(GOOGLETRANSLATE(C3402, ""en"", ""zh-cn""))"),"ACME Furniture Rovledo 双底座餐桌，樱桃木")</f>
        <v>ACME Furniture Rovledo 双底座餐桌，樱桃木</v>
      </c>
      <c r="E3402" s="1" t="str">
        <f>IFERROR(__xludf.DUMMYFUNCTION("CONCATENATE(GOOGLETRANSLATE(C3402, ""en"", ""ko""))"),"ACME 가구 Rovledo 더블 받침대 식탁, 체리")</f>
        <v>ACME 가구 Rovledo 더블 받침대 식탁, 체리</v>
      </c>
      <c r="F3402" s="1" t="str">
        <f>IFERROR(__xludf.DUMMYFUNCTION("CONCATENATE(GOOGLETRANSLATE(C3402, ""en"", ""ja""))"),"ACME Furniture Rovledo ダブルペデスタル ダイニング テーブル、チェリー")</f>
        <v>ACME Furniture Rovledo ダブルペデスタル ダイニング テーブル、チェリー</v>
      </c>
    </row>
    <row r="3403" ht="15.75" customHeight="1">
      <c r="A3403" s="1">
        <v>3300.0</v>
      </c>
      <c r="B3403" s="1" t="s">
        <v>15</v>
      </c>
      <c r="C3403" s="1" t="s">
        <v>3074</v>
      </c>
      <c r="D3403" s="1" t="str">
        <f>IFERROR(__xludf.DUMMYFUNCTION("CONCATENATE(GOOGLETRANSLATE(C3403, ""en"", ""zh-cn""))"),"ACME Vendome 梳妆台 - 22009 - 樱桃木")</f>
        <v>ACME Vendome 梳妆台 - 22009 - 樱桃木</v>
      </c>
      <c r="E3403" s="1" t="str">
        <f>IFERROR(__xludf.DUMMYFUNCTION("CONCATENATE(GOOGLETRANSLATE(C3403, ""en"", ""ko""))"),"ACME 방돔 화장대 - 22009 - 체리")</f>
        <v>ACME 방돔 화장대 - 22009 - 체리</v>
      </c>
      <c r="F3403" s="1" t="str">
        <f>IFERROR(__xludf.DUMMYFUNCTION("CONCATENATE(GOOGLETRANSLATE(C3403, ""en"", ""ja""))"),"ACME Vendome バニティ デスク - 22009 - チェリー")</f>
        <v>ACME Vendome バニティ デスク - 22009 - チェリー</v>
      </c>
    </row>
    <row r="3404" ht="15.75" customHeight="1">
      <c r="A3404" s="1">
        <v>3302.0</v>
      </c>
      <c r="B3404" s="1" t="s">
        <v>15</v>
      </c>
      <c r="C3404" s="1" t="s">
        <v>3075</v>
      </c>
      <c r="D3404" s="1" t="str">
        <f>IFERROR(__xludf.DUMMYFUNCTION("CONCATENATE(GOOGLETRANSLATE(C3404, ""en"", ""zh-cn""))"),"Jura E4 钢琴黑色自动咖啡机")</f>
        <v>Jura E4 钢琴黑色自动咖啡机</v>
      </c>
      <c r="E3404" s="1" t="str">
        <f>IFERROR(__xludf.DUMMYFUNCTION("CONCATENATE(GOOGLETRANSLATE(C3404, ""en"", ""ko""))"),"Jura E4 피아노 블랙 자동 커피 머신")</f>
        <v>Jura E4 피아노 블랙 자동 커피 머신</v>
      </c>
      <c r="F3404" s="1" t="str">
        <f>IFERROR(__xludf.DUMMYFUNCTION("CONCATENATE(GOOGLETRANSLATE(C3404, ""en"", ""ja""))"),"Jura E4 ピアノブラック自動コーヒーマシン")</f>
        <v>Jura E4 ピアノブラック自動コーヒーマシン</v>
      </c>
    </row>
    <row r="3405" ht="15.75" customHeight="1">
      <c r="A3405" s="1">
        <v>3303.0</v>
      </c>
      <c r="B3405" s="1" t="s">
        <v>15</v>
      </c>
      <c r="C3405" s="1" t="s">
        <v>3076</v>
      </c>
      <c r="D3405" s="1" t="str">
        <f>IFERROR(__xludf.DUMMYFUNCTION("CONCATENATE(GOOGLETRANSLATE(C3405, ""en"", ""zh-cn""))"),"Acme Furniture DITA 娱乐中心，胡桃木")</f>
        <v>Acme Furniture DITA 娱乐中心，胡桃木</v>
      </c>
      <c r="E3405" s="1" t="str">
        <f>IFERROR(__xludf.DUMMYFUNCTION("CONCATENATE(GOOGLETRANSLATE(C3405, ""en"", ""ko""))"),"Acme Furniture DITA 엔터테인먼트 센터, 월넛")</f>
        <v>Acme Furniture DITA 엔터테인먼트 센터, 월넛</v>
      </c>
      <c r="F3405" s="1" t="str">
        <f>IFERROR(__xludf.DUMMYFUNCTION("CONCATENATE(GOOGLETRANSLATE(C3405, ""en"", ""ja""))"),"Acme Furniture DITA Entertainment Center、ウォールナット")</f>
        <v>Acme Furniture DITA Entertainment Center、ウォールナット</v>
      </c>
    </row>
    <row r="3406" ht="15.75" customHeight="1">
      <c r="A3406" s="1">
        <v>3316.0</v>
      </c>
      <c r="B3406" s="1" t="s">
        <v>15</v>
      </c>
      <c r="C3406" s="1" t="s">
        <v>3077</v>
      </c>
      <c r="D3406" s="1" t="str">
        <f>IFERROR(__xludf.DUMMYFUNCTION("CONCATENATE(GOOGLETRANSLATE(C3406, ""en"", ""zh-cn""))"),"Acme Furniture Achelle 椅子，28 H x 48 W x 41 D，黑色")</f>
        <v>Acme Furniture Achelle 椅子，28 H x 48 W x 41 D，黑色</v>
      </c>
      <c r="E3406" s="1" t="str">
        <f>IFERROR(__xludf.DUMMYFUNCTION("CONCATENATE(GOOGLETRANSLATE(C3406, ""en"", ""ko""))"),"Acme 가구 아셸 의자, 28 H x 48 W x 41 D, 검정색")</f>
        <v>Acme 가구 아셸 의자, 28 H x 48 W x 41 D, 검정색</v>
      </c>
      <c r="F3406" s="1" t="str">
        <f>IFERROR(__xludf.DUMMYFUNCTION("CONCATENATE(GOOGLETRANSLATE(C3406, ""en"", ""ja""))"),"Acme Furniture Achelle チェア、高さ 28 x 幅 48 x 奥行き 41 インチ、ブラック")</f>
        <v>Acme Furniture Achelle チェア、高さ 28 x 幅 48 x 奥行き 41 インチ、ブラック</v>
      </c>
    </row>
    <row r="3407" ht="15.75" customHeight="1">
      <c r="A3407" s="1">
        <v>3317.0</v>
      </c>
      <c r="B3407" s="1" t="s">
        <v>15</v>
      </c>
      <c r="C3407" s="1" t="s">
        <v>3078</v>
      </c>
      <c r="D3407" s="1" t="str">
        <f>IFERROR(__xludf.DUMMYFUNCTION("CONCATENATE(GOOGLETRANSLATE(C3407, ""en"", ""zh-cn""))"),"Modway Sanguine Vintage Glamour Channel 簇绒高性能天鹅绒软垫沙发，灰色")</f>
        <v>Modway Sanguine Vintage Glamour Channel 簇绒高性能天鹅绒软垫沙发，灰色</v>
      </c>
      <c r="E3407" s="1" t="str">
        <f>IFERROR(__xludf.DUMMYFUNCTION("CONCATENATE(GOOGLETRANSLATE(C3407, ""en"", ""ko""))"),"Modway Sanguine 빈티지 글래머 채널 터프트 퍼포먼스 벨벳 커버 그레이 소파")</f>
        <v>Modway Sanguine 빈티지 글래머 채널 터프트 퍼포먼스 벨벳 커버 그레이 소파</v>
      </c>
      <c r="F3407" s="1" t="str">
        <f>IFERROR(__xludf.DUMMYFUNCTION("CONCATENATE(GOOGLETRANSLATE(C3407, ""en"", ""ja""))"),"Modway Sanguine ヴィンテージ グラマー チャンネル タフト パフォーマンス ベルベット布張りソファ グレー")</f>
        <v>Modway Sanguine ヴィンテージ グラマー チャンネル タフト パフォーマンス ベルベット布張りソファ グレー</v>
      </c>
    </row>
    <row r="3408" ht="15.75" customHeight="1">
      <c r="A3408" s="1">
        <v>3321.0</v>
      </c>
      <c r="B3408" s="1" t="s">
        <v>15</v>
      </c>
      <c r="C3408" s="1" t="s">
        <v>3079</v>
      </c>
      <c r="D3408" s="1" t="str">
        <f>IFERROR(__xludf.DUMMYFUNCTION("CONCATENATE(GOOGLETRANSLATE(C3408, ""en"", ""zh-cn""))"),"Breville Barista Touch BES880BSS 不锈钢浓缩咖啡机，带触摸屏控制 + 内置研磨机 + 迷你敲击盒")</f>
        <v>Breville Barista Touch BES880BSS 不锈钢浓缩咖啡机，带触摸屏控制 + 内置研磨机 + 迷你敲击盒</v>
      </c>
      <c r="E3408" s="1" t="str">
        <f>IFERROR(__xludf.DUMMYFUNCTION("CONCATENATE(GOOGLETRANSLATE(C3408, ""en"", ""ko""))"),"브레빌 바리스타 터치 BES880BSS 스테인리스 스틸 에스프레소 머신 터치스크린 컨트롤 포함 + 내장 그라인더 + 녹박스 미니")</f>
        <v>브레빌 바리스타 터치 BES880BSS 스테인리스 스틸 에스프레소 머신 터치스크린 컨트롤 포함 + 내장 그라인더 + 녹박스 미니</v>
      </c>
      <c r="F3408" s="1" t="str">
        <f>IFERROR(__xludf.DUMMYFUNCTION("CONCATENATE(GOOGLETRANSLATE(C3408, ""en"", ""ja""))"),"Breville Barista Touch BES880BSS ステンレススチール エスプレッソマシン タッチスクリーンコントロール + 内蔵グラインダー + ノックボックスミニ付き")</f>
        <v>Breville Barista Touch BES880BSS ステンレススチール エスプレッソマシン タッチスクリーンコントロール + 内蔵グラインダー + ノックボックスミニ付き</v>
      </c>
    </row>
    <row r="3409" ht="15.75" customHeight="1">
      <c r="A3409" s="1">
        <v>3324.0</v>
      </c>
      <c r="B3409" s="1" t="s">
        <v>15</v>
      </c>
      <c r="C3409" s="1" t="s">
        <v>3080</v>
      </c>
      <c r="D3409" s="1" t="str">
        <f>IFERROR(__xludf.DUMMYFUNCTION("CONCATENATE(GOOGLETRANSLATE(C3409, ""en"", ""zh-cn""))"),"Breville Barista Touch 浓缩咖啡机，67 液量盎司，拉丝不锈钢，BES880BSS")</f>
        <v>Breville Barista Touch 浓缩咖啡机，67 液量盎司，拉丝不锈钢，BES880BSS</v>
      </c>
      <c r="E3409" s="1" t="str">
        <f>IFERROR(__xludf.DUMMYFUNCTION("CONCATENATE(GOOGLETRANSLATE(C3409, ""en"", ""ko""))"),"브레빌 바리스타 터치 에스프레소 머신, 67액량 온스, 브러시드 스테인레스 스틸, BES880BSS")</f>
        <v>브레빌 바리스타 터치 에스프레소 머신, 67액량 온스, 브러시드 스테인레스 스틸, BES880BSS</v>
      </c>
      <c r="F3409" s="1" t="str">
        <f>IFERROR(__xludf.DUMMYFUNCTION("CONCATENATE(GOOGLETRANSLATE(C3409, ""en"", ""ja""))"),"Breville Barista Touch エスプレッソマシン、67液量オンス、つや消しステンレススチール、BES880BSS")</f>
        <v>Breville Barista Touch エスプレッソマシン、67液量オンス、つや消しステンレススチール、BES880BSS</v>
      </c>
    </row>
    <row r="3410" ht="15.75" customHeight="1">
      <c r="A3410" s="1">
        <v>3332.0</v>
      </c>
      <c r="B3410" s="1" t="s">
        <v>15</v>
      </c>
      <c r="C3410" s="1" t="s">
        <v>3081</v>
      </c>
      <c r="D3410" s="1" t="str">
        <f>IFERROR(__xludf.DUMMYFUNCTION("CONCATENATE(GOOGLETRANSLATE(C3410, ""en"", ""zh-cn""))"),"Breville 智能烤箱 Pizzaiolo 披萨烤箱， BPZ820BSS， 拉丝不锈钢")</f>
        <v>Breville 智能烤箱 Pizzaiolo 披萨烤箱， BPZ820BSS， 拉丝不锈钢</v>
      </c>
      <c r="E3410" s="1" t="str">
        <f>IFERROR(__xludf.DUMMYFUNCTION("CONCATENATE(GOOGLETRANSLATE(C3410, ""en"", ""ko""))"),"브레빌 스마트 오븐 피자이올로 피자 오븐, BPZ820BSS, 브러시드 스테인레스 스틸")</f>
        <v>브레빌 스마트 오븐 피자이올로 피자 오븐, BPZ820BSS, 브러시드 스테인레스 스틸</v>
      </c>
      <c r="F3410" s="1" t="str">
        <f>IFERROR(__xludf.DUMMYFUNCTION("CONCATENATE(GOOGLETRANSLATE(C3410, ""en"", ""ja""))"),"Breville スマート オーブン Pizzaiolo ピザ オーブン、BPZ820BSS、つや消しステンレス鋼")</f>
        <v>Breville スマート オーブン Pizzaiolo ピザ オーブン、BPZ820BSS、つや消しステンレス鋼</v>
      </c>
    </row>
    <row r="3411" ht="15.75" customHeight="1">
      <c r="A3411" s="1">
        <v>3349.0</v>
      </c>
      <c r="B3411" s="1" t="s">
        <v>15</v>
      </c>
      <c r="C3411" s="1" t="s">
        <v>3082</v>
      </c>
      <c r="D3411" s="1" t="str">
        <f>IFERROR(__xludf.DUMMYFUNCTION("CONCATENATE(GOOGLETRANSLATE(C3411, ""en"", ""zh-cn""))"),"Ucloveria 组合沙发，软垫 L 形沙发，沙发床带 3 个沙发枕头，6 座客厅超大转角沙发，带贵妃椅，88*88，灰色")</f>
        <v>Ucloveria 组合沙发，软垫 L 形沙发，沙发床带 3 个沙发枕头，6 座客厅超大转角沙发，带贵妃椅，88*88，灰色</v>
      </c>
      <c r="E3411" s="1" t="str">
        <f>IFERROR(__xludf.DUMMYFUNCTION("CONCATENATE(GOOGLETRANSLATE(C3411, ""en"", ""ko""))"),"Ucloveria 단면 소파 소파, 겉천을 씌운 L자형 소파 소파, 소파 베개 3개가 있는 슬리퍼 소파 베드, 거실용 긴 의자가 있는 좌석 대형 코너 소파 소파 6개, 88*88, 회색")</f>
        <v>Ucloveria 단면 소파 소파, 겉천을 씌운 L자형 소파 소파, 소파 베개 3개가 있는 슬리퍼 소파 베드, 거실용 긴 의자가 있는 좌석 대형 코너 소파 소파 6개, 88*88, 회색</v>
      </c>
      <c r="F3411" s="1" t="str">
        <f>IFERROR(__xludf.DUMMYFUNCTION("CONCATENATE(GOOGLETRANSLATE(C3411, ""en"", ""ja""))"),"Ucloveria セクショナルソファカウチ、布張りのL字型ソファカウチ、ソファ枕3個付きスリーパーソファベッド、リビングルーム用長椅子付き6人掛け特大コーナーソファカウチ、88*88、グレー")</f>
        <v>Ucloveria セクショナルソファカウチ、布張りのL字型ソファカウチ、ソファ枕3個付きスリーパーソファベッド、リビングルーム用長椅子付き6人掛け特大コーナーソファカウチ、88*88、グレー</v>
      </c>
    </row>
    <row r="3412" ht="15.75" customHeight="1">
      <c r="A3412" s="1">
        <v>3352.0</v>
      </c>
      <c r="B3412" s="1" t="s">
        <v>15</v>
      </c>
      <c r="C3412" s="1" t="s">
        <v>3083</v>
      </c>
      <c r="D3412" s="1" t="str">
        <f>IFERROR(__xludf.DUMMYFUNCTION("CONCATENATE(GOOGLETRANSLATE(C3412, ""en"", ""zh-cn""))"),"CECER U 形组合沙发，可转换 L 形沙发，大床沙发，客厅可变组合超大沙发，（米色）")</f>
        <v>CECER U 形组合沙发，可转换 L 形沙发，大床沙发，客厅可变组合超大沙发，（米色）</v>
      </c>
      <c r="E3412" s="1" t="str">
        <f>IFERROR(__xludf.DUMMYFUNCTION("CONCATENATE(GOOGLETRANSLATE(C3412, ""en"", ""ko""))"),"CECER U자형 모듈형 단면 소파, 컨버터블 L자형 소파 소파, 퀸 슬리퍼 소파, 거실용 가변 모듈러 대형 소파, (베이지색)")</f>
        <v>CECER U자형 모듈형 단면 소파, 컨버터블 L자형 소파 소파, 퀸 슬리퍼 소파, 거실용 가변 모듈러 대형 소파, (베이지색)</v>
      </c>
      <c r="F3412" s="1" t="str">
        <f>IFERROR(__xludf.DUMMYFUNCTION("CONCATENATE(GOOGLETRANSLATE(C3412, ""en"", ""ja""))"),"CECER U字型モジュール式セクショナルソファ、コンバーチブルL字型カウチソファ、クイーンスリーパーソファ、リビングルーム用可変モジュール式特大カウチソファ、(ベージュ)")</f>
        <v>CECER U字型モジュール式セクショナルソファ、コンバーチブルL字型カウチソファ、クイーンスリーパーソファ、リビングルーム用可変モジュール式特大カウチソファ、(ベージュ)</v>
      </c>
    </row>
    <row r="3413" ht="15.75" customHeight="1">
      <c r="A3413" s="1">
        <v>3358.0</v>
      </c>
      <c r="B3413" s="1" t="s">
        <v>15</v>
      </c>
      <c r="C3413" s="1" t="s">
        <v>3084</v>
      </c>
      <c r="D3413" s="1" t="str">
        <f>IFERROR(__xludf.DUMMYFUNCTION("CONCATENATE(GOOGLETRANSLATE(C3413, ""en"", ""zh-cn""))"),"飞利浦 3200 系列全自动浓缩咖啡机，带 LatteGo，银色，EP3246/74")</f>
        <v>飞利浦 3200 系列全自动浓缩咖啡机，带 LatteGo，银色，EP3246/74</v>
      </c>
      <c r="E3413" s="1" t="str">
        <f>IFERROR(__xludf.DUMMYFUNCTION("CONCATENATE(GOOGLETRANSLATE(C3413, ""en"", ""ko""))"),"필립스 3200 시리즈 전자동 에스프레소 머신 LatteGo 포함, 실버, EP3246/74")</f>
        <v>필립스 3200 시리즈 전자동 에스프레소 머신 LatteGo 포함, 실버, EP3246/74</v>
      </c>
      <c r="F3413" s="1" t="str">
        <f>IFERROR(__xludf.DUMMYFUNCTION("CONCATENATE(GOOGLETRANSLATE(C3413, ""en"", ""ja""))"),"PHILIPS 3200 シリーズ 全自動エスプレッソマシン LatteGo付き シルバー EP3246/74")</f>
        <v>PHILIPS 3200 シリーズ 全自動エスプレッソマシン LatteGo付き シルバー EP3246/74</v>
      </c>
    </row>
    <row r="3414" ht="15.75" customHeight="1">
      <c r="A3414" s="1">
        <v>3368.0</v>
      </c>
      <c r="B3414" s="1" t="s">
        <v>15</v>
      </c>
      <c r="C3414" s="1" t="s">
        <v>3085</v>
      </c>
      <c r="D3414" s="1" t="str">
        <f>IFERROR(__xludf.DUMMYFUNCTION("CONCATENATE(GOOGLETRANSLATE(C3414, ""en"", ""zh-cn""))"),"Casa Andrea Milano 现代大型天鹅绒布艺 U 形组合沙发，双人超宽躺椅沙发，宝蓝色")</f>
        <v>Casa Andrea Milano 现代大型天鹅绒布艺 U 形组合沙发，双人超宽躺椅沙发，宝蓝色</v>
      </c>
      <c r="E3414" s="1" t="str">
        <f>IFERROR(__xludf.DUMMYFUNCTION("CONCATENATE(GOOGLETRANSLATE(C3414, ""en"", ""ko""))"),"Casa Andrea Milano 현대적인 대형 벨벳 패브릭 U자형 단면 소파, 더블 엑스트라 와이드 긴 의자 라운지 소파, 로얄 블루")</f>
        <v>Casa Andrea Milano 현대적인 대형 벨벳 패브릭 U자형 단면 소파, 더블 엑스트라 와이드 긴 의자 라운지 소파, 로얄 블루</v>
      </c>
      <c r="F3414" s="1" t="str">
        <f>IFERROR(__xludf.DUMMYFUNCTION("CONCATENATE(GOOGLETRANSLATE(C3414, ""en"", ""ja""))"),"Casa Andrea Milano モダンな大型ベルベット生地 U 字型セクショナルソファ、ダブルエクストラワイド長椅子、ロイヤルブルー")</f>
        <v>Casa Andrea Milano モダンな大型ベルベット生地 U 字型セクショナルソファ、ダブルエクストラワイド長椅子、ロイヤルブルー</v>
      </c>
    </row>
    <row r="3415" ht="15.75" customHeight="1">
      <c r="A3415" s="1">
        <v>3372.0</v>
      </c>
      <c r="B3415" s="1" t="s">
        <v>15</v>
      </c>
      <c r="C3415" s="1" t="s">
        <v>3086</v>
      </c>
      <c r="D3415" s="1" t="str">
        <f>IFERROR(__xludf.DUMMYFUNCTION("CONCATENATE(GOOGLETRANSLATE(C3415, ""en"", ""zh-cn""))"),"Devion Furniture 黑色仿皮组合沙发带脚凳（含枕头）")</f>
        <v>Devion Furniture 黑色仿皮组合沙发带脚凳（含枕头）</v>
      </c>
      <c r="E3415" s="1" t="str">
        <f>IFERROR(__xludf.DUMMYFUNCTION("CONCATENATE(GOOGLETRANSLATE(C3415, ""en"", ""ko""))"),"Devion Furniture 인조 가죽 단면 소파, 오토만 블랙 컬러(베개 포함)")</f>
        <v>Devion Furniture 인조 가죽 단면 소파, 오토만 블랙 컬러(베개 포함)</v>
      </c>
      <c r="F3415" s="1" t="str">
        <f>IFERROR(__xludf.DUMMYFUNCTION("CONCATENATE(GOOGLETRANSLATE(C3415, ""en"", ""ja""))"),"Devion Furniture フェイクレザー セクショナルソファ オットマン付き ブラック (枕付き)")</f>
        <v>Devion Furniture フェイクレザー セクショナルソファ オットマン付き ブラック (枕付き)</v>
      </c>
    </row>
    <row r="3416" ht="15.75" customHeight="1">
      <c r="A3416" s="1">
        <v>3376.0</v>
      </c>
      <c r="B3416" s="1" t="s">
        <v>15</v>
      </c>
      <c r="C3416" s="1" t="s">
        <v>3087</v>
      </c>
      <c r="D3416" s="1" t="str">
        <f>IFERROR(__xludf.DUMMYFUNCTION("CONCATENATE(GOOGLETRANSLATE(C3416, ""en"", ""zh-cn""))"),"中世纪休闲椅和脚凳，现代椅子经典设计，顶级白色粒面皮革黄檀木，客厅书房办公室的重型底座支撑")</f>
        <v>中世纪休闲椅和脚凳，现代椅子经典设计，顶级白色粒面皮革黄檀木，客厅书房办公室的重型底座支撑</v>
      </c>
      <c r="E3416" s="1" t="str">
        <f>IFERROR(__xludf.DUMMYFUNCTION("CONCATENATE(GOOGLETRANSLATE(C3416, ""en"", ""ko""))"),"미드 센추리 라운지 의자 및 오토만, 모던 체어 클래식 디자인, 탑 화이트 그레인 가죽 팰리샌더 우드, 거실 스터디 라운지 사무실을 위한 헤비 듀티 베이스 지원")</f>
        <v>미드 센추리 라운지 의자 및 오토만, 모던 체어 클래식 디자인, 탑 화이트 그레인 가죽 팰리샌더 우드, 거실 스터디 라운지 사무실을 위한 헤비 듀티 베이스 지원</v>
      </c>
      <c r="F3416" s="1" t="str">
        <f>IFERROR(__xludf.DUMMYFUNCTION("CONCATENATE(GOOGLETRANSLATE(C3416, ""en"", ""ja""))"),"ミッドセンチュリーラウンジチェアとオットマン、モダンチェアクラシックデザイン、トップホワイトグレインレザーパリサンダーウッド、リビングルームスタディラウンジオフィス用の頑丈なベースサポート")</f>
        <v>ミッドセンチュリーラウンジチェアとオットマン、モダンチェアクラシックデザイン、トップホワイトグレインレザーパリサンダーウッド、リビングルームスタディラウンジオフィス用の頑丈なベースサポート</v>
      </c>
    </row>
    <row r="3417" ht="15.75" customHeight="1">
      <c r="A3417" s="1">
        <v>3381.0</v>
      </c>
      <c r="B3417" s="1" t="s">
        <v>15</v>
      </c>
      <c r="C3417" s="1" t="s">
        <v>3088</v>
      </c>
      <c r="D3417" s="1" t="str">
        <f>IFERROR(__xludf.DUMMYFUNCTION("CONCATENATE(GOOGLETRANSLATE(C3417, ""en"", ""zh-cn""))"),"LINSY HOME 拉出式沙发床，二合一可转换沙发床，带记忆海绵床垫，客厅两座双人沙发床，深灰色，全尺寸")</f>
        <v>LINSY HOME 拉出式沙发床，二合一可转换沙发床，带记忆海绵床垫，客厅两座双人沙发床，深灰色，全尺寸</v>
      </c>
      <c r="E3417" s="1" t="str">
        <f>IFERROR(__xludf.DUMMYFUNCTION("CONCATENATE(GOOGLETRANSLATE(C3417, ""en"", ""ko""))"),"LINSY 홈 풀아웃 소파 베드, 메모리 폼 매트리스가 포함된 2-in-1 컨버터블 슬리퍼 소파, 거실용 2인용 러브시트 슬리퍼 소파 베드, 다크 그레이, 풀 사이즈")</f>
        <v>LINSY 홈 풀아웃 소파 베드, 메모리 폼 매트리스가 포함된 2-in-1 컨버터블 슬리퍼 소파, 거실용 2인용 러브시트 슬리퍼 소파 베드, 다크 그레이, 풀 사이즈</v>
      </c>
      <c r="F3417" s="1" t="str">
        <f>IFERROR(__xludf.DUMMYFUNCTION("CONCATENATE(GOOGLETRANSLATE(C3417, ""en"", ""ja""))"),"LINSY HOME 引き出し式ソファベッド、2-in-1 コンバーチブルスリーパーソファ、低反発マットレス付き、2人掛け二人掛けスリーパーソファベッド、リビングルーム用、ダークグレー、フルサイズ")</f>
        <v>LINSY HOME 引き出し式ソファベッド、2-in-1 コンバーチブルスリーパーソファ、低反発マットレス付き、2人掛け二人掛けスリーパーソファベッド、リビングルーム用、ダークグレー、フルサイズ</v>
      </c>
    </row>
    <row r="3418" ht="15.75" customHeight="1">
      <c r="A3418" s="1">
        <v>3395.0</v>
      </c>
      <c r="B3418" s="1" t="s">
        <v>15</v>
      </c>
      <c r="C3418" s="1" t="s">
        <v>3089</v>
      </c>
      <c r="D3418" s="1" t="str">
        <f>IFERROR(__xludf.DUMMYFUNCTION("CONCATENATE(GOOGLETRANSLATE(C3418, ""en"", ""zh-cn""))"),"Café Affetto 自动浓缩咖啡机 + 奶泡器 |内置可调节浓缩咖啡豆研磨机 | 90 秒内一键冲泡 |哑光白，1.2升，(C7CEBBS4RW3)")</f>
        <v>Café Affetto 自动浓缩咖啡机 + 奶泡器 |内置可调节浓缩咖啡豆研磨机 | 90 秒内一键冲泡 |哑光白，1.2升，(C7CEBBS4RW3)</v>
      </c>
      <c r="E3418" s="1" t="str">
        <f>IFERROR(__xludf.DUMMYFUNCTION("CONCATENATE(GOOGLETRANSLATE(C3418, ""en"", ""ko""))"),"Café Affetto 자동 에스프레소 머신 + 우유 거품기 | 내장 및 조절 가능한 에스프레소 원두 그라인더 | 90초 만에 원터치 추출 | 매트 화이트, 1.2 리터, (C7CEBBS4RW3)")</f>
        <v>Café Affetto 자동 에스프레소 머신 + 우유 거품기 | 내장 및 조절 가능한 에스프레소 원두 그라인더 | 90초 만에 원터치 추출 | 매트 화이트, 1.2 리터, (C7CEBBS4RW3)</v>
      </c>
      <c r="F3418" s="1" t="str">
        <f>IFERROR(__xludf.DUMMYFUNCTION("CONCATENATE(GOOGLETRANSLATE(C3418, ""en"", ""ja""))"),"Café Affetto 全自動エスプレッソマシン + ミルク泡立て器 |内蔵および調整可能なエスプレッソ豆グラインダー | 90秒でワンタッチ抽出 |マットホワイト、1.2リットル、(C7CEBBS4RW3)")</f>
        <v>Café Affetto 全自動エスプレッソマシン + ミルク泡立て器 |内蔵および調整可能なエスプレッソ豆グラインダー | 90秒でワンタッチ抽出 |マットホワイト、1.2リットル、(C7CEBBS4RW3)</v>
      </c>
    </row>
    <row r="3419" ht="15.75" customHeight="1">
      <c r="A3419" s="1">
        <v>3399.0</v>
      </c>
      <c r="B3419" s="1" t="s">
        <v>15</v>
      </c>
      <c r="C3419" s="1" t="s">
        <v>1792</v>
      </c>
      <c r="D3419" s="1" t="str">
        <f>IFERROR(__xludf.DUMMYFUNCTION("CONCATENATE(GOOGLETRANSLATE(C3419, ""en"", ""zh-cn""))"),"Dolonm 现代沙发沙发带金属腿软垫簇绒 3 座沙发带 2 个枕头装饰家具适用于客厅、卧室、办公室，80 英寸宽（绿色泰迪熊）")</f>
        <v>Dolonm 现代沙发沙发带金属腿软垫簇绒 3 座沙发带 2 个枕头装饰家具适用于客厅、卧室、办公室，80 英寸宽（绿色泰迪熊）</v>
      </c>
      <c r="E3419" s="1" t="str">
        <f>IFERROR(__xludf.DUMMYFUNCTION("CONCATENATE(GOOGLETRANSLATE(C3419, ""en"", ""ko""))"),"Dolonm 금속 다리가 있는 모던한 소파 소파 덮개를 씌운 3인용 소파, 베개 2개 포함 거실, 침실, 사무실, 80인치 너비(녹색-테디) 장식 가구")</f>
        <v>Dolonm 금속 다리가 있는 모던한 소파 소파 덮개를 씌운 3인용 소파, 베개 2개 포함 거실, 침실, 사무실, 80인치 너비(녹색-테디) 장식 가구</v>
      </c>
      <c r="F3419" s="1" t="str">
        <f>IFERROR(__xludf.DUMMYFUNCTION("CONCATENATE(GOOGLETRANSLATE(C3419, ""en"", ""ja""))"),"Dolonm モダン ソファ カウチ 金属脚付き 布張り 房状 3人掛け カウチ 枕2個付き 装飾家具 リビングルーム、寝室、オフィス用 幅80インチ (グリーンテディ)")</f>
        <v>Dolonm モダン ソファ カウチ 金属脚付き 布張り 房状 3人掛け カウチ 枕2個付き 装飾家具 リビングルーム、寝室、オフィス用 幅80インチ (グリーンテディ)</v>
      </c>
    </row>
    <row r="3420" ht="15.75" customHeight="1">
      <c r="A3420" s="1">
        <v>3402.0</v>
      </c>
      <c r="B3420" s="1" t="s">
        <v>15</v>
      </c>
      <c r="C3420" s="1" t="s">
        <v>3090</v>
      </c>
      <c r="D3420" s="1" t="str">
        <f>IFERROR(__xludf.DUMMYFUNCTION("CONCATENATE(GOOGLETRANSLATE(C3420, ""en"", ""zh-cn""))"),"CHITA 中世纪沙发 74.4 英寸宽沙发套，适用于客厅公寓，易于组装，亚麻米色")</f>
        <v>CHITA 中世纪沙发 74.4 英寸宽沙发套，适用于客厅公寓，易于组装，亚麻米色</v>
      </c>
      <c r="E3420" s="1" t="str">
        <f>IFERROR(__xludf.DUMMYFUNCTION("CONCATENATE(GOOGLETRANSLATE(C3420, ""en"", ""ko""))"),"CHITA Mid-Century 소파 74.4''W 소파 소파 세트 거실 아파트, 간편한 조립, 아마 베이지")</f>
        <v>CHITA Mid-Century 소파 74.4''W 소파 소파 세트 거실 아파트, 간편한 조립, 아마 베이지</v>
      </c>
      <c r="F3420" s="1" t="str">
        <f>IFERROR(__xludf.DUMMYFUNCTION("CONCATENATE(GOOGLETRANSLATE(C3420, ""en"", ""ja""))"),"CHITA ミッドセンチュリーソファ 74.4 インチ W ソファ カウチセット リビングルーム アパートメント用 組み立て簡単 亜麻ベージュ")</f>
        <v>CHITA ミッドセンチュリーソファ 74.4 インチ W ソファ カウチセット リビングルーム アパートメント用 組み立て簡単 亜麻ベージュ</v>
      </c>
    </row>
    <row r="3421" ht="15.75" customHeight="1">
      <c r="A3421" s="1">
        <v>3408.0</v>
      </c>
      <c r="B3421" s="1" t="s">
        <v>15</v>
      </c>
      <c r="C3421" s="1" t="s">
        <v>3091</v>
      </c>
      <c r="D3421" s="1" t="str">
        <f>IFERROR(__xludf.DUMMYFUNCTION("CONCATENATE(GOOGLETRANSLATE(C3421, ""en"", ""zh-cn""))"),"Breville Polyscience HydroPro Plus 真空低温烹调法浸入式循环器，1450 瓦，蓝牙，不锈钢，CSV750PSS1BUC1")</f>
        <v>Breville Polyscience HydroPro Plus 真空低温烹调法浸入式循环器，1450 瓦，蓝牙，不锈钢，CSV750PSS1BUC1</v>
      </c>
      <c r="E3421" s="1" t="str">
        <f>IFERROR(__xludf.DUMMYFUNCTION("CONCATENATE(GOOGLETRANSLATE(C3421, ""en"", ""ko""))"),"Breville Polyscience HydroPro Plus Sous Vide 침수 순환기, 1450W, Bluetooth, 스테인리스, CSV750PSS1BUC1")</f>
        <v>Breville Polyscience HydroPro Plus Sous Vide 침수 순환기, 1450W, Bluetooth, 스테인리스, CSV750PSS1BUC1</v>
      </c>
      <c r="F3421" s="1" t="str">
        <f>IFERROR(__xludf.DUMMYFUNCTION("CONCATENATE(GOOGLETRANSLATE(C3421, ""en"", ""ja""))"),"Breville Polyscience HydroPro Plus 真空浸漬サーキュレーター、1450 ワット、Bluetooth、ステンレス、CSV750PSS1BUC1")</f>
        <v>Breville Polyscience HydroPro Plus 真空浸漬サーキュレーター、1450 ワット、Bluetooth、ステンレス、CSV750PSS1BUC1</v>
      </c>
    </row>
    <row r="3422" ht="15.75" customHeight="1">
      <c r="A3422" s="1">
        <v>3415.0</v>
      </c>
      <c r="B3422" s="1" t="s">
        <v>15</v>
      </c>
      <c r="C3422" s="1" t="s">
        <v>3092</v>
      </c>
      <c r="D3422" s="1" t="str">
        <f>IFERROR(__xludf.DUMMYFUNCTION("CONCATENATE(GOOGLETRANSLATE(C3422, ""en"", ""zh-cn""))"),"DM 家具 360° 旋转吧凳 4 件套亚麻布 27 柜台高度吧凳带靠背/木腿软垫凳子适合家庭/厨房岛/早餐吧，灰色")</f>
        <v>DM 家具 360° 旋转吧凳 4 件套亚麻布 27 柜台高度吧凳带靠背/木腿软垫凳子适合家庭/厨房岛/早餐吧，灰色</v>
      </c>
      <c r="E3422" s="1" t="str">
        <f>IFERROR(__xludf.DUMMYFUNCTION("CONCATENATE(GOOGLETRANSLATE(C3422, ""en"", ""ko""))"),"DM 가구 360°회전 바 스툴 4개 세트 리넨 패브릭 27 카운터 높이 바스툴(등받이/나무 다리 포함) 가정용/주방 아일랜드/아침 식사용 바용 천을 씌운 스툴 의자, 그레이")</f>
        <v>DM 가구 360°회전 바 스툴 4개 세트 리넨 패브릭 27 카운터 높이 바스툴(등받이/나무 다리 포함) 가정용/주방 아일랜드/아침 식사용 바용 천을 씌운 스툴 의자, 그레이</v>
      </c>
      <c r="F3422" s="1" t="str">
        <f>IFERROR(__xludf.DUMMYFUNCTION("CONCATENATE(GOOGLETRANSLATE(C3422, ""en"", ""ja""))"),"DM Furniture 360​​°回転バースツール 4 個セット リネン生地 27 カウンター高さのバースツール 背もたれ/木製脚付き 布張りスツールチェア 家庭/キッチンアイランド/朝食バー用 グレー")</f>
        <v>DM Furniture 360​​°回転バースツール 4 個セット リネン生地 27 カウンター高さのバースツール 背もたれ/木製脚付き 布張りスツールチェア 家庭/キッチンアイランド/朝食バー用 グレー</v>
      </c>
    </row>
    <row r="3423" ht="15.75" customHeight="1">
      <c r="A3423" s="1">
        <v>3437.0</v>
      </c>
      <c r="B3423" s="1" t="s">
        <v>15</v>
      </c>
      <c r="C3423" s="1" t="s">
        <v>2283</v>
      </c>
      <c r="D3423" s="1" t="str">
        <f>IFERROR(__xludf.DUMMYFUNCTION("CONCATENATE(GOOGLETRANSLATE(C3423, ""en"", ""zh-cn""))"),"PaPaJet沙发，深座沙发-现代雪尼尔沙发，客厅三座沙发-超大沙发，米色舒适沙发")</f>
        <v>PaPaJet沙发，深座沙发-现代雪尼尔沙发，客厅三座沙发-超大沙发，米色舒适沙发</v>
      </c>
      <c r="E3423" s="1" t="str">
        <f>IFERROR(__xludf.DUMMYFUNCTION("CONCATENATE(GOOGLETRANSLATE(C3423, ""en"", ""ko""))"),"PaPaJet 소파, 깊은 좌석 소파 - 현대식 셔닐 소파 소파, 거실용 3인용 소파 - 대형 소파, 베이지색 편안한 소파")</f>
        <v>PaPaJet 소파, 깊은 좌석 소파 - 현대식 셔닐 소파 소파, 거실용 3인용 소파 - 대형 소파, 베이지색 편안한 소파</v>
      </c>
      <c r="F3423" s="1" t="str">
        <f>IFERROR(__xludf.DUMMYFUNCTION("CONCATENATE(GOOGLETRANSLATE(C3423, ""en"", ""ja""))"),"PaPaJet ソファ、ディープシートソファ - 現代的なシェニールソファカウチ、リビングルーム用 3 人掛けソファ - 特大ソファ、ベージュの快適なソファ")</f>
        <v>PaPaJet ソファ、ディープシートソファ - 現代的なシェニールソファカウチ、リビングルーム用 3 人掛けソファ - 特大ソファ、ベージュの快適なソファ</v>
      </c>
    </row>
    <row r="3424" ht="15.75" customHeight="1">
      <c r="A3424" s="1">
        <v>3443.0</v>
      </c>
      <c r="B3424" s="1" t="s">
        <v>15</v>
      </c>
      <c r="C3424" s="1" t="s">
        <v>3093</v>
      </c>
      <c r="D3424" s="1" t="str">
        <f>IFERROR(__xludf.DUMMYFUNCTION("CONCATENATE(GOOGLETRANSLATE(C3424, ""en"", ""zh-cn""))"),"Lestar 布艺沙发 3 座现代软垫沙发 3 座沙发带钉子和扶手（米色）")</f>
        <v>Lestar 布艺沙发 3 座现代软垫沙发 3 座沙发带钉子和扶手（米色）</v>
      </c>
      <c r="E3424" s="1" t="str">
        <f>IFERROR(__xludf.DUMMYFUNCTION("CONCATENATE(GOOGLETRANSLATE(C3424, ""en"", ""ko""))"),"레스타 패브릭 소파 소파 3인용 모던한 덮개를 씌운 소파 3인용 소파, 손톱과 팔걸이(베이지색)")</f>
        <v>레스타 패브릭 소파 소파 3인용 모던한 덮개를 씌운 소파 3인용 소파, 손톱과 팔걸이(베이지색)</v>
      </c>
      <c r="F3424" s="1" t="str">
        <f>IFERROR(__xludf.DUMMYFUNCTION("CONCATENATE(GOOGLETRANSLATE(C3424, ""en"", ""ja""))"),"Lestar ファブリック ソファ カウチ 3 席 モダンな布張りソファ 3 人掛けソファ ネイルとアームレスト付き (ベージュ)")</f>
        <v>Lestar ファブリック ソファ カウチ 3 席 モダンな布張りソファ 3 人掛けソファ ネイルとアームレスト付き (ベージュ)</v>
      </c>
    </row>
    <row r="3425" ht="15.75" customHeight="1">
      <c r="A3425" s="1">
        <v>3444.0</v>
      </c>
      <c r="B3425" s="1" t="s">
        <v>15</v>
      </c>
      <c r="C3425" s="1" t="s">
        <v>3094</v>
      </c>
      <c r="D3425" s="1" t="str">
        <f>IFERROR(__xludf.DUMMYFUNCTION("CONCATENATE(GOOGLETRANSLATE(C3425, ""en"", ""zh-cn""))"),"YDF 现代布艺双人沙发，带 2 个 USB 充电端口，适合小空间沙发，卧室客厅小公寓沙发，深灰色")</f>
        <v>YDF 现代布艺双人沙发，带 2 个 USB 充电端口，适合小空间沙发，卧室客厅小公寓沙发，深灰色</v>
      </c>
      <c r="E3425" s="1" t="str">
        <f>IFERROR(__xludf.DUMMYFUNCTION("CONCATENATE(GOOGLETRANSLATE(C3425, ""en"", ""ko""))"),"2개의 USB 충전 포트가 있는 YDF 현대식 패브릭 러브시트 소파, 작은 공간 소파, 침실 거실 작은 아파트 소파, 짙은 회색에 적합")</f>
        <v>2개의 USB 충전 포트가 있는 YDF 현대식 패브릭 러브시트 소파, 작은 공간 소파, 침실 거실 작은 아파트 소파, 짙은 회색에 적합</v>
      </c>
      <c r="F3425" s="1" t="str">
        <f>IFERROR(__xludf.DUMMYFUNCTION("CONCATENATE(GOOGLETRANSLATE(C3425, ""en"", ""ja""))"),"YDF モダンなファブリック二人掛けソファ 2 USB 充電ポート付き、狭いスペースのソファ、寝室、リビングルーム、小さなアパートのソファに最適、ダークグレー")</f>
        <v>YDF モダンなファブリック二人掛けソファ 2 USB 充電ポート付き、狭いスペースのソファ、寝室、リビングルーム、小さなアパートのソファに最適、ダークグレー</v>
      </c>
    </row>
    <row r="3426" ht="15.75" customHeight="1">
      <c r="A3426" s="1">
        <v>3446.0</v>
      </c>
      <c r="B3426" s="1" t="s">
        <v>15</v>
      </c>
      <c r="C3426" s="1" t="s">
        <v>3095</v>
      </c>
      <c r="D3426" s="1" t="str">
        <f>IFERROR(__xludf.DUMMYFUNCTION("CONCATENATE(GOOGLETRANSLATE(C3426, ""en"", ""zh-cn""))"),"Devion Furniture Russ 组合式沙发床，浅灰色")</f>
        <v>Devion Furniture Russ 组合式沙发床，浅灰色</v>
      </c>
      <c r="E3426" s="1" t="str">
        <f>IFERROR(__xludf.DUMMYFUNCTION("CONCATENATE(GOOGLETRANSLATE(C3426, ""en"", ""ko""))"),"Devion Furniture Russ 단면 슬리퍼 소파 베드, 라이트 그레이")</f>
        <v>Devion Furniture Russ 단면 슬리퍼 소파 베드, 라이트 그레이</v>
      </c>
      <c r="F3426" s="1" t="str">
        <f>IFERROR(__xludf.DUMMYFUNCTION("CONCATENATE(GOOGLETRANSLATE(C3426, ""en"", ""ja""))"),"Devion Furniture Russ セクショナルスリーパーソファベッド、ライトグレー")</f>
        <v>Devion Furniture Russ セクショナルスリーパーソファベッド、ライトグレー</v>
      </c>
    </row>
    <row r="3427" ht="15.75" customHeight="1">
      <c r="A3427" s="1">
        <v>3449.0</v>
      </c>
      <c r="B3427" s="1" t="s">
        <v>15</v>
      </c>
      <c r="C3427" s="1" t="s">
        <v>2763</v>
      </c>
      <c r="D3427" s="1" t="str">
        <f>IFERROR(__xludf.DUMMYFUNCTION("CONCATENATE(GOOGLETRANSLATE(C3427, ""en"", ""zh-cn""))"),"Lilola Home 双面组合沙发带储物躺椅和口袋，深灰色")</f>
        <v>Lilola Home 双面组合沙发带储物躺椅和口袋，深灰色</v>
      </c>
      <c r="E3427" s="1" t="str">
        <f>IFERROR(__xludf.DUMMYFUNCTION("CONCATENATE(GOOGLETRANSLATE(C3427, ""en"", ""ko""))"),"Lilola 홈 양면 슬리퍼 단면 소파(수납 의자 및 포켓 포함), 다크 그레이")</f>
        <v>Lilola 홈 양면 슬리퍼 단면 소파(수납 의자 및 포켓 포함), 다크 그레이</v>
      </c>
      <c r="F3427" s="1" t="str">
        <f>IFERROR(__xludf.DUMMYFUNCTION("CONCATENATE(GOOGLETRANSLATE(C3427, ""en"", ""ja""))"),"Lilola Home リバーシブルスリーパーセクショナルソファ 収納寝椅子とポケット付き ダークグレー")</f>
        <v>Lilola Home リバーシブルスリーパーセクショナルソファ 収納寝椅子とポケット付き ダークグレー</v>
      </c>
    </row>
    <row r="3428" ht="15.75" customHeight="1">
      <c r="A3428" s="1">
        <v>3450.0</v>
      </c>
      <c r="B3428" s="1" t="s">
        <v>15</v>
      </c>
      <c r="C3428" s="1" t="s">
        <v>3096</v>
      </c>
      <c r="D3428" s="1" t="str">
        <f>IFERROR(__xludf.DUMMYFUNCTION("CONCATENATE(GOOGLETRANSLATE(C3428, ""en"", ""zh-cn""))"),"高温天气、巴尼奥天气、健康、健康、水、水果、多拉多、新、2022CD")</f>
        <v>高温天气、巴尼奥天气、健康、健康、水、水果、多拉多、新、2022CD</v>
      </c>
      <c r="E3428" s="1" t="str">
        <f>IFERROR(__xludf.DUMMYFUNCTION("CONCATENATE(GOOGLETRANSLATE(C3428, ""en"", ""ko""))"),"Inodoro higiénico de alta tempatura, inodoro de baño, grifo de salud, fila de suelo, drenaje de pared, dorado, nuevo, 2022CD")</f>
        <v>Inodoro higiénico de alta tempatura, inodoro de baño, grifo de salud, fila de suelo, drenaje de pared, dorado, nuevo, 2022CD</v>
      </c>
      <c r="F3428" s="1" t="str">
        <f>IFERROR(__xludf.DUMMYFUNCTION("CONCATENATE(GOOGLETRANSLATE(C3428, ""en"", ""ja""))"),"イノドロ・ヒジェニコ・デ・アルタ・テンペラトゥーラ、イノドロ・デ・バーニョ、グリフォ・デ・サルー、フィラ・デ・スエロ、ドレナヘ・デ・パレド、ドラド、ヌエボ、2022CD")</f>
        <v>イノドロ・ヒジェニコ・デ・アルタ・テンペラトゥーラ、イノドロ・デ・バーニョ、グリフォ・デ・サルー、フィラ・デ・スエロ、ドレナヘ・デ・パレド、ドラド、ヌエボ、2022CD</v>
      </c>
    </row>
    <row r="3429" ht="15.75" customHeight="1">
      <c r="A3429" s="1">
        <v>3453.0</v>
      </c>
      <c r="B3429" s="1" t="s">
        <v>15</v>
      </c>
      <c r="C3429" s="1" t="s">
        <v>3097</v>
      </c>
      <c r="D3429" s="1" t="str">
        <f>IFERROR(__xludf.DUMMYFUNCTION("CONCATENATE(GOOGLETRANSLATE(C3429, ""en"", ""zh-cn""))"),"德龙 ESAM3300 Magnifica 超级自动 14 杯浓缩咖啡和咖啡机（更新）")</f>
        <v>德龙 ESAM3300 Magnifica 超级自动 14 杯浓缩咖啡和咖啡机（更新）</v>
      </c>
      <c r="E3429" s="1" t="str">
        <f>IFERROR(__xludf.DUMMYFUNCTION("CONCATENATE(GOOGLETRANSLATE(C3429, ""en"", ""ko""))"),"드롱기 ESAM3300 마그니피카 초자동 14컵 에스프레소 &amp; 커피 머신 (리뉴얼)")</f>
        <v>드롱기 ESAM3300 마그니피카 초자동 14컵 에스프레소 &amp; 커피 머신 (리뉴얼)</v>
      </c>
      <c r="F3429" s="1" t="str">
        <f>IFERROR(__xludf.DUMMYFUNCTION("CONCATENATE(GOOGLETRANSLATE(C3429, ""en"", ""ja""))"),"デロンギ ESAM3300 マグニフィカ 超自動 14カップ エスプレッソ＆コーヒーマシン (リニューアル)")</f>
        <v>デロンギ ESAM3300 マグニフィカ 超自動 14カップ エスプレッソ＆コーヒーマシン (リニューアル)</v>
      </c>
    </row>
    <row r="3430" ht="15.75" customHeight="1">
      <c r="A3430" s="1">
        <v>3454.0</v>
      </c>
      <c r="B3430" s="1" t="s">
        <v>15</v>
      </c>
      <c r="C3430" s="1" t="s">
        <v>3098</v>
      </c>
      <c r="D3430" s="1" t="str">
        <f>IFERROR(__xludf.DUMMYFUNCTION("CONCATENATE(GOOGLETRANSLATE(C3430, ""en"", ""zh-cn""))"),"JULYFOX 黄色天鹅绒布艺沙发，70 英寸宽中世纪现代客厅沙发 700 磅重型")</f>
        <v>JULYFOX 黄色天鹅绒布艺沙发，70 英寸宽中世纪现代客厅沙发 700 磅重型</v>
      </c>
      <c r="E3430" s="1" t="str">
        <f>IFERROR(__xludf.DUMMYFUNCTION("CONCATENATE(GOOGLETRANSLATE(C3430, ""en"", ""ko""))"),"JULYFOX 노란색 벨벳 패브릭 소파 소파, 70인치 폭 미드 센츄리 모던 거실 소파 700파운드 내구성")</f>
        <v>JULYFOX 노란색 벨벳 패브릭 소파 소파, 70인치 폭 미드 센츄리 모던 거실 소파 700파운드 내구성</v>
      </c>
      <c r="F3430" s="1" t="str">
        <f>IFERROR(__xludf.DUMMYFUNCTION("CONCATENATE(GOOGLETRANSLATE(C3430, ""en"", ""ja""))"),"JULYFOX イエローベルベット生地ソファカウチ、幅70インチミッドセンチュリーモダンリビングルームソファ700ポンド高耐久")</f>
        <v>JULYFOX イエローベルベット生地ソファカウチ、幅70インチミッドセンチュリーモダンリビングルームソファ700ポンド高耐久</v>
      </c>
    </row>
    <row r="3431" ht="15.75" customHeight="1">
      <c r="A3431" s="1">
        <v>3460.0</v>
      </c>
      <c r="B3431" s="1" t="s">
        <v>15</v>
      </c>
      <c r="C3431" s="1" t="s">
        <v>3099</v>
      </c>
      <c r="D3431" s="1" t="str">
        <f>IFERROR(__xludf.DUMMYFUNCTION("CONCATENATE(GOOGLETRANSLATE(C3431, ""en"", ""zh-cn""))"),"Rosevera Genevieve 软垫精细聚酯系列簇绒双人沙发，现代切斯特菲尔德扶手，客厅公寓组合沙发，3 人座，米色 3 人座")</f>
        <v>Rosevera Genevieve 软垫精细聚酯系列簇绒双人沙发，现代切斯特菲尔德扶手，客厅公寓组合沙发，3 人座，米色 3 人座</v>
      </c>
      <c r="E3431" s="1" t="str">
        <f>IFERROR(__xludf.DUMMYFUNCTION("CONCATENATE(GOOGLETRANSLATE(C3431, ""en"", ""ko""))"),"Rosevera Genevieve 덮개를 씌운 고급 폴리에스테르 컬렉션 터프티드 러브시트 소파, 현대적인 체스터필드 팔걸이, 거실 아파트용 단면 소파, 3좌석, 베이지 3좌석")</f>
        <v>Rosevera Genevieve 덮개를 씌운 고급 폴리에스테르 컬렉션 터프티드 러브시트 소파, 현대적인 체스터필드 팔걸이, 거실 아파트용 단면 소파, 3좌석, 베이지 3좌석</v>
      </c>
      <c r="F3431" s="1" t="str">
        <f>IFERROR(__xludf.DUMMYFUNCTION("CONCATENATE(GOOGLETRANSLATE(C3431, ""en"", ""ja""))"),"Rosevera Genevieve 布張りファインポリエステルコレクションタフテッドラブシートカウチ、現代的なチェスターフィールドアームレスト、リビングルームアパートメント用セクションソファ、3人掛け、ベージュ3人掛け")</f>
        <v>Rosevera Genevieve 布張りファインポリエステルコレクションタフテッドラブシートカウチ、現代的なチェスターフィールドアームレスト、リビングルームアパートメント用セクションソファ、3人掛け、ベージュ3人掛け</v>
      </c>
    </row>
    <row r="3432" ht="15.75" customHeight="1">
      <c r="A3432" s="1">
        <v>3470.0</v>
      </c>
      <c r="B3432" s="1" t="s">
        <v>15</v>
      </c>
      <c r="C3432" s="1" t="s">
        <v>3100</v>
      </c>
      <c r="D3432" s="1" t="str">
        <f>IFERROR(__xludf.DUMMYFUNCTION("CONCATENATE(GOOGLETRANSLATE(C3432, ""en"", ""zh-cn""))"),"Tchibo 全自动咖啡和浓缩咖啡机，带两颗全豆咖啡，17.6 盎司袋装 - 革命性的单份咖啡豆冲泡咖啡机 - 无豆荚，无浪费")</f>
        <v>Tchibo 全自动咖啡和浓缩咖啡机，带两颗全豆咖啡，17.6 盎司袋装 - 革命性的单份咖啡豆冲泡咖啡机 - 无豆荚，无浪费</v>
      </c>
      <c r="E3432" s="1" t="str">
        <f>IFERROR(__xludf.DUMMYFUNCTION("CONCATENATE(GOOGLETRANSLATE(C3432, ""en"", ""ko""))"),"Tchibo 전자동 커피 및 에스프레소 머신(2개의 원두 커피 포함), 17.6온스 백 - 혁신적인 1인용, Bean-to-Brew 커피 메이커 - 포드 없음, 폐기물 없음")</f>
        <v>Tchibo 전자동 커피 및 에스프레소 머신(2개의 원두 커피 포함), 17.6온스 백 - 혁신적인 1인용, Bean-to-Brew 커피 메이커 - 포드 없음, 폐기물 없음</v>
      </c>
      <c r="F3432" s="1" t="str">
        <f>IFERROR(__xludf.DUMMYFUNCTION("CONCATENATE(GOOGLETRANSLATE(C3432, ""en"", ""ja""))"),"Tchibo 全自動コーヒー&amp;エスプレッソマシン 2個の全豆コーヒー、17.6オンスバッグ付き - 革命的なシングルサーブ、豆から淹れるコーヒーメーカー - ポッドなし、無駄なし")</f>
        <v>Tchibo 全自動コーヒー&amp;エスプレッソマシン 2個の全豆コーヒー、17.6オンスバッグ付き - 革命的なシングルサーブ、豆から淹れるコーヒーメーカー - ポッドなし、無駄なし</v>
      </c>
    </row>
    <row r="3433" ht="15.75" customHeight="1">
      <c r="A3433" s="1">
        <v>3471.0</v>
      </c>
      <c r="B3433" s="1" t="s">
        <v>15</v>
      </c>
      <c r="C3433" s="1" t="s">
        <v>2287</v>
      </c>
      <c r="D3433" s="1" t="str">
        <f>IFERROR(__xludf.DUMMYFUNCTION("CONCATENATE(GOOGLETRANSLATE(C3433, ""en"", ""zh-cn""))"),"Edenbrook Lynnwood 软垫沙发 - 客厅沙发 - 浅灰色沙发 - 小沙发 - 客厅家具 - 包括长枕")</f>
        <v>Edenbrook Lynnwood 软垫沙发 - 客厅沙发 - 浅灰色沙发 - 小沙发 - 客厅家具 - 包括长枕</v>
      </c>
      <c r="E3433" s="1" t="str">
        <f>IFERROR(__xludf.DUMMYFUNCTION("CONCATENATE(GOOGLETRANSLATE(C3433, ""en"", ""ko""))"),"Edenbrook Lynnwood 덮개를 씌운 소파 - 거실용 소파 - 밝은 회색 소파 - 소형 소파 - 거실 가구 - 볼스터 베개 포함")</f>
        <v>Edenbrook Lynnwood 덮개를 씌운 소파 - 거실용 소파 - 밝은 회색 소파 - 소형 소파 - 거실 가구 - 볼스터 베개 포함</v>
      </c>
      <c r="F3433" s="1" t="str">
        <f>IFERROR(__xludf.DUMMYFUNCTION("CONCATENATE(GOOGLETRANSLATE(C3433, ""en"", ""ja""))"),"Edenbrook Lynnwood 布張りソファ - リビングルーム用ソファ - ライトグレーのソファ - 小さなソファ - リビングルームの家具 - ボルスター枕付き")</f>
        <v>Edenbrook Lynnwood 布張りソファ - リビングルーム用ソファ - ライトグレーのソファ - 小さなソファ - リビングルームの家具 - ボルスター枕付き</v>
      </c>
    </row>
    <row r="3434" ht="15.75" customHeight="1">
      <c r="A3434" s="1">
        <v>3483.0</v>
      </c>
      <c r="B3434" s="1" t="s">
        <v>15</v>
      </c>
      <c r="C3434" s="1" t="s">
        <v>3101</v>
      </c>
      <c r="D3434" s="1" t="str">
        <f>IFERROR(__xludf.DUMMYFUNCTION("CONCATENATE(GOOGLETRANSLATE(C3434, ""en"", ""zh-cn""))"),"戴尔 XPS 17 9720 笔记本电脑 17 英寸 UHD+ 触摸屏显示器，英特尔酷睿 i7-12700H，16GB DDR5，512GB SSD，NVIDIA GeForce RTX 3050，Killer Wi-Fi 6，Window 11 Pro，1 年高级支持 - 银色")</f>
        <v>戴尔 XPS 17 9720 笔记本电脑 17 英寸 UHD+ 触摸屏显示器，英特尔酷睿 i7-12700H，16GB DDR5，512GB SSD，NVIDIA GeForce RTX 3050，Killer Wi-Fi 6，Window 11 Pro，1 年高级支持 - 银色</v>
      </c>
      <c r="E3434" s="1" t="str">
        <f>IFERROR(__xludf.DUMMYFUNCTION("CONCATENATE(GOOGLETRANSLATE(C3434, ""en"", ""ko""))"),"Dell XPS 17 9720 노트북 17인치 UHD+ 터치스크린 디스플레이, Intel Core i7-12700H, 16GB DDR5, 512GB SSD, NVIDIA GeForce RTX 3050, Killer Wi-Fi 6, Window 11 Pro, 1년 프리미엄 지원 - 실버")</f>
        <v>Dell XPS 17 9720 노트북 17인치 UHD+ 터치스크린 디스플레이, Intel Core i7-12700H, 16GB DDR5, 512GB SSD, NVIDIA GeForce RTX 3050, Killer Wi-Fi 6, Window 11 Pro, 1년 프리미엄 지원 - 실버</v>
      </c>
      <c r="F3434" s="1" t="str">
        <f>IFERROR(__xludf.DUMMYFUNCTION("CONCATENATE(GOOGLETRANSLATE(C3434, ""en"", ""ja""))"),"Dell XPS 17 9720 ラップトップ 17 インチ UHD+ タッチスクリーン ディスプレイ、Intel Core i7-12700H、16GB DDR5、512GB SSD、NVIDIA GeForce RTX 3050、Killer Wi-Fi 6、Window 11 Pro、1 年間のプレミアム サポート - シルバー")</f>
        <v>Dell XPS 17 9720 ラップトップ 17 インチ UHD+ タッチスクリーン ディスプレイ、Intel Core i7-12700H、16GB DDR5、512GB SSD、NVIDIA GeForce RTX 3050、Killer Wi-Fi 6、Window 11 Pro、1 年間のプレミアム サポート - シルバー</v>
      </c>
    </row>
    <row r="3435" ht="15.75" customHeight="1">
      <c r="A3435" s="1">
        <v>3502.0</v>
      </c>
      <c r="B3435" s="1" t="s">
        <v>15</v>
      </c>
      <c r="C3435" s="1" t="s">
        <v>3102</v>
      </c>
      <c r="D3435" s="1" t="str">
        <f>IFERROR(__xludf.DUMMYFUNCTION("CONCATENATE(GOOGLETRANSLATE(C3435, ""en"", ""zh-cn""))"),"Pemberly Row 78 农舍木制家用酒吧单元柜，带高脚杯架，餐厅厨房酒架，米白色，深棕色")</f>
        <v>Pemberly Row 78 农舍木制家用酒吧单元柜，带高脚杯架，餐厅厨房酒架，米白色，深棕色</v>
      </c>
      <c r="E3435" s="1" t="str">
        <f>IFERROR(__xludf.DUMMYFUNCTION("CONCATENATE(GOOGLETRANSLATE(C3435, ""en"", ""ko""))"),"Pemberly Row 78 농가 목재 홈 바 유닛 캐비닛(스템웨어 랙 포함), 다이닝룸 주방용 와인 랙(회색 다크 브라운 색상)")</f>
        <v>Pemberly Row 78 농가 목재 홈 바 유닛 캐비닛(스템웨어 랙 포함), 다이닝룸 주방용 와인 랙(회색 다크 브라운 색상)</v>
      </c>
      <c r="F3435" s="1" t="str">
        <f>IFERROR(__xludf.DUMMYFUNCTION("CONCATENATE(GOOGLETRANSLATE(C3435, ""en"", ""ja""))"),"Pemberly Row 78 ファームハウス ウッド ホーム バー ユニット キャビネット ステムウェアラック付き ワインラック ダイニングルーム キッチン用 オフホワイト ダークブラウン")</f>
        <v>Pemberly Row 78 ファームハウス ウッド ホーム バー ユニット キャビネット ステムウェアラック付き ワインラック ダイニングルーム キッチン用 オフホワイト ダークブラウン</v>
      </c>
    </row>
    <row r="3436" ht="15.75" customHeight="1">
      <c r="A3436" s="1">
        <v>3528.0</v>
      </c>
      <c r="B3436" s="1" t="s">
        <v>15</v>
      </c>
      <c r="C3436" s="1" t="s">
        <v>3103</v>
      </c>
      <c r="D3436" s="1" t="str">
        <f>IFERROR(__xludf.DUMMYFUNCTION("CONCATENATE(GOOGLETRANSLATE(C3436, ""en"", ""zh-cn""))"),"Eaton Tripp Lite 系列 2200VA 智能 UPS 后备，正弦波，1920W，7 个插座，2U 机架式，扩展运行和网卡选项，LCD，USB，DB9，3 年保修和 250，000 保险 (SMART2200RMXL2U)")</f>
        <v>Eaton Tripp Lite 系列 2200VA 智能 UPS 后备，正弦波，1920W，7 个插座，2U 机架式，扩展运行和网卡选项，LCD，USB，DB9，3 年保修和 250，000 保险 (SMART2200RMXL2U)</v>
      </c>
      <c r="E3436" s="1" t="str">
        <f>IFERROR(__xludf.DUMMYFUNCTION("CONCATENATE(GOOGLETRANSLATE(C3436, ""en"", ""ko""))"),"Eaton Tripp Lite 시리즈 2200VA 스마트 UPS 백업, 사인파, 1920W, 콘센트 7개, 2U 랙마운트, 확장 실행 및 네트워크 카드 옵션, LCD, USB, DB9, 3년 보증 및 250,000 보험(SMART2200RMXL2U)")</f>
        <v>Eaton Tripp Lite 시리즈 2200VA 스마트 UPS 백업, 사인파, 1920W, 콘센트 7개, 2U 랙마운트, 확장 실행 및 네트워크 카드 옵션, LCD, USB, DB9, 3년 보증 및 250,000 보험(SMART2200RMXL2U)</v>
      </c>
      <c r="F3436" s="1" t="str">
        <f>IFERROR(__xludf.DUMMYFUNCTION("CONCATENATE(GOOGLETRANSLATE(C3436, ""en"", ""ja""))"),"Eaton Tripp Lite シリーズ 2200VA スマート UPS バックアップ、正弦波、1920W、7 コンセント、2U ラックマウント、拡張実行およびネットワーク カード オプション、LCD、USB、DB9、3 年保証 &amp; 250,000 保険 (SMART2200RMXL2U)")</f>
        <v>Eaton Tripp Lite シリーズ 2200VA スマート UPS バックアップ、正弦波、1920W、7 コンセント、2U ラックマウント、拡張実行およびネットワーク カード オプション、LCD、USB、DB9、3 年保証 &amp; 250,000 保険 (SMART2200RMXL2U)</v>
      </c>
    </row>
    <row r="3437" ht="15.75" customHeight="1">
      <c r="A3437" s="1">
        <v>3530.0</v>
      </c>
      <c r="B3437" s="1" t="s">
        <v>15</v>
      </c>
      <c r="C3437" s="1" t="s">
        <v>3104</v>
      </c>
      <c r="D3437" s="1" t="str">
        <f>IFERROR(__xludf.DUMMYFUNCTION("CONCATENATE(GOOGLETRANSLATE(C3437, ""en"", ""zh-cn""))"),"Apple 2022 款 12.9 英寸 iPad Pro（Wi-Fi，256GB）- 深空灰色（第 6 代）")</f>
        <v>Apple 2022 款 12.9 英寸 iPad Pro（Wi-Fi，256GB）- 深空灰色（第 6 代）</v>
      </c>
      <c r="E3437" s="1" t="str">
        <f>IFERROR(__xludf.DUMMYFUNCTION("CONCATENATE(GOOGLETRANSLATE(C3437, ""en"", ""ko""))"),"Apple 2022 12.9인치 iPad Pro(Wi-Fi, 256GB) - 스페이스 그레이(6세대)")</f>
        <v>Apple 2022 12.9인치 iPad Pro(Wi-Fi, 256GB) - 스페이스 그레이(6세대)</v>
      </c>
      <c r="F3437" s="1" t="str">
        <f>IFERROR(__xludf.DUMMYFUNCTION("CONCATENATE(GOOGLETRANSLATE(C3437, ""en"", ""ja""))"),"Apple 2022 12.9 インチ iPad Pro (Wi-Fi、256GB) - スペース グレイ (第 6 世代)")</f>
        <v>Apple 2022 12.9 インチ iPad Pro (Wi-Fi、256GB) - スペース グレイ (第 6 世代)</v>
      </c>
    </row>
    <row r="3438" ht="15.75" customHeight="1">
      <c r="A3438" s="1">
        <v>3533.0</v>
      </c>
      <c r="B3438" s="1" t="s">
        <v>15</v>
      </c>
      <c r="C3438" s="1" t="s">
        <v>3105</v>
      </c>
      <c r="D3438" s="1" t="str">
        <f>IFERROR(__xludf.DUMMYFUNCTION("CONCATENATE(GOOGLETRANSLATE(C3438, ""en"", ""zh-cn""))"),"戴尔 XPS 8950 台式电脑 - 第 12 代英特尔酷睿 i7-12700，32GB DDR5 RAM，512GB SSD + 1TB HDD，Intel UHD 770 显卡，Killer Wi-Fi 6，风冷，USB-C，蓝牙，Windows 11 Pro - 黑色")</f>
        <v>戴尔 XPS 8950 台式电脑 - 第 12 代英特尔酷睿 i7-12700，32GB DDR5 RAM，512GB SSD + 1TB HDD，Intel UHD 770 显卡，Killer Wi-Fi 6，风冷，USB-C，蓝牙，Windows 11 Pro - 黑色</v>
      </c>
      <c r="E3438" s="1" t="str">
        <f>IFERROR(__xludf.DUMMYFUNCTION("CONCATENATE(GOOGLETRANSLATE(C3438, ""en"", ""ko""))"),"Dell XPS 8950 데스크탑 컴퓨터 - 12세대 Intel Core i7-12700, 32GB DDR5 RAM, 512GB SSD + 1TB HDD, Intel UHD 770 그래픽, Killer Wi-Fi 6, 공기 냉각, USB-C, Bluetooth, Windows 11 Pro - 블랙")</f>
        <v>Dell XPS 8950 데스크탑 컴퓨터 - 12세대 Intel Core i7-12700, 32GB DDR5 RAM, 512GB SSD + 1TB HDD, Intel UHD 770 그래픽, Killer Wi-Fi 6, 공기 냉각, USB-C, Bluetooth, Windows 11 Pro - 블랙</v>
      </c>
      <c r="F3438" s="1" t="str">
        <f>IFERROR(__xludf.DUMMYFUNCTION("CONCATENATE(GOOGLETRANSLATE(C3438, ""en"", ""ja""))"),"Dell XPS 8950 デスクトップ コンピュータ - 第 12 世代 Intel Core i7-12700、32GB DDR5 RAM、512GB SSD + 1TB HDD、Intel UHD 770 グラフィックス、Killer Wi-Fi 6、空冷、USB-C、Bluetooth、Windows 11 Pro - ブラック")</f>
        <v>Dell XPS 8950 デスクトップ コンピュータ - 第 12 世代 Intel Core i7-12700、32GB DDR5 RAM、512GB SSD + 1TB HDD、Intel UHD 770 グラフィックス、Killer Wi-Fi 6、空冷、USB-C、Bluetooth、Windows 11 Pro - ブラック</v>
      </c>
    </row>
    <row r="3439" ht="15.75" customHeight="1">
      <c r="A3439" s="1">
        <v>3544.0</v>
      </c>
      <c r="B3439" s="1" t="s">
        <v>15</v>
      </c>
      <c r="C3439" s="1" t="s">
        <v>3106</v>
      </c>
      <c r="D3439" s="1" t="str">
        <f>IFERROR(__xludf.DUMMYFUNCTION("CONCATENATE(GOOGLETRANSLATE(C3439, ""en"", ""zh-cn""))"),"HP Envy 17t 高性能笔记本电脑， 17.3 全高清触摸屏， Intel Core i7-1165G7 处理器， Intel Iris Xe 显卡， 16GB RAM， 1TB SSD， 背光键盘， Wi-Fi 6， Windows 10 Home")</f>
        <v>HP Envy 17t 高性能笔记本电脑， 17.3 全高清触摸屏， Intel Core i7-1165G7 处理器， Intel Iris Xe 显卡， 16GB RAM， 1TB SSD， 背光键盘， Wi-Fi 6， Windows 10 Home</v>
      </c>
      <c r="E3439" s="1" t="str">
        <f>IFERROR(__xludf.DUMMYFUNCTION("CONCATENATE(GOOGLETRANSLATE(C3439, ""en"", ""ko""))"),"HP Envy 17t 고성능 노트북, 17.3 풀 HD 터치스크린, Intel Core i7-1165G7 프로세서, Intel Iris Xe 그래픽, 16GB RAM, 1TB SSD, 백라이트 키보드, Wi-Fi 6, Windows 10 Home")</f>
        <v>HP Envy 17t 고성능 노트북, 17.3 풀 HD 터치스크린, Intel Core i7-1165G7 프로세서, Intel Iris Xe 그래픽, 16GB RAM, 1TB SSD, 백라이트 키보드, Wi-Fi 6, Windows 10 Home</v>
      </c>
      <c r="F3439" s="1" t="str">
        <f>IFERROR(__xludf.DUMMYFUNCTION("CONCATENATE(GOOGLETRANSLATE(C3439, ""en"", ""ja""))"),"HP Envy 17t 高性能ラップトップ、17.3 フル HD タッチスクリーン、Intel Core i7-1165G7 プロセッサー、Intel Iris Xe グラフィックス、16GB RAM、1TB SSD、バックライト付きキーボード、Wi-Fi 6、Windows 10 Home")</f>
        <v>HP Envy 17t 高性能ラップトップ、17.3 フル HD タッチスクリーン、Intel Core i7-1165G7 プロセッサー、Intel Iris Xe グラフィックス、16GB RAM、1TB SSD、バックライト付きキーボード、Wi-Fi 6、Windows 10 Home</v>
      </c>
    </row>
    <row r="3440" ht="15.75" customHeight="1">
      <c r="A3440" s="1">
        <v>3548.0</v>
      </c>
      <c r="B3440" s="1" t="s">
        <v>15</v>
      </c>
      <c r="C3440" s="1" t="s">
        <v>3107</v>
      </c>
      <c r="D3440" s="1" t="str">
        <f>IFERROR(__xludf.DUMMYFUNCTION("CONCATENATE(GOOGLETRANSLATE(C3440, ""en"", ""zh-cn""))"),"联想 ThinkPad T15 第二代 2 15.6 FHD(1920 x 1080) 300 Nits IPS 防眩光， i7-1165G7，16GB RAM， 512GB NVMe SSD，背光 KYB，指纹识别器， Win10Pro")</f>
        <v>联想 ThinkPad T15 第二代 2 15.6 FHD(1920 x 1080) 300 Nits IPS 防眩光， i7-1165G7，16GB RAM， 512GB NVMe SSD，背光 KYB，指纹识别器， Win10Pro</v>
      </c>
      <c r="E3440" s="1" t="str">
        <f>IFERROR(__xludf.DUMMYFUNCTION("CONCATENATE(GOOGLETRANSLATE(C3440, ""en"", ""ko""))"),"레노버 씽크패드 T15 2세대 2 15.6 FHD(1920 x 1080) 300니트 IPS 눈부심 방지, i7-1165G7, 16GB RAM, 512GB NVMe SSD, 백라이트 KYB, 지문 인식기, Win10Pro")</f>
        <v>레노버 씽크패드 T15 2세대 2 15.6 FHD(1920 x 1080) 300니트 IPS 눈부심 방지, i7-1165G7, 16GB RAM, 512GB NVMe SSD, 백라이트 KYB, 지문 인식기, Win10Pro</v>
      </c>
      <c r="F3440" s="1" t="str">
        <f>IFERROR(__xludf.DUMMYFUNCTION("CONCATENATE(GOOGLETRANSLATE(C3440, ""en"", ""ja""))"),"Lenovo ThinkPad T15 第 2 世代 2 15.6 FHD(1920 x 1080) 300 Nits IPS アンチグレア、i7-1165G7、16GB RAM、512GB NVMe SSD、バックライト付き KYB、指紋リーダー、Win10Pro")</f>
        <v>Lenovo ThinkPad T15 第 2 世代 2 15.6 FHD(1920 x 1080) 300 Nits IPS アンチグレア、i7-1165G7、16GB RAM、512GB NVMe SSD、バックライト付き KYB、指紋リーダー、Win10Pro</v>
      </c>
    </row>
    <row r="3441" ht="15.75" customHeight="1">
      <c r="A3441" s="1">
        <v>3552.0</v>
      </c>
      <c r="B3441" s="1" t="s">
        <v>15</v>
      </c>
      <c r="C3441" s="1" t="s">
        <v>3108</v>
      </c>
      <c r="D3441" s="1" t="str">
        <f>IFERROR(__xludf.DUMMYFUNCTION("CONCATENATE(GOOGLETRANSLATE(C3441, ""en"", ""zh-cn""))"),"Cyber​​Power PR1500RTXL2UN 智能应用正弦波 UPS 系统，1500VA/1500W，8 个插座，2U 机架/塔式，预装 RMCARD205，EBM 选件，黑色")</f>
        <v>Cyber​​Power PR1500RTXL2UN 智能应用正弦波 UPS 系统，1500VA/1500W，8 个插座，2U 机架/塔式，预装 RMCARD205，EBM 选件，黑色</v>
      </c>
      <c r="E3441" s="1" t="str">
        <f>IFERROR(__xludf.DUMMYFUNCTION("CONCATENATE(GOOGLETRANSLATE(C3441, ""en"", ""ko""))"),"CyberPower PR1500RTXL2UN 스마트 앱 사인파 UPS 시스템, 1500VA/1500W, 콘센트 8개, 2U 랙/타워, RMCARD205 사전 설치, EBM 옵션, 블랙")</f>
        <v>CyberPower PR1500RTXL2UN 스마트 앱 사인파 UPS 시스템, 1500VA/1500W, 콘센트 8개, 2U 랙/타워, RMCARD205 사전 설치, EBM 옵션, 블랙</v>
      </c>
      <c r="F3441" s="1" t="str">
        <f>IFERROR(__xludf.DUMMYFUNCTION("CONCATENATE(GOOGLETRANSLATE(C3441, ""en"", ""ja""))"),"Cyber​​Power PR1500RTXL2UN スマート アプリ サイン波 UPS システム、1500VA/1500W、8 コンセント、2U ラック/タワー、RMCARD205 プレインストール、EBM オプション、ブラック")</f>
        <v>Cyber​​Power PR1500RTXL2UN スマート アプリ サイン波 UPS システム、1500VA/1500W、8 コンセント、2U ラック/タワー、RMCARD205 プレインストール、EBM オプション、ブラック</v>
      </c>
    </row>
    <row r="3442" ht="15.75" customHeight="1">
      <c r="A3442" s="1">
        <v>3553.0</v>
      </c>
      <c r="B3442" s="1" t="s">
        <v>15</v>
      </c>
      <c r="C3442" s="1" t="s">
        <v>3109</v>
      </c>
      <c r="D3442" s="1" t="str">
        <f>IFERROR(__xludf.DUMMYFUNCTION("CONCATENATE(GOOGLETRANSLATE(C3442, ""en"", ""zh-cn""))"),"三星 13.3 英寸 Galaxy Book2 Pro 笔记本电脑，i7 / 8GB / 512GB，第 12 代英特尔酷睿处理器，Evo 认证，轻薄，2022 型号，石墨色")</f>
        <v>三星 13.3 英寸 Galaxy Book2 Pro 笔记本电脑，i7 / 8GB / 512GB，第 12 代英特尔酷睿处理器，Evo 认证，轻薄，2022 型号，石墨色</v>
      </c>
      <c r="E3442" s="1" t="str">
        <f>IFERROR(__xludf.DUMMYFUNCTION("CONCATENATE(GOOGLETRANSLATE(C3442, ""en"", ""ko""))"),"SAMSUNG 13.3인치 Galaxy Book2 Pro 노트북 컴퓨터, i7 / 8GB / 512GB, 12세대 Intel Core 프로세서, Evo 인증, 경량, 2022 모델, 그래파이트")</f>
        <v>SAMSUNG 13.3인치 Galaxy Book2 Pro 노트북 컴퓨터, i7 / 8GB / 512GB, 12세대 Intel Core 프로세서, Evo 인증, 경량, 2022 모델, 그래파이트</v>
      </c>
      <c r="F3442" s="1" t="str">
        <f>IFERROR(__xludf.DUMMYFUNCTION("CONCATENATE(GOOGLETRANSLATE(C3442, ""en"", ""ja""))"),"SAMSUNG 13.3 インチ Galaxy Book2 Pro ノートパソコン、i7 / 8GB / 512GB、第 12 世代 Intel Core プロセッサー、Evo 認定、軽量、2022 年モデル、グラファイト")</f>
        <v>SAMSUNG 13.3 インチ Galaxy Book2 Pro ノートパソコン、i7 / 8GB / 512GB、第 12 世代 Intel Core プロセッサー、Evo 認定、軽量、2022 年モデル、グラファイト</v>
      </c>
    </row>
    <row r="3443" ht="15.75" customHeight="1">
      <c r="A3443" s="1">
        <v>3566.0</v>
      </c>
      <c r="B3443" s="1" t="s">
        <v>15</v>
      </c>
      <c r="C3443" s="1" t="s">
        <v>3110</v>
      </c>
      <c r="D3443" s="1" t="str">
        <f>IFERROR(__xludf.DUMMYFUNCTION("CONCATENATE(GOOGLETRANSLATE(C3443, ""en"", ""zh-cn""))"),"戴尔 Inspiron 灵越 15 触摸屏笔记本电脑 2022 最新款，15.6 FHD 显示屏，第 11 代英特尔酷睿 i7-1165G7（高达 4.7 GHz），16GB RAM，512GB PCIE SSD，网络摄像头，蓝牙 5，HDMI，Windows 11，黑色")</f>
        <v>戴尔 Inspiron 灵越 15 触摸屏笔记本电脑 2022 最新款，15.6 FHD 显示屏，第 11 代英特尔酷睿 i7-1165G7（高达 4.7 GHz），16GB RAM，512GB PCIE SSD，网络摄像头，蓝牙 5，HDMI，Windows 11，黑色</v>
      </c>
      <c r="E3443" s="1" t="str">
        <f>IFERROR(__xludf.DUMMYFUNCTION("CONCATENATE(GOOGLETRANSLATE(C3443, ""en"", ""ko""))"),"Dell Inspiron 15 터치스크린 노트북 2022 최신, 15.6 FHD 디스플레이, 11세대 Intel Core i7-1165G7(최대 4.7GHz), 16GB RAM, 512GB PCIE SSD, 웹캠, Bluetooth 5, HDMI, Windows 11, 블랙")</f>
        <v>Dell Inspiron 15 터치스크린 노트북 2022 최신, 15.6 FHD 디스플레이, 11세대 Intel Core i7-1165G7(최대 4.7GHz), 16GB RAM, 512GB PCIE SSD, 웹캠, Bluetooth 5, HDMI, Windows 11, 블랙</v>
      </c>
      <c r="F3443" s="1" t="str">
        <f>IFERROR(__xludf.DUMMYFUNCTION("CONCATENATE(GOOGLETRANSLATE(C3443, ""en"", ""ja""))"),"Dell Inspiron 15 タッチスクリーン ラップトップ 2022 最新、15.6 FHD ディスプレイ、第 11 世代インテル Core i7-1165G7 (最大 4.7 GHz)、16 GB RAM、512 GB PCIE SSD、ウェブカメラ、Bluetooth 5、HDMI、Windows 11、ブラック")</f>
        <v>Dell Inspiron 15 タッチスクリーン ラップトップ 2022 最新、15.6 FHD ディスプレイ、第 11 世代インテル Core i7-1165G7 (最大 4.7 GHz)、16 GB RAM、512 GB PCIE SSD、ウェブカメラ、Bluetooth 5、HDMI、Windows 11、ブラック</v>
      </c>
    </row>
    <row r="3444" ht="15.75" customHeight="1">
      <c r="A3444" s="1">
        <v>3569.0</v>
      </c>
      <c r="B3444" s="1" t="s">
        <v>15</v>
      </c>
      <c r="C3444" s="1" t="s">
        <v>3111</v>
      </c>
      <c r="D3444" s="1" t="str">
        <f>IFERROR(__xludf.DUMMYFUNCTION("CONCATENATE(GOOGLETRANSLATE(C3444, ""en"", ""zh-cn""))"),"Elite Screens Aeon CineWhite A8K，103对角线，16:9宽高比，ISF认证8K超高清家庭影院定框无边投影音响透明打孔编织屏，AR103H-A8K")</f>
        <v>Elite Screens Aeon CineWhite A8K，103对角线，16:9宽高比，ISF认证8K超高清家庭影院定框无边投影音响透明打孔编织屏，AR103H-A8K</v>
      </c>
      <c r="E3444" s="1" t="str">
        <f>IFERROR(__xludf.DUMMYFUNCTION("CONCATENATE(GOOGLETRANSLATE(C3444, ""en"", ""ko""))"),"엘리트 스크린 Aeon CineWhite A8K, 103 Diag, 16:9 종횡비, ISF 인증 8K Ultra HD 홈 시어터 고정 프레임 엣지 프리 프로젝션 사운드 투명 천공 직조 스크린, AR103H-A8K")</f>
        <v>엘리트 스크린 Aeon CineWhite A8K, 103 Diag, 16:9 종횡비, ISF 인증 8K Ultra HD 홈 시어터 고정 프레임 엣지 프리 프로젝션 사운드 투명 천공 직조 스크린, AR103H-A8K</v>
      </c>
      <c r="F3444" s="1" t="str">
        <f>IFERROR(__xludf.DUMMYFUNCTION("CONCATENATE(GOOGLETRANSLATE(C3444, ""en"", ""ja""))"),"Elite Screens AEON CineWhite A8K、103 Diag、16:9 アスペクト比、ISF 認定 8K ウルトラ HD ホームシアター固定フレームエッジフリー投影サウンド透明穴あき織りスクリーン、AR103H-A8K")</f>
        <v>Elite Screens AEON CineWhite A8K、103 Diag、16:9 アスペクト比、ISF 認定 8K ウルトラ HD ホームシアター固定フレームエッジフリー投影サウンド透明穴あき織りスクリーン、AR103H-A8K</v>
      </c>
    </row>
    <row r="3445" ht="15.75" customHeight="1">
      <c r="A3445" s="1">
        <v>3571.0</v>
      </c>
      <c r="B3445" s="1" t="s">
        <v>15</v>
      </c>
      <c r="C3445" s="1" t="s">
        <v>3112</v>
      </c>
      <c r="D3445" s="1" t="str">
        <f>IFERROR(__xludf.DUMMYFUNCTION("CONCATENATE(GOOGLETRANSLATE(C3445, ""en"", ""zh-cn""))"),"(ALLSTARS : We are Back/ Mini PC Promo) ASUS PN51 Ryzen7 5700U / PN51-S1-B-B7216MD +16GB 3200MHz+1TB NVME SSD+未激活 MS Win10 Home (AMD Ryzen 7 5700U / Intel WiFi 6 / BT5.0 / 2.5G LAN / HDMI+DP /")</f>
        <v>(ALLSTARS : We are Back/ Mini PC Promo) ASUS PN51 Ryzen7 5700U / PN51-S1-B-B7216MD +16GB 3200MHz+1TB NVME SSD+未激活 MS Win10 Home (AMD Ryzen 7 5700U / Intel WiFi 6 / BT5.0 / 2.5G LAN / HDMI+DP /</v>
      </c>
      <c r="E3445" s="1" t="str">
        <f>IFERROR(__xludf.DUMMYFUNCTION("CONCATENATE(GOOGLETRANSLATE(C3445, ""en"", ""ko""))"),"(ALLSTARS: We are Back/ 미니 PC 프로모션) ASUS PN51 Ryzen7 5700U / PN51-S1-B-B7216MD +16GB 3200MHz+1TB NVME SSD+비활성화 MS Win10 홈(AMD Ryzen 7 5700U / Intel WiFi 6 / BT5.0 / 2.5G LAN / HDMI+DP /")</f>
        <v>(ALLSTARS: We are Back/ 미니 PC 프로모션) ASUS PN51 Ryzen7 5700U / PN51-S1-B-B7216MD +16GB 3200MHz+1TB NVME SSD+비활성화 MS Win10 홈(AMD Ryzen 7 5700U / Intel WiFi 6 / BT5.0 / 2.5G LAN / HDMI+DP /</v>
      </c>
      <c r="F3445" s="1" t="str">
        <f>IFERROR(__xludf.DUMMYFUNCTION("CONCATENATE(GOOGLETRANSLATE(C3445, ""en"", ""ja""))"),"(ALLSTARS : We are Back/ ミニ PC プロモーション) ASUS PN51 Ryzen7 5700U / PN51-S1-B-B7216MD +16GB 3200MHz+1TB NVME SSD+非アクティベート MS Win10 Home (AMD Ryzen 7 5700U / Intel WiFi 6 / BT5.0 / 2.5G LAN / HDMI+DP /")</f>
        <v>(ALLSTARS : We are Back/ ミニ PC プロモーション) ASUS PN51 Ryzen7 5700U / PN51-S1-B-B7216MD +16GB 3200MHz+1TB NVME SSD+非アクティベート MS Win10 Home (AMD Ryzen 7 5700U / Intel WiFi 6 / BT5.0 / 2.5G LAN / HDMI+DP /</v>
      </c>
    </row>
    <row r="3446" ht="15.75" customHeight="1">
      <c r="A3446" s="1">
        <v>3576.0</v>
      </c>
      <c r="B3446" s="1" t="s">
        <v>15</v>
      </c>
      <c r="C3446" s="1" t="s">
        <v>3113</v>
      </c>
      <c r="D3446" s="1" t="str">
        <f>IFERROR(__xludf.DUMMYFUNCTION("CONCATENATE(GOOGLETRANSLATE(C3446, ""en"", ""zh-cn""))"),"戴尔 Inspiron 灵越 5400 一体化台式机，23.8 FHD IPS 触摸屏，第 11 代英特尔酷睿 i5-1135G7 处理器，英特尔 Iris Xe 显卡，网络摄像头，无线鼠标和KB，Windows 11（32GB | 1TB SSD）")</f>
        <v>戴尔 Inspiron 灵越 5400 一体化台式机，23.8 FHD IPS 触摸屏，第 11 代英特尔酷睿 i5-1135G7 处理器，英特尔 Iris Xe 显卡，网络摄像头，无线鼠标和KB，Windows 11（32GB | 1TB SSD）</v>
      </c>
      <c r="E3446" s="1" t="str">
        <f>IFERROR(__xludf.DUMMYFUNCTION("CONCATENATE(GOOGLETRANSLATE(C3446, ""en"", ""ko""))"),"Dell Inspiron 5400 올인원 데스크탑, 23.8 FHD IPS 터치스크린, 11세대 Intel Core i5-1135G7 프로세서, Intel Iris Xe 그래픽, 웹캠, 무선 마우스 및 KB, Windows 11(32GB | 1TB SSD)")</f>
        <v>Dell Inspiron 5400 올인원 데스크탑, 23.8 FHD IPS 터치스크린, 11세대 Intel Core i5-1135G7 프로세서, Intel Iris Xe 그래픽, 웹캠, 무선 마우스 및 KB, Windows 11(32GB | 1TB SSD)</v>
      </c>
      <c r="F3446" s="1" t="str">
        <f>IFERROR(__xludf.DUMMYFUNCTION("CONCATENATE(GOOGLETRANSLATE(C3446, ""en"", ""ja""))"),"Dell Inspiron 5400 オールインワン デスクトップ、23.8 FHD IPS タッチスクリーン、第 11 世代インテル Core i5-1135G7 プロセッサー、インテル Iris Xe グラフィックス、ウェブカメラ、ワイヤレス マウス&amp;KB、Windows 11 (32GB | 1TB SSD)")</f>
        <v>Dell Inspiron 5400 オールインワン デスクトップ、23.8 FHD IPS タッチスクリーン、第 11 世代インテル Core i5-1135G7 プロセッサー、インテル Iris Xe グラフィックス、ウェブカメラ、ワイヤレス マウス&amp;KB、Windows 11 (32GB | 1TB SSD)</v>
      </c>
    </row>
    <row r="3447" ht="15.75" customHeight="1">
      <c r="A3447" s="1">
        <v>3599.0</v>
      </c>
      <c r="B3447" s="1" t="s">
        <v>15</v>
      </c>
      <c r="C3447" s="1" t="s">
        <v>3114</v>
      </c>
      <c r="D3447" s="1" t="str">
        <f>IFERROR(__xludf.DUMMYFUNCTION("CONCATENATE(GOOGLETRANSLATE(C3447, ""en"", ""zh-cn""))"),"HP Victus 15.6 游戏笔记本电脑，NVIDIA GeForce RTX 3050 Ti，AMD Ryzen 7 5800H，精致的 1080p IPS 显示屏，紧凑的设计，带加大触摸板的一体化键盘，高清网络摄像头（15-fb0028nr，2022）")</f>
        <v>HP Victus 15.6 游戏笔记本电脑，NVIDIA GeForce RTX 3050 Ti，AMD Ryzen 7 5800H，精致的 1080p IPS 显示屏，紧凑的设计，带加大触摸板的一体化键盘，高清网络摄像头（15-fb0028nr，2022）</v>
      </c>
      <c r="E3447" s="1" t="str">
        <f>IFERROR(__xludf.DUMMYFUNCTION("CONCATENATE(GOOGLETRANSLATE(C3447, ""en"", ""ko""))"),"HP Victus 15.6 게임용 노트북 PC, NVIDIA GeForce RTX 3050 Ti, AMD Ryzen 7 5800H, 세련된 1080p IPS 디스플레이, 컴팩트한 디자인, 확대된 터치패드가 포함된 올인원 키보드, HD 웹캠(15-fb0028nr, 2022)")</f>
        <v>HP Victus 15.6 게임용 노트북 PC, NVIDIA GeForce RTX 3050 Ti, AMD Ryzen 7 5800H, 세련된 1080p IPS 디스플레이, 컴팩트한 디자인, 확대된 터치패드가 포함된 올인원 키보드, HD 웹캠(15-fb0028nr, 2022)</v>
      </c>
      <c r="F3447" s="1" t="str">
        <f>IFERROR(__xludf.DUMMYFUNCTION("CONCATENATE(GOOGLETRANSLATE(C3447, ""en"", ""ja""))"),"HP Victus 15.6 ゲーミング ラップトップ PC、NVIDIA GeForce RTX 3050 Ti、AMD Ryzen 7 5800H、洗練された 1080p IPS ディスプレイ、コンパクトなデザイン、大型タッチパッド付きオールインワン キーボード、HD Web カメラ (15-fb0028nr、2022)")</f>
        <v>HP Victus 15.6 ゲーミング ラップトップ PC、NVIDIA GeForce RTX 3050 Ti、AMD Ryzen 7 5800H、洗練された 1080p IPS ディスプレイ、コンパクトなデザイン、大型タッチパッド付きオールインワン キーボード、HD Web カメラ (15-fb0028nr、2022)</v>
      </c>
    </row>
    <row r="3448" ht="15.75" customHeight="1">
      <c r="A3448" s="1">
        <v>3619.0</v>
      </c>
      <c r="B3448" s="1" t="s">
        <v>15</v>
      </c>
      <c r="C3448" s="1" t="s">
        <v>3115</v>
      </c>
      <c r="D3448" s="1" t="str">
        <f>IFERROR(__xludf.DUMMYFUNCTION("CONCATENATE(GOOGLETRANSLATE(C3448, ""en"", ""zh-cn""))"),"ProGrade 数字存储卡 - 适用于相机的 CFexpress Type B |针对文件快速传输和大容量存储进行了优化 | 650GB钴系列")</f>
        <v>ProGrade 数字存储卡 - 适用于相机的 CFexpress Type B |针对文件快速传输和大容量存储进行了优化 | 650GB钴系列</v>
      </c>
      <c r="E3448" s="1" t="str">
        <f>IFERROR(__xludf.DUMMYFUNCTION("CONCATENATE(GOOGLETRANSLATE(C3448, ""en"", ""ko""))"),"ProGrade 디지털 메모리 카드 - 카메라용 CFexpress Type B | 파일 및 대용량 저장 장치의 빠른 전송에 최적화됨 | 650GB 코발트 시리즈")</f>
        <v>ProGrade 디지털 메모리 카드 - 카메라용 CFexpress Type B | 파일 및 대용량 저장 장치의 빠른 전송에 최적화됨 | 650GB 코발트 시리즈</v>
      </c>
      <c r="F3448" s="1" t="str">
        <f>IFERROR(__xludf.DUMMYFUNCTION("CONCATENATE(GOOGLETRANSLATE(C3448, ""en"", ""ja""))"),"ProGrade デジタル メモリ カード - カメラ用 CFexpress タイプ B |ファイルと大容量ストレージの高速転送用に最適化 | 650GB コバルトシリーズ")</f>
        <v>ProGrade デジタル メモリ カード - カメラ用 CFexpress タイプ B |ファイルと大容量ストレージの高速転送用に最適化 | 650GB コバルトシリーズ</v>
      </c>
    </row>
    <row r="3449" ht="15.75" customHeight="1">
      <c r="A3449" s="1">
        <v>3631.0</v>
      </c>
      <c r="B3449" s="1" t="s">
        <v>15</v>
      </c>
      <c r="C3449" s="1" t="s">
        <v>3116</v>
      </c>
      <c r="D3449" s="1" t="str">
        <f>IFERROR(__xludf.DUMMYFUNCTION("CONCATENATE(GOOGLETRANSLATE(C3449, ""en"", ""zh-cn""))"),"HP 17.3 英尺 HD+ 笔记本电脑， Intel Core i5-1135G7 处理器(&gt; i7-1065G7)， 16GB RAM， 512GB PCIe SSD， 背光键盘， Iris Xe 显卡， HD 音频， 网络摄像头， Win 10， 银色， 32GB USB 卡， HP， 天然银")</f>
        <v>HP 17.3 英尺 HD+ 笔记本电脑， Intel Core i5-1135G7 处理器(&gt; i7-1065G7)， 16GB RAM， 512GB PCIe SSD， 背光键盘， Iris Xe 显卡， HD 音频， 网络摄像头， Win 10， 银色， 32GB USB 卡， HP， 天然银</v>
      </c>
      <c r="E3449" s="1" t="str">
        <f>IFERROR(__xludf.DUMMYFUNCTION("CONCATENATE(GOOGLETRANSLATE(C3449, ""en"", ""ko""))"),"HP 17.3피트 HD+ 노트북, Intel Core i5-1135G7 프로세서(&gt; i7-1065G7), 16GB RAM, 512GB PCIe SSD, 백라이트 키보드, Iris Xe 그래픽, HD 오디오, 웹캠, Win 10, 실버, 32GB USB 카드, HP, 천연 실버")</f>
        <v>HP 17.3피트 HD+ 노트북, Intel Core i5-1135G7 프로세서(&gt; i7-1065G7), 16GB RAM, 512GB PCIe SSD, 백라이트 키보드, Iris Xe 그래픽, HD 오디오, 웹캠, Win 10, 실버, 32GB USB 카드, HP, 천연 실버</v>
      </c>
      <c r="F3449" s="1" t="str">
        <f>IFERROR(__xludf.DUMMYFUNCTION("CONCATENATE(GOOGLETRANSLATE(C3449, ""en"", ""ja""))"),"HP 17.3フィート HD+ ラップトップ、Intel Core i5-1135G7 プロセッサー(&gt; i7-1065G7)、16GB RAM、512GB PCIe SSD、バックライト付きキーボード、Iris Xe グラフィックス、HD オーディオ、ウェブカメラ、Win 10、シルバー、32GB USB カード、HP、ナチュラル シルバー")</f>
        <v>HP 17.3フィート HD+ ラップトップ、Intel Core i5-1135G7 プロセッサー(&gt; i7-1065G7)、16GB RAM、512GB PCIe SSD、バックライト付きキーボード、Iris Xe グラフィックス、HD オーディオ、ウェブカメラ、Win 10、シルバー、32GB USB カード、HP、ナチュラル シルバー</v>
      </c>
    </row>
    <row r="3450" ht="15.75" customHeight="1">
      <c r="A3450" s="1">
        <v>3638.0</v>
      </c>
      <c r="B3450" s="1" t="s">
        <v>15</v>
      </c>
      <c r="C3450" s="1" t="s">
        <v>3117</v>
      </c>
      <c r="D3450" s="1" t="str">
        <f>IFERROR(__xludf.DUMMYFUNCTION("CONCATENATE(GOOGLETRANSLATE(C3450, ""en"", ""zh-cn""))"),"2022 最新联想 IdeaPad 3i 笔记本电脑，17.3 HD+ 显示屏，第 11 代英特尔酷睿 i5-1135G7，英特尔 Iris Xe 显卡，20GB RAM，512GB PCIe SSD，WiFi，网络摄像头，指纹识别器，Windows 11 Home，蓝色")</f>
        <v>2022 最新联想 IdeaPad 3i 笔记本电脑，17.3 HD+ 显示屏，第 11 代英特尔酷睿 i5-1135G7，英特尔 Iris Xe 显卡，20GB RAM，512GB PCIe SSD，WiFi，网络摄像头，指纹识别器，Windows 11 Home，蓝色</v>
      </c>
      <c r="E3450" s="1" t="str">
        <f>IFERROR(__xludf.DUMMYFUNCTION("CONCATENATE(GOOGLETRANSLATE(C3450, ""en"", ""ko""))"),"2022 최신 레노버 IdeaPad 3i 노트북, 17.3 HD+ 디스플레이, 11세대 인텔 코어 i5-1135G7, 인텔 Iris Xe 그래픽, 20GB RAM, 512GB PCIe SSD, WiFi, 웹캠, 지문 인식기, Windows 11 Home, 블루")</f>
        <v>2022 최신 레노버 IdeaPad 3i 노트북, 17.3 HD+ 디스플레이, 11세대 인텔 코어 i5-1135G7, 인텔 Iris Xe 그래픽, 20GB RAM, 512GB PCIe SSD, WiFi, 웹캠, 지문 인식기, Windows 11 Home, 블루</v>
      </c>
      <c r="F3450" s="1" t="str">
        <f>IFERROR(__xludf.DUMMYFUNCTION("CONCATENATE(GOOGLETRANSLATE(C3450, ""en"", ""ja""))"),"2022 最新 Lenovo IdeaPad 3i ラップトップ、17.3 HD+ ディスプレイ、第 11 世代インテル Core i5-1135G7、インテル Iris Xe グラフィックス、20GB RAM、512GB PCIe SSD、WiFi、ウェブカメラ、指紋リーダー、Windows 11 Home、ブルー")</f>
        <v>2022 最新 Lenovo IdeaPad 3i ラップトップ、17.3 HD+ ディスプレイ、第 11 世代インテル Core i5-1135G7、インテル Iris Xe グラフィックス、20GB RAM、512GB PCIe SSD、WiFi、ウェブカメラ、指紋リーダー、Windows 11 Home、ブルー</v>
      </c>
    </row>
    <row r="3451" ht="15.75" customHeight="1">
      <c r="A3451" s="1">
        <v>3647.0</v>
      </c>
      <c r="B3451" s="1" t="s">
        <v>15</v>
      </c>
      <c r="C3451" s="1" t="s">
        <v>3118</v>
      </c>
      <c r="D3451" s="1" t="str">
        <f>IFERROR(__xludf.DUMMYFUNCTION("CONCATENATE(GOOGLETRANSLATE(C3451, ""en"", ""zh-cn""))"),"UPS不间断电源纯正弦波6kVA/5.4kW单相在线式UPS")</f>
        <v>UPS不间断电源纯正弦波6kVA/5.4kW单相在线式UPS</v>
      </c>
      <c r="E3451" s="1" t="str">
        <f>IFERROR(__xludf.DUMMYFUNCTION("CONCATENATE(GOOGLETRANSLATE(C3451, ""en"", ""ko""))"),"UPS 무정전 전원 공급 장치 순수 사인파 6kVA/5.4kW 단일 위상 온라인 UPS")</f>
        <v>UPS 무정전 전원 공급 장치 순수 사인파 6kVA/5.4kW 단일 위상 온라인 UPS</v>
      </c>
      <c r="F3451" s="1" t="str">
        <f>IFERROR(__xludf.DUMMYFUNCTION("CONCATENATE(GOOGLETRANSLATE(C3451, ""en"", ""ja""))"),"UPS 無停電電源装置 純粋正弦波 6kVA/5.4kW 単相オンライン UPS")</f>
        <v>UPS 無停電電源装置 純粋正弦波 6kVA/5.4kW 単相オンライン UPS</v>
      </c>
    </row>
    <row r="3452" ht="15.75" customHeight="1">
      <c r="A3452" s="1">
        <v>3650.0</v>
      </c>
      <c r="B3452" s="1" t="s">
        <v>15</v>
      </c>
      <c r="C3452" s="1" t="s">
        <v>3119</v>
      </c>
      <c r="D3452" s="1" t="str">
        <f>IFERROR(__xludf.DUMMYFUNCTION("CONCATENATE(GOOGLETRANSLATE(C3452, ""en"", ""zh-cn""))"),"Brother MFC-L8905CDW 商用彩色激光一体机打印机，7 英寸触摸屏显示屏，双面打印/扫描，无线")</f>
        <v>Brother MFC-L8905CDW 商用彩色激光一体机打印机，7 英寸触摸屏显示屏，双面打印/扫描，无线</v>
      </c>
      <c r="E3452" s="1" t="str">
        <f>IFERROR(__xludf.DUMMYFUNCTION("CONCATENATE(GOOGLETRANSLATE(C3452, ""en"", ""ko""))"),"Brother MFC‐L8905CDW 비즈니스 컬러 레이저 복합기 프린터, 7인치 터치스크린 디스플레이, 양면 인쇄/스캔, 무선")</f>
        <v>Brother MFC‐L8905CDW 비즈니스 컬러 레이저 복합기 프린터, 7인치 터치스크린 디스플레이, 양면 인쇄/스캔, 무선</v>
      </c>
      <c r="F3452" s="1" t="str">
        <f>IFERROR(__xludf.DUMMYFUNCTION("CONCATENATE(GOOGLETRANSLATE(C3452, ""en"", ""ja""))"),"Brother MFC-L8905CDW ビジネス カラー レーザー オールインワン プリンタ、7 インチ タッチスクリーン ディスプレイ、両面印刷/スキャン、ワイヤレス")</f>
        <v>Brother MFC-L8905CDW ビジネス カラー レーザー オールインワン プリンタ、7 インチ タッチスクリーン ディスプレイ、両面印刷/スキャン、ワイヤレス</v>
      </c>
    </row>
    <row r="3453" ht="15.75" customHeight="1">
      <c r="A3453" s="1">
        <v>3674.0</v>
      </c>
      <c r="B3453" s="1" t="s">
        <v>15</v>
      </c>
      <c r="C3453" s="1" t="s">
        <v>3120</v>
      </c>
      <c r="D3453" s="1" t="str">
        <f>IFERROR(__xludf.DUMMYFUNCTION("CONCATENATE(GOOGLETRANSLATE(C3453, ""en"", ""zh-cn""))"),"【24 小时发货】华硕 PN51-S1-B-B5215MD AMD Ryzen 5 5500U / HDMI / DP / WIFI 6 / 蓝牙 5.0 准系统迷你电脑（3 年保修）")</f>
        <v>【24 小时发货】华硕 PN51-S1-B-B5215MD AMD Ryzen 5 5500U / HDMI / DP / WIFI 6 / 蓝牙 5.0 准系统迷你电脑（3 年保修）</v>
      </c>
      <c r="E3453" s="1" t="str">
        <f>IFERROR(__xludf.DUMMYFUNCTION("CONCATENATE(GOOGLETRANSLATE(C3453, ""en"", ""ko""))"),"【24시간 이내 배송】ASUS PN51-S1-B-B5215MD AMD Ryzen 5 5500U / HDMI / DP / WIFI 6 / Bluetooth 5.0 베어본 미니 PC(3년 보증)")</f>
        <v>【24시간 이내 배송】ASUS PN51-S1-B-B5215MD AMD Ryzen 5 5500U / HDMI / DP / WIFI 6 / Bluetooth 5.0 베어본 미니 PC(3년 보증)</v>
      </c>
      <c r="F3453" s="1" t="str">
        <f>IFERROR(__xludf.DUMMYFUNCTION("CONCATENATE(GOOGLETRANSLATE(C3453, ""en"", ""ja""))"),"【24時間以内発送】ASUS PN51-S1-B-B5215MD AMD Ryzen 5 5500U / HDMI / DP / WIFI 6 / Bluetooth 5.0 ベアボーン ミニ PC (3 年保証)")</f>
        <v>【24時間以内発送】ASUS PN51-S1-B-B5215MD AMD Ryzen 5 5500U / HDMI / DP / WIFI 6 / Bluetooth 5.0 ベアボーン ミニ PC (3 年保証)</v>
      </c>
    </row>
    <row r="3454" ht="15.75" customHeight="1">
      <c r="A3454" s="1">
        <v>3675.0</v>
      </c>
      <c r="B3454" s="1" t="s">
        <v>15</v>
      </c>
      <c r="C3454" s="1" t="s">
        <v>3121</v>
      </c>
      <c r="D3454" s="1" t="str">
        <f>IFERROR(__xludf.DUMMYFUNCTION("CONCATENATE(GOOGLETRANSLATE(C3454, ""en"", ""zh-cn""))"),"数字支票 TellerScan 240 商业支票扫描仪（75 DPM，带喷墨）（经过认证的翻新）")</f>
        <v>数字支票 TellerScan 240 商业支票扫描仪（75 DPM，带喷墨）（经过认证的翻新）</v>
      </c>
      <c r="E3454" s="1" t="str">
        <f>IFERROR(__xludf.DUMMYFUNCTION("CONCATENATE(GOOGLETRANSLATE(C3454, ""en"", ""ko""))"),"Digital Check TellerScan 240 비즈니스 수표 스캐너(잉크젯 사용 시 75DPM)(인증된 리퍼브 상품)")</f>
        <v>Digital Check TellerScan 240 비즈니스 수표 스캐너(잉크젯 사용 시 75DPM)(인증된 리퍼브 상품)</v>
      </c>
      <c r="F3454" s="1" t="str">
        <f>IFERROR(__xludf.DUMMYFUNCTION("CONCATENATE(GOOGLETRANSLATE(C3454, ""en"", ""ja""))"),"デジタル小切手 TellerScan 240 ビジネス小切手スキャナー (インクジェット付き 75 DPM) (認定再生品)")</f>
        <v>デジタル小切手 TellerScan 240 ビジネス小切手スキャナー (インクジェット付き 75 DPM) (認定再生品)</v>
      </c>
    </row>
    <row r="3455" ht="15.75" customHeight="1">
      <c r="A3455" s="1">
        <v>3678.0</v>
      </c>
      <c r="B3455" s="1" t="s">
        <v>15</v>
      </c>
      <c r="C3455" s="1" t="s">
        <v>3122</v>
      </c>
      <c r="D3455" s="1" t="str">
        <f>IFERROR(__xludf.DUMMYFUNCTION("CONCATENATE(GOOGLETRANSLATE(C3455, ""en"", ""zh-cn""))"),"华硕 VivoBook Flip 14 轻薄二合一笔记本电脑，14 英寸 FHD 触摸显示屏，AMD Ryzen 7 5700U，8GB RAM，512GB SSD，手写笔，Windows 10 Home，指纹识别器，定制黑色，TM420UA-DS71T")</f>
        <v>华硕 VivoBook Flip 14 轻薄二合一笔记本电脑，14 英寸 FHD 触摸显示屏，AMD Ryzen 7 5700U，8GB RAM，512GB SSD，手写笔，Windows 10 Home，指纹识别器，定制黑色，TM420UA-DS71T</v>
      </c>
      <c r="E3455" s="1" t="str">
        <f>IFERROR(__xludf.DUMMYFUNCTION("CONCATENATE(GOOGLETRANSLATE(C3455, ""en"", ""ko""))"),"ASUS VivoBook Flip 14 얇고 가벼운 2-in-1 노트북, 14인치 FHD 터치 디스플레이, AMD Ryzen 7 5700U, 8GB RAM, 512GB SSD, 스타일러스, Windows 10 Home, 지문 인식기, Bespoke Black, TM420UA-DS71T")</f>
        <v>ASUS VivoBook Flip 14 얇고 가벼운 2-in-1 노트북, 14인치 FHD 터치 디스플레이, AMD Ryzen 7 5700U, 8GB RAM, 512GB SSD, 스타일러스, Windows 10 Home, 지문 인식기, Bespoke Black, TM420UA-DS71T</v>
      </c>
      <c r="F3455" s="1" t="str">
        <f>IFERROR(__xludf.DUMMYFUNCTION("CONCATENATE(GOOGLETRANSLATE(C3455, ""en"", ""ja""))"),"ASUS VivoBook Flip 14 薄型軽量 2-in-1 ラップトップ、14 インチ FHD タッチ ディスプレイ、AMD Ryzen 7 5700U、8GB RAM、512GB SSD、スタイラス、Windows 10 Home、指紋リーダー、特注ブラック、TM420UA-DS71T")</f>
        <v>ASUS VivoBook Flip 14 薄型軽量 2-in-1 ラップトップ、14 インチ FHD タッチ ディスプレイ、AMD Ryzen 7 5700U、8GB RAM、512GB SSD、スタイラス、Windows 10 Home、指紋リーダー、特注ブラック、TM420UA-DS71T</v>
      </c>
    </row>
    <row r="3456" ht="15.75" customHeight="1">
      <c r="A3456" s="1">
        <v>3681.0</v>
      </c>
      <c r="B3456" s="1" t="s">
        <v>15</v>
      </c>
      <c r="C3456" s="1" t="s">
        <v>3123</v>
      </c>
      <c r="D3456" s="1" t="str">
        <f>IFERROR(__xludf.DUMMYFUNCTION("CONCATENATE(GOOGLETRANSLATE(C3456, ""en"", ""zh-cn""))"),"投影仪屏幕，巴黎罗纳河谷 100 英寸 4K 超高清 16:9 环境光抑制固定框架 ALR 投影仪屏幕，超短焦投影仪吸顶光抑制投影仪屏幕")</f>
        <v>投影仪屏幕，巴黎罗纳河谷 100 英寸 4K 超高清 16:9 环境光抑制固定框架 ALR 投影仪屏幕，超短焦投影仪吸顶光抑制投影仪屏幕</v>
      </c>
      <c r="E3456" s="1" t="str">
        <f>IFERROR(__xludf.DUMMYFUNCTION("CONCATENATE(GOOGLETRANSLATE(C3456, ""en"", ""ko""))"),"프로젝터 스크린, Paris Rhône 100"" 4K Ultra HD 16:9 주변광 차단 고정 프레임 ALR 프로젝터 스크린, 초단초점 프로젝터용 천장 조명 차단 프로젝션 스크린")</f>
        <v>프로젝터 스크린, Paris Rhône 100" 4K Ultra HD 16:9 주변광 차단 고정 프레임 ALR 프로젝터 스크린, 초단초점 프로젝터용 천장 조명 차단 프로젝션 스크린</v>
      </c>
      <c r="F3456" s="1" t="str">
        <f>IFERROR(__xludf.DUMMYFUNCTION("CONCATENATE(GOOGLETRANSLATE(C3456, ""en"", ""ja""))"),"プロジェクター スクリーン、パリ ローヌ 100 インチ 4K Ultra HD 16:9 周囲光除去固定フレーム ALR プロジェクター スクリーン、超短焦点プロジェクター用天井光除去投影スクリーン")</f>
        <v>プロジェクター スクリーン、パリ ローヌ 100 インチ 4K Ultra HD 16:9 周囲光除去固定フレーム ALR プロジェクター スクリーン、超短焦点プロジェクター用天井光除去投影スクリーン</v>
      </c>
    </row>
    <row r="3457" ht="15.75" customHeight="1">
      <c r="A3457" s="1">
        <v>3684.0</v>
      </c>
      <c r="B3457" s="1" t="s">
        <v>15</v>
      </c>
      <c r="C3457" s="1" t="s">
        <v>3124</v>
      </c>
      <c r="D3457" s="1" t="str">
        <f>IFERROR(__xludf.DUMMYFUNCTION("CONCATENATE(GOOGLETRANSLATE(C3457, ""en"", ""zh-cn""))"),"Aruba Instant On 1930 24 端口千兆以太网 24xGE PoE (370W)，4X 1G/10G SFP+，L2+ 智能交换机美国线 (JL684A#ABA)")</f>
        <v>Aruba Instant On 1930 24 端口千兆以太网 24xGE PoE (370W)，4X 1G/10G SFP+，L2+ 智能交换机美国线 (JL684A#ABA)</v>
      </c>
      <c r="E3457" s="1" t="str">
        <f>IFERROR(__xludf.DUMMYFUNCTION("CONCATENATE(GOOGLETRANSLATE(C3457, ""en"", ""ko""))"),"Aruba Instant On 1930 24포트 Gb 이더넷 24xGE PoE(370W), 4X 1G/10G SFP+, L2+ 스마트 스위치 미국 코드(JL684A#ABA)")</f>
        <v>Aruba Instant On 1930 24포트 Gb 이더넷 24xGE PoE(370W), 4X 1G/10G SFP+, L2+ 스마트 스위치 미국 코드(JL684A#ABA)</v>
      </c>
      <c r="F3457" s="1" t="str">
        <f>IFERROR(__xludf.DUMMYFUNCTION("CONCATENATE(GOOGLETRANSLATE(C3457, ""en"", ""ja""))"),"Aruba Instant On 1930 24 ポート Gb イーサネット 24xGE PoE (370W)、4X 1G/10G SFP+、L2+ スマート スイッチ US コード (JL684A#ABA)")</f>
        <v>Aruba Instant On 1930 24 ポート Gb イーサネット 24xGE PoE (370W)、4X 1G/10G SFP+、L2+ スマート スイッチ US コード (JL684A#ABA)</v>
      </c>
    </row>
    <row r="3458" ht="15.75" customHeight="1">
      <c r="A3458" s="1">
        <v>3700.0</v>
      </c>
      <c r="B3458" s="1" t="s">
        <v>15</v>
      </c>
      <c r="C3458" s="1" t="s">
        <v>3125</v>
      </c>
      <c r="D3458" s="1" t="str">
        <f>IFERROR(__xludf.DUMMYFUNCTION("CONCATENATE(GOOGLETRANSLATE(C3458, ""en"", ""zh-cn""))"),"Apple iPad Air (10.9 英寸，Wi-Fi，256GB) - 深空灰色（最新型号，第 4 代）（续订）")</f>
        <v>Apple iPad Air (10.9 英寸，Wi-Fi，256GB) - 深空灰色（最新型号，第 4 代）（续订）</v>
      </c>
      <c r="E3458" s="1" t="str">
        <f>IFERROR(__xludf.DUMMYFUNCTION("CONCATENATE(GOOGLETRANSLATE(C3458, ""en"", ""ko""))"),"Apple iPad Air(10.9인치, Wi-Fi, 256GB) - 스페이스 그레이(최신 모델, 4세대)(리뉴얼)")</f>
        <v>Apple iPad Air(10.9인치, Wi-Fi, 256GB) - 스페이스 그레이(최신 모델, 4세대)(리뉴얼)</v>
      </c>
      <c r="F3458" s="1" t="str">
        <f>IFERROR(__xludf.DUMMYFUNCTION("CONCATENATE(GOOGLETRANSLATE(C3458, ""en"", ""ja""))"),"Apple iPad Air (10.9インチ、Wi-Fi、256GB) - スペースグレイ (最新モデル、第4世代) (リニューアル)")</f>
        <v>Apple iPad Air (10.9インチ、Wi-Fi、256GB) - スペースグレイ (最新モデル、第4世代) (リニューアル)</v>
      </c>
    </row>
    <row r="3459" ht="15.75" customHeight="1">
      <c r="A3459" s="1">
        <v>3713.0</v>
      </c>
      <c r="B3459" s="1" t="s">
        <v>15</v>
      </c>
      <c r="C3459" s="1" t="s">
        <v>3126</v>
      </c>
      <c r="D3459" s="1" t="str">
        <f>IFERROR(__xludf.DUMMYFUNCTION("CONCATENATE(GOOGLETRANSLATE(C3459, ""en"", ""zh-cn""))"),"HP Pavilion 15.6 高清笔记本电脑，英特尔奔腾处理器，16GB RAM，1TB SSD，网络摄像头，USB-C，HDMI，以太网 RJ-45，WiFi，包括 1 年 Microsoft 365、Windows 11 S、Scarlet Red、TiTac 卡")</f>
        <v>HP Pavilion 15.6 高清笔记本电脑，英特尔奔腾处理器，16GB RAM，1TB SSD，网络摄像头，USB-C，HDMI，以太网 RJ-45，WiFi，包括 1 年 Microsoft 365、Windows 11 S、Scarlet Red、TiTac 卡</v>
      </c>
      <c r="E3459" s="1" t="str">
        <f>IFERROR(__xludf.DUMMYFUNCTION("CONCATENATE(GOOGLETRANSLATE(C3459, ""en"", ""ko""))"),"HP Pavilion 15.6 HD 노트북 컴퓨터, Intel Pentium 프로세서, 16GB RAM, 1TB SSD, 웹캠, USB-C, HDMI, 이더넷 RJ-45, WiFi, 1년 Microsoft 365 포함, Windows 11 S, Scarlet Red, TiTac 카드")</f>
        <v>HP Pavilion 15.6 HD 노트북 컴퓨터, Intel Pentium 프로세서, 16GB RAM, 1TB SSD, 웹캠, USB-C, HDMI, 이더넷 RJ-45, WiFi, 1년 Microsoft 365 포함, Windows 11 S, Scarlet Red, TiTac 카드</v>
      </c>
      <c r="F3459" s="1" t="str">
        <f>IFERROR(__xludf.DUMMYFUNCTION("CONCATENATE(GOOGLETRANSLATE(C3459, ""en"", ""ja""))"),"HP Pavilion 15.6 HD ラップトップ コンピューター、Intel Pentium プロセッサー、16GB RAM、1TB SSD、ウェブカメラ、USB-C、HDMI、イーサネット RJ-45、WiFi、1 年間の Microsoft 365、Windows 11 S、スカーレット レッド、TiTac カード付き")</f>
        <v>HP Pavilion 15.6 HD ラップトップ コンピューター、Intel Pentium プロセッサー、16GB RAM、1TB SSD、ウェブカメラ、USB-C、HDMI、イーサネット RJ-45、WiFi、1 年間の Microsoft 365、Windows 11 S、スカーレット レッド、TiTac カード付き</v>
      </c>
    </row>
    <row r="3460" ht="15.75" customHeight="1">
      <c r="A3460" s="1">
        <v>3720.0</v>
      </c>
      <c r="B3460" s="1" t="s">
        <v>15</v>
      </c>
      <c r="C3460" s="1" t="s">
        <v>3127</v>
      </c>
      <c r="D3460" s="1" t="str">
        <f>IFERROR(__xludf.DUMMYFUNCTION("CONCATENATE(GOOGLETRANSLATE(C3460, ""en"", ""zh-cn""))"),"联想 IdeaPad 3 14 FHD 笔记本电脑，第 11 代英特尔 4 核 i7-1165G7，英特尔 Iris Xe 显卡，12GB RAM，512GB PCIe SSD，FP 读卡器，网络摄像头，USB-C，HDMI，SD 读卡器，WiFi 6，SPS HDMI 电缆，Win 11 Home")</f>
        <v>联想 IdeaPad 3 14 FHD 笔记本电脑，第 11 代英特尔 4 核 i7-1165G7，英特尔 Iris Xe 显卡，12GB RAM，512GB PCIe SSD，FP 读卡器，网络摄像头，USB-C，HDMI，SD 读卡器，WiFi 6，SPS HDMI 电缆，Win 11 Home</v>
      </c>
      <c r="E3460" s="1" t="str">
        <f>IFERROR(__xludf.DUMMYFUNCTION("CONCATENATE(GOOGLETRANSLATE(C3460, ""en"", ""ko""))"),"Lenovo IdeaPad 3 14 FHD 노트북, 11세대 Intel 4코어 i7-1165G7, Intel Iris Xe 그래픽, 12GB RAM, 512GB PCIe SSD, FP 리더, 웹캠, USB-C, HDMI, SD 카드 리더기, WiFi 6, SPS HDMI 케이블, Win 11 Home")</f>
        <v>Lenovo IdeaPad 3 14 FHD 노트북, 11세대 Intel 4코어 i7-1165G7, Intel Iris Xe 그래픽, 12GB RAM, 512GB PCIe SSD, FP 리더, 웹캠, USB-C, HDMI, SD 카드 리더기, WiFi 6, SPS HDMI 케이블, Win 11 Home</v>
      </c>
      <c r="F3460" s="1" t="str">
        <f>IFERROR(__xludf.DUMMYFUNCTION("CONCATENATE(GOOGLETRANSLATE(C3460, ""en"", ""ja""))"),"Lenovo IdeaPad 3 14 FHD ラップトップ、第 11 世代インテル 4 コア i7-1165G7、インテル Iris Xe グラフィックス、12GB RAM、512GB PCIe SSD、FP リーダー、ウェブカメラ、USB-C、HDMI、SD カードリーダー、WiFi 6、SPS HDMI ケーブル、Win 11 ホーム")</f>
        <v>Lenovo IdeaPad 3 14 FHD ラップトップ、第 11 世代インテル 4 コア i7-1165G7、インテル Iris Xe グラフィックス、12GB RAM、512GB PCIe SSD、FP リーダー、ウェブカメラ、USB-C、HDMI、SD カードリーダー、WiFi 6、SPS HDMI ケーブル、Win 11 ホーム</v>
      </c>
    </row>
    <row r="3461" ht="15.75" customHeight="1">
      <c r="A3461" s="1">
        <v>3726.0</v>
      </c>
      <c r="B3461" s="1" t="s">
        <v>15</v>
      </c>
      <c r="C3461" s="1" t="s">
        <v>3128</v>
      </c>
      <c r="D3461" s="1" t="str">
        <f>IFERROR(__xludf.DUMMYFUNCTION("CONCATENATE(GOOGLETRANSLATE(C3461, ""en"", ""zh-cn""))"),"2022 款最新 HP 笔记本电脑（含 Microsoft Office）1 年期，15.6 英寸高清屏幕，AMD Athlon 3050U 16GB RAM 1TB SSD HDMI 端口网络摄像头金色白色 Windows 11 |大学生套装， ROKC HDMI 线")</f>
        <v>2022 款最新 HP 笔记本电脑（含 Microsoft Office）1 年期，15.6 英寸高清屏幕，AMD Athlon 3050U 16GB RAM 1TB SSD HDMI 端口网络摄像头金色白色 Windows 11 |大学生套装， ROKC HDMI 线</v>
      </c>
      <c r="E3461" s="1" t="str">
        <f>IFERROR(__xludf.DUMMYFUNCTION("CONCATENATE(GOOGLETRANSLATE(C3461, ""en"", ""ko""))"),"2022 최신 HP 노트북 Microsoft Office 포함 1년, 15.6 HD 화면, AMD Athlon 3050U 16GB RAM 1TB SSD HDMI 포트 웹캠 골드 화이트 Windows 11 | 대학생 번들, ROKC HDMI 케이블")</f>
        <v>2022 최신 HP 노트북 Microsoft Office 포함 1년, 15.6 HD 화면, AMD Athlon 3050U 16GB RAM 1TB SSD HDMI 포트 웹캠 골드 화이트 Windows 11 | 대학생 번들, ROKC HDMI 케이블</v>
      </c>
      <c r="F3461" s="1" t="str">
        <f>IFERROR(__xludf.DUMMYFUNCTION("CONCATENATE(GOOGLETRANSLATE(C3461, ""en"", ""ja""))"),"2022 最新 HP ラップトップ Microsoft Office 搭載 1 年、15.6 HD スクリーン、AMD Athlon 3050U 16GB RAM 1TB SSD HDMI ポート Web カメラ ゴールド ホワイト Windows 11 |大学生バンドル、ROKC HDMI ケーブル")</f>
        <v>2022 最新 HP ラップトップ Microsoft Office 搭載 1 年、15.6 HD スクリーン、AMD Athlon 3050U 16GB RAM 1TB SSD HDMI ポート Web カメラ ゴールド ホワイト Windows 11 |大学生バンドル、ROKC HDMI ケーブル</v>
      </c>
    </row>
    <row r="3462" ht="15.75" customHeight="1">
      <c r="A3462" s="1">
        <v>3731.0</v>
      </c>
      <c r="B3462" s="1" t="s">
        <v>15</v>
      </c>
      <c r="C3462" s="1" t="s">
        <v>3129</v>
      </c>
      <c r="D3462" s="1" t="str">
        <f>IFERROR(__xludf.DUMMYFUNCTION("CONCATENATE(GOOGLETRANSLATE(C3462, ""en"", ""zh-cn""))"),"戴尔 2022 最新 Inspiron 3511 笔记本电脑，15.6 FHD 触摸屏，英特尔酷睿 i5-1135G7，16GB DDR4 RAM，512GB PCIe SSD，SD 读卡器，网络摄像头，HDMI，Wi-Fi，Windows 11 Home，黑色")</f>
        <v>戴尔 2022 最新 Inspiron 3511 笔记本电脑，15.6 FHD 触摸屏，英特尔酷睿 i5-1135G7，16GB DDR4 RAM，512GB PCIe SSD，SD 读卡器，网络摄像头，HDMI，Wi-Fi，Windows 11 Home，黑色</v>
      </c>
      <c r="E3462" s="1" t="str">
        <f>IFERROR(__xludf.DUMMYFUNCTION("CONCATENATE(GOOGLETRANSLATE(C3462, ""en"", ""ko""))"),"Dell 2022 최신 Inspiron 3511 노트북, 15.6 FHD 터치스크린, Intel Core i5-1135G7, 16GB DDR4 RAM, 512GB PCIe SSD, SD 카드 리더기, 웹캠, HDMI, Wi-Fi, Windows 11 Home, 블랙")</f>
        <v>Dell 2022 최신 Inspiron 3511 노트북, 15.6 FHD 터치스크린, Intel Core i5-1135G7, 16GB DDR4 RAM, 512GB PCIe SSD, SD 카드 리더기, 웹캠, HDMI, Wi-Fi, Windows 11 Home, 블랙</v>
      </c>
      <c r="F3462" s="1" t="str">
        <f>IFERROR(__xludf.DUMMYFUNCTION("CONCATENATE(GOOGLETRANSLATE(C3462, ""en"", ""ja""))"),"Dell 2022 最新 Inspiron 3511 ラップトップ、15.6 FHD タッチスクリーン、Intel Core i5-1135G7、16GB DDR4 RAM、512GB PCIe SSD、SD カード リーダー、ウェブカメラ、HDMI、Wi-Fi、Windows 11 Home、ブラック")</f>
        <v>Dell 2022 最新 Inspiron 3511 ラップトップ、15.6 FHD タッチスクリーン、Intel Core i5-1135G7、16GB DDR4 RAM、512GB PCIe SSD、SD カード リーダー、ウェブカメラ、HDMI、Wi-Fi、Windows 11 Home、ブラック</v>
      </c>
    </row>
    <row r="3463" ht="15.75" customHeight="1">
      <c r="A3463" s="1">
        <v>3736.0</v>
      </c>
      <c r="B3463" s="1" t="s">
        <v>15</v>
      </c>
      <c r="C3463" s="1" t="s">
        <v>3130</v>
      </c>
      <c r="D3463" s="1" t="str">
        <f>IFERROR(__xludf.DUMMYFUNCTION("CONCATENATE(GOOGLETRANSLATE(C3463, ""en"", ""zh-cn""))"),"宏碁 Aspire Vero AV15-51-7617 绿色电脑 | 15.6 FHD IPS 100% sRGB 显示屏 |第 11 代英特尔酷睿 i7-1195G7 |英特尔 Iris Xe 显卡 | 16GB DDR4 | 16GB DDR4 512GB NVMe 固态硬盘 |无线网络6 | PCR 材料 | Vero 套筒")</f>
        <v>宏碁 Aspire Vero AV15-51-7617 绿色电脑 | 15.6 FHD IPS 100% sRGB 显示屏 |第 11 代英特尔酷睿 i7-1195G7 |英特尔 Iris Xe 显卡 | 16GB DDR4 | 16GB DDR4 512GB NVMe 固态硬盘 |无线网络6 | PCR 材料 | Vero 套筒</v>
      </c>
      <c r="E3463" s="1" t="str">
        <f>IFERROR(__xludf.DUMMYFUNCTION("CONCATENATE(GOOGLETRANSLATE(C3463, ""en"", ""ko""))"),"Acer Aspire Vero AV15-51-7617 그린 PC | 15.6 FHD IPS 100% sRGB 디스플레이 | 11세대 인텔 코어 i7-1195G7 | 인텔 아이리스 Xe 그래픽 | 16GB DDR4 | 512GB NVMe SSD | 와이파이 6 | PCR 재료 | 베로슬리브")</f>
        <v>Acer Aspire Vero AV15-51-7617 그린 PC | 15.6 FHD IPS 100% sRGB 디스플레이 | 11세대 인텔 코어 i7-1195G7 | 인텔 아이리스 Xe 그래픽 | 16GB DDR4 | 512GB NVMe SSD | 와이파이 6 | PCR 재료 | 베로슬리브</v>
      </c>
      <c r="F3463" s="1" t="str">
        <f>IFERROR(__xludf.DUMMYFUNCTION("CONCATENATE(GOOGLETRANSLATE(C3463, ""en"", ""ja""))"),"Acer Aspire Vero AV15-51-7617 グリーン PC | 15.6 FHD IPS 100% sRGB ディスプレイ |第 11 世代インテル Core i7-1195G7 |インテル Iris Xe グラフィックス | 16GB DDR4 | 512GB NVMe SSD | Wi-Fi 6 | PCR材料 |ベロスリーブ")</f>
        <v>Acer Aspire Vero AV15-51-7617 グリーン PC | 15.6 FHD IPS 100% sRGB ディスプレイ |第 11 世代インテル Core i7-1195G7 |インテル Iris Xe グラフィックス | 16GB DDR4 | 512GB NVMe SSD | Wi-Fi 6 | PCR材料 |ベロスリーブ</v>
      </c>
    </row>
    <row r="3464" ht="15.75" customHeight="1">
      <c r="A3464" s="1">
        <v>3757.0</v>
      </c>
      <c r="B3464" s="1" t="s">
        <v>15</v>
      </c>
      <c r="C3464" s="1" t="s">
        <v>3131</v>
      </c>
      <c r="D3464" s="1" t="str">
        <f>IFERROR(__xludf.DUMMYFUNCTION("CONCATENATE(GOOGLETRANSLATE(C3464, ""en"", ""zh-cn""))"),"RYDEEN TOMBO 360X 环视 4K 行车记录仪 10 英寸触摸屏无框后视镜，带 TFT 显示屏，带日夜自动亮度调节，备用视频输入，包括倒车摄像头")</f>
        <v>RYDEEN TOMBO 360X 环视 4K 行车记录仪 10 英寸触摸屏无框后视镜，带 TFT 显示屏，带日夜自动亮度调节，备用视频输入，包括倒车摄像头</v>
      </c>
      <c r="E3464" s="1" t="str">
        <f>IFERROR(__xludf.DUMMYFUNCTION("CONCATENATE(GOOGLETRANSLATE(C3464, ""en"", ""ko""))"),"RYDEEN TOMBO 360X 서라운드 뷰 4K 대시 카메라 10인치 터치스크린 프레임리스 백미러(TFT 모니터 포함) 자동 밝기 주/야간 기능, 백업 비디오 입력, 백업 카메라 포함")</f>
        <v>RYDEEN TOMBO 360X 서라운드 뷰 4K 대시 카메라 10인치 터치스크린 프레임리스 백미러(TFT 모니터 포함) 자동 밝기 주/야간 기능, 백업 비디오 입력, 백업 카메라 포함</v>
      </c>
      <c r="F3464" s="1" t="str">
        <f>IFERROR(__xludf.DUMMYFUNCTION("CONCATENATE(GOOGLETRANSLATE(C3464, ""en"", ""ja""))"),"RYDEEN TOMBO 360X サラウンドビュー 4K ダッシュカメラ 10 インチ タッチスクリーン フレームレス バックミラー TFT モニター付き 昼夜自動輝度、バックアップビデオ入力、バックアップカメラ付属")</f>
        <v>RYDEEN TOMBO 360X サラウンドビュー 4K ダッシュカメラ 10 インチ タッチスクリーン フレームレス バックミラー TFT モニター付き 昼夜自動輝度、バックアップビデオ入力、バックアップカメラ付属</v>
      </c>
    </row>
    <row r="3465" ht="15.75" customHeight="1">
      <c r="A3465" s="1">
        <v>3762.0</v>
      </c>
      <c r="B3465" s="1" t="s">
        <v>15</v>
      </c>
      <c r="C3465" s="1" t="s">
        <v>3132</v>
      </c>
      <c r="D3465" s="1" t="str">
        <f>IFERROR(__xludf.DUMMYFUNCTION("CONCATENATE(GOOGLETRANSLATE(C3465, ""en"", ""zh-cn""))"),"戴尔最新 Inspiron 15 3511 笔记本电脑，15.6 FHD 触摸屏，Intel Core i5-1035G1，12GB RAM，256GB PCIe NVMe M.2 SSD，SD 读卡器，网络摄像头，HDMI，WiFi，Windows 11 Home，黑色")</f>
        <v>戴尔最新 Inspiron 15 3511 笔记本电脑，15.6 FHD 触摸屏，Intel Core i5-1035G1，12GB RAM，256GB PCIe NVMe M.2 SSD，SD 读卡器，网络摄像头，HDMI，WiFi，Windows 11 Home，黑色</v>
      </c>
      <c r="E3465" s="1" t="str">
        <f>IFERROR(__xludf.DUMMYFUNCTION("CONCATENATE(GOOGLETRANSLATE(C3465, ""en"", ""ko""))"),"Dell 최신 Inspiron 15 3511 노트북, 15.6 FHD 터치스크린, Intel Core i5-1035G1, 12GB RAM, 256GB PCIe NVMe M.2 SSD, SD 카드 리더기, 웹캠, HDMI, WiFi, Windows 11 Home, 블랙")</f>
        <v>Dell 최신 Inspiron 15 3511 노트북, 15.6 FHD 터치스크린, Intel Core i5-1035G1, 12GB RAM, 256GB PCIe NVMe M.2 SSD, SD 카드 리더기, 웹캠, HDMI, WiFi, Windows 11 Home, 블랙</v>
      </c>
      <c r="F3465" s="1" t="str">
        <f>IFERROR(__xludf.DUMMYFUNCTION("CONCATENATE(GOOGLETRANSLATE(C3465, ""en"", ""ja""))"),"Dell 最新の Inspiron 15 3511 ラップトップ、15.6 FHD タッチスクリーン、Intel Core i5-1035G1、12GB RAM、256GB PCIe NVMe M.2 SSD、SD カード リーダー、ウェブカメラ、HDMI、WiFi、Windows 11 Home、ブラック")</f>
        <v>Dell 最新の Inspiron 15 3511 ラップトップ、15.6 FHD タッチスクリーン、Intel Core i5-1035G1、12GB RAM、256GB PCIe NVMe M.2 SSD、SD カード リーダー、ウェブカメラ、HDMI、WiFi、Windows 11 Home、ブラック</v>
      </c>
    </row>
    <row r="3466" ht="15.75" customHeight="1">
      <c r="A3466" s="1">
        <v>3765.0</v>
      </c>
      <c r="B3466" s="1" t="s">
        <v>15</v>
      </c>
      <c r="C3466" s="1" t="s">
        <v>3133</v>
      </c>
      <c r="D3466" s="1" t="str">
        <f>IFERROR(__xludf.DUMMYFUNCTION("CONCATENATE(GOOGLETRANSLATE(C3466, ""en"", ""zh-cn""))"),"戴尔 Inspiron 灵越 15.6 英寸全高清触摸屏英特尔 i5-1035G1 12GB 256GB SSD Win 10 笔记本电脑")</f>
        <v>戴尔 Inspiron 灵越 15.6 英寸全高清触摸屏英特尔 i5-1035G1 12GB 256GB SSD Win 10 笔记本电脑</v>
      </c>
      <c r="E3466" s="1" t="str">
        <f>IFERROR(__xludf.DUMMYFUNCTION("CONCATENATE(GOOGLETRANSLATE(C3466, ""en"", ""ko""))"),"델 인스피론 15.6인치 풀 HD 터치스크린 인텔 i5-1035G1 12GB 256GB SSD 윈도우 10 노트북")</f>
        <v>델 인스피론 15.6인치 풀 HD 터치스크린 인텔 i5-1035G1 12GB 256GB SSD 윈도우 10 노트북</v>
      </c>
      <c r="F3466" s="1" t="str">
        <f>IFERROR(__xludf.DUMMYFUNCTION("CONCATENATE(GOOGLETRANSLATE(C3466, ""en"", ""ja""))"),"Dell Inspiron 15.6 インチ フル HD タッチスクリーン Intel i5-1035G1 12GB 256GB SSD Win 10 ラップトップ")</f>
        <v>Dell Inspiron 15.6 インチ フル HD タッチスクリーン Intel i5-1035G1 12GB 256GB SSD Win 10 ラップトップ</v>
      </c>
    </row>
    <row r="3467" ht="15.75" customHeight="1">
      <c r="A3467" s="1">
        <v>3769.0</v>
      </c>
      <c r="B3467" s="1" t="s">
        <v>15</v>
      </c>
      <c r="C3467" s="1" t="s">
        <v>3134</v>
      </c>
      <c r="D3467" s="1" t="str">
        <f>IFERROR(__xludf.DUMMYFUNCTION("CONCATENATE(GOOGLETRANSLATE(C3467, ""en"", ""zh-cn""))"),"TiVo Edge for Antenna 500GB（包括服务 (AIP)，价值 449.99 美元），直播、DVR 和流媒体 4K 超高清媒体播放器，支持杜比视界 HDR 和杜比全景声")</f>
        <v>TiVo Edge for Antenna 500GB（包括服务 (AIP)，价值 449.99 美元），直播、DVR 和流媒体 4K 超高清媒体播放器，支持杜比视界 HDR 和杜比全景声</v>
      </c>
      <c r="E3467" s="1" t="str">
        <f>IFERROR(__xludf.DUMMYFUNCTION("CONCATENATE(GOOGLETRANSLATE(C3467, ""en"", ""ko""))"),"안테나용 TiVo Edge 500GB(서비스(AIP) 포함, $449.99 상당), 라이브, DVR 및 스트리밍 4K UHD 미디어 플레이어(Dolby Vision HDR 및 Dolby Atmos 포함)")</f>
        <v>안테나용 TiVo Edge 500GB(서비스(AIP) 포함, $449.99 상당), 라이브, DVR 및 스트리밍 4K UHD 미디어 플레이어(Dolby Vision HDR 및 Dolby Atmos 포함)</v>
      </c>
      <c r="F3467" s="1" t="str">
        <f>IFERROR(__xludf.DUMMYFUNCTION("CONCATENATE(GOOGLETRANSLATE(C3467, ""en"", ""ja""))"),"TiVo Edge for Antenna 500GB ($449.99 相当のサービス (AIP) を含む)、Dolby Vision HDR および Dolby Atmos を備えたライブ、DVR およびストリーミング 4K UHD メディア プレーヤー")</f>
        <v>TiVo Edge for Antenna 500GB ($449.99 相当のサービス (AIP) を含む)、Dolby Vision HDR および Dolby Atmos を備えたライブ、DVR およびストリーミング 4K UHD メディア プレーヤー</v>
      </c>
    </row>
    <row r="3468" ht="15.75" customHeight="1">
      <c r="A3468" s="1">
        <v>3774.0</v>
      </c>
      <c r="B3468" s="1" t="s">
        <v>15</v>
      </c>
      <c r="C3468" s="1" t="s">
        <v>3135</v>
      </c>
      <c r="D3468" s="1" t="str">
        <f>IFERROR(__xludf.DUMMYFUNCTION("CONCATENATE(GOOGLETRANSLATE(C3468, ""en"", ""zh-cn""))"),"2022 最新 HP 14 笔记本电脑，14 高清 IPS 显示屏，AMD Ryzen 3 3250U 处理器，AMD Radeon 显卡，16GB RAM，1TB SSD，USB Type-C，HDMI，长电池寿命长达 10 小时，Windows 11 + 超细纤维布")</f>
        <v>2022 最新 HP 14 笔记本电脑，14 高清 IPS 显示屏，AMD Ryzen 3 3250U 处理器，AMD Radeon 显卡，16GB RAM，1TB SSD，USB Type-C，HDMI，长电池寿命长达 10 小时，Windows 11 + 超细纤维布</v>
      </c>
      <c r="E3468" s="1" t="str">
        <f>IFERROR(__xludf.DUMMYFUNCTION("CONCATENATE(GOOGLETRANSLATE(C3468, ""en"", ""ko""))"),"2022 최신 HP 14 노트북, 14 HD IPS 디스플레이, AMD Ryzen 3 3250U 프로세서, AMD Radeon 그래픽, 16GB RAM, 1TB SSD, USB Type-C, HDMI, 최대 10시간의 긴 배터리 수명, Windows 11 + 마이크로파이버 천")</f>
        <v>2022 최신 HP 14 노트북, 14 HD IPS 디스플레이, AMD Ryzen 3 3250U 프로세서, AMD Radeon 그래픽, 16GB RAM, 1TB SSD, USB Type-C, HDMI, 최대 10시간의 긴 배터리 수명, Windows 11 + 마이크로파이버 천</v>
      </c>
      <c r="F3468" s="1" t="str">
        <f>IFERROR(__xludf.DUMMYFUNCTION("CONCATENATE(GOOGLETRANSLATE(C3468, ""en"", ""ja""))"),"2022 最新 HP 14 ラップトップ、14 HD IPS ディスプレイ、AMD Ryzen 3 3250U プロセッサー、AMD Radeon グラフィックス、16GB RAM、1TB SSD、USB Type-C、HDMI、最長 10 時間の長いバッテリー寿命、Windows 11 + マイクロファイバー クロス")</f>
        <v>2022 最新 HP 14 ラップトップ、14 HD IPS ディスプレイ、AMD Ryzen 3 3250U プロセッサー、AMD Radeon グラフィックス、16GB RAM、1TB SSD、USB Type-C、HDMI、最長 10 時間の長いバッテリー寿命、Windows 11 + マイクロファイバー クロス</v>
      </c>
    </row>
    <row r="3469" ht="15.75" customHeight="1">
      <c r="A3469" s="1">
        <v>3780.0</v>
      </c>
      <c r="B3469" s="1" t="s">
        <v>15</v>
      </c>
      <c r="C3469" s="1" t="s">
        <v>3136</v>
      </c>
      <c r="D3469" s="1" t="str">
        <f>IFERROR(__xludf.DUMMYFUNCTION("CONCATENATE(GOOGLETRANSLATE(C3469, ""en"", ""zh-cn""))"),"戴尔 Latitude 7490 14 英寸全高清触摸屏笔记本电脑，英特尔酷睿 i7-8650U 16GB DDR4 RAM，512GB SSD Windows 10 Pro 笔记本电脑（续订）")</f>
        <v>戴尔 Latitude 7490 14 英寸全高清触摸屏笔记本电脑，英特尔酷睿 i7-8650U 16GB DDR4 RAM，512GB SSD Windows 10 Pro 笔记本电脑（续订）</v>
      </c>
      <c r="E3469" s="1" t="str">
        <f>IFERROR(__xludf.DUMMYFUNCTION("CONCATENATE(GOOGLETRANSLATE(C3469, ""en"", ""ko""))"),"델 래티튜드 7490 14인치 FHD 터치스크린 노트북 노트북, 인텔 코어 i7-8650U 16GB DDR4 RAM, 512GB SSD 윈도우 10 프로 노트북(리뉴얼)")</f>
        <v>델 래티튜드 7490 14인치 FHD 터치스크린 노트북 노트북, 인텔 코어 i7-8650U 16GB DDR4 RAM, 512GB SSD 윈도우 10 프로 노트북(리뉴얼)</v>
      </c>
      <c r="F3469" s="1" t="str">
        <f>IFERROR(__xludf.DUMMYFUNCTION("CONCATENATE(GOOGLETRANSLATE(C3469, ""en"", ""ja""))"),"Dell Latitude 7490 14 インチ FHD タッチ スクリーン ノートブック ラップトップ、Intel Core i7-8650U 16GB DDR4 RAM、512GB SSD Windows 10 Pro ラップトップ (リニューアル)")</f>
        <v>Dell Latitude 7490 14 インチ FHD タッチ スクリーン ノートブック ラップトップ、Intel Core i7-8650U 16GB DDR4 RAM、512GB SSD Windows 10 Pro ラップトップ (リニューアル)</v>
      </c>
    </row>
    <row r="3470" ht="15.75" customHeight="1">
      <c r="A3470" s="1">
        <v>3786.0</v>
      </c>
      <c r="B3470" s="1" t="s">
        <v>15</v>
      </c>
      <c r="C3470" s="1" t="s">
        <v>3137</v>
      </c>
      <c r="D3470" s="1" t="str">
        <f>IFERROR(__xludf.DUMMYFUNCTION("CONCATENATE(GOOGLETRANSLATE(C3470, ""en"", ""zh-cn""))"),"坚固的 Android 11 手持式条码扫描仪触摸屏移动电脑便携式 PDA 1D 和 2D 条码阅读器 Wi-Fi 和 4G LTE，用于仓库库存物流和资产跟踪")</f>
        <v>坚固的 Android 11 手持式条码扫描仪触摸屏移动电脑便携式 PDA 1D 和 2D 条码阅读器 Wi-Fi 和 4G LTE，用于仓库库存物流和资产跟踪</v>
      </c>
      <c r="E3470" s="1" t="str">
        <f>IFERROR(__xludf.DUMMYFUNCTION("CONCATENATE(GOOGLETRANSLATE(C3470, ""en"", ""ko""))"),"견고한 Android 11 휴대용 바코드 스캐너 터치 스크린 모바일 컴퓨터 휴대용 PDA 1D 및 2D 바코드 리더 Wi-Fi 및 4G LTE, 창고 재고 물류 및 자산 추적용")</f>
        <v>견고한 Android 11 휴대용 바코드 스캐너 터치 스크린 모바일 컴퓨터 휴대용 PDA 1D 및 2D 바코드 리더 Wi-Fi 및 4G LTE, 창고 재고 물류 및 자산 추적용</v>
      </c>
      <c r="F3470" s="1" t="str">
        <f>IFERROR(__xludf.DUMMYFUNCTION("CONCATENATE(GOOGLETRANSLATE(C3470, ""en"", ""ja""))"),"頑丈な Android 11 ハンドヘルド バーコード スキャナー タッチ スクリーン モバイル コンピューター ポータブル PDA 1D &amp; 2D バーコード リーダー Wi-Fi &amp; 4G LTE、倉庫在庫物流および資産追跡用")</f>
        <v>頑丈な Android 11 ハンドヘルド バーコード スキャナー タッチ スクリーン モバイル コンピューター ポータブル PDA 1D &amp; 2D バーコード リーダー Wi-Fi &amp; 4G LTE、倉庫在庫物流および資産追跡用</v>
      </c>
    </row>
    <row r="3471" ht="15.75" customHeight="1">
      <c r="A3471" s="1">
        <v>3793.0</v>
      </c>
      <c r="B3471" s="1" t="s">
        <v>15</v>
      </c>
      <c r="C3471" s="1" t="s">
        <v>3138</v>
      </c>
      <c r="D3471" s="1" t="str">
        <f>IFERROR(__xludf.DUMMYFUNCTION("CONCATENATE(GOOGLETRANSLATE(C3471, ""en"", ""zh-cn""))"),"Apple 2021 10.2 英寸 iPad (Wi-Fi，256GB) - 银色")</f>
        <v>Apple 2021 10.2 英寸 iPad (Wi-Fi，256GB) - 银色</v>
      </c>
      <c r="E3471" s="1" t="str">
        <f>IFERROR(__xludf.DUMMYFUNCTION("CONCATENATE(GOOGLETRANSLATE(C3471, ""en"", ""ko""))"),"애플 2021 10.2인치 아이패드(와이파이, 256GB) - 실버")</f>
        <v>애플 2021 10.2인치 아이패드(와이파이, 256GB) - 실버</v>
      </c>
      <c r="F3471" s="1" t="str">
        <f>IFERROR(__xludf.DUMMYFUNCTION("CONCATENATE(GOOGLETRANSLATE(C3471, ""en"", ""ja""))"),"Apple 2021 10.2 インチ iPad (Wi-Fi、256GB) - シルバー")</f>
        <v>Apple 2021 10.2 インチ iPad (Wi-Fi、256GB) - シルバー</v>
      </c>
    </row>
    <row r="3472" ht="15.75" customHeight="1">
      <c r="A3472" s="1">
        <v>3811.0</v>
      </c>
      <c r="B3472" s="1" t="s">
        <v>15</v>
      </c>
      <c r="C3472" s="1" t="s">
        <v>3139</v>
      </c>
      <c r="D3472" s="1" t="str">
        <f>IFERROR(__xludf.DUMMYFUNCTION("CONCATENATE(GOOGLETRANSLATE(C3472, ""en"", ""zh-cn""))"),"HP 2022 最新 15.6 英寸高清笔记本电脑，英特尔四核赛扬 N4120 处理器（高达 2.6GHz），4GB RAM，128GB SSD，高清网络摄像头，Wi-Fi 5，蓝牙，快速充电，Windows 11 S+MarxsolCables，自然银")</f>
        <v>HP 2022 最新 15.6 英寸高清笔记本电脑，英特尔四核赛扬 N4120 处理器（高达 2.6GHz），4GB RAM，128GB SSD，高清网络摄像头，Wi-Fi 5，蓝牙，快速充电，Windows 11 S+MarxsolCables，自然银</v>
      </c>
      <c r="E3472" s="1" t="str">
        <f>IFERROR(__xludf.DUMMYFUNCTION("CONCATENATE(GOOGLETRANSLATE(C3472, ""en"", ""ko""))"),"HP 2022 최신 15.6인치 HD 노트북, Intel 쿼드 코어 Celeron N4120 프로세서(최대 2.6GHz), 4GB RAM, 128GB SSD, HD 웹캠, Wi-Fi 5, Bluetooth, 고속 충전, Windows 11 S+MarxsolCables, 천연 실버")</f>
        <v>HP 2022 최신 15.6인치 HD 노트북, Intel 쿼드 코어 Celeron N4120 프로세서(최대 2.6GHz), 4GB RAM, 128GB SSD, HD 웹캠, Wi-Fi 5, Bluetooth, 고속 충전, Windows 11 S+MarxsolCables, 천연 실버</v>
      </c>
      <c r="F3472" s="1" t="str">
        <f>IFERROR(__xludf.DUMMYFUNCTION("CONCATENATE(GOOGLETRANSLATE(C3472, ""en"", ""ja""))"),"HP 2022 最新 15.6 インチ HD ラップトップ、Intel クアッドコア Celeron N4120 プロセッサー (最大 2.6GHz)、4GB RAM、128GB SSD、HD ウェブカメラ、Wi-Fi 5、Bluetooth、高速充電、Windows 11 S+MarxsolCables、ナチュラルシルバー")</f>
        <v>HP 2022 最新 15.6 インチ HD ラップトップ、Intel クアッドコア Celeron N4120 プロセッサー (最大 2.6GHz)、4GB RAM、128GB SSD、HD ウェブカメラ、Wi-Fi 5、Bluetooth、高速充電、Windows 11 S+MarxsolCables、ナチュラルシルバー</v>
      </c>
    </row>
    <row r="3473" ht="15.75" customHeight="1">
      <c r="A3473" s="1">
        <v>3899.0</v>
      </c>
      <c r="B3473" s="1" t="s">
        <v>15</v>
      </c>
      <c r="C3473" s="1" t="s">
        <v>3140</v>
      </c>
      <c r="D3473" s="1" t="str">
        <f>IFERROR(__xludf.DUMMYFUNCTION("CONCATENATE(GOOGLETRANSLATE(C3473, ""en"", ""zh-cn""))"),"Apple iPhone 12 Pro，256GB，太平洋蓝 - 已解锁（续订高级版）")</f>
        <v>Apple iPhone 12 Pro，256GB，太平洋蓝 - 已解锁（续订高级版）</v>
      </c>
      <c r="E3473" s="1" t="str">
        <f>IFERROR(__xludf.DUMMYFUNCTION("CONCATENATE(GOOGLETRANSLATE(C3473, ""en"", ""ko""))"),"Apple iPhone 12 Pro, 256GB, 퍼시픽 블루 - 공기계(리뉴얼 프리미엄)")</f>
        <v>Apple iPhone 12 Pro, 256GB, 퍼시픽 블루 - 공기계(리뉴얼 프리미엄)</v>
      </c>
      <c r="F3473" s="1" t="str">
        <f>IFERROR(__xludf.DUMMYFUNCTION("CONCATENATE(GOOGLETRANSLATE(C3473, ""en"", ""ja""))"),"Apple iPhone 12 Pro、256GB、パシフィックブルー - ロック解除済み (リニューアルプレミアム)")</f>
        <v>Apple iPhone 12 Pro、256GB、パシフィックブルー - ロック解除済み (リニューアルプレミアム)</v>
      </c>
    </row>
    <row r="3474" ht="15.75" customHeight="1">
      <c r="A3474" s="1">
        <v>3900.0</v>
      </c>
      <c r="B3474" s="1" t="s">
        <v>15</v>
      </c>
      <c r="C3474" s="1" t="s">
        <v>3141</v>
      </c>
      <c r="D3474" s="1" t="str">
        <f>IFERROR(__xludf.DUMMYFUNCTION("CONCATENATE(GOOGLETRANSLATE(C3474, ""en"", ""zh-cn""))"),"Apple iPhone 14，128GB，午夜 - 解锁（续订）")</f>
        <v>Apple iPhone 14，128GB，午夜 - 解锁（续订）</v>
      </c>
      <c r="E3474" s="1" t="str">
        <f>IFERROR(__xludf.DUMMYFUNCTION("CONCATENATE(GOOGLETRANSLATE(C3474, ""en"", ""ko""))"),"Apple iPhone 14, 128GB, 미드나잇 - 공기계(리뉴얼)")</f>
        <v>Apple iPhone 14, 128GB, 미드나잇 - 공기계(리뉴얼)</v>
      </c>
      <c r="F3474" s="1" t="str">
        <f>IFERROR(__xludf.DUMMYFUNCTION("CONCATENATE(GOOGLETRANSLATE(C3474, ""en"", ""ja""))"),"Apple iPhone 14、128GB、ミッドナイト - ロック解除済み (更新済み)")</f>
        <v>Apple iPhone 14、128GB、ミッドナイト - ロック解除済み (更新済み)</v>
      </c>
    </row>
    <row r="3475" ht="15.75" customHeight="1">
      <c r="A3475" s="1">
        <v>3910.0</v>
      </c>
      <c r="B3475" s="1" t="s">
        <v>15</v>
      </c>
      <c r="C3475" s="1" t="s">
        <v>3142</v>
      </c>
      <c r="D3475" s="1" t="str">
        <f>IFERROR(__xludf.DUMMYFUNCTION("CONCATENATE(GOOGLETRANSLATE(C3475, ""en"", ""zh-cn""))"),"Apple iPhone 11 Pro，美国版，256GB，深空灰色 - 无锁版（续订）")</f>
        <v>Apple iPhone 11 Pro，美国版，256GB，深空灰色 - 无锁版（续订）</v>
      </c>
      <c r="E3475" s="1" t="str">
        <f>IFERROR(__xludf.DUMMYFUNCTION("CONCATENATE(GOOGLETRANSLATE(C3475, ""en"", ""ko""))"),"Apple iPhone 11 Pro, 미국 버전, 256GB, 스페이스 그레이 - 공기계(리뉴얼)")</f>
        <v>Apple iPhone 11 Pro, 미국 버전, 256GB, 스페이스 그레이 - 공기계(리뉴얼)</v>
      </c>
      <c r="F3475" s="1" t="str">
        <f>IFERROR(__xludf.DUMMYFUNCTION("CONCATENATE(GOOGLETRANSLATE(C3475, ""en"", ""ja""))"),"Apple iPhone 11 Pro、US バージョン、256GB、スペース グレイ - ロック解除済み (更新済み)")</f>
        <v>Apple iPhone 11 Pro、US バージョン、256GB、スペース グレイ - ロック解除済み (更新済み)</v>
      </c>
    </row>
    <row r="3476" ht="15.75" customHeight="1">
      <c r="A3476" s="1">
        <v>3912.0</v>
      </c>
      <c r="B3476" s="1" t="s">
        <v>15</v>
      </c>
      <c r="C3476" s="1" t="s">
        <v>3143</v>
      </c>
      <c r="D3476" s="1" t="str">
        <f>IFERROR(__xludf.DUMMYFUNCTION("CONCATENATE(GOOGLETRANSLATE(C3476, ""en"", ""zh-cn""))"),"Nothing Phone1 5G 双 256GB 8GB RAM 工厂解锁智能手机（仅限 GSM | 无 CDMA - 与 Verizon/Sprint 不兼容）- 黑色")</f>
        <v>Nothing Phone1 5G 双 256GB 8GB RAM 工厂解锁智能手机（仅限 GSM | 无 CDMA - 与 Verizon/Sprint 不兼容）- 黑色</v>
      </c>
      <c r="E3476" s="1" t="str">
        <f>IFERROR(__xludf.DUMMYFUNCTION("CONCATENATE(GOOGLETRANSLATE(C3476, ""en"", ""ko""))"),"Phone1 5G 듀얼 256GB 8GB RAM 공장 언락 스마트폰(GSM 전용 | CDMA 없음 - Verizon/Sprint와 호환되지 않음) – 블랙")</f>
        <v>Phone1 5G 듀얼 256GB 8GB RAM 공장 언락 스마트폰(GSM 전용 | CDMA 없음 - Verizon/Sprint와 호환되지 않음) – 블랙</v>
      </c>
      <c r="F3476" s="1" t="str">
        <f>IFERROR(__xludf.DUMMYFUNCTION("CONCATENATE(GOOGLETRANSLATE(C3476, ""en"", ""ja""))"),"Nothing Phone1 5G デュアル 256GB 8GB RAM 工場出荷時にロック解除されたスマートフォン (GSM のみ | CDMA なし - Verizon/Sprint と互換性なし) – ブラック")</f>
        <v>Nothing Phone1 5G デュアル 256GB 8GB RAM 工場出荷時にロック解除されたスマートフォン (GSM のみ | CDMA なし - Verizon/Sprint と互換性なし) – ブラック</v>
      </c>
    </row>
    <row r="3477" ht="15.75" customHeight="1">
      <c r="A3477" s="1">
        <v>3914.0</v>
      </c>
      <c r="B3477" s="1" t="s">
        <v>15</v>
      </c>
      <c r="C3477" s="1" t="s">
        <v>3144</v>
      </c>
      <c r="D3477" s="1" t="str">
        <f>IFERROR(__xludf.DUMMYFUNCTION("CONCATENATE(GOOGLETRANSLATE(C3477, ""en"", ""zh-cn""))"),"Apple iPhone 11，64GB，白色 - 无锁版（续订高级版）")</f>
        <v>Apple iPhone 11，64GB，白色 - 无锁版（续订高级版）</v>
      </c>
      <c r="E3477" s="1" t="str">
        <f>IFERROR(__xludf.DUMMYFUNCTION("CONCATENATE(GOOGLETRANSLATE(C3477, ""en"", ""ko""))"),"Apple iPhone 11, 64GB, 화이트 - 공기계(리뉴얼 프리미엄)")</f>
        <v>Apple iPhone 11, 64GB, 화이트 - 공기계(리뉴얼 프리미엄)</v>
      </c>
      <c r="F3477" s="1" t="str">
        <f>IFERROR(__xludf.DUMMYFUNCTION("CONCATENATE(GOOGLETRANSLATE(C3477, ""en"", ""ja""))"),"Apple iPhone 11、64GB、ホワイト - ロック解除済み (更新プレミアム)")</f>
        <v>Apple iPhone 11、64GB、ホワイト - ロック解除済み (更新プレミアム)</v>
      </c>
    </row>
    <row r="3478" ht="15.75" customHeight="1">
      <c r="A3478" s="1">
        <v>3927.0</v>
      </c>
      <c r="B3478" s="1" t="s">
        <v>15</v>
      </c>
      <c r="C3478" s="1" t="s">
        <v>3145</v>
      </c>
      <c r="D3478" s="1" t="str">
        <f>IFERROR(__xludf.DUMMYFUNCTION("CONCATENATE(GOOGLETRANSLATE(C3478, ""en"", ""zh-cn""))"),"Apple iPhone 8 Plus，256GB，深空灰色 - 适用于 AT&amp;T / T-Mobile（续订）")</f>
        <v>Apple iPhone 8 Plus，256GB，深空灰色 - 适用于 AT&amp;T / T-Mobile（续订）</v>
      </c>
      <c r="E3478" s="1" t="str">
        <f>IFERROR(__xludf.DUMMYFUNCTION("CONCATENATE(GOOGLETRANSLATE(C3478, ""en"", ""ko""))"),"Apple iPhone 8 Plus, 256GB, 스페이스 그레이 - AT&amp;T / T-Mobile용(리뉴얼)")</f>
        <v>Apple iPhone 8 Plus, 256GB, 스페이스 그레이 - AT&amp;T / T-Mobile용(리뉴얼)</v>
      </c>
      <c r="F3478" s="1" t="str">
        <f>IFERROR(__xludf.DUMMYFUNCTION("CONCATENATE(GOOGLETRANSLATE(C3478, ""en"", ""ja""))"),"Apple iPhone 8 Plus、256GB、スペース グレイ - AT&amp;T / T-Mobile 用 (リニューアル)")</f>
        <v>Apple iPhone 8 Plus、256GB、スペース グレイ - AT&amp;T / T-Mobile 用 (リニューアル)</v>
      </c>
    </row>
    <row r="3479" ht="15.75" customHeight="1">
      <c r="A3479" s="1">
        <v>3939.0</v>
      </c>
      <c r="B3479" s="1" t="s">
        <v>15</v>
      </c>
      <c r="C3479" s="1" t="s">
        <v>3146</v>
      </c>
      <c r="D3479" s="1" t="str">
        <f>IFERROR(__xludf.DUMMYFUNCTION("CONCATENATE(GOOGLETRANSLATE(C3479, ""en"", ""zh-cn""))"),"Apple iPhone 8 4.7 英寸，256 GB，完全解锁，红色（翻新）")</f>
        <v>Apple iPhone 8 4.7 英寸，256 GB，完全解锁，红色（翻新）</v>
      </c>
      <c r="E3479" s="1" t="str">
        <f>IFERROR(__xludf.DUMMYFUNCTION("CONCATENATE(GOOGLETRANSLATE(C3479, ""en"", ""ko""))"),"Apple iPhone 8 4.7인치, 256GB, 완전 공기계, 레드(리뉴얼)")</f>
        <v>Apple iPhone 8 4.7인치, 256GB, 완전 공기계, 레드(리뉴얼)</v>
      </c>
      <c r="F3479" s="1" t="str">
        <f>IFERROR(__xludf.DUMMYFUNCTION("CONCATENATE(GOOGLETRANSLATE(C3479, ""en"", ""ja""))"),"Apple iPhone 8 4.7インチ、256 GB、完全ロック解除、レッド（新品）")</f>
        <v>Apple iPhone 8 4.7インチ、256 GB、完全ロック解除、レッド（新品）</v>
      </c>
    </row>
    <row r="3480" ht="15.75" customHeight="1">
      <c r="A3480" s="1">
        <v>3965.0</v>
      </c>
      <c r="B3480" s="1" t="s">
        <v>15</v>
      </c>
      <c r="C3480" s="1" t="s">
        <v>3147</v>
      </c>
      <c r="D3480" s="1" t="str">
        <f>IFERROR(__xludf.DUMMYFUNCTION("CONCATENATE(GOOGLETRANSLATE(C3480, ""en"", ""zh-cn""))"),"欧米茄男士 326.30.40.50.03.001 Speed Master 赛车模拟显示瑞士自动银色手表")</f>
        <v>欧米茄男士 326.30.40.50.03.001 Speed Master 赛车模拟显示瑞士自动银色手表</v>
      </c>
      <c r="E3480" s="1" t="str">
        <f>IFERROR(__xludf.DUMMYFUNCTION("CONCATENATE(GOOGLETRANSLATE(C3480, ""en"", ""ko""))"),"오메가 남성용 326.30.40.50.03.001 스피드 마스터 레이싱 아날로그 디스플레이 스위스 오토매틱 실버 시계")</f>
        <v>오메가 남성용 326.30.40.50.03.001 스피드 마스터 레이싱 아날로그 디스플레이 스위스 오토매틱 실버 시계</v>
      </c>
      <c r="F3480" s="1" t="str">
        <f>IFERROR(__xludf.DUMMYFUNCTION("CONCATENATE(GOOGLETRANSLATE(C3480, ""en"", ""ja""))"),"オメガ メンズ 326.30.40.50.03.001 スピード マスター レーシング アナログ表示 スイス製自動巻き シルバー ウォッチ")</f>
        <v>オメガ メンズ 326.30.40.50.03.001 スピード マスター レーシング アナログ表示 スイス製自動巻き シルバー ウォッチ</v>
      </c>
    </row>
    <row r="3481" ht="15.75" customHeight="1">
      <c r="A3481" s="1">
        <v>3966.0</v>
      </c>
      <c r="B3481" s="1" t="s">
        <v>15</v>
      </c>
      <c r="C3481" s="1" t="s">
        <v>3148</v>
      </c>
      <c r="D3481" s="1" t="str">
        <f>IFERROR(__xludf.DUMMYFUNCTION("CONCATENATE(GOOGLETRANSLATE(C3481, ""en"", ""zh-cn""))"),"欧米茄男士 32630405003001 Speed Master 模拟显示自动自动上链银色手表")</f>
        <v>欧米茄男士 32630405003001 Speed Master 模拟显示自动自动上链银色手表</v>
      </c>
      <c r="E3481" s="1" t="str">
        <f>IFERROR(__xludf.DUMMYFUNCTION("CONCATENATE(GOOGLETRANSLATE(C3481, ""en"", ""ko""))"),"오메가 남성용 32630405003001 스피드 마스터 아날로그 디스플레이 오토매틱 셀프 와인드 실버 톤 시계")</f>
        <v>오메가 남성용 32630405003001 스피드 마스터 아날로그 디스플레이 오토매틱 셀프 와인드 실버 톤 시계</v>
      </c>
      <c r="F3481" s="1" t="str">
        <f>IFERROR(__xludf.DUMMYFUNCTION("CONCATENATE(GOOGLETRANSLATE(C3481, ""en"", ""ja""))"),"オメガ メンズ 32630405003001 スピード マスター アナログ ディスプレイ 自動巻き シルバートーン ウォッチ")</f>
        <v>オメガ メンズ 32630405003001 スピード マスター アナログ ディスプレイ 自動巻き シルバートーン ウォッチ</v>
      </c>
    </row>
    <row r="3482" ht="15.75" customHeight="1">
      <c r="A3482" s="1">
        <v>3969.0</v>
      </c>
      <c r="B3482" s="1" t="s">
        <v>15</v>
      </c>
      <c r="C3482" s="1" t="s">
        <v>3149</v>
      </c>
      <c r="D3482" s="1" t="str">
        <f>IFERROR(__xludf.DUMMYFUNCTION("CONCATENATE(GOOGLETRANSLATE(C3482, ""en"", ""zh-cn""))"),"欧米茄男士 326.30.40.50.01.002 Speed Master 赛车模拟显示瑞士自动银色手表")</f>
        <v>欧米茄男士 326.30.40.50.01.002 Speed Master 赛车模拟显示瑞士自动银色手表</v>
      </c>
      <c r="E3482" s="1" t="str">
        <f>IFERROR(__xludf.DUMMYFUNCTION("CONCATENATE(GOOGLETRANSLATE(C3482, ""en"", ""ko""))"),"오메가 남성용 326.30.40.50.01.002 스피드 마스터 레이싱 아날로그 디스플레이 스위스 오토매틱 실버 시계")</f>
        <v>오메가 남성용 326.30.40.50.01.002 스피드 마스터 레이싱 아날로그 디스플레이 스위스 오토매틱 실버 시계</v>
      </c>
      <c r="F3482" s="1" t="str">
        <f>IFERROR(__xludf.DUMMYFUNCTION("CONCATENATE(GOOGLETRANSLATE(C3482, ""en"", ""ja""))"),"オメガ メンズ 326.30.40.50.01.002 スピード マスター レーシング アナログ ディスプレイ スイス製自動巻き シルバー ウォッチ")</f>
        <v>オメガ メンズ 326.30.40.50.01.002 スピード マスター レーシング アナログ ディスプレイ スイス製自動巻き シルバー ウォッチ</v>
      </c>
    </row>
    <row r="3483" ht="15.75" customHeight="1">
      <c r="A3483" s="1">
        <v>3978.0</v>
      </c>
      <c r="B3483" s="1" t="s">
        <v>15</v>
      </c>
      <c r="C3483" s="1" t="s">
        <v>3150</v>
      </c>
      <c r="D3483" s="1" t="str">
        <f>IFERROR(__xludf.DUMMYFUNCTION("CONCATENATE(GOOGLETRANSLATE(C3483, ""en"", ""zh-cn""))"),"Chrono-Matic 50 AUTO Chrono - 限量版")</f>
        <v>Chrono-Matic 50 AUTO Chrono - 限量版</v>
      </c>
      <c r="E3483" s="1" t="str">
        <f>IFERROR(__xludf.DUMMYFUNCTION("CONCATENATE(GOOGLETRANSLATE(C3483, ""en"", ""ko""))"),"Chrono-Matic 50 AUTO Chrono - 한정판")</f>
        <v>Chrono-Matic 50 AUTO Chrono - 한정판</v>
      </c>
      <c r="F3483" s="1" t="str">
        <f>IFERROR(__xludf.DUMMYFUNCTION("CONCATENATE(GOOGLETRANSLATE(C3483, ""en"", ""ja""))"),"クロノマティック 50 オート クロノ - 限定版")</f>
        <v>クロノマティック 50 オート クロノ - 限定版</v>
      </c>
    </row>
    <row r="3484" ht="15.75" customHeight="1">
      <c r="A3484" s="1">
        <v>3979.0</v>
      </c>
      <c r="B3484" s="1" t="s">
        <v>15</v>
      </c>
      <c r="C3484" s="1" t="s">
        <v>3151</v>
      </c>
      <c r="D3484" s="1" t="str">
        <f>IFERROR(__xludf.DUMMYFUNCTION("CONCATENATE(GOOGLETRANSLATE(C3484, ""en"", ""zh-cn""))"),"SEIKO PROSPEX 大蓝洞特别版潜水员 200m 自动腕表 SPB083J1")</f>
        <v>SEIKO PROSPEX 大蓝洞特别版潜水员 200m 自动腕表 SPB083J1</v>
      </c>
      <c r="E3484" s="1" t="str">
        <f>IFERROR(__xludf.DUMMYFUNCTION("CONCATENATE(GOOGLETRANSLATE(C3484, ""en"", ""ko""))"),"SEIKO PROSPEX 그레이트 블루 홀 스페셜 에디션 다이버용 200m 오토매틱 시계 SPB083J1")</f>
        <v>SEIKO PROSPEX 그레이트 블루 홀 스페셜 에디션 다이버용 200m 오토매틱 시계 SPB083J1</v>
      </c>
      <c r="F3484" s="1" t="str">
        <f>IFERROR(__xludf.DUMMYFUNCTION("CONCATENATE(GOOGLETRANSLATE(C3484, ""en"", ""ja""))"),"セイコー プロスペックス グレート ブルー ホール スペシャルエディション ダイバーズ 200m 自動巻き時計 SPB083J1")</f>
        <v>セイコー プロスペックス グレート ブルー ホール スペシャルエディション ダイバーズ 200m 自動巻き時計 SPB083J1</v>
      </c>
    </row>
    <row r="3485" ht="15.75" customHeight="1">
      <c r="A3485" s="1">
        <v>3994.0</v>
      </c>
      <c r="B3485" s="1" t="s">
        <v>15</v>
      </c>
      <c r="C3485" s="1" t="s">
        <v>3152</v>
      </c>
      <c r="D3485" s="1" t="str">
        <f>IFERROR(__xludf.DUMMYFUNCTION("CONCATENATE(GOOGLETRANSLATE(C3485, ""en"", ""zh-cn""))"),"Hamilton 男士 H77706553 模拟显示瑞士自动棕色手表")</f>
        <v>Hamilton 男士 H77706553 模拟显示瑞士自动棕色手表</v>
      </c>
      <c r="E3485" s="1" t="str">
        <f>IFERROR(__xludf.DUMMYFUNCTION("CONCATENATE(GOOGLETRANSLATE(C3485, ""en"", ""ko""))"),"해밀턴 남성용 H77706553 아날로그 디스플레이 스위스 오토매틱 브라운 시계")</f>
        <v>해밀턴 남성용 H77706553 아날로그 디스플레이 스위스 오토매틱 브라운 시계</v>
      </c>
      <c r="F3485" s="1" t="str">
        <f>IFERROR(__xludf.DUMMYFUNCTION("CONCATENATE(GOOGLETRANSLATE(C3485, ""en"", ""ja""))"),"ハミルトン メンズ H77706553 アナログ表示 スイス製自動巻き ブラウン ウォッチ")</f>
        <v>ハミルトン メンズ H77706553 アナログ表示 スイス製自動巻き ブラウン ウォッチ</v>
      </c>
    </row>
    <row r="3486" ht="15.75" customHeight="1">
      <c r="A3486" s="1">
        <v>4001.0</v>
      </c>
      <c r="B3486" s="1" t="s">
        <v>15</v>
      </c>
      <c r="C3486" s="1" t="s">
        <v>3153</v>
      </c>
      <c r="D3486" s="1" t="str">
        <f>IFERROR(__xludf.DUMMYFUNCTION("CONCATENATE(GOOGLETRANSLATE(C3486, ""en"", ""zh-cn""))"),"汉密尔顿男士 H32616553 Jazzmaster 银色表盘手表，棕色表带")</f>
        <v>汉密尔顿男士 H32616553 Jazzmaster 银色表盘手表，棕色表带</v>
      </c>
      <c r="E3486" s="1" t="str">
        <f>IFERROR(__xludf.DUMMYFUNCTION("CONCATENATE(GOOGLETRANSLATE(C3486, ""en"", ""ko""))"),"해밀턴 남성용 H32616553 재즈마스터 실버 다이얼 시계(브라운 밴드 포함)")</f>
        <v>해밀턴 남성용 H32616553 재즈마스터 실버 다이얼 시계(브라운 밴드 포함)</v>
      </c>
      <c r="F3486" s="1" t="str">
        <f>IFERROR(__xludf.DUMMYFUNCTION("CONCATENATE(GOOGLETRANSLATE(C3486, ""en"", ""ja""))"),"ハミルトン メンズ H32616553 ジャズマスター シルバーダイヤル ウォッチ ブラウンバンド")</f>
        <v>ハミルトン メンズ H32616553 ジャズマスター シルバーダイヤル ウォッチ ブラウンバンド</v>
      </c>
    </row>
    <row r="3487" ht="15.75" customHeight="1">
      <c r="A3487" s="1">
        <v>4010.0</v>
      </c>
      <c r="B3487" s="1" t="s">
        <v>15</v>
      </c>
      <c r="C3487" s="1" t="s">
        <v>3154</v>
      </c>
      <c r="D3487" s="1" t="str">
        <f>IFERROR(__xludf.DUMMYFUNCTION("CONCATENATE(GOOGLETRANSLATE(C3487, ""en"", ""zh-cn""))"),"Luminox 男士 Master Carbon Seal 蓝色/黑色 45 毫米自动模拟潜水手表")</f>
        <v>Luminox 男士 Master Carbon Seal 蓝色/黑色 45 毫米自动模拟潜水手表</v>
      </c>
      <c r="E3487" s="1" t="str">
        <f>IFERROR(__xludf.DUMMYFUNCTION("CONCATENATE(GOOGLETRANSLATE(C3487, ""en"", ""ko""))"),"Luminox 남성용 마스터 카본 씰 블루/블랙 45mm 자동 아날로그 다이브 시계")</f>
        <v>Luminox 남성용 마스터 카본 씰 블루/블랙 45mm 자동 아날로그 다이브 시계</v>
      </c>
      <c r="F3487" s="1" t="str">
        <f>IFERROR(__xludf.DUMMYFUNCTION("CONCATENATE(GOOGLETRANSLATE(C3487, ""en"", ""ja""))"),"ルミノックス メンズ マスター カーボン シール ブルー/ブラック 45mm 自動巻き アナログ ダイブウォッチ")</f>
        <v>ルミノックス メンズ マスター カーボン シール ブルー/ブラック 45mm 自動巻き アナログ ダイブウォッチ</v>
      </c>
    </row>
    <row r="3488" ht="15.75" customHeight="1">
      <c r="A3488" s="1">
        <v>4011.0</v>
      </c>
      <c r="B3488" s="1" t="s">
        <v>15</v>
      </c>
      <c r="C3488" s="1" t="s">
        <v>3155</v>
      </c>
      <c r="D3488" s="1" t="str">
        <f>IFERROR(__xludf.DUMMYFUNCTION("CONCATENATE(GOOGLETRANSLATE(C3488, ""en"", ""zh-cn""))"),"Luminox Master Carbon Seal 自动 XS.3875 男士手表 45 毫米 - 军用潜水手表，红色/黑色 日期和星期功能 200 米防水蓝宝石玻璃")</f>
        <v>Luminox Master Carbon Seal 自动 XS.3875 男士手表 45 毫米 - 军用潜水手表，红色/黑色 日期和星期功能 200 米防水蓝宝石玻璃</v>
      </c>
      <c r="E3488" s="1" t="str">
        <f>IFERROR(__xludf.DUMMYFUNCTION("CONCATENATE(GOOGLETRANSLATE(C3488, ""en"", ""ko""))"),"Luminox Master Carbon Seal 오토매틱 XS.3875 남성용 시계 45mm - 레드/블랙 날짜 및 요일 기능 200m 방수 사파이어 글래스 군용 다이브 시계")</f>
        <v>Luminox Master Carbon Seal 오토매틱 XS.3875 남성용 시계 45mm - 레드/블랙 날짜 및 요일 기능 200m 방수 사파이어 글래스 군용 다이브 시계</v>
      </c>
      <c r="F3488" s="1" t="str">
        <f>IFERROR(__xludf.DUMMYFUNCTION("CONCATENATE(GOOGLETRANSLATE(C3488, ""en"", ""ja""))"),"ルミノックス マスター カーボン シール オートマチック XS.3875 メンズ ウォッチ 45mm - ミリタリー ダイブウォッチ レッド/ブラック 日付と曜日機能 200m 防水 サファイアガラス")</f>
        <v>ルミノックス マスター カーボン シール オートマチック XS.3875 メンズ ウォッチ 45mm - ミリタリー ダイブウォッチ レッド/ブラック 日付と曜日機能 200m 防水 サファイアガラス</v>
      </c>
    </row>
    <row r="3489" ht="15.75" customHeight="1">
      <c r="A3489" s="1">
        <v>4019.0</v>
      </c>
      <c r="B3489" s="1" t="s">
        <v>15</v>
      </c>
      <c r="C3489" s="1" t="s">
        <v>3156</v>
      </c>
      <c r="D3489" s="1" t="str">
        <f>IFERROR(__xludf.DUMMYFUNCTION("CONCATENATE(GOOGLETRANSLATE(C3489, ""en"", ""zh-cn""))"),"Hamilton 美国经典 Intra-Matic 瑞士自动腕表 40 毫米表壳，米色表盘，银色不锈钢表链（型号：H38425120）")</f>
        <v>Hamilton 美国经典 Intra-Matic 瑞士自动腕表 40 毫米表壳，米色表盘，银色不锈钢表链（型号：H38425120）</v>
      </c>
      <c r="E3489" s="1" t="str">
        <f>IFERROR(__xludf.DUMMYFUNCTION("CONCATENATE(GOOGLETRANSLATE(C3489, ""en"", ""ko""))"),"해밀턴 아메리칸 클래식 인트라매틱 스위스 오토매틱 시계 40mm 케이스, 베이지 다이얼, 실버 스테인레스 스틸 브레이슬릿 (모델: H38425120)")</f>
        <v>해밀턴 아메리칸 클래식 인트라매틱 스위스 오토매틱 시계 40mm 케이스, 베이지 다이얼, 실버 스테인레스 스틸 브레이슬릿 (모델: H38425120)</v>
      </c>
      <c r="F3489" s="1" t="str">
        <f>IFERROR(__xludf.DUMMYFUNCTION("CONCATENATE(GOOGLETRANSLATE(C3489, ""en"", ""ja""))"),"ハミルトン アメリカン クラシック イントラマティック スイス自動巻き時計 40mm ケース、ベージュ文字盤、シルバー ステンレススチール ブレスレット (モデル: H38425120)")</f>
        <v>ハミルトン アメリカン クラシック イントラマティック スイス自動巻き時計 40mm ケース、ベージュ文字盤、シルバー ステンレススチール ブレスレット (モデル: H38425120)</v>
      </c>
    </row>
    <row r="3490" ht="15.75" customHeight="1">
      <c r="A3490" s="1">
        <v>4020.0</v>
      </c>
      <c r="B3490" s="1" t="s">
        <v>15</v>
      </c>
      <c r="C3490" s="1" t="s">
        <v>3157</v>
      </c>
      <c r="D3490" s="1" t="str">
        <f>IFERROR(__xludf.DUMMYFUNCTION("CONCATENATE(GOOGLETRANSLATE(C3490, ""en"", ""zh-cn""))"),"Hamilton 手表美国经典 Intra-Matic Auto 40 毫米表壳，米色表盘，黑色皮表带（型号：H38425720）")</f>
        <v>Hamilton 手表美国经典 Intra-Matic Auto 40 毫米表壳，米色表盘，黑色皮表带（型号：H38425720）</v>
      </c>
      <c r="E3490" s="1" t="str">
        <f>IFERROR(__xludf.DUMMYFUNCTION("CONCATENATE(GOOGLETRANSLATE(C3490, ""en"", ""ko""))"),"해밀턴 시계 아메리칸 클래식 Intra-Matic Auto 40mm 케이스, 베이지 다이얼, 블랙 가죽 스트랩 (모델: H38425720)")</f>
        <v>해밀턴 시계 아메리칸 클래식 Intra-Matic Auto 40mm 케이스, 베이지 다이얼, 블랙 가죽 스트랩 (모델: H38425720)</v>
      </c>
      <c r="F3490" s="1" t="str">
        <f>IFERROR(__xludf.DUMMYFUNCTION("CONCATENATE(GOOGLETRANSLATE(C3490, ""en"", ""ja""))"),"ハミルトン ウォッチ アメリカン クラシック イントラマティック オート 40mm ケース、ベージュの文字盤、ブラックのレザーストラップ (モデル: H38425720)")</f>
        <v>ハミルトン ウォッチ アメリカン クラシック イントラマティック オート 40mm ケース、ベージュの文字盤、ブラックのレザーストラップ (モデル: H38425720)</v>
      </c>
    </row>
    <row r="3491" ht="15.75" customHeight="1">
      <c r="A3491" s="1">
        <v>4021.0</v>
      </c>
      <c r="B3491" s="1" t="s">
        <v>15</v>
      </c>
      <c r="C3491" s="1" t="s">
        <v>3158</v>
      </c>
      <c r="D3491" s="1" t="str">
        <f>IFERROR(__xludf.DUMMYFUNCTION("CONCATENATE(GOOGLETRANSLATE(C3491, ""en"", ""zh-cn""))"),"美国经典 Intra-Matic 自动")</f>
        <v>美国经典 Intra-Matic 自动</v>
      </c>
      <c r="E3491" s="1" t="str">
        <f>IFERROR(__xludf.DUMMYFUNCTION("CONCATENATE(GOOGLETRANSLATE(C3491, ""en"", ""ko""))"),"아메리칸 클래식 인트라매틱 오토")</f>
        <v>아메리칸 클래식 인트라매틱 오토</v>
      </c>
      <c r="F3491" s="1" t="str">
        <f>IFERROR(__xludf.DUMMYFUNCTION("CONCATENATE(GOOGLETRANSLATE(C3491, ""en"", ""ja""))"),"アメリカン クラシック イントラマティック オート")</f>
        <v>アメリカン クラシック イントラマティック オート</v>
      </c>
    </row>
    <row r="3492" ht="15.75" customHeight="1">
      <c r="A3492" s="1">
        <v>4024.0</v>
      </c>
      <c r="B3492" s="1" t="s">
        <v>15</v>
      </c>
      <c r="C3492" s="1" t="s">
        <v>3159</v>
      </c>
      <c r="D3492" s="1" t="str">
        <f>IFERROR(__xludf.DUMMYFUNCTION("CONCATENATE(GOOGLETRANSLATE(C3492, ""en"", ""zh-cn""))"),"Luminox Master Carbon Seal 3801 手表套装（两条表带）46 毫米")</f>
        <v>Luminox Master Carbon Seal 3801 手表套装（两条表带）46 毫米</v>
      </c>
      <c r="E3492" s="1" t="str">
        <f>IFERROR(__xludf.DUMMYFUNCTION("CONCATENATE(GOOGLETRANSLATE(C3492, ""en"", ""ko""))"),"루미녹스 마스터 카본 씰 3801 시계 세트(스트랩 2개) 46mm")</f>
        <v>루미녹스 마스터 카본 씰 3801 시계 세트(스트랩 2개) 46mm</v>
      </c>
      <c r="F3492" s="1" t="str">
        <f>IFERROR(__xludf.DUMMYFUNCTION("CONCATENATE(GOOGLETRANSLATE(C3492, ""en"", ""ja""))"),"ルミノックス マスター カーボン シール 3801 ウォッチ セット (ストラップ 2 本) 46mm")</f>
        <v>ルミノックス マスター カーボン シール 3801 ウォッチ セット (ストラップ 2 本) 46mm</v>
      </c>
    </row>
    <row r="3493" ht="15.75" customHeight="1">
      <c r="A3493" s="1">
        <v>4025.0</v>
      </c>
      <c r="B3493" s="1" t="s">
        <v>15</v>
      </c>
      <c r="C3493" s="1" t="s">
        <v>3160</v>
      </c>
      <c r="D3493" s="1" t="str">
        <f>IFERROR(__xludf.DUMMYFUNCTION("CONCATENATE(GOOGLETRANSLATE(C3493, ""en"", ""zh-cn""))"),"SEIKO SPB210 Prospex 男士手表棕色 39.5 毫米不锈钢")</f>
        <v>SEIKO SPB210 Prospex 男士手表棕色 39.5 毫米不锈钢</v>
      </c>
      <c r="E3493" s="1" t="str">
        <f>IFERROR(__xludf.DUMMYFUNCTION("CONCATENATE(GOOGLETRANSLATE(C3493, ""en"", ""ko""))"),"SEIKO SPB210 Prospex 남성용 시계 브라운 39.5mm 스테인리스 스틸")</f>
        <v>SEIKO SPB210 Prospex 남성용 시계 브라운 39.5mm 스테인리스 스틸</v>
      </c>
      <c r="F3493" s="1" t="str">
        <f>IFERROR(__xludf.DUMMYFUNCTION("CONCATENATE(GOOGLETRANSLATE(C3493, ""en"", ""ja""))"),"セイコー SEIKO プロスペックス 腕時計 SPB210 メンズ ブラウン 39.5mm ステンレススチール")</f>
        <v>セイコー SEIKO プロスペックス 腕時計 SPB210 メンズ ブラウン 39.5mm ステンレススチール</v>
      </c>
    </row>
    <row r="3494" ht="15.75" customHeight="1">
      <c r="A3494" s="1">
        <v>4029.0</v>
      </c>
      <c r="B3494" s="1" t="s">
        <v>15</v>
      </c>
      <c r="C3494" s="1" t="s">
        <v>3161</v>
      </c>
      <c r="D3494" s="1" t="str">
        <f>IFERROR(__xludf.DUMMYFUNCTION("CONCATENATE(GOOGLETRANSLATE(C3494, ""en"", ""zh-cn""))"),"Luminox Bear Grylls Survival XB.3741 男士手表 45 毫米 - 黑色军用手表 日期功能 计时指南针 300m 防水蓝宝石玻璃")</f>
        <v>Luminox Bear Grylls Survival XB.3741 男士手表 45 毫米 - 黑色军用手表 日期功能 计时指南针 300m 防水蓝宝石玻璃</v>
      </c>
      <c r="E3494" s="1" t="str">
        <f>IFERROR(__xludf.DUMMYFUNCTION("CONCATENATE(GOOGLETRANSLATE(C3494, ""en"", ""ko""))"),"Luminox Bear Grylls Survival XB.3741 남성용 시계 45mm - 블랙 날짜 기능 밀리터리 시계 크로노그래프 나침반 300m 방수 사파이어 글래스")</f>
        <v>Luminox Bear Grylls Survival XB.3741 남성용 시계 45mm - 블랙 날짜 기능 밀리터리 시계 크로노그래프 나침반 300m 방수 사파이어 글래스</v>
      </c>
      <c r="F3494" s="1" t="str">
        <f>IFERROR(__xludf.DUMMYFUNCTION("CONCATENATE(GOOGLETRANSLATE(C3494, ""en"", ""ja""))"),"ルミノックス ベア グリルズ サバイバル XB.3741 メンズ ウォッチ 45mm - ミリタリーウォッチ ブラック 日付機能 クロノグラフ コンパス 300m 防水 サファイアガラス")</f>
        <v>ルミノックス ベア グリルズ サバイバル XB.3741 メンズ ウォッチ 45mm - ミリタリーウォッチ ブラック 日付機能 クロノグラフ コンパス 300m 防水 サファイアガラス</v>
      </c>
    </row>
    <row r="3495" ht="15.75" customHeight="1">
      <c r="A3495" s="1">
        <v>4031.0</v>
      </c>
      <c r="B3495" s="1" t="s">
        <v>15</v>
      </c>
      <c r="C3495" s="1" t="s">
        <v>3162</v>
      </c>
      <c r="D3495" s="1" t="str">
        <f>IFERROR(__xludf.DUMMYFUNCTION("CONCATENATE(GOOGLETRANSLATE(C3495, ""en"", ""zh-cn""))"),"卡西欧 GMW-B5000EH-1JR [G-Shock 40 周年限量版 G-Shock x ERIC Haze 合作型号] 手表 日本发货 2022 年 10 月 型号")</f>
        <v>卡西欧 GMW-B5000EH-1JR [G-Shock 40 周年限量版 G-Shock x ERIC Haze 合作型号] 手表 日本发货 2022 年 10 月 型号</v>
      </c>
      <c r="E3495" s="1" t="str">
        <f>IFERROR(__xludf.DUMMYFUNCTION("CONCATENATE(GOOGLETRANSLATE(C3495, ""en"", ""ko""))"),"카시오 GMW-B5000EH-1JR [G-Shock 40th Anniversary Limited Edition G-Shock x ERIC Haze Collaboration Model] 시계 일본에서 배송됨 2022년 10월 모델")</f>
        <v>카시오 GMW-B5000EH-1JR [G-Shock 40th Anniversary Limited Edition G-Shock x ERIC Haze Collaboration Model] 시계 일본에서 배송됨 2022년 10월 모델</v>
      </c>
      <c r="F3495" s="1" t="str">
        <f>IFERROR(__xludf.DUMMYFUNCTION("CONCATENATE(GOOGLETRANSLATE(C3495, ""en"", ""ja""))"),"カシオ GMW-B5000EH-1JR [G-Shock 40周年記念限定モデル G-Shock x ERIC Haze コラボレーションモデル] 腕時計 日本国内発送 2022年10月モデル")</f>
        <v>カシオ GMW-B5000EH-1JR [G-Shock 40周年記念限定モデル G-Shock x ERIC Haze コラボレーションモデル] 腕時計 日本国内発送 2022年10月モデル</v>
      </c>
    </row>
    <row r="3496" ht="15.75" customHeight="1">
      <c r="A3496" s="1">
        <v>4032.0</v>
      </c>
      <c r="B3496" s="1" t="s">
        <v>15</v>
      </c>
      <c r="C3496" s="1" t="s">
        <v>3163</v>
      </c>
      <c r="D3496" s="1" t="str">
        <f>IFERROR(__xludf.DUMMYFUNCTION("CONCATENATE(GOOGLETRANSLATE(C3496, ""en"", ""zh-cn""))"),"Luminox ICE-SAR Arctic XL.1201 男士手表 46 毫米 - 军用手表银色/黑色日期功能 200m 防水蓝宝石玻璃")</f>
        <v>Luminox ICE-SAR Arctic XL.1201 男士手表 46 毫米 - 军用手表银色/黑色日期功能 200m 防水蓝宝石玻璃</v>
      </c>
      <c r="E3496" s="1" t="str">
        <f>IFERROR(__xludf.DUMMYFUNCTION("CONCATENATE(GOOGLETRANSLATE(C3496, ""en"", ""ko""))"),"Luminox ICE-SAR Arctic XL.1201 남성용 시계 46mm - 실버/블랙 날짜 기능 200m 방수 사파이어 글라스 군용 시계")</f>
        <v>Luminox ICE-SAR Arctic XL.1201 남성용 시계 46mm - 실버/블랙 날짜 기능 200m 방수 사파이어 글라스 군용 시계</v>
      </c>
      <c r="F3496" s="1" t="str">
        <f>IFERROR(__xludf.DUMMYFUNCTION("CONCATENATE(GOOGLETRANSLATE(C3496, ""en"", ""ja""))"),"ルミノックス ICE-SAR アークティック XL.1201 メンズ ウォッチ 46mm - ミリタリーウォッチ シルバー/ブラック 日付機能 200m 防水 サファイアガラス")</f>
        <v>ルミノックス ICE-SAR アークティック XL.1201 メンズ ウォッチ 46mm - ミリタリーウォッチ シルバー/ブラック 日付機能 200m 防水 サファイアガラス</v>
      </c>
    </row>
    <row r="3497" ht="15.75" customHeight="1">
      <c r="A3497" s="1">
        <v>4062.0</v>
      </c>
      <c r="B3497" s="1" t="s">
        <v>15</v>
      </c>
      <c r="C3497" s="1" t="s">
        <v>3164</v>
      </c>
      <c r="D3497" s="1" t="str">
        <f>IFERROR(__xludf.DUMMYFUNCTION("CONCATENATE(GOOGLETRANSLATE(C3497, ""en"", ""zh-cn""))"),"SEIKO SRPD27 Prospex 男士手表黑色 42.4 毫米不锈钢")</f>
        <v>SEIKO SRPD27 Prospex 男士手表黑色 42.4 毫米不锈钢</v>
      </c>
      <c r="E3497" s="1" t="str">
        <f>IFERROR(__xludf.DUMMYFUNCTION("CONCATENATE(GOOGLETRANSLATE(C3497, ""en"", ""ko""))"),"SEIKO SRPD27 Prospex 남성용 시계 블랙 42.4mm 스테인레스 스틸")</f>
        <v>SEIKO SRPD27 Prospex 남성용 시계 블랙 42.4mm 스테인레스 스틸</v>
      </c>
      <c r="F3497" s="1" t="str">
        <f>IFERROR(__xludf.DUMMYFUNCTION("CONCATENATE(GOOGLETRANSLATE(C3497, ""en"", ""ja""))"),"セイコー SRPD27 プロスペックス メンズ 腕時計 ブラック 42.4mm ステンレススチール")</f>
        <v>セイコー SRPD27 プロスペックス メンズ 腕時計 ブラック 42.4mm ステンレススチール</v>
      </c>
    </row>
    <row r="3498" ht="15.75" customHeight="1">
      <c r="A3498" s="1">
        <v>4080.0</v>
      </c>
      <c r="B3498" s="1" t="s">
        <v>15</v>
      </c>
      <c r="C3498" s="1" t="s">
        <v>3165</v>
      </c>
      <c r="D3498" s="1" t="str">
        <f>IFERROR(__xludf.DUMMYFUNCTION("CONCATENATE(GOOGLETRANSLATE(C3498, ""en"", ""zh-cn""))"),"精工男士日本机械自动手表")</f>
        <v>精工男士日本机械自动手表</v>
      </c>
      <c r="E3498" s="1" t="str">
        <f>IFERROR(__xludf.DUMMYFUNCTION("CONCATENATE(GOOGLETRANSLATE(C3498, ""en"", ""ko""))"),"세이코 남성용 일본 기계식 오토매틱 시계")</f>
        <v>세이코 남성용 일본 기계식 오토매틱 시계</v>
      </c>
      <c r="F3498" s="1" t="str">
        <f>IFERROR(__xludf.DUMMYFUNCTION("CONCATENATE(GOOGLETRANSLATE(C3498, ""en"", ""ja""))"),"セイコーメンズ日本製機械式自動巻き時計")</f>
        <v>セイコーメンズ日本製機械式自動巻き時計</v>
      </c>
    </row>
    <row r="3499" ht="15.75" customHeight="1">
      <c r="A3499" s="1">
        <v>4083.0</v>
      </c>
      <c r="B3499" s="1" t="s">
        <v>15</v>
      </c>
      <c r="C3499" s="1" t="s">
        <v>3166</v>
      </c>
      <c r="D3499" s="1" t="str">
        <f>IFERROR(__xludf.DUMMYFUNCTION("CONCATENATE(GOOGLETRANSLATE(C3499, ""en"", ""zh-cn""))"),"Luminox X Volition Navy Seal 计时码表 XS.3581.BO.VOL 男士手表 45 毫米 - 军用潜水手表黑色/灰色迷彩日期功能 200m 防水蓝宝石玻璃")</f>
        <v>Luminox X Volition Navy Seal 计时码表 XS.3581.BO.VOL 男士手表 45 毫米 - 军用潜水手表黑色/灰色迷彩日期功能 200m 防水蓝宝石玻璃</v>
      </c>
      <c r="E3499" s="1" t="str">
        <f>IFERROR(__xludf.DUMMYFUNCTION("CONCATENATE(GOOGLETRANSLATE(C3499, ""en"", ""ko""))"),"Luminox X Volition Navy Seal 크로노그래프 XS.3581.BO.VOL 남성용 시계 45mm - 블랙/그레이 카모 날짜 기능 200m 방수 사파이어 글래스 군용 다이브 시계")</f>
        <v>Luminox X Volition Navy Seal 크로노그래프 XS.3581.BO.VOL 남성용 시계 45mm - 블랙/그레이 카모 날짜 기능 200m 방수 사파이어 글래스 군용 다이브 시계</v>
      </c>
      <c r="F3499" s="1" t="str">
        <f>IFERROR(__xludf.DUMMYFUNCTION("CONCATENATE(GOOGLETRANSLATE(C3499, ""en"", ""ja""))"),"ルミノックス X ボリション ネイビー シール クロノグラフ XS.3581.BO.VOL メンズ ウォッチ 45mm - ミリタリー ダイブウォッチ ブラック/グレー カモフラージュ 日付機能 200m 防水 サファイアガラス")</f>
        <v>ルミノックス X ボリション ネイビー シール クロノグラフ XS.3581.BO.VOL メンズ ウォッチ 45mm - ミリタリー ダイブウォッチ ブラック/グレー カモフラージュ 日付機能 200m 防水 サファイアガラス</v>
      </c>
    </row>
    <row r="3500" ht="15.75" customHeight="1">
      <c r="A3500" s="1">
        <v>4091.0</v>
      </c>
      <c r="B3500" s="1" t="s">
        <v>15</v>
      </c>
      <c r="C3500" s="1" t="s">
        <v>3167</v>
      </c>
      <c r="D3500" s="1" t="str">
        <f>IFERROR(__xludf.DUMMYFUNCTION("CONCATENATE(GOOGLETRANSLATE(C3500, ""en"", ""zh-cn""))"),"精工 SBDL089 [PROSPEX SPEEDTIMER 太阳能计时码表] 男士手表 日本发货")</f>
        <v>精工 SBDL089 [PROSPEX SPEEDTIMER 太阳能计时码表] 男士手表 日本发货</v>
      </c>
      <c r="E3500" s="1" t="str">
        <f>IFERROR(__xludf.DUMMYFUNCTION("CONCATENATE(GOOGLETRANSLATE(C3500, ""en"", ""ko""))"),"세이코 SBDL089 [PROSPEX SPEEDTIMER Solar 크로노그래프] 남성용 시계 일본에서 배송됨")</f>
        <v>세이코 SBDL089 [PROSPEX SPEEDTIMER Solar 크로노그래프] 남성용 시계 일본에서 배송됨</v>
      </c>
      <c r="F3500" s="1" t="str">
        <f>IFERROR(__xludf.DUMMYFUNCTION("CONCATENATE(GOOGLETRANSLATE(C3500, ""en"", ""ja""))"),"セイコー SBDL089 [プロスペックス スピードタイマー ソーラー クロノグラフ] メンズ 腕時計 日本発送")</f>
        <v>セイコー SBDL089 [プロスペックス スピードタイマー ソーラー クロノグラフ] メンズ 腕時計 日本発送</v>
      </c>
    </row>
    <row r="3501" ht="15.75" customHeight="1">
      <c r="A3501" s="1">
        <v>4102.0</v>
      </c>
      <c r="B3501" s="1" t="s">
        <v>15</v>
      </c>
      <c r="C3501" s="1" t="s">
        <v>3168</v>
      </c>
      <c r="D3501" s="1" t="str">
        <f>IFERROR(__xludf.DUMMYFUNCTION("CONCATENATE(GOOGLETRANSLATE(C3501, ""en"", ""zh-cn""))"),"Kendra Scott 14k 金白色钻石心形吊坠项链，高级女士珠宝")</f>
        <v>Kendra Scott 14k 金白色钻石心形吊坠项链，高级女士珠宝</v>
      </c>
      <c r="E3501" s="1" t="str">
        <f>IFERROR(__xludf.DUMMYFUNCTION("CONCATENATE(GOOGLETRANSLATE(C3501, ""en"", ""ko""))"),"Kendra Scott 14k 골드 화이트 다이아몬드 하트 펜던트 목걸이, 여성용 고급 주얼리")</f>
        <v>Kendra Scott 14k 골드 화이트 다이아몬드 하트 펜던트 목걸이, 여성용 고급 주얼리</v>
      </c>
      <c r="F3501" s="1" t="str">
        <f>IFERROR(__xludf.DUMMYFUNCTION("CONCATENATE(GOOGLETRANSLATE(C3501, ""en"", ""ja""))"),"Kendra Scott ホワイト ダイヤモンド ハート ペンダント ネックレス 14K ゴールド、女性用ファインジュエリー")</f>
        <v>Kendra Scott ホワイト ダイヤモンド ハート ペンダント ネックレス 14K ゴールド、女性用ファインジュエリー</v>
      </c>
    </row>
    <row r="3502" ht="15.75" customHeight="1">
      <c r="A3502" s="1">
        <v>4109.0</v>
      </c>
      <c r="B3502" s="1" t="s">
        <v>15</v>
      </c>
      <c r="C3502" s="1" t="s">
        <v>3169</v>
      </c>
      <c r="D3502" s="1" t="str">
        <f>IFERROR(__xludf.DUMMYFUNCTION("CONCATENATE(GOOGLETRANSLATE(C3502, ""en"", ""zh-cn""))"),"SEIKO SNE586 Prospex 男士手表黑色 38.5 毫米不锈钢")</f>
        <v>SEIKO SNE586 Prospex 男士手表黑色 38.5 毫米不锈钢</v>
      </c>
      <c r="E3502" s="1" t="str">
        <f>IFERROR(__xludf.DUMMYFUNCTION("CONCATENATE(GOOGLETRANSLATE(C3502, ""en"", ""ko""))"),"SEIKO SNE586 Prospex 남성용 시계 블랙 38.5mm 스테인리스 스틸")</f>
        <v>SEIKO SNE586 Prospex 남성용 시계 블랙 38.5mm 스테인리스 스틸</v>
      </c>
      <c r="F3502" s="1" t="str">
        <f>IFERROR(__xludf.DUMMYFUNCTION("CONCATENATE(GOOGLETRANSLATE(C3502, ""en"", ""ja""))"),"セイコー SNE586 プロスペックス メンズ 腕時計 ブラック 38.5mm ステンレススチール")</f>
        <v>セイコー SNE586 プロスペックス メンズ 腕時計 ブラック 38.5mm ステンレススチール</v>
      </c>
    </row>
    <row r="3503" ht="15.75" customHeight="1">
      <c r="A3503" s="1">
        <v>4111.0</v>
      </c>
      <c r="B3503" s="1" t="s">
        <v>15</v>
      </c>
      <c r="C3503" s="1" t="s">
        <v>3170</v>
      </c>
      <c r="D3503" s="1" t="str">
        <f>IFERROR(__xludf.DUMMYFUNCTION("CONCATENATE(GOOGLETRANSLATE(C3503, ""en"", ""zh-cn""))"),"OLEVS 男士手表自动棕色皮革蓝面机械男士手表镂空日历时尚自动上链腕表陀飞轮男士防水手表蓝宝石水晶钻石夜光")</f>
        <v>OLEVS 男士手表自动棕色皮革蓝面机械男士手表镂空日历时尚自动上链腕表陀飞轮男士防水手表蓝宝石水晶钻石夜光</v>
      </c>
      <c r="E3503" s="1" t="str">
        <f>IFERROR(__xludf.DUMMYFUNCTION("CONCATENATE(GOOGLETRANSLATE(C3503, ""en"", ""ko""))"),"남성용 OLEVS 시계 자동 브라운 가죽 블루 페이스 기계식 남성 시계 해골 달력 패션 자동 와인딩 손목 시계 뚜르 비옹 남자 방수 시계 사파이어 크리스탈 다이아몬드 빛나는")</f>
        <v>남성용 OLEVS 시계 자동 브라운 가죽 블루 페이스 기계식 남성 시계 해골 달력 패션 자동 와인딩 손목 시계 뚜르 비옹 남자 방수 시계 사파이어 크리스탈 다이아몬드 빛나는</v>
      </c>
      <c r="F3503" s="1" t="str">
        <f>IFERROR(__xludf.DUMMYFUNCTION("CONCATENATE(GOOGLETRANSLATE(C3503, ""en"", ""ja""))"),"OLEVS 腕時計 メンズ 自動巻き ブラウンレザー ブルーフェイス 機械式メンズウォッチ スケルトン カレンダー ファッション 自動巻き腕時計 トゥールビヨン マン 防水時計 サファイアクリスタル ダイヤモンド 発光")</f>
        <v>OLEVS 腕時計 メンズ 自動巻き ブラウンレザー ブルーフェイス 機械式メンズウォッチ スケルトン カレンダー ファッション 自動巻き腕時計 トゥールビヨン マン 防水時計 サファイアクリスタル ダイヤモンド 発光</v>
      </c>
    </row>
    <row r="3504" ht="15.75" customHeight="1">
      <c r="A3504" s="1">
        <v>4113.0</v>
      </c>
      <c r="B3504" s="1" t="s">
        <v>15</v>
      </c>
      <c r="C3504" s="1" t="s">
        <v>3171</v>
      </c>
      <c r="D3504" s="1" t="str">
        <f>IFERROR(__xludf.DUMMYFUNCTION("CONCATENATE(GOOGLETRANSLATE(C3504, ""en"", ""zh-cn""))"),"SEIKO SNJ025 Prospex 男士手表黑色 47.8 毫米不锈钢")</f>
        <v>SEIKO SNJ025 Prospex 男士手表黑色 47.8 毫米不锈钢</v>
      </c>
      <c r="E3504" s="1" t="str">
        <f>IFERROR(__xludf.DUMMYFUNCTION("CONCATENATE(GOOGLETRANSLATE(C3504, ""en"", ""ko""))"),"SEIKO SNJ025 Prospex 남성용 시계 블랙 47.8mm 스테인레스 스틸")</f>
        <v>SEIKO SNJ025 Prospex 남성용 시계 블랙 47.8mm 스테인레스 스틸</v>
      </c>
      <c r="F3504" s="1" t="str">
        <f>IFERROR(__xludf.DUMMYFUNCTION("CONCATENATE(GOOGLETRANSLATE(C3504, ""en"", ""ja""))"),"[セイコー]SEIKO プロスペックス 腕時計 メンズ ブラック 47.8mm ステンレススチール SNJ025")</f>
        <v>[セイコー]SEIKO プロスペックス 腕時計 メンズ ブラック 47.8mm ステンレススチール SNJ025</v>
      </c>
    </row>
    <row r="3505" ht="15.75" customHeight="1">
      <c r="A3505" s="1">
        <v>4115.0</v>
      </c>
      <c r="B3505" s="1" t="s">
        <v>15</v>
      </c>
      <c r="C3505" s="1" t="s">
        <v>3172</v>
      </c>
      <c r="D3505" s="1" t="str">
        <f>IFERROR(__xludf.DUMMYFUNCTION("CONCATENATE(GOOGLETRANSLATE(C3505, ""en"", ""zh-cn""))"),"Luminox 海军海豹计时码表 3581")</f>
        <v>Luminox 海军海豹计时码表 3581</v>
      </c>
      <c r="E3505" s="1" t="str">
        <f>IFERROR(__xludf.DUMMYFUNCTION("CONCATENATE(GOOGLETRANSLATE(C3505, ""en"", ""ko""))"),"루미녹스 Navy Seal 크로노그래프 3581")</f>
        <v>루미녹스 Navy Seal 크로노그래프 3581</v>
      </c>
      <c r="F3505" s="1" t="str">
        <f>IFERROR(__xludf.DUMMYFUNCTION("CONCATENATE(GOOGLETRANSLATE(C3505, ""en"", ""ja""))"),"ルミノックス ネイビー シール クロノグラフ 3581")</f>
        <v>ルミノックス ネイビー シール クロノグラフ 3581</v>
      </c>
    </row>
    <row r="3506" ht="15.75" customHeight="1">
      <c r="A3506" s="1">
        <v>4127.0</v>
      </c>
      <c r="B3506" s="1" t="s">
        <v>15</v>
      </c>
      <c r="C3506" s="1" t="s">
        <v>3173</v>
      </c>
      <c r="D3506" s="1" t="str">
        <f>IFERROR(__xludf.DUMMYFUNCTION("CONCATENATE(GOOGLETRANSLATE(C3506, ""en"", ""zh-cn""))"),"Luminox Navy Seal 男士手表 Black Out（XS.3502.BO / 3500 系列）：200 米防水 + 轻质碳纤维表壳和表带 + 恒定夜间能见度")</f>
        <v>Luminox Navy Seal 男士手表 Black Out（XS.3502.BO / 3500 系列）：200 米防水 + 轻质碳纤维表壳和表带 + 恒定夜间能见度</v>
      </c>
      <c r="E3506" s="1" t="str">
        <f>IFERROR(__xludf.DUMMYFUNCTION("CONCATENATE(GOOGLETRANSLATE(C3506, ""en"", ""ko""))"),"Luminox Navy Seal 남성용 시계 블랙 아웃(XS.3502.BO / 3500 시리즈): 200미터 방수 + 경량 카본 케이스 및 밴드 + 지속적인 야간 가시성")</f>
        <v>Luminox Navy Seal 남성용 시계 블랙 아웃(XS.3502.BO / 3500 시리즈): 200미터 방수 + 경량 카본 케이스 및 밴드 + 지속적인 야간 가시성</v>
      </c>
      <c r="F3506" s="1" t="str">
        <f>IFERROR(__xludf.DUMMYFUNCTION("CONCATENATE(GOOGLETRANSLATE(C3506, ""en"", ""ja""))"),"ルミノックス ネイビー シール メンズ ウォッチ ブラックアウト (XS.3502.BO / 3500 シリーズ): 200 メートル防水 + 軽量カーボン ケースとバンド + 夜間の常時視認性")</f>
        <v>ルミノックス ネイビー シール メンズ ウォッチ ブラックアウト (XS.3502.BO / 3500 シリーズ): 200 メートル防水 + 軽量カーボン ケースとバンド + 夜間の常時視認性</v>
      </c>
    </row>
    <row r="3507" ht="15.75" customHeight="1">
      <c r="A3507" s="1">
        <v>4148.0</v>
      </c>
      <c r="B3507" s="1" t="s">
        <v>15</v>
      </c>
      <c r="C3507" s="1" t="s">
        <v>3174</v>
      </c>
      <c r="D3507" s="1" t="str">
        <f>IFERROR(__xludf.DUMMYFUNCTION("CONCATENATE(GOOGLETRANSLATE(C3507, ""en"", ""zh-cn""))"),"Luminox Navy Seal XS.3503.ND.L 男士手表 45 毫米 - 军用潜水手表蓝色/绿色日期功能 200m 防水")</f>
        <v>Luminox Navy Seal XS.3503.ND.L 男士手表 45 毫米 - 军用潜水手表蓝色/绿色日期功能 200m 防水</v>
      </c>
      <c r="E3507" s="1" t="str">
        <f>IFERROR(__xludf.DUMMYFUNCTION("CONCATENATE(GOOGLETRANSLATE(C3507, ""en"", ""ko""))"),"Luminox Navy Seal XS.3503.ND.L 남성용 시계 45mm - 블루/그린 날짜 기능 200m 방수 군용 다이브 시계")</f>
        <v>Luminox Navy Seal XS.3503.ND.L 남성용 시계 45mm - 블루/그린 날짜 기능 200m 방수 군용 다이브 시계</v>
      </c>
      <c r="F3507" s="1" t="str">
        <f>IFERROR(__xludf.DUMMYFUNCTION("CONCATENATE(GOOGLETRANSLATE(C3507, ""en"", ""ja""))"),"ルミノックス ネイビー シール XS.3503.ND.L メンズ ウォッチ 45mm - ミリタリー ダイブウォッチ ブルー/グリーン 日付機能 200m 防水")</f>
        <v>ルミノックス ネイビー シール XS.3503.ND.L メンズ ウォッチ 45mm - ミリタリー ダイブウォッチ ブルー/グリーン 日付機能 200m 防水</v>
      </c>
    </row>
    <row r="3508" ht="15.75" customHeight="1">
      <c r="A3508" s="1">
        <v>4155.0</v>
      </c>
      <c r="B3508" s="1" t="s">
        <v>15</v>
      </c>
      <c r="C3508" s="1" t="s">
        <v>3175</v>
      </c>
      <c r="D3508" s="1" t="str">
        <f>IFERROR(__xludf.DUMMYFUNCTION("CONCATENATE(GOOGLETRANSLATE(C3508, ""en"", ""zh-cn""))"),"SWAROVSKI Dextera 项链，密镶，个性，混合链节，白色，镀铑")</f>
        <v>SWAROVSKI Dextera 项链，密镶，个性，混合链节，白色，镀铑</v>
      </c>
      <c r="E3508" s="1" t="str">
        <f>IFERROR(__xludf.DUMMYFUNCTION("CONCATENATE(GOOGLETRANSLATE(C3508, ""en"", ""ko""))"),"SWAROVSKI Dextera 목걸이， 파베， 스테이트먼트， 믹스 링크， 화이트， 로듐 도금")</f>
        <v>SWAROVSKI Dextera 목걸이， 파베， 스테이트먼트， 믹스 링크， 화이트， 로듐 도금</v>
      </c>
      <c r="F3508" s="1" t="str">
        <f>IFERROR(__xludf.DUMMYFUNCTION("CONCATENATE(GOOGLETRANSLATE(C3508, ""en"", ""ja""))"),"スワロフスキー デクステラ ネックレス、パヴェ、ステートメント、ミックスリンク、ホワイト、ロジウムメッキ")</f>
        <v>スワロフスキー デクステラ ネックレス、パヴェ、ステートメント、ミックスリンク、ホワイト、ロジウムメッキ</v>
      </c>
    </row>
    <row r="3509" ht="15.75" customHeight="1">
      <c r="A3509" s="1">
        <v>4164.0</v>
      </c>
      <c r="B3509" s="1" t="s">
        <v>15</v>
      </c>
      <c r="C3509" s="1" t="s">
        <v>3176</v>
      </c>
      <c r="D3509" s="1" t="str">
        <f>IFERROR(__xludf.DUMMYFUNCTION("CONCATENATE(GOOGLETRANSLATE(C3509, ""en"", ""zh-cn""))"),"Luminox G 巴塔哥尼亚 Carbonox 男士手表 43 毫米 - 军用手表日期功能 100m 防水 - 不同款式")</f>
        <v>Luminox G 巴塔哥尼亚 Carbonox 男士手表 43 毫米 - 军用手表日期功能 100m 防水 - 不同款式</v>
      </c>
      <c r="E3509" s="1" t="str">
        <f>IFERROR(__xludf.DUMMYFUNCTION("CONCATENATE(GOOGLETRANSLATE(C3509, ""en"", ""ko""))"),"Luminox G Patagonia Carbonox 남성용 시계 43mm - 군용 시계 날짜 기능 100m 방수 - 다양한 변형")</f>
        <v>Luminox G Patagonia Carbonox 남성용 시계 43mm - 군용 시계 날짜 기능 100m 방수 - 다양한 변형</v>
      </c>
      <c r="F3509" s="1" t="str">
        <f>IFERROR(__xludf.DUMMYFUNCTION("CONCATENATE(GOOGLETRANSLATE(C3509, ""en"", ""ja""))"),"ルミノックス G パタゴニア カーボンックス メンズ ウォッチ 43 mm - ミリタリー ウォッチ 日付機能 100 メートル防水 - さまざまなバリエーション")</f>
        <v>ルミノックス G パタゴニア カーボンックス メンズ ウォッチ 43 mm - ミリタリー ウォッチ 日付機能 100 メートル防水 - さまざまなバリエーション</v>
      </c>
    </row>
    <row r="3510" ht="15.75" customHeight="1">
      <c r="A3510" s="1">
        <v>4165.0</v>
      </c>
      <c r="B3510" s="1" t="s">
        <v>15</v>
      </c>
      <c r="C3510" s="1" t="s">
        <v>3177</v>
      </c>
      <c r="D3510" s="1" t="str">
        <f>IFERROR(__xludf.DUMMYFUNCTION("CONCATENATE(GOOGLETRANSLATE(C3510, ""en"", ""zh-cn""))"),"Luminox 男士 3001 石英海军海豹潜水手表")</f>
        <v>Luminox 男士 3001 石英海军海豹潜水手表</v>
      </c>
      <c r="E3510" s="1" t="str">
        <f>IFERROR(__xludf.DUMMYFUNCTION("CONCATENATE(GOOGLETRANSLATE(C3510, ""en"", ""ko""))"),"루미녹스 남성용 3001 쿼츠 네이비 씰 다이브 시계")</f>
        <v>루미녹스 남성용 3001 쿼츠 네이비 씰 다이브 시계</v>
      </c>
      <c r="F3510" s="1" t="str">
        <f>IFERROR(__xludf.DUMMYFUNCTION("CONCATENATE(GOOGLETRANSLATE(C3510, ""en"", ""ja""))"),"ルミノックス メンズ 3001 クォーツ ネイビー シール ダイブウォッチ")</f>
        <v>ルミノックス メンズ 3001 クォーツ ネイビー シール ダイブウォッチ</v>
      </c>
    </row>
    <row r="3511" ht="15.75" customHeight="1">
      <c r="A3511" s="1">
        <v>4172.0</v>
      </c>
      <c r="B3511" s="1" t="s">
        <v>15</v>
      </c>
      <c r="C3511" s="1" t="s">
        <v>3178</v>
      </c>
      <c r="D3511" s="1" t="str">
        <f>IFERROR(__xludf.DUMMYFUNCTION("CONCATENATE(GOOGLETRANSLATE(C3511, ""en"", ""zh-cn""))"),"Seiko 5 运动男士自动手表")</f>
        <v>Seiko 5 运动男士自动手表</v>
      </c>
      <c r="E3511" s="1" t="str">
        <f>IFERROR(__xludf.DUMMYFUNCTION("CONCATENATE(GOOGLETRANSLATE(C3511, ""en"", ""ko""))"),"세이코 5 스포츠 남성용 오토매틱 시계")</f>
        <v>세이코 5 스포츠 남성용 오토매틱 시계</v>
      </c>
      <c r="F3511" s="1" t="str">
        <f>IFERROR(__xludf.DUMMYFUNCTION("CONCATENATE(GOOGLETRANSLATE(C3511, ""en"", ""ja""))"),"セイコー 5 スポーツ メンズ自動巻き時計")</f>
        <v>セイコー 5 スポーツ メンズ自動巻き時計</v>
      </c>
    </row>
    <row r="3512" ht="15.75" customHeight="1">
      <c r="A3512" s="1">
        <v>4184.0</v>
      </c>
      <c r="B3512" s="1" t="s">
        <v>15</v>
      </c>
      <c r="C3512" s="1" t="s">
        <v>3179</v>
      </c>
      <c r="D3512" s="1" t="str">
        <f>IFERROR(__xludf.DUMMYFUNCTION("CONCATENATE(GOOGLETRANSLATE(C3512, ""en"", ""zh-cn""))"),"帕加尼设计男士手表自动 GMT 手表日本 NH34 机芯蓝宝石玻璃不锈钢 40 毫米超级夜光防水腕表")</f>
        <v>帕加尼设计男士手表自动 GMT 手表日本 NH34 机芯蓝宝石玻璃不锈钢 40 毫米超级夜光防水腕表</v>
      </c>
      <c r="E3512" s="1" t="str">
        <f>IFERROR(__xludf.DUMMYFUNCTION("CONCATENATE(GOOGLETRANSLATE(C3512, ""en"", ""ko""))"),"남성용 파가니 디자인 시계 자동 GMT 시계 일본 NH34 무브먼트 사파이어 스테인레스 스틸 40MM 슈퍼 발광 방수 손목 시계")</f>
        <v>남성용 파가니 디자인 시계 자동 GMT 시계 일본 NH34 무브먼트 사파이어 스테인레스 스틸 40MM 슈퍼 발광 방수 손목 시계</v>
      </c>
      <c r="F3512" s="1" t="str">
        <f>IFERROR(__xludf.DUMMYFUNCTION("CONCATENATE(GOOGLETRANSLATE(C3512, ""en"", ""ja""))"),"パガーニ デザイン腕時計メンズ自動 GMT 腕時計日本 NH34 ムーブメントサファイアガラスステンレス鋼 40 ミリメートル超発光防水腕時計")</f>
        <v>パガーニ デザイン腕時計メンズ自動 GMT 腕時計日本 NH34 ムーブメントサファイアガラスステンレス鋼 40 ミリメートル超発光防水腕時計</v>
      </c>
    </row>
    <row r="3513" ht="15.75" customHeight="1">
      <c r="A3513" s="1">
        <v>4231.0</v>
      </c>
      <c r="B3513" s="1" t="s">
        <v>15</v>
      </c>
      <c r="C3513" s="1" t="s">
        <v>3180</v>
      </c>
      <c r="D3513" s="1" t="str">
        <f>IFERROR(__xludf.DUMMYFUNCTION("CONCATENATE(GOOGLETRANSLATE(C3513, ""en"", ""zh-cn""))"),"SUUNTO Core，户外运动手表")</f>
        <v>SUUNTO Core，户外运动手表</v>
      </c>
      <c r="E3513" s="1" t="str">
        <f>IFERROR(__xludf.DUMMYFUNCTION("CONCATENATE(GOOGLETRANSLATE(C3513, ""en"", ""ko""))"),"SUUNTO Core, 아웃도어 스포츠 시계")</f>
        <v>SUUNTO Core, 아웃도어 스포츠 시계</v>
      </c>
      <c r="F3513" s="1" t="str">
        <f>IFERROR(__xludf.DUMMYFUNCTION("CONCATENATE(GOOGLETRANSLATE(C3513, ""en"", ""ja""))"),"SUUNTO Core、アウトドアスポーツウォッチ")</f>
        <v>SUUNTO Core、アウトドアスポーツウォッチ</v>
      </c>
    </row>
    <row r="3514" ht="15.75" customHeight="1">
      <c r="A3514" s="1">
        <v>4236.0</v>
      </c>
      <c r="B3514" s="1" t="s">
        <v>15</v>
      </c>
      <c r="C3514" s="1" t="s">
        <v>3181</v>
      </c>
      <c r="D3514" s="1" t="str">
        <f>IFERROR(__xludf.DUMMYFUNCTION("CONCATENATE(GOOGLETRANSLATE(C3514, ""en"", ""zh-cn""))"),"施华洛世奇")</f>
        <v>施华洛世奇</v>
      </c>
      <c r="E3514" s="1" t="str">
        <f>IFERROR(__xludf.DUMMYFUNCTION("CONCATENATE(GOOGLETRANSLATE(C3514, ""en"", ""ko""))"),"스와로브스키")</f>
        <v>스와로브스키</v>
      </c>
      <c r="F3514" s="1" t="str">
        <f>IFERROR(__xludf.DUMMYFUNCTION("CONCATENATE(GOOGLETRANSLATE(C3514, ""en"", ""ja""))"),"スワロフスキー")</f>
        <v>スワロフスキー</v>
      </c>
    </row>
    <row r="3515" ht="15.75" customHeight="1">
      <c r="A3515" s="1">
        <v>4242.0</v>
      </c>
      <c r="B3515" s="1" t="s">
        <v>15</v>
      </c>
      <c r="C3515" s="1" t="s">
        <v>3182</v>
      </c>
      <c r="D3515" s="1" t="str">
        <f>IFERROR(__xludf.DUMMYFUNCTION("CONCATENATE(GOOGLETRANSLATE(C3515, ""en"", ""zh-cn""))"),"Garmin 010-02173-11 Venu，带明亮触摸屏显示屏的 GPS 智能手表，具有音乐、身体能量监测、动画锻炼、脉搏血氧传感器等功能，黑色")</f>
        <v>Garmin 010-02173-11 Venu，带明亮触摸屏显示屏的 GPS 智能手表，具有音乐、身体能量监测、动画锻炼、脉搏血氧传感器等功能，黑色</v>
      </c>
      <c r="E3515" s="1" t="str">
        <f>IFERROR(__xludf.DUMMYFUNCTION("CONCATENATE(GOOGLETRANSLATE(C3515, ""en"", ""ko""))"),"Garmin 010-02173-11 Venu, 밝은 터치스크린 디스플레이를 갖춘 GPS 스마트워치, 음악, 신체 에너지 모니터링, 애니메이션 운동, 맥박 산소 센서 등 기능 제공, 검정색")</f>
        <v>Garmin 010-02173-11 Venu, 밝은 터치스크린 디스플레이를 갖춘 GPS 스마트워치, 음악, 신체 에너지 모니터링, 애니메이션 운동, 맥박 산소 센서 등 기능 제공, 검정색</v>
      </c>
      <c r="F3515" s="1" t="str">
        <f>IFERROR(__xludf.DUMMYFUNCTION("CONCATENATE(GOOGLETRANSLATE(C3515, ""en"", ""ja""))"),"Garmin 010-02173-11 Venu、明るいタッチスクリーンディスプレイを備えた GPS スマートウォッチ、音楽、身体エネルギーモニタリング、アニメーションワークアウト、脈拍酸素センサーなどの機能、ブラック")</f>
        <v>Garmin 010-02173-11 Venu、明るいタッチスクリーンディスプレイを備えた GPS スマートウォッチ、音楽、身体エネルギーモニタリング、アニメーションワークアウト、脈拍酸素センサーなどの機能、ブラック</v>
      </c>
    </row>
    <row r="3516" ht="15.75" customHeight="1">
      <c r="A3516" s="1">
        <v>4248.0</v>
      </c>
      <c r="B3516" s="1" t="s">
        <v>15</v>
      </c>
      <c r="C3516" s="1" t="s">
        <v>3183</v>
      </c>
      <c r="D3516" s="1" t="str">
        <f>IFERROR(__xludf.DUMMYFUNCTION("CONCATENATE(GOOGLETRANSLATE(C3516, ""en"", ""zh-cn""))"),"施华洛世奇水晶星球大战伊沃克小门")</f>
        <v>施华洛世奇水晶星球大战伊沃克小门</v>
      </c>
      <c r="E3516" s="1" t="str">
        <f>IFERROR(__xludf.DUMMYFUNCTION("CONCATENATE(GOOGLETRANSLATE(C3516, ""en"", ""ko""))"),"SWAROVSKI 크리스탈 스타워즈 Ewok Wicket")</f>
        <v>SWAROVSKI 크리스탈 스타워즈 Ewok Wicket</v>
      </c>
      <c r="F3516" s="1" t="str">
        <f>IFERROR(__xludf.DUMMYFUNCTION("CONCATENATE(GOOGLETRANSLATE(C3516, ""en"", ""ja""))"),"スワロフスキー クリスタル スター・ウォーズ イウォーク ウィケット")</f>
        <v>スワロフスキー クリスタル スター・ウォーズ イウォーク ウィケット</v>
      </c>
    </row>
    <row r="3517" ht="15.75" customHeight="1">
      <c r="A3517" s="1">
        <v>4262.0</v>
      </c>
      <c r="B3517" s="1" t="s">
        <v>15</v>
      </c>
      <c r="C3517" s="1" t="s">
        <v>3184</v>
      </c>
      <c r="D3517" s="1" t="str">
        <f>IFERROR(__xludf.DUMMYFUNCTION("CONCATENATE(GOOGLETRANSLATE(C3517, ""en"", ""zh-cn""))"),"卡西欧]手表 G-Shock Radio 太阳能城市迷彩系列 GAW-100CT-1AJF 男士黑色")</f>
        <v>卡西欧]手表 G-Shock Radio 太阳能城市迷彩系列 GAW-100CT-1AJF 男士黑色</v>
      </c>
      <c r="E3517" s="1" t="str">
        <f>IFERROR(__xludf.DUMMYFUNCTION("CONCATENATE(GOOGLETRANSLATE(C3517, ""en"", ""ko""))"),"카시오] 시계 G-Shock Radio Solar City Camouflage Series GAW-100CT-1AJF 남성용 블랙")</f>
        <v>카시오] 시계 G-Shock Radio Solar City Camouflage Series GAW-100CT-1AJF 남성용 블랙</v>
      </c>
      <c r="F3517" s="1" t="str">
        <f>IFERROR(__xludf.DUMMYFUNCTION("CONCATENATE(GOOGLETRANSLATE(C3517, ""en"", ""ja""))"),"[カシオ] 時計 Gショック 電波ソーラー シティカモフラージュシリーズ GAW-100CT-1AJF メンズ ブラック")</f>
        <v>[カシオ] 時計 Gショック 電波ソーラー シティカモフラージュシリーズ GAW-100CT-1AJF メンズ ブラック</v>
      </c>
    </row>
    <row r="3518" ht="15.75" customHeight="1">
      <c r="A3518" s="1">
        <v>4300.0</v>
      </c>
      <c r="B3518" s="1" t="s">
        <v>15</v>
      </c>
      <c r="C3518" s="1" t="s">
        <v>3185</v>
      </c>
      <c r="D3518" s="1" t="str">
        <f>IFERROR(__xludf.DUMMYFUNCTION("CONCATENATE(GOOGLETRANSLATE(C3518, ""en"", ""zh-cn""))"),"施华洛世奇水晶首饰套装、项链和耳环系列")</f>
        <v>施华洛世奇水晶首饰套装、项链和耳环系列</v>
      </c>
      <c r="E3518" s="1" t="str">
        <f>IFERROR(__xludf.DUMMYFUNCTION("CONCATENATE(GOOGLETRANSLATE(C3518, ""en"", ""ko""))"),"스와로브스키 크리스탈 주얼리 세트, 목걸이 및 귀걸이 컬렉션")</f>
        <v>스와로브스키 크리스탈 주얼리 세트, 목걸이 및 귀걸이 컬렉션</v>
      </c>
      <c r="F3518" s="1" t="str">
        <f>IFERROR(__xludf.DUMMYFUNCTION("CONCATENATE(GOOGLETRANSLATE(C3518, ""en"", ""ja""))"),"スワロフスキー クリスタル ジュエリー セット、ネックレス、イヤリング コレクション")</f>
        <v>スワロフスキー クリスタル ジュエリー セット、ネックレス、イヤリング コレクション</v>
      </c>
    </row>
    <row r="3519" ht="15.75" customHeight="1">
      <c r="A3519" s="1">
        <v>4316.0</v>
      </c>
      <c r="B3519" s="1" t="s">
        <v>15</v>
      </c>
      <c r="C3519" s="1" t="s">
        <v>3186</v>
      </c>
      <c r="D3519" s="1" t="str">
        <f>IFERROR(__xludf.DUMMYFUNCTION("CONCATENATE(GOOGLETRANSLATE(C3519, ""en"", ""zh-cn""))"),"Timex 32.5 毫米 Q LCA Timex Reissue 数字 LCA 不锈钢")</f>
        <v>Timex 32.5 毫米 Q LCA Timex Reissue 数字 LCA 不锈钢</v>
      </c>
      <c r="E3519" s="1" t="str">
        <f>IFERROR(__xludf.DUMMYFUNCTION("CONCATENATE(GOOGLETRANSLATE(C3519, ""en"", ""ko""))"),"Timex 32.5mm Q LCA Timex 재발행 디지털 LCA 스테인리스 스틸")</f>
        <v>Timex 32.5mm Q LCA Timex 재발행 디지털 LCA 스테인리스 스틸</v>
      </c>
      <c r="F3519" s="1" t="str">
        <f>IFERROR(__xludf.DUMMYFUNCTION("CONCATENATE(GOOGLETRANSLATE(C3519, ""en"", ""ja""))"),"タイメックス 32.5 mm Q LCA タイメックス 復刻デジタル LCA ステンレススチール")</f>
        <v>タイメックス 32.5 mm Q LCA タイメックス 復刻デジタル LCA ステンレススチール</v>
      </c>
    </row>
    <row r="3520" ht="15.75" customHeight="1">
      <c r="A3520" s="1">
        <v>4319.0</v>
      </c>
      <c r="B3520" s="1" t="s">
        <v>15</v>
      </c>
      <c r="C3520" s="1" t="s">
        <v>3187</v>
      </c>
      <c r="D3520" s="1" t="str">
        <f>IFERROR(__xludf.DUMMYFUNCTION("CONCATENATE(GOOGLETRANSLATE(C3520, ""en"", ""zh-cn""))"),"施华洛世奇艾米莉网球手链珠宝系列，透明水晶，蓝色水晶，粉色水晶（亚马逊独家）")</f>
        <v>施华洛世奇艾米莉网球手链珠宝系列，透明水晶，蓝色水晶，粉色水晶（亚马逊独家）</v>
      </c>
      <c r="E3520" s="1" t="str">
        <f>IFERROR(__xludf.DUMMYFUNCTION("CONCATENATE(GOOGLETRANSLATE(C3520, ""en"", ""ko""))"),"스와로브스키 에밀리 테니스 팔찌 주얼리 컬렉션, 클리어 크리스털, 블루 크리스털, 핑크 크리스털(아마존 독점)")</f>
        <v>스와로브스키 에밀리 테니스 팔찌 주얼리 컬렉션, 클리어 크리스털, 블루 크리스털, 핑크 크리스털(아마존 독점)</v>
      </c>
      <c r="F3520" s="1" t="str">
        <f>IFERROR(__xludf.DUMMYFUNCTION("CONCATENATE(GOOGLETRANSLATE(C3520, ""en"", ""ja""))"),"スワロフスキー エミリー テニス ブレスレット ジュエリー コレクション、クリア クリスタル、ブルー クリスタル、ピンク クリスタル (Amazon 限定)")</f>
        <v>スワロフスキー エミリー テニス ブレスレット ジュエリー コレクション、クリア クリスタル、ブルー クリスタル、ピンク クリスタル (Amazon 限定)</v>
      </c>
    </row>
    <row r="3521" ht="15.75" customHeight="1">
      <c r="A3521" s="1">
        <v>4337.0</v>
      </c>
      <c r="B3521" s="1" t="s">
        <v>15</v>
      </c>
      <c r="C3521" s="1" t="s">
        <v>1837</v>
      </c>
      <c r="D3521" s="1" t="str">
        <f>IFERROR(__xludf.DUMMYFUNCTION("CONCATENATE(GOOGLETRANSLATE(C3521, ""en"", ""zh-cn""))"),"Luminox 男士 0215.SL Sentry 0200 黑色表盘带红色标记手表")</f>
        <v>Luminox 男士 0215.SL Sentry 0200 黑色表盘带红色标记手表</v>
      </c>
      <c r="E3521" s="1" t="str">
        <f>IFERROR(__xludf.DUMMYFUNCTION("CONCATENATE(GOOGLETRANSLATE(C3521, ""en"", ""ko""))"),"루미녹스 남성용 0215.SL Sentry 0200 블랙 다이얼 레드 마킹 시계")</f>
        <v>루미녹스 남성용 0215.SL Sentry 0200 블랙 다이얼 레드 마킹 시계</v>
      </c>
      <c r="F3521" s="1" t="str">
        <f>IFERROR(__xludf.DUMMYFUNCTION("CONCATENATE(GOOGLETRANSLATE(C3521, ""en"", ""ja""))"),"ルミノックス メンズ 0215.SL セントリー 0200 ブラック ダイヤル レッド マーキング ウォッチ")</f>
        <v>ルミノックス メンズ 0215.SL セントリー 0200 ブラック ダイヤル レッド マーキング ウォッチ</v>
      </c>
    </row>
    <row r="3522" ht="15.75" customHeight="1">
      <c r="A3522" s="1">
        <v>4339.0</v>
      </c>
      <c r="B3522" s="1" t="s">
        <v>15</v>
      </c>
      <c r="C3522" s="1" t="s">
        <v>3188</v>
      </c>
      <c r="D3522" s="1" t="str">
        <f>IFERROR(__xludf.DUMMYFUNCTION("CONCATENATE(GOOGLETRANSLATE(C3522, ""en"", ""zh-cn""))"),"施华洛世奇 Lifelong 蝴蝶结无环耳环 白色 均码")</f>
        <v>施华洛世奇 Lifelong 蝴蝶结无环耳环 白色 均码</v>
      </c>
      <c r="E3522" s="1" t="str">
        <f>IFERROR(__xludf.DUMMYFUNCTION("CONCATENATE(GOOGLETRANSLATE(C3522, ""en"", ""ko""))"),"스와로브스키 라이프롱 보우 이어링 화이트 프리사이즈")</f>
        <v>스와로브스키 라이프롱 보우 이어링 화이트 프리사이즈</v>
      </c>
      <c r="F3522" s="1" t="str">
        <f>IFERROR(__xludf.DUMMYFUNCTION("CONCATENATE(GOOGLETRANSLATE(C3522, ""en"", ""ja""))"),"スワロフスキー ライフロング ボウ ピアス ホワイト フリーサイズ")</f>
        <v>スワロフスキー ライフロング ボウ ピアス ホワイト フリーサイズ</v>
      </c>
    </row>
    <row r="3523" ht="15.75" customHeight="1">
      <c r="A3523" s="1">
        <v>4342.0</v>
      </c>
      <c r="B3523" s="1" t="s">
        <v>15</v>
      </c>
      <c r="C3523" s="1" t="s">
        <v>3189</v>
      </c>
      <c r="D3523" s="1" t="str">
        <f>IFERROR(__xludf.DUMMYFUNCTION("CONCATENATE(GOOGLETRANSLATE(C3523, ""en"", ""zh-cn""))"),"施华洛世奇象征之手 ​​OM 吊坠项链浅色多色/绿色 均码")</f>
        <v>施华洛世奇象征之手 ​​OM 吊坠项链浅色多色/绿色 均码</v>
      </c>
      <c r="E3523" s="1" t="str">
        <f>IFERROR(__xludf.DUMMYFUNCTION("CONCATENATE(GOOGLETRANSLATE(C3523, ""en"", ""ko""))"),"SWAROVSKI 심볼릭 핸드 OM 펜던트 목걸이 라이트 멀티/그린 원 사이즈")</f>
        <v>SWAROVSKI 심볼릭 핸드 OM 펜던트 목걸이 라이트 멀티/그린 원 사이즈</v>
      </c>
      <c r="F3523" s="1" t="str">
        <f>IFERROR(__xludf.DUMMYFUNCTION("CONCATENATE(GOOGLETRANSLATE(C3523, ""en"", ""ja""))"),"スワロフスキー シンボリック ハンド OM ペンダント ネックレス ライト マルチ/グリーン フリー サイズ")</f>
        <v>スワロフスキー シンボリック ハンド OM ペンダント ネックレス ライト マルチ/グリーン フリー サイズ</v>
      </c>
    </row>
    <row r="3524" ht="15.75" customHeight="1">
      <c r="A3524" s="1">
        <v>4348.0</v>
      </c>
      <c r="B3524" s="1" t="s">
        <v>15</v>
      </c>
      <c r="C3524" s="1" t="s">
        <v>2788</v>
      </c>
      <c r="D3524" s="1" t="str">
        <f>IFERROR(__xludf.DUMMYFUNCTION("CONCATENATE(GOOGLETRANSLATE(C3524, ""en"", ""zh-cn""))"),"施华洛世奇炫丽天鹅珠宝系列，蓝色水晶，粉色水晶，透明水晶")</f>
        <v>施华洛世奇炫丽天鹅珠宝系列，蓝色水晶，粉色水晶，透明水晶</v>
      </c>
      <c r="E3524" s="1" t="str">
        <f>IFERROR(__xludf.DUMMYFUNCTION("CONCATENATE(GOOGLETRANSLATE(C3524, ""en"", ""ko""))"),"SWAROVSKI 눈부신 백조 주얼리 컬렉션, 블루 크리스탈, 핑크 크리스탈, 클리어 크리스탈")</f>
        <v>SWAROVSKI 눈부신 백조 주얼리 컬렉션, 블루 크리스탈, 핑크 크리스탈, 클리어 크리스탈</v>
      </c>
      <c r="F3524" s="1" t="str">
        <f>IFERROR(__xludf.DUMMYFUNCTION("CONCATENATE(GOOGLETRANSLATE(C3524, ""en"", ""ja""))"),"スワロフスキー ダズリング スワン ジュエリー コレクション、ブルー クリスタル、ピンク クリスタル、クリア クリスタル")</f>
        <v>スワロフスキー ダズリング スワン ジュエリー コレクション、ブルー クリスタル、ピンク クリスタル、クリア クリスタル</v>
      </c>
    </row>
    <row r="3525" ht="15.75" customHeight="1">
      <c r="A3525" s="1">
        <v>4352.0</v>
      </c>
      <c r="B3525" s="1" t="s">
        <v>15</v>
      </c>
      <c r="C3525" s="1" t="s">
        <v>3190</v>
      </c>
      <c r="D3525" s="1" t="str">
        <f>IFERROR(__xludf.DUMMYFUNCTION("CONCATENATE(GOOGLETRANSLATE(C3525, ""en"", ""zh-cn""))"),"施华洛世奇水晶镀铑环形耳环")</f>
        <v>施华洛世奇水晶镀铑环形耳环</v>
      </c>
      <c r="E3525" s="1" t="str">
        <f>IFERROR(__xludf.DUMMYFUNCTION("CONCATENATE(GOOGLETRANSLATE(C3525, ""en"", ""ko""))"),"스와로브스키 크리스탈 스톤 로듐 도금 후프 이어링")</f>
        <v>스와로브스키 크리스탈 스톤 로듐 도금 후프 이어링</v>
      </c>
      <c r="F3525" s="1" t="str">
        <f>IFERROR(__xludf.DUMMYFUNCTION("CONCATENATE(GOOGLETRANSLATE(C3525, ""en"", ""ja""))"),"スワロフスキー クリスタル ストーン ロジウムメッキ フープ イヤリング")</f>
        <v>スワロフスキー クリスタル ストーン ロジウムメッキ フープ イヤリング</v>
      </c>
    </row>
    <row r="3526" ht="15.75" customHeight="1">
      <c r="A3526" s="1">
        <v>4354.0</v>
      </c>
      <c r="B3526" s="1" t="s">
        <v>15</v>
      </c>
      <c r="C3526" s="1" t="s">
        <v>3191</v>
      </c>
      <c r="D3526" s="1" t="str">
        <f>IFERROR(__xludf.DUMMYFUNCTION("CONCATENATE(GOOGLETRANSLATE(C3526, ""en"", ""zh-cn""))"),"施华洛世奇 Infinity 水晶珠宝系列，铑金和玫瑰金色调饰面")</f>
        <v>施华洛世奇 Infinity 水晶珠宝系列，铑金和玫瑰金色调饰面</v>
      </c>
      <c r="E3526" s="1" t="str">
        <f>IFERROR(__xludf.DUMMYFUNCTION("CONCATENATE(GOOGLETRANSLATE(C3526, ""en"", ""ko""))"),"SWAROVSKI 인피니티 크리스탈 주얼리 컬렉션, 로듐 &amp; 로즈 골드 톤 마감")</f>
        <v>SWAROVSKI 인피니티 크리스탈 주얼리 컬렉션, 로듐 &amp; 로즈 골드 톤 마감</v>
      </c>
      <c r="F3526" s="1" t="str">
        <f>IFERROR(__xludf.DUMMYFUNCTION("CONCATENATE(GOOGLETRANSLATE(C3526, ""en"", ""ja""))"),"スワロフスキー インフィニティ クリスタル ジュエリー コレクション、ロジウム &amp; ローズゴールドトーン仕上げ")</f>
        <v>スワロフスキー インフィニティ クリスタル ジュエリー コレクション、ロジウム &amp; ローズゴールドトーン仕上げ</v>
      </c>
    </row>
    <row r="3527" ht="15.75" customHeight="1">
      <c r="A3527" s="1">
        <v>4371.0</v>
      </c>
      <c r="B3527" s="1" t="s">
        <v>15</v>
      </c>
      <c r="C3527" s="1" t="s">
        <v>3192</v>
      </c>
      <c r="D3527" s="1" t="str">
        <f>IFERROR(__xludf.DUMMYFUNCTION("CONCATENATE(GOOGLETRANSLATE(C3527, ""en"", ""zh-cn""))"),"Lyromix 3 合 1 客厅沙发床，全尺寸可转换双人沙发床，天鹅绒拉出沙发，带 2 个枕头和可拆卸储物袋，黑色")</f>
        <v>Lyromix 3 合 1 客厅沙发床，全尺寸可转换双人沙发床，天鹅绒拉出沙发，带 2 个枕头和可拆卸储物袋，黑色</v>
      </c>
      <c r="E3527" s="1" t="str">
        <f>IFERROR(__xludf.DUMMYFUNCTION("CONCATENATE(GOOGLETRANSLATE(C3527, ""en"", ""ko""))"),"거실용 Lyromix 3 in 1 소파 베드, 컨버터블 러브시트 슬리퍼 풀 사이즈, 벨벳 풀아웃 소파, 베개 2개 및 분리형 수납 가방, 블랙")</f>
        <v>거실용 Lyromix 3 in 1 소파 베드, 컨버터블 러브시트 슬리퍼 풀 사이즈, 벨벳 풀아웃 소파, 베개 2개 및 분리형 수납 가방, 블랙</v>
      </c>
      <c r="F3527" s="1" t="str">
        <f>IFERROR(__xludf.DUMMYFUNCTION("CONCATENATE(GOOGLETRANSLATE(C3527, ""en"", ""ja""))"),"Lyromix 3 in 1 ソファベッド リビングルーム用 コンバーチブル 二人掛けスリーパー フルサイズ ベルベット引き出し式ソファ 枕2個&amp;取り外し可能な収納バッグ付き ブラック")</f>
        <v>Lyromix 3 in 1 ソファベッド リビングルーム用 コンバーチブル 二人掛けスリーパー フルサイズ ベルベット引き出し式ソファ 枕2個&amp;取り外し可能な収納バッグ付き ブラック</v>
      </c>
    </row>
    <row r="3528" ht="15.75" customHeight="1">
      <c r="A3528" s="1">
        <v>4385.0</v>
      </c>
      <c r="B3528" s="1" t="s">
        <v>15</v>
      </c>
      <c r="C3528" s="1" t="s">
        <v>2182</v>
      </c>
      <c r="D3528" s="1" t="str">
        <f>IFERROR(__xludf.DUMMYFUNCTION("CONCATENATE(GOOGLETRANSLATE(C3528, ""en"", ""zh-cn""))"),"YESHOMY 铆钉中世纪软垫现代沙发无需组装双人沙发，配有坚固的木脚，77 W，深灰色，无阴影天鹅绒")</f>
        <v>YESHOMY 铆钉中世纪软垫现代沙发无需组装双人沙发，配有坚固的木脚，77 W，深灰色，无阴影天鹅绒</v>
      </c>
      <c r="E3528" s="1" t="str">
        <f>IFERROR(__xludf.DUMMYFUNCTION("CONCATENATE(GOOGLETRANSLATE(C3528, ""en"", ""ko""))"),"YESHOMY 리벳 덮개를 씌운 현대식 소파 소파 조립이 필요하지 않습니다. 튼튼한 나무 발이 있는 이인용 의자, 77W, 음영 처리된 벨벳이 없는 짙은 회색")</f>
        <v>YESHOMY 리벳 덮개를 씌운 현대식 소파 소파 조립이 필요하지 않습니다. 튼튼한 나무 발이 있는 이인용 의자, 77W, 음영 처리된 벨벳이 없는 짙은 회색</v>
      </c>
      <c r="F3528" s="1" t="str">
        <f>IFERROR(__xludf.DUMMYFUNCTION("CONCATENATE(GOOGLETRANSLATE(C3528, ""en"", ""ja""))"),"YESHOMY リベットミッドセンチュリー布張りモダンソファカウチ組立不要二人掛け丈夫な木製脚付き、77 W、ダークグレー、シェードベルベットなし")</f>
        <v>YESHOMY リベットミッドセンチュリー布張りモダンソファカウチ組立不要二人掛け丈夫な木製脚付き、77 W、ダークグレー、シェードベルベットなし</v>
      </c>
    </row>
    <row r="3529" ht="15.75" customHeight="1">
      <c r="A3529" s="1">
        <v>4418.0</v>
      </c>
      <c r="B3529" s="1" t="s">
        <v>15</v>
      </c>
      <c r="C3529" s="1" t="s">
        <v>3193</v>
      </c>
      <c r="D3529" s="1" t="str">
        <f>IFERROR(__xludf.DUMMYFUNCTION("CONCATENATE(GOOGLETRANSLATE(C3529, ""en"", ""zh-cn""))"),"Ashley Darcy 签名设计休闲毛绒沙发，棕色")</f>
        <v>Ashley Darcy 签名设计休闲毛绒沙发，棕色</v>
      </c>
      <c r="E3529" s="1" t="str">
        <f>IFERROR(__xludf.DUMMYFUNCTION("CONCATENATE(GOOGLETRANSLATE(C3529, ""en"", ""ko""))"),"Ashley Darcy의 시그니처 디자인 캐주얼 플러시 소파, 브라운")</f>
        <v>Ashley Darcy의 시그니처 디자인 캐주얼 플러시 소파, 브라운</v>
      </c>
      <c r="F3529" s="1" t="str">
        <f>IFERROR(__xludf.DUMMYFUNCTION("CONCATENATE(GOOGLETRANSLATE(C3529, ""en"", ""ja""))"),"アシュリー・ダーシーによるサインデザイン カジュアルプラッシュソファ、ブラウン")</f>
        <v>アシュリー・ダーシーによるサインデザイン カジュアルプラッシュソファ、ブラウン</v>
      </c>
    </row>
    <row r="3530" ht="15.75" customHeight="1">
      <c r="A3530" s="1">
        <v>4427.0</v>
      </c>
      <c r="B3530" s="1" t="s">
        <v>15</v>
      </c>
      <c r="C3530" s="1" t="s">
        <v>1686</v>
      </c>
      <c r="D3530" s="1" t="str">
        <f>IFERROR(__xludf.DUMMYFUNCTION("CONCATENATE(GOOGLETRANSLATE(C3530, ""en"", ""zh-cn""))"),"柔和的 HANA 现代亚麻布艺沙发，带扶手口袋，深希瑟灰色")</f>
        <v>柔和的 HANA 现代亚麻布艺沙发，带扶手口袋，深希瑟灰色</v>
      </c>
      <c r="E3530" s="1" t="str">
        <f>IFERROR(__xludf.DUMMYFUNCTION("CONCATENATE(GOOGLETRANSLATE(C3530, ""en"", ""ko""))"),"팔걸이 주머니가 있는 부드러운 HANA 모던한 리넨 패브릭 소파 소파, 다크 헤더 그레이")</f>
        <v>팔걸이 주머니가 있는 부드러운 HANA 모던한 리넨 패브릭 소파 소파, 다크 헤더 그레이</v>
      </c>
      <c r="F3530" s="1" t="str">
        <f>IFERROR(__xludf.DUMMYFUNCTION("CONCATENATE(GOOGLETRANSLATE(C3530, ""en"", ""ja""))"),"まろやかなHANAモダンリネンファブリックソファカウチアームレストポケット付き、ダークヘザーグレー")</f>
        <v>まろやかなHANAモダンリネンファブリックソファカウチアームレストポケット付き、ダークヘザーグレー</v>
      </c>
    </row>
    <row r="3531" ht="15.75" customHeight="1">
      <c r="A3531" s="1">
        <v>4439.0</v>
      </c>
      <c r="B3531" s="1" t="s">
        <v>15</v>
      </c>
      <c r="C3531" s="1" t="s">
        <v>3194</v>
      </c>
      <c r="D3531" s="1" t="str">
        <f>IFERROR(__xludf.DUMMYFUNCTION("CONCATENATE(GOOGLETRANSLATE(C3531, ""en"", ""zh-cn""))"),"ACME 自助餐，樱桃")</f>
        <v>ACME 自助餐，樱桃</v>
      </c>
      <c r="E3531" s="1" t="str">
        <f>IFERROR(__xludf.DUMMYFUNCTION("CONCATENATE(GOOGLETRANSLATE(C3531, ""en"", ""ko""))"),"ACME 허치 앤 뷔페, 체리")</f>
        <v>ACME 허치 앤 뷔페, 체리</v>
      </c>
      <c r="F3531" s="1" t="str">
        <f>IFERROR(__xludf.DUMMYFUNCTION("CONCATENATE(GOOGLETRANSLATE(C3531, ""en"", ""ja""))"),"ACME ハッチ＆ビュッフェ、チェリー")</f>
        <v>ACME ハッチ＆ビュッフェ、チェリー</v>
      </c>
    </row>
    <row r="3532" ht="15.75" customHeight="1">
      <c r="A3532" s="1">
        <v>4450.0</v>
      </c>
      <c r="B3532" s="1" t="s">
        <v>15</v>
      </c>
      <c r="C3532" s="1" t="s">
        <v>3195</v>
      </c>
      <c r="D3532" s="1" t="str">
        <f>IFERROR(__xludf.DUMMYFUNCTION("CONCATENATE(GOOGLETRANSLATE(C3532, ""en"", ""zh-cn""))"),"toyshi 睫毛LED落地灯，月亮落地灯，睫毛延长环形灯，美容照明，护肤，睫毛，眉毛，拍摄内容创作")</f>
        <v>toyshi 睫毛LED落地灯，月亮落地灯，睫毛延长环形灯，美容照明，护肤，睫毛，眉毛，拍摄内容创作</v>
      </c>
      <c r="E3532" s="1" t="str">
        <f>IFERROR(__xludf.DUMMYFUNCTION("CONCATENATE(GOOGLETRANSLATE(C3532, ""en"", ""ko""))"),"toyshi 속눈썹 LED 플로어 라이트, 달 플로어 램프, 속눈썹 연장용 링 라이트, 뷰티 조명, 스킨케어, 속눈썹, 눈썹, 촬영 콘텐츠 제작")</f>
        <v>toyshi 속눈썹 LED 플로어 라이트, 달 플로어 램프, 속눈썹 연장용 링 라이트, 뷰티 조명, 스킨케어, 속눈썹, 눈썹, 촬영 콘텐츠 제작</v>
      </c>
      <c r="F3532" s="1" t="str">
        <f>IFERROR(__xludf.DUMMYFUNCTION("CONCATENATE(GOOGLETRANSLATE(C3532, ""en"", ""ja""))"),"toyshi Eyelash LEDフロアライト、ムーンフロアランプ、まつげエクステ用リングライト、美容用照明、スキンケア、まつげ、眉毛、撮影コンテンツ制作")</f>
        <v>toyshi Eyelash LEDフロアライト、ムーンフロアランプ、まつげエクステ用リングライト、美容用照明、スキンケア、まつげ、眉毛、撮影コンテンツ制作</v>
      </c>
    </row>
    <row r="3533" ht="15.75" customHeight="1">
      <c r="A3533" s="1">
        <v>4454.0</v>
      </c>
      <c r="B3533" s="1" t="s">
        <v>15</v>
      </c>
      <c r="C3533" s="1" t="s">
        <v>3196</v>
      </c>
      <c r="D3533" s="1" t="str">
        <f>IFERROR(__xludf.DUMMYFUNCTION("CONCATENATE(GOOGLETRANSLATE(C3533, ""en"", ""zh-cn""))"),"香奈儿 Sublimage Le Teint 终极光彩粉底霜 No 10 米色")</f>
        <v>香奈儿 Sublimage Le Teint 终极光彩粉底霜 No 10 米色</v>
      </c>
      <c r="E3533" s="1" t="str">
        <f>IFERROR(__xludf.DUMMYFUNCTION("CONCATENATE(GOOGLETRANSLATE(C3533, ""en"", ""ko""))"),"샤넬 수블리마지 르 뗑 얼티미트 래디언스 제너레이팅 크림 파운데이션 No 10 베이지")</f>
        <v>샤넬 수블리마지 르 뗑 얼티미트 래디언스 제너레이팅 크림 파운데이션 No 10 베이지</v>
      </c>
      <c r="F3533" s="1" t="str">
        <f>IFERROR(__xludf.DUMMYFUNCTION("CONCATENATE(GOOGLETRANSLATE(C3533, ""en"", ""ja""))"),"サブリマージュ ル タン アルティメット ラディアンス ジェネレーティング クリーム ファンデーション by シャネル No 10 ベージュ")</f>
        <v>サブリマージュ ル タン アルティメット ラディアンス ジェネレーティング クリーム ファンデーション by シャネル No 10 ベージュ</v>
      </c>
    </row>
    <row r="3534" ht="15.75" customHeight="1">
      <c r="A3534" s="1">
        <v>4457.0</v>
      </c>
      <c r="B3534" s="1" t="s">
        <v>15</v>
      </c>
      <c r="C3534" s="1" t="s">
        <v>3197</v>
      </c>
      <c r="D3534" s="1" t="str">
        <f>IFERROR(__xludf.DUMMYFUNCTION("CONCATENATE(GOOGLETRANSLATE(C3534, ""en"", ""zh-cn""))"),"Chanel Sublimage Le Teint 底妆，加玻璃罐和刷子 30 毫升")</f>
        <v>Chanel Sublimage Le Teint 底妆，加玻璃罐和刷子 30 毫升</v>
      </c>
      <c r="E3534" s="1" t="str">
        <f>IFERROR(__xludf.DUMMYFUNCTION("CONCATENATE(GOOGLETRANSLATE(C3534, ""en"", ""ko""))"),"샤넬 수블리마지 르 떼 배경 메이크업, 플러스 유리병 및 브러쉬 30ml")</f>
        <v>샤넬 수블리마지 르 떼 배경 메이크업, 플러스 유리병 및 브러쉬 30ml</v>
      </c>
      <c r="F3534" s="1" t="str">
        <f>IFERROR(__xludf.DUMMYFUNCTION("CONCATENATE(GOOGLETRANSLATE(C3534, ""en"", ""ja""))"),"シャネル サブリマージュ ル タン バックグラウンド メイクアップ、プラス ガラス ジャーとブラシ 30 ml")</f>
        <v>シャネル サブリマージュ ル タン バックグラウンド メイクアップ、プラス ガラス ジャーとブラシ 30 ml</v>
      </c>
    </row>
    <row r="3535" ht="15.75" customHeight="1">
      <c r="A3535" s="1">
        <v>4469.0</v>
      </c>
      <c r="B3535" s="1" t="s">
        <v>15</v>
      </c>
      <c r="C3535" s="1" t="s">
        <v>3198</v>
      </c>
      <c r="D3535" s="1" t="str">
        <f>IFERROR(__xludf.DUMMYFUNCTION("CONCATENATE(GOOGLETRANSLATE(C3535, ""en"", ""zh-cn""))"),"Qiounlse Tiffany Torchiere 落地灯 使命风格彩色玻璃灯罩 12 立式角落手电筒上照灯 69 高复古阅读灯适用于客厅卧室办公室")</f>
        <v>Qiounlse Tiffany Torchiere 落地灯 使命风格彩色玻璃灯罩 12 立式角落手电筒上照灯 69 高复古阅读灯适用于客厅卧室办公室</v>
      </c>
      <c r="E3535" s="1" t="str">
        <f>IFERROR(__xludf.DUMMYFUNCTION("CONCATENATE(GOOGLETRANSLATE(C3535, ""en"", ""ko""))"),"Qiounlse 티파니 Torchiere 플로어 램프 미션 스타일 스테인드 글라스 갓 12 스탠딩 코너 토치 업라이트 램프 69 거실 침실 사무실용 키 큰 빈티지 독서 조명기구")</f>
        <v>Qiounlse 티파니 Torchiere 플로어 램프 미션 스타일 스테인드 글라스 갓 12 스탠딩 코너 토치 업라이트 램프 69 거실 침실 사무실용 키 큰 빈티지 독서 조명기구</v>
      </c>
      <c r="F3535" s="1" t="str">
        <f>IFERROR(__xludf.DUMMYFUNCTION("CONCATENATE(GOOGLETRANSLATE(C3535, ""en"", ""ja""))"),"Qiounlse ティファニー トーチエール フロアランプ ミッションスタイル ステンドグラスシェード 12 スタンディングコーナートーチアップライトランプ 69 高さのヴィンテージ読書灯器具 リビングルーム ベッドルーム オフィス用")</f>
        <v>Qiounlse ティファニー トーチエール フロアランプ ミッションスタイル ステンドグラスシェード 12 スタンディングコーナートーチアップライトランプ 69 高さのヴィンテージ読書灯器具 リビングルーム ベッドルーム オフィス用</v>
      </c>
    </row>
    <row r="3536" ht="15.75" customHeight="1">
      <c r="A3536" s="1">
        <v>4481.0</v>
      </c>
      <c r="B3536" s="1" t="s">
        <v>15</v>
      </c>
      <c r="C3536" s="1" t="s">
        <v>3199</v>
      </c>
      <c r="D3536" s="1" t="str">
        <f>IFERROR(__xludf.DUMMYFUNCTION("CONCATENATE(GOOGLETRANSLATE(C3536, ""en"", ""zh-cn""))"),"SISLEY 希思黎 眼部轮廓面膜 30ml/1oz (10093)")</f>
        <v>SISLEY 希思黎 眼部轮廓面膜 30ml/1oz (10093)</v>
      </c>
      <c r="E3536" s="1" t="str">
        <f>IFERROR(__xludf.DUMMYFUNCTION("CONCATENATE(GOOGLETRANSLATE(C3536, ""en"", ""ko""))"),"시슬리 아이 컨투어 마스크 30ml/1oz (10093)")</f>
        <v>시슬리 아이 컨투어 마스크 30ml/1oz (10093)</v>
      </c>
      <c r="F3536" s="1" t="str">
        <f>IFERROR(__xludf.DUMMYFUNCTION("CONCATENATE(GOOGLETRANSLATE(C3536, ""en"", ""ja""))"),"シスレー アイ コンター マスク 30ml/1oz (10093)")</f>
        <v>シスレー アイ コンター マスク 30ml/1oz (10093)</v>
      </c>
    </row>
    <row r="3537" ht="15.75" customHeight="1">
      <c r="A3537" s="1">
        <v>4483.0</v>
      </c>
      <c r="B3537" s="1" t="s">
        <v>15</v>
      </c>
      <c r="C3537" s="1" t="s">
        <v>3200</v>
      </c>
      <c r="D3537" s="1" t="str">
        <f>IFERROR(__xludf.DUMMYFUNCTION("CONCATENATE(GOOGLETRANSLATE(C3537, ""en"", ""zh-cn""))"),"SISLEY 日夜生态复合剂（带泵）， 2 盎司")</f>
        <v>SISLEY 日夜生态复合剂（带泵）， 2 盎司</v>
      </c>
      <c r="E3537" s="1" t="str">
        <f>IFERROR(__xludf.DUMMYFUNCTION("CONCATENATE(GOOGLETRANSLATE(C3537, ""en"", ""ko""))"),"SISLEY 친환경 화합물 주야간(펌프 포함), 2온스")</f>
        <v>SISLEY 친환경 화합물 주야간(펌프 포함), 2온스</v>
      </c>
      <c r="F3537" s="1" t="str">
        <f>IFERROR(__xludf.DUMMYFUNCTION("CONCATENATE(GOOGLETRANSLATE(C3537, ""en"", ""ja""))"),"シスレー エコロジカル コンパウンド デイアンドナイト (ポンプ付き)、2オンス")</f>
        <v>シスレー エコロジカル コンパウンド デイアンドナイト (ポンプ付き)、2オンス</v>
      </c>
    </row>
    <row r="3538" ht="15.75" customHeight="1">
      <c r="A3538" s="1">
        <v>4486.0</v>
      </c>
      <c r="B3538" s="1" t="s">
        <v>15</v>
      </c>
      <c r="C3538" s="1" t="s">
        <v>3201</v>
      </c>
      <c r="D3538" s="1" t="str">
        <f>IFERROR(__xludf.DUMMYFUNCTION("CONCATENATE(GOOGLETRANSLATE(C3538, ""en"", ""zh-cn""))"),"ELEMIS 胶原蛋白海洋霜 |轻盈抗皱日常面部保湿霜，含有强大的海洋 + 植物活性成分，可紧致、平滑和保湿")</f>
        <v>ELEMIS 胶原蛋白海洋霜 |轻盈抗皱日常面部保湿霜，含有强大的海洋 + 植物活性成分，可紧致、平滑和保湿</v>
      </c>
      <c r="E3538" s="1" t="str">
        <f>IFERROR(__xludf.DUMMYFUNCTION("CONCATENATE(GOOGLETRANSLATE(C3538, ""en"", ""ko""))"),"엘레미스 프로콜라겐 마린 크림 | 가벼운 주름 방지 데일리 페이스 모이스처라이저 강력한 해양 + 식물 활성 성분으로 피부를 탄력 있고 매끄럽게 하며 수분을 공급합니다")</f>
        <v>엘레미스 프로콜라겐 마린 크림 | 가벼운 주름 방지 데일리 페이스 모이스처라이저 강력한 해양 + 식물 활성 성분으로 피부를 탄력 있고 매끄럽게 하며 수분을 공급합니다</v>
      </c>
      <c r="F3538" s="1" t="str">
        <f>IFERROR(__xludf.DUMMYFUNCTION("CONCATENATE(GOOGLETRANSLATE(C3538, ""en"", ""ja""))"),"ELEMIS プロコラーゲンマリンクリーム |軽量のシワ防止デイリーフェイスモイスチャライザーは、強力な海洋性 + 植物性有効成分で肌を引き締め、滑らかにし、潤いを与えます。")</f>
        <v>ELEMIS プロコラーゲンマリンクリーム |軽量のシワ防止デイリーフェイスモイスチャライザーは、強力な海洋性 + 植物性有効成分で肌を引き締め、滑らかにし、潤いを与えます。</v>
      </c>
    </row>
    <row r="3539" ht="15.75" customHeight="1">
      <c r="A3539" s="1">
        <v>4490.0</v>
      </c>
      <c r="B3539" s="1" t="s">
        <v>15</v>
      </c>
      <c r="C3539" s="1" t="s">
        <v>3202</v>
      </c>
      <c r="D3539" s="1" t="str">
        <f>IFERROR(__xludf.DUMMYFUNCTION("CONCATENATE(GOOGLETRANSLATE(C3539, ""en"", ""zh-cn""))"),"UGWUIA Led 面膜光疗 7 色 Led 光疗面膜蓝光红光治疗面部痤疮护肤面膜")</f>
        <v>UGWUIA Led 面膜光疗 7 色 Led 光疗面膜蓝光红光治疗面部痤疮护肤面膜</v>
      </c>
      <c r="E3539" s="1" t="str">
        <f>IFERROR(__xludf.DUMMYFUNCTION("CONCATENATE(GOOGLETRANSLATE(C3539, ""en"", ""ko""))"),"UGWIA Led 페이스 마스크 라이트 테라피 7 색 Led 라이트 테라피 페이셜 마스크 얼굴 여드름 감소 스킨 케어 마스크를위한 블루 레드 라이트 테라피")</f>
        <v>UGWIA Led 페이스 마스크 라이트 테라피 7 색 Led 라이트 테라피 페이셜 마스크 얼굴 여드름 감소 스킨 케어 마스크를위한 블루 레드 라이트 테라피</v>
      </c>
      <c r="F3539" s="1" t="str">
        <f>IFERROR(__xludf.DUMMYFUNCTION("CONCATENATE(GOOGLETRANSLATE(C3539, ""en"", ""ja""))"),"UGWUIA LED フェイスマスク ライトセラピー 7 色 LED ライトセラピー フェイシャルマスク 青 赤 ライトセラピー 顔用 ニキビ軽減 スキンケアマスク")</f>
        <v>UGWUIA LED フェイスマスク ライトセラピー 7 色 LED ライトセラピー フェイシャルマスク 青 赤 ライトセラピー 顔用 ニキビ軽減 スキンケアマスク</v>
      </c>
    </row>
    <row r="3540" ht="15.75" customHeight="1">
      <c r="A3540" s="1">
        <v>4509.0</v>
      </c>
      <c r="B3540" s="1" t="s">
        <v>15</v>
      </c>
      <c r="C3540" s="1" t="s">
        <v>3203</v>
      </c>
      <c r="D3540" s="1" t="str">
        <f>IFERROR(__xludf.DUMMYFUNCTION("CONCATENATE(GOOGLETRANSLATE(C3540, ""en"", ""zh-cn""))"),"sisley paris Phyto Hydra Teint 美容有色保湿霜 SPF 15-03 女士彩妆 1.3 盎司 No.2 中号")</f>
        <v>sisley paris Phyto Hydra Teint 美容有色保湿霜 SPF 15-03 女士彩妆 1.3 盎司 No.2 中号</v>
      </c>
      <c r="E3540" s="1" t="str">
        <f>IFERROR(__xludf.DUMMYFUNCTION("CONCATENATE(GOOGLETRANSLATE(C3540, ""en"", ""ko""))"),"시슬리 파리 피토 하이드라 떼인트 뷰티파잉 틴티드 모이스처라이저 SPF 15-03 여성 메이크업 1.3온스 No.2 미디엄")</f>
        <v>시슬리 파리 피토 하이드라 떼인트 뷰티파잉 틴티드 모이스처라이저 SPF 15-03 여성 메이크업 1.3온스 No.2 미디엄</v>
      </c>
      <c r="F3540" s="1" t="str">
        <f>IFERROR(__xludf.DUMMYFUNCTION("CONCATENATE(GOOGLETRANSLATE(C3540, ""en"", ""ja""))"),"シスレー パリ フィト ハイドラ テイント ビューティファイング ティンテッド モイスチャライザー SPF 15-03 女性用メイクアップ 1.3 オンス No.2 ミディアム")</f>
        <v>シスレー パリ フィト ハイドラ テイント ビューティファイング ティンテッド モイスチャライザー SPF 15-03 女性用メイクアップ 1.3 オンス No.2 ミディアム</v>
      </c>
    </row>
    <row r="3541" ht="15.75" customHeight="1">
      <c r="A3541" s="1">
        <v>4510.0</v>
      </c>
      <c r="B3541" s="1" t="s">
        <v>15</v>
      </c>
      <c r="C3541" s="1" t="s">
        <v>3204</v>
      </c>
      <c r="D3541" s="1" t="str">
        <f>IFERROR(__xludf.DUMMYFUNCTION("CONCATENATE(GOOGLETRANSLATE(C3541, ""en"", ""zh-cn""))"),"Sisley 黄瓜植物保湿霜，1.5 盎司罐装")</f>
        <v>Sisley 黄瓜植物保湿霜，1.5 盎司罐装</v>
      </c>
      <c r="E3541" s="1" t="str">
        <f>IFERROR(__xludf.DUMMYFUNCTION("CONCATENATE(GOOGLETRANSLATE(C3541, ""en"", ""ko""))"),"오이 함유 시슬리 보태니컬 모이스처라이저, 1.5온스 병")</f>
        <v>오이 함유 시슬리 보태니컬 모이스처라이저, 1.5온스 병</v>
      </c>
      <c r="F3541" s="1" t="str">
        <f>IFERROR(__xludf.DUMMYFUNCTION("CONCATENATE(GOOGLETRANSLATE(C3541, ""en"", ""ja""))"),"シスレー ボタニカル モイスチャライザー キュウリ入り 1.5オンス ジャー")</f>
        <v>シスレー ボタニカル モイスチャライザー キュウリ入り 1.5オンス ジャー</v>
      </c>
    </row>
    <row r="3542" ht="15.75" customHeight="1">
      <c r="A3542" s="1">
        <v>4539.0</v>
      </c>
      <c r="B3542" s="1" t="s">
        <v>15</v>
      </c>
      <c r="C3542" s="1" t="s">
        <v>2326</v>
      </c>
      <c r="D3542" s="1" t="str">
        <f>IFERROR(__xludf.DUMMYFUNCTION("CONCATENATE(GOOGLETRANSLATE(C3542, ""en"", ""zh-cn""))"),"Dermalogica 皮脂清除面膜（2.5 液量盎司） - 含有水杨酸的抗衰老粘土面膜 - 吸收多余油脂，舒缓和细化肌肤纹理")</f>
        <v>Dermalogica 皮脂清除面膜（2.5 液量盎司） - 含有水杨酸的抗衰老粘土面膜 - 吸收多余油脂，舒缓和细化肌肤纹理</v>
      </c>
      <c r="E3542" s="1" t="str">
        <f>IFERROR(__xludf.DUMMYFUNCTION("CONCATENATE(GOOGLETRANSLATE(C3542, ""en"", ""ko""))"),"Dermalogica 피지 클리어링 마스크(2.5 Fl Oz) - 살리실산이 함유된 안티 에이징 클레이 페이스 마스크 - 과도한 오일을 흡수하여 피부 결을 진정시키고 개선합니다")</f>
        <v>Dermalogica 피지 클리어링 마스크(2.5 Fl Oz) - 살리실산이 함유된 안티 에이징 클레이 페이스 마스크 - 과도한 오일을 흡수하여 피부 결을 진정시키고 개선합니다</v>
      </c>
      <c r="F3542" s="1" t="str">
        <f>IFERROR(__xludf.DUMMYFUNCTION("CONCATENATE(GOOGLETRANSLATE(C3542, ""en"", ""ja""))"),"Dermalogica シーバム クリアリング マスク (2.5 液量オンス) - サリチル酸配合のアンチエイジング クレイ フェイス マスク - 余分な油分を吸収し、肌の質感を落ち着かせて整えます")</f>
        <v>Dermalogica シーバム クリアリング マスク (2.5 液量オンス) - サリチル酸配合のアンチエイジング クレイ フェイス マスク - 余分な油分を吸収し、肌の質感を落ち着かせて整えます</v>
      </c>
    </row>
    <row r="3543" ht="15.75" customHeight="1">
      <c r="A3543" s="1">
        <v>4540.0</v>
      </c>
      <c r="B3543" s="1" t="s">
        <v>15</v>
      </c>
      <c r="C3543" s="1" t="s">
        <v>3205</v>
      </c>
      <c r="D3543" s="1" t="str">
        <f>IFERROR(__xludf.DUMMYFUNCTION("CONCATENATE(GOOGLETRANSLATE(C3543, ""en"", ""zh-cn""))"),"Sisley 3 柔和米色")</f>
        <v>Sisley 3 柔和米色</v>
      </c>
      <c r="E3543" s="1" t="str">
        <f>IFERROR(__xludf.DUMMYFUNCTION("CONCATENATE(GOOGLETRANSLATE(C3543, ""en"", ""ko""))"),"시슬리 3 소프트 베이지")</f>
        <v>시슬리 3 소프트 베이지</v>
      </c>
      <c r="F3543" s="1" t="str">
        <f>IFERROR(__xludf.DUMMYFUNCTION("CONCATENATE(GOOGLETRANSLATE(C3543, ""en"", ""ja""))"),"シスレー 3 ソフトベージュ")</f>
        <v>シスレー 3 ソフトベージュ</v>
      </c>
    </row>
    <row r="3544" ht="15.75" customHeight="1">
      <c r="A3544" s="1">
        <v>4553.0</v>
      </c>
      <c r="B3544" s="1" t="s">
        <v>15</v>
      </c>
      <c r="C3544" s="1" t="s">
        <v>3206</v>
      </c>
      <c r="D3544" s="1" t="str">
        <f>IFERROR(__xludf.DUMMYFUNCTION("CONCATENATE(GOOGLETRANSLATE(C3544, ""en"", ""zh-cn""))"),"DIME Beauty 紧致紧致精华液，1 片")</f>
        <v>DIME Beauty 紧致紧致精华液，1 片</v>
      </c>
      <c r="E3544" s="1" t="str">
        <f>IFERROR(__xludf.DUMMYFUNCTION("CONCATENATE(GOOGLETRANSLATE(C3544, ""en"", ""ko""))"),"피부 탄력 및 퍼밍을 위한 DIME 뷰티 슈퍼 펌 세럼, 1개")</f>
        <v>피부 탄력 및 퍼밍을 위한 DIME 뷰티 슈퍼 펌 세럼, 1개</v>
      </c>
      <c r="F3544" s="1" t="str">
        <f>IFERROR(__xludf.DUMMYFUNCTION("CONCATENATE(GOOGLETRANSLATE(C3544, ""en"", ""ja""))"),"DIME Beauty スーパーファームセラム 肌の引き締め・引き締め 1本")</f>
        <v>DIME Beauty スーパーファームセラム 肌の引き締め・引き締め 1本</v>
      </c>
    </row>
    <row r="3545" ht="15.75" customHeight="1">
      <c r="A3545" s="1">
        <v>4561.0</v>
      </c>
      <c r="B3545" s="1" t="s">
        <v>15</v>
      </c>
      <c r="C3545" s="1" t="s">
        <v>3207</v>
      </c>
      <c r="D3545" s="1" t="str">
        <f>IFERROR(__xludf.DUMMYFUNCTION("CONCATENATE(GOOGLETRANSLATE(C3545, ""en"", ""zh-cn""))"),"Sand &amp; Sky 澳大利亚粉红粘土毛孔细致面膜，针对黑头、毛孔粗大和色素沉着")</f>
        <v>Sand &amp; Sky 澳大利亚粉红粘土毛孔细致面膜，针对黑头、毛孔粗大和色素沉着</v>
      </c>
      <c r="E3545" s="1" t="str">
        <f>IFERROR(__xludf.DUMMYFUNCTION("CONCATENATE(GOOGLETRANSLATE(C3545, ""en"", ""ko""))"),"블랙헤드, 모공 확대 및 색소침착을 위한 샌드 앤 스카이 오스트레일리안 핑크 클레이 포어파이닝 마스크")</f>
        <v>블랙헤드, 모공 확대 및 색소침착을 위한 샌드 앤 스카이 오스트레일리안 핑크 클레이 포어파이닝 마스크</v>
      </c>
      <c r="F3545" s="1" t="str">
        <f>IFERROR(__xludf.DUMMYFUNCTION("CONCATENATE(GOOGLETRANSLATE(C3545, ""en"", ""ja""))"),"Sand &amp; Sky オーストラリアン ピンク クレイ ポアファイニング マスク 黒ずみ、毛穴の拡大、色素沈着用")</f>
        <v>Sand &amp; Sky オーストラリアン ピンク クレイ ポアファイニング マスク 黒ずみ、毛穴の拡大、色素沈着用</v>
      </c>
    </row>
    <row r="3546" ht="15.75" customHeight="1">
      <c r="A3546" s="1">
        <v>4562.0</v>
      </c>
      <c r="B3546" s="1" t="s">
        <v>15</v>
      </c>
      <c r="C3546" s="1" t="s">
        <v>3208</v>
      </c>
      <c r="D3546" s="1" t="str">
        <f>IFERROR(__xludf.DUMMYFUNCTION("CONCATENATE(GOOGLETRANSLATE(C3546, ""en"", ""zh-cn""))"),"toyshi 隐藏摄像头探测器 - 隐藏设备探测器，错误探测器，反间谍探测器，GPS 跟踪器和监听设备干扰器，家庭办公汽车和旅行用隐藏摄像头探测器")</f>
        <v>toyshi 隐藏摄像头探测器 - 隐藏设备探测器，错误探测器，反间谍探测器，GPS 跟踪器和监听设备干扰器，家庭办公汽车和旅行用隐藏摄像头探测器</v>
      </c>
      <c r="E3546" s="1" t="str">
        <f>IFERROR(__xludf.DUMMYFUNCTION("CONCATENATE(GOOGLETRANSLATE(C3546, ""en"", ""ko""))"),"toyshi 숨겨진 카메라 탐지기 - 숨겨진 장치 탐지기, 버그 탐지기, 안티 스파이 탐지기, GPS 추적기 및 청취 장치 전파 방해기, 홈 오피스 자동차 및 여행용 숨겨진 카메라 탐지기")</f>
        <v>toyshi 숨겨진 카메라 탐지기 - 숨겨진 장치 탐지기, 버그 탐지기, 안티 스파이 탐지기, GPS 추적기 및 청취 장치 전파 방해기, 홈 오피스 자동차 및 여행용 숨겨진 카메라 탐지기</v>
      </c>
      <c r="F3546" s="1" t="str">
        <f>IFERROR(__xludf.DUMMYFUNCTION("CONCATENATE(GOOGLETRANSLATE(C3546, ""en"", ""ja""))"),"toyshi 隠しカメラ検出器 - 隠しデバイス検出器、盗聴器検出器、アンチスパイ検出器、GPS トラッカー &amp; 盗聴器ジャマー、ホームオフィス自動車および旅行用隠しカメラ検出器")</f>
        <v>toyshi 隠しカメラ検出器 - 隠しデバイス検出器、盗聴器検出器、アンチスパイ検出器、GPS トラッカー &amp; 盗聴器ジャマー、ホームオフィス自動車および旅行用隠しカメラ検出器</v>
      </c>
    </row>
    <row r="3547" ht="15.75" customHeight="1">
      <c r="A3547" s="1">
        <v>4644.0</v>
      </c>
      <c r="B3547" s="1" t="s">
        <v>15</v>
      </c>
      <c r="C3547" s="1" t="s">
        <v>3209</v>
      </c>
      <c r="D3547" s="1" t="str">
        <f>IFERROR(__xludf.DUMMYFUNCTION("CONCATENATE(GOOGLETRANSLATE(C3547, ""en"", ""zh-cn""))"),"Fitterfirst Pro Fitter 3D 交叉训练器和速降滑雪训练器")</f>
        <v>Fitterfirst Pro Fitter 3D 交叉训练器和速降滑雪训练器</v>
      </c>
      <c r="E3547" s="1" t="str">
        <f>IFERROR(__xludf.DUMMYFUNCTION("CONCATENATE(GOOGLETRANSLATE(C3547, ""en"", ""ko""))"),"Fitterfirst Pro Fitter 3D 크로스 트레이너 및 다운힐 스키 트레이너")</f>
        <v>Fitterfirst Pro Fitter 3D 크로스 트레이너 및 다운힐 스키 트레이너</v>
      </c>
      <c r="F3547" s="1" t="str">
        <f>IFERROR(__xludf.DUMMYFUNCTION("CONCATENATE(GOOGLETRANSLATE(C3547, ""en"", ""ja""))"),"Fitterfirst Pro Fitter 3D クロス トレーナーとダウンヒル スキー トレーナー")</f>
        <v>Fitterfirst Pro Fitter 3D クロス トレーナーとダウンヒル スキー トレーナー</v>
      </c>
    </row>
    <row r="3548" ht="15.75" customHeight="1">
      <c r="A3548" s="1">
        <v>4648.0</v>
      </c>
      <c r="B3548" s="1" t="s">
        <v>15</v>
      </c>
      <c r="C3548" s="1" t="s">
        <v>2325</v>
      </c>
      <c r="D3548" s="1" t="str">
        <f>IFERROR(__xludf.DUMMYFUNCTION("CONCATENATE(GOOGLETRANSLATE(C3548, ""en"", ""zh-cn""))"),"Drako 2 SRS 山地自行车鞋")</f>
        <v>Drako 2 SRS 山地自行车鞋</v>
      </c>
      <c r="E3548" s="1" t="str">
        <f>IFERROR(__xludf.DUMMYFUNCTION("CONCATENATE(GOOGLETRANSLATE(C3548, ""en"", ""ko""))"),"Drako 2 SRS 산악 자전거 신발")</f>
        <v>Drako 2 SRS 산악 자전거 신발</v>
      </c>
      <c r="F3548" s="1" t="str">
        <f>IFERROR(__xludf.DUMMYFUNCTION("CONCATENATE(GOOGLETRANSLATE(C3548, ""en"", ""ja""))"),"Drako 2 SRS マウンテン バイク シューズ")</f>
        <v>Drako 2 SRS マウンテン バイク シューズ</v>
      </c>
    </row>
    <row r="3549" ht="15.75" customHeight="1">
      <c r="A3549" s="1">
        <v>4670.0</v>
      </c>
      <c r="B3549" s="1" t="s">
        <v>15</v>
      </c>
      <c r="C3549" s="1" t="s">
        <v>2013</v>
      </c>
      <c r="D3549" s="1" t="str">
        <f>IFERROR(__xludf.DUMMYFUNCTION("CONCATENATE(GOOGLETRANSLATE(C3549, ""en"", ""zh-cn""))"),"Tilt Industries - 自行车平衡训练器|自行车修理架/平衡训练器组合")</f>
        <v>Tilt Industries - 自行车平衡训练器|自行车修理架/平衡训练器组合</v>
      </c>
      <c r="E3549" s="1" t="str">
        <f>IFERROR(__xludf.DUMMYFUNCTION("CONCATENATE(GOOGLETRANSLATE(C3549, ""en"", ""ko""))"),"Tilt Industries - 자전거 밸런스 트레이너 | 자전거 수리 스탠드/밸런스 트레이너 콤보")</f>
        <v>Tilt Industries - 자전거 밸런스 트레이너 | 자전거 수리 스탠드/밸런스 트레이너 콤보</v>
      </c>
      <c r="F3549" s="1" t="str">
        <f>IFERROR(__xludf.DUMMYFUNCTION("CONCATENATE(GOOGLETRANSLATE(C3549, ""en"", ""ja""))"),"Tilt Industries - バイクバランストレーナー |自転車修理スタンド/バランストレーナーコンボ")</f>
        <v>Tilt Industries - バイクバランストレーナー |自転車修理スタンド/バランストレーナーコンボ</v>
      </c>
    </row>
    <row r="3550" ht="15.75" customHeight="1">
      <c r="A3550" s="1">
        <v>4671.0</v>
      </c>
      <c r="B3550" s="1" t="s">
        <v>15</v>
      </c>
      <c r="C3550" s="1" t="s">
        <v>2843</v>
      </c>
      <c r="D3550" s="1" t="str">
        <f>IFERROR(__xludf.DUMMYFUNCTION("CONCATENATE(GOOGLETRANSLATE(C3550, ""en"", ""zh-cn""))"),"60uP 家庭平衡板计划训练系统，适合老年人，恢复或保持平衡、力量、协调性和神经大脑连接")</f>
        <v>60uP 家庭平衡板计划训练系统，适合老年人，恢复或保持平衡、力量、协调性和神经大脑连接</v>
      </c>
      <c r="E3550" s="1" t="str">
        <f>IFERROR(__xludf.DUMMYFUNCTION("CONCATENATE(GOOGLETRANSLATE(C3550, ""en"", ""ko""))"),"노인을 위한 60uP 홈 밸런스 보드 프로그램 교육 시스템, 균형 회복 또는 유지, 힘, 정렬 및 신경 뇌 연결")</f>
        <v>노인을 위한 60uP 홈 밸런스 보드 프로그램 교육 시스템, 균형 회복 또는 유지, 힘, 정렬 및 신경 뇌 연결</v>
      </c>
      <c r="F3550" s="1" t="str">
        <f>IFERROR(__xludf.DUMMYFUNCTION("CONCATENATE(GOOGLETRANSLATE(C3550, ""en"", ""ja""))"),"60uP 高齢者向けホームバランスボードプログラムトレーニングシステム、バランス、筋力、調整、神経脳の接続を回復または維持")</f>
        <v>60uP 高齢者向けホームバランスボードプログラムトレーニングシステム、バランス、筋力、調整、神経脳の接続を回復または維持</v>
      </c>
    </row>
    <row r="3551" ht="15.75" customHeight="1">
      <c r="A3551" s="1">
        <v>4681.0</v>
      </c>
      <c r="B3551" s="1" t="s">
        <v>15</v>
      </c>
      <c r="C3551" s="1" t="s">
        <v>2791</v>
      </c>
      <c r="D3551" s="1" t="str">
        <f>IFERROR(__xludf.DUMMYFUNCTION("CONCATENATE(GOOGLETRANSLATE(C3551, ""en"", ""zh-cn""))"),"罗林斯| HEART OF THE HIDE 棒球手套 |轻量级 HYPERSHELL 和 SPEEDSHELL 型号 |多种风格")</f>
        <v>罗林斯| HEART OF THE HIDE 棒球手套 |轻量级 HYPERSHELL 和 SPEEDSHELL 型号 |多种风格</v>
      </c>
      <c r="E3551" s="1" t="str">
        <f>IFERROR(__xludf.DUMMYFUNCTION("CONCATENATE(GOOGLETRANSLATE(C3551, ""en"", ""ko""))"),"롤링스 | 숨은 야구 글러브의 심장 | 경량 HYPERSHELL 및 SPEEDSHELL 모델 | 다양한 스타일")</f>
        <v>롤링스 | 숨은 야구 글러브의 심장 | 경량 HYPERSHELL 및 SPEEDSHELL 모델 | 다양한 스타일</v>
      </c>
      <c r="F3551" s="1" t="str">
        <f>IFERROR(__xludf.DUMMYFUNCTION("CONCATENATE(GOOGLETRANSLATE(C3551, ""en"", ""ja""))"),"ローリングス | HEART OF THE HIDE 野球グローブ |軽量HYPERSHELL &amp; SPEEDSHELLモデル |複数のスタイル")</f>
        <v>ローリングス | HEART OF THE HIDE 野球グローブ |軽量HYPERSHELL &amp; SPEEDSHELLモデル |複数のスタイル</v>
      </c>
    </row>
    <row r="3552" ht="15.75" customHeight="1">
      <c r="A3552" s="1">
        <v>4685.0</v>
      </c>
      <c r="B3552" s="1" t="s">
        <v>15</v>
      </c>
      <c r="C3552" s="1" t="s">
        <v>2014</v>
      </c>
      <c r="D3552" s="1" t="str">
        <f>IFERROR(__xludf.DUMMYFUNCTION("CONCATENATE(GOOGLETRANSLATE(C3552, ""en"", ""zh-cn""))"),"Atotfusion 棉质厚轻桌凳靠背坐垫瑜伽椅垫适用于室内/室外家庭办公室花园装饰棉质坐垫 3 座长凳坐垫，150 x 50 x 8 厘米（灰色）")</f>
        <v>Atotfusion 棉质厚轻桌凳靠背坐垫瑜伽椅垫适用于室内/室外家庭办公室花园装饰棉质坐垫 3 座长凳坐垫，150 x 50 x 8 厘米（灰色）</v>
      </c>
      <c r="E3552" s="1" t="str">
        <f>IFERROR(__xludf.DUMMYFUNCTION("CONCATENATE(GOOGLETRANSLATE(C3552, ""en"", ""ko""))"),"Atootfusion 면 두꺼운 경량 테이블 의자 뒷좌석 쿠션 요가 의자 패드 실내/실외 홈 오피스 정원 장식 면 쿠션 3인용 벤치 쿠션, 150 x 50 x 8 cm(회색)")</f>
        <v>Atootfusion 면 두꺼운 경량 테이블 의자 뒷좌석 쿠션 요가 의자 패드 실내/실외 홈 오피스 정원 장식 면 쿠션 3인용 벤치 쿠션, 150 x 50 x 8 cm(회색)</v>
      </c>
      <c r="F3552" s="1" t="str">
        <f>IFERROR(__xludf.DUMMYFUNCTION("CONCATENATE(GOOGLETRANSLATE(C3552, ""en"", ""ja""))"),"Atootfusion コットン 厚手 軽量 テーブル スツール バックシートクッション ヨガチェアパッド 屋内/屋外 ホームオフィス ガーデン装飾 コットンクッション 3人掛けベンチクッション 150 x 50 x 8 cm (グレー)")</f>
        <v>Atootfusion コットン 厚手 軽量 テーブル スツール バックシートクッション ヨガチェアパッド 屋内/屋外 ホームオフィス ガーデン装飾 コットンクッション 3人掛けベンチクッション 150 x 50 x 8 cm (グレー)</v>
      </c>
    </row>
    <row r="3553" ht="15.75" customHeight="1">
      <c r="A3553" s="1">
        <v>4692.0</v>
      </c>
      <c r="B3553" s="1" t="s">
        <v>15</v>
      </c>
      <c r="C3553" s="1" t="s">
        <v>2847</v>
      </c>
      <c r="D3553" s="1" t="str">
        <f>IFERROR(__xludf.DUMMYFUNCTION("CONCATENATE(GOOGLETRANSLATE(C3553, ""en"", ""zh-cn""))"),"Sidi Dominator 10 山地鞋")</f>
        <v>Sidi Dominator 10 山地鞋</v>
      </c>
      <c r="E3553" s="1" t="str">
        <f>IFERROR(__xludf.DUMMYFUNCTION("CONCATENATE(GOOGLETRANSLATE(C3553, ""en"", ""ko""))"),"시디 도미네이터 10 MTB 신발")</f>
        <v>시디 도미네이터 10 MTB 신발</v>
      </c>
      <c r="F3553" s="1" t="str">
        <f>IFERROR(__xludf.DUMMYFUNCTION("CONCATENATE(GOOGLETRANSLATE(C3553, ""en"", ""ja""))"),"シディ ドミネーター 10 MTB シューズ")</f>
        <v>シディ ドミネーター 10 MTB シューズ</v>
      </c>
    </row>
    <row r="3554" ht="15.75" customHeight="1">
      <c r="A3554" s="1">
        <v>4695.0</v>
      </c>
      <c r="B3554" s="1" t="s">
        <v>15</v>
      </c>
      <c r="C3554" s="1" t="s">
        <v>2846</v>
      </c>
      <c r="D3554" s="1" t="str">
        <f>IFERROR(__xludf.DUMMYFUNCTION("CONCATENATE(GOOGLETRANSLATE(C3554, ""en"", ""zh-cn""))"),"Troy Lee 设计 A3 MIPS 头盔")</f>
        <v>Troy Lee 设计 A3 MIPS 头盔</v>
      </c>
      <c r="E3554" s="1" t="str">
        <f>IFERROR(__xludf.DUMMYFUNCTION("CONCATENATE(GOOGLETRANSLATE(C3554, ""en"", ""ko""))"),"Troy Lee, A3 MIPS 헬멧 디자인")</f>
        <v>Troy Lee, A3 MIPS 헬멧 디자인</v>
      </c>
      <c r="F3554" s="1" t="str">
        <f>IFERROR(__xludf.DUMMYFUNCTION("CONCATENATE(GOOGLETRANSLATE(C3554, ""en"", ""ja""))"),"Troy Lee デザイン A3 MIPS ヘルメット")</f>
        <v>Troy Lee デザイン A3 MIPS ヘルメット</v>
      </c>
    </row>
    <row r="3555" ht="15.75" customHeight="1">
      <c r="A3555" s="1">
        <v>4697.0</v>
      </c>
      <c r="B3555" s="1" t="s">
        <v>15</v>
      </c>
      <c r="C3555" s="1" t="s">
        <v>2375</v>
      </c>
      <c r="D3555" s="1" t="str">
        <f>IFERROR(__xludf.DUMMYFUNCTION("CONCATENATE(GOOGLETRANSLATE(C3555, ""en"", ""zh-cn""))"),"Coleman WeatherMaster 6 人帐篷（带屏幕室）")</f>
        <v>Coleman WeatherMaster 6 人帐篷（带屏幕室）</v>
      </c>
      <c r="E3555" s="1" t="str">
        <f>IFERROR(__xludf.DUMMYFUNCTION("CONCATENATE(GOOGLETRANSLATE(C3555, ""en"", ""ko""))"),"콜맨 웨더마스터 6인용 텐트(스크린룸 포함)")</f>
        <v>콜맨 웨더마스터 6인용 텐트(스크린룸 포함)</v>
      </c>
      <c r="F3555" s="1" t="str">
        <f>IFERROR(__xludf.DUMMYFUNCTION("CONCATENATE(GOOGLETRANSLATE(C3555, ""en"", ""ja""))"),"コールマン ウェザーマスター 6人用テント スクリーンルーム付き")</f>
        <v>コールマン ウェザーマスター 6人用テント スクリーンルーム付き</v>
      </c>
    </row>
    <row r="3556" ht="15.75" customHeight="1">
      <c r="A3556" s="1">
        <v>4712.0</v>
      </c>
      <c r="B3556" s="1" t="s">
        <v>15</v>
      </c>
      <c r="C3556" s="1" t="s">
        <v>1838</v>
      </c>
      <c r="D3556" s="1" t="str">
        <f>IFERROR(__xludf.DUMMYFUNCTION("CONCATENATE(GOOGLETRANSLATE(C3556, ""en"", ""zh-cn""))"),"Ravensburger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3556" s="1" t="str">
        <f>IFERROR(__xludf.DUMMYFUNCTION("CONCATENATE(GOOGLETRANSLATE(C3556, ""en"", ""ko""))"),"Ravensburger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3556" s="1" t="str">
        <f>IFERROR(__xludf.DUMMYFUNCTION("CONCATENATE(GOOGLETRANSLATE(C3556, ""en"", ""ja""))"),"Ravensburger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3557" ht="15.75" customHeight="1">
      <c r="A3557" s="1">
        <v>4714.0</v>
      </c>
      <c r="B3557" s="1" t="s">
        <v>15</v>
      </c>
      <c r="C3557" s="1" t="s">
        <v>1903</v>
      </c>
      <c r="D3557" s="1" t="str">
        <f>IFERROR(__xludf.DUMMYFUNCTION("CONCATENATE(GOOGLETRANSLATE(C3557, ""en"", ""zh-cn""))"),"CuberShop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3557" s="1" t="str">
        <f>IFERROR(__xludf.DUMMYFUNCTION("CONCATENATE(GOOGLETRANSLATE(C3557, ""en"", ""ko""))"),"CuberShop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3557" s="1" t="str">
        <f>IFERROR(__xludf.DUMMYFUNCTION("CONCATENATE(GOOGLETRANSLATE(C3557, ""en"", ""ja""))"),"CuberShop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3558" ht="15.75" customHeight="1">
      <c r="A3558" s="1">
        <v>4730.0</v>
      </c>
      <c r="B3558" s="1" t="s">
        <v>15</v>
      </c>
      <c r="C3558" s="1" t="s">
        <v>1846</v>
      </c>
      <c r="D3558" s="1" t="str">
        <f>IFERROR(__xludf.DUMMYFUNCTION("CONCATENATE(GOOGLETRANSLATE(C3558, ""en"", ""zh-cn""))"),"带抽屉和盖垫的拼图板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3558" s="1" t="str">
        <f>IFERROR(__xludf.DUMMYFUNCTION("CONCATENATE(GOOGLETRANSLATE(C3558, ""en"", ""ko""))"),"서랍과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3558" s="1" t="str">
        <f>IFERROR(__xludf.DUMMYFUNCTION("CONCATENATE(GOOGLETRANSLATE(C3558, ""en"", ""ja""))"),"引き出しとカバー付きパズルボード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3559" ht="15.75" customHeight="1">
      <c r="A3559" s="1">
        <v>4744.0</v>
      </c>
      <c r="B3559" s="1" t="s">
        <v>15</v>
      </c>
      <c r="C3559" s="1" t="s">
        <v>1842</v>
      </c>
      <c r="D3559" s="1" t="str">
        <f>IFERROR(__xludf.DUMMYFUNCTION("CONCATENATE(GOOGLETRANSLATE(C3559, ""en"", ""zh-cn""))"),"波克芬诺 GAN Megaminx M 3x3 速度魔方 Gan 五角形磁性无贴纸魔法拼图魔方玩具")</f>
        <v>波克芬诺 GAN Megaminx M 3x3 速度魔方 Gan 五角形磁性无贴纸魔法拼图魔方玩具</v>
      </c>
      <c r="E3559" s="1" t="str">
        <f>IFERROR(__xludf.DUMMYFUNCTION("CONCATENATE(GOOGLETRANSLATE(C3559, ""en"", ""ko""))"),"Bokefenuo GAN Megaminx M 3x3 스피드 큐브 Gan 오각형 자기 스티커가없는 매직 퍼즐 큐브 장난감")</f>
        <v>Bokefenuo GAN Megaminx M 3x3 스피드 큐브 Gan 오각형 자기 스티커가없는 매직 퍼즐 큐브 장난감</v>
      </c>
      <c r="F3559" s="1" t="str">
        <f>IFERROR(__xludf.DUMMYFUNCTION("CONCATENATE(GOOGLETRANSLATE(C3559, ""en"", ""ja""))"),"Bokefenuo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3560" ht="15.75" customHeight="1">
      <c r="A3560" s="1">
        <v>4747.0</v>
      </c>
      <c r="B3560" s="1" t="s">
        <v>381</v>
      </c>
      <c r="C3560" s="1" t="s">
        <v>687</v>
      </c>
      <c r="D3560" s="1" t="str">
        <f>IFERROR(__xludf.DUMMYFUNCTION("CONCATENATE(GOOGLETRANSLATE(C3560, ""en"", ""zh-cn""))"),"男士笑脸刺绣灯芯绒抽绳连帽衬衫夹克")</f>
        <v>男士笑脸刺绣灯芯绒抽绳连帽衬衫夹克</v>
      </c>
      <c r="E3560" s="1" t="str">
        <f>IFERROR(__xludf.DUMMYFUNCTION("CONCATENATE(GOOGLETRANSLATE(C3560, ""en"", ""ko""))"),"남성용 스마일 페이스 자수 코듀로이 드로스트링 후드 셔츠 재킷")</f>
        <v>남성용 스마일 페이스 자수 코듀로이 드로스트링 후드 셔츠 재킷</v>
      </c>
      <c r="F3560" s="1" t="str">
        <f>IFERROR(__xludf.DUMMYFUNCTION("CONCATENATE(GOOGLETRANSLATE(C3560, ""en"", ""ja""))"),"メンズスマイルフェイス刺繍コーデュロイ巾着フード付きシャツジャケット")</f>
        <v>メンズスマイルフェイス刺繍コーデュロイ巾着フード付きシャツジャケット</v>
      </c>
    </row>
    <row r="3561" ht="15.75" customHeight="1">
      <c r="A3561" s="1">
        <v>4763.0</v>
      </c>
      <c r="B3561" s="1" t="s">
        <v>15</v>
      </c>
      <c r="C3561" s="1" t="s">
        <v>3210</v>
      </c>
      <c r="D3561" s="1" t="str">
        <f>IFERROR(__xludf.DUMMYFUNCTION("CONCATENATE(GOOGLETRANSLATE(C3561, ""en"", ""zh-cn""))"),"Apple iPhone 14 Pro Max，256GB，深空黑色 - 解锁（续订）")</f>
        <v>Apple iPhone 14 Pro Max，256GB，深空黑色 - 解锁（续订）</v>
      </c>
      <c r="E3561" s="1" t="str">
        <f>IFERROR(__xludf.DUMMYFUNCTION("CONCATENATE(GOOGLETRANSLATE(C3561, ""en"", ""ko""))"),"Apple iPhone 14 Pro Max, 256GB, 스페이스 블랙 - 공기계(리뉴얼)")</f>
        <v>Apple iPhone 14 Pro Max, 256GB, 스페이스 블랙 - 공기계(리뉴얼)</v>
      </c>
      <c r="F3561" s="1" t="str">
        <f>IFERROR(__xludf.DUMMYFUNCTION("CONCATENATE(GOOGLETRANSLATE(C3561, ""en"", ""ja""))"),"Apple iPhone 14 Pro Max、256GB、スペース ブラック - ロック解除済み (更新済み)")</f>
        <v>Apple iPhone 14 Pro Max、256GB、スペース ブラック - ロック解除済み (更新済み)</v>
      </c>
    </row>
    <row r="3562" ht="15.75" customHeight="1">
      <c r="A3562" s="1">
        <v>4810.0</v>
      </c>
      <c r="B3562" s="1" t="s">
        <v>15</v>
      </c>
      <c r="C3562" s="1" t="s">
        <v>3211</v>
      </c>
      <c r="D3562" s="1" t="str">
        <f>IFERROR(__xludf.DUMMYFUNCTION("CONCATENATE(GOOGLETRANSLATE(C3562, ""en"", ""zh-cn""))"),"Apple 2024 MacBook Air 15 英寸笔记本电脑，配备 M3 芯片：15.3 英寸 Liquid Retina 显示屏、8GB 统一内存、256GB SSD 存储、背光键盘、1080p FaceTime 高清摄像头、Touch ID；午夜")</f>
        <v>Apple 2024 MacBook Air 15 英寸笔记本电脑，配备 M3 芯片：15.3 英寸 Liquid Retina 显示屏、8GB 统一内存、256GB SSD 存储、背光键盘、1080p FaceTime 高清摄像头、Touch ID；午夜</v>
      </c>
      <c r="E3562" s="1" t="str">
        <f>IFERROR(__xludf.DUMMYFUNCTION("CONCATENATE(GOOGLETRANSLATE(C3562, ""en"", ""ko""))"),"M3 칩이 탑재된 Apple 2024 MacBook Air 15인치 노트북: 15.3인치 Liquid Retina 디스플레이, 8GB 통합 메모리, 256GB SSD 스토리지, 백라이트 키보드, 1080p FaceTime HD 카메라, Touch ID; 자정")</f>
        <v>M3 칩이 탑재된 Apple 2024 MacBook Air 15인치 노트북: 15.3인치 Liquid Retina 디스플레이, 8GB 통합 메모리, 256GB SSD 스토리지, 백라이트 키보드, 1080p FaceTime HD 카메라, Touch ID; 자정</v>
      </c>
      <c r="F3562" s="1" t="str">
        <f>IFERROR(__xludf.DUMMYFUNCTION("CONCATENATE(GOOGLETRANSLATE(C3562, ""en"", ""ja""))"),"Apple 2024 MacBook Air 15 インチ ラップトップ (M3 チップ搭載): 15.3 インチ Liquid Retina ディスプレイ、8GB ユニファイド メモリ、256GB SSD ストレージ、バックライト付きキーボード、1080p FaceTime HD カメラ、Touch ID。夜中")</f>
        <v>Apple 2024 MacBook Air 15 インチ ラップトップ (M3 チップ搭載): 15.3 インチ Liquid Retina ディスプレイ、8GB ユニファイド メモリ、256GB SSD ストレージ、バックライト付きキーボード、1080p FaceTime HD カメラ、Touch ID。夜中</v>
      </c>
    </row>
    <row r="3563" ht="15.75" customHeight="1">
      <c r="A3563" s="1">
        <v>4822.0</v>
      </c>
      <c r="B3563" s="1" t="s">
        <v>15</v>
      </c>
      <c r="C3563" s="1" t="s">
        <v>3212</v>
      </c>
      <c r="D3563" s="1" t="str">
        <f>IFERROR(__xludf.DUMMYFUNCTION("CONCATENATE(GOOGLETRANSLATE(C3563, ""en"", ""zh-cn""))"),"Apple 2024 MacBook Air 15 英寸笔记本电脑，配备 M3 芯片：15.3 英寸 Liquid Retina 显示屏、8GB 统一内存、512GB SSD 存储、背光键盘、1080p FaceTime 高清摄像头、Touch ID；银")</f>
        <v>Apple 2024 MacBook Air 15 英寸笔记本电脑，配备 M3 芯片：15.3 英寸 Liquid Retina 显示屏、8GB 统一内存、512GB SSD 存储、背光键盘、1080p FaceTime 高清摄像头、Touch ID；银</v>
      </c>
      <c r="E3563" s="1" t="str">
        <f>IFERROR(__xludf.DUMMYFUNCTION("CONCATENATE(GOOGLETRANSLATE(C3563, ""en"", ""ko""))"),"M3 칩이 탑재된 Apple 2024 MacBook Air 15인치 노트북: 15.3인치 Liquid Retina 디스플레이, 8GB 통합 메모리, 512GB SSD 스토리지, 백라이트 키보드, 1080p FaceTime HD 카메라, Touch ID; 은")</f>
        <v>M3 칩이 탑재된 Apple 2024 MacBook Air 15인치 노트북: 15.3인치 Liquid Retina 디스플레이, 8GB 통합 메모리, 512GB SSD 스토리지, 백라이트 키보드, 1080p FaceTime HD 카메라, Touch ID; 은</v>
      </c>
      <c r="F3563" s="1" t="str">
        <f>IFERROR(__xludf.DUMMYFUNCTION("CONCATENATE(GOOGLETRANSLATE(C3563, ""en"", ""ja""))"),"Apple 2024 MacBook Air 15 インチ ラップトップ (M3 チップ搭載): 15.3 インチ Liquid Retina ディスプレイ、8GB ユニファイド メモリ、512GB SSD ストレージ、バックライト付きキーボード、1080p FaceTime HD カメラ、Touch ID。銀")</f>
        <v>Apple 2024 MacBook Air 15 インチ ラップトップ (M3 チップ搭載): 15.3 インチ Liquid Retina ディスプレイ、8GB ユニファイド メモリ、512GB SSD ストレージ、バックライト付きキーボード、1080p FaceTime HD カメラ、Touch ID。銀</v>
      </c>
    </row>
    <row r="3564" ht="15.75" customHeight="1">
      <c r="A3564" s="1">
        <v>4828.0</v>
      </c>
      <c r="B3564" s="1" t="s">
        <v>15</v>
      </c>
      <c r="C3564" s="1" t="s">
        <v>3213</v>
      </c>
      <c r="D3564" s="1" t="str">
        <f>IFERROR(__xludf.DUMMYFUNCTION("CONCATENATE(GOOGLETRANSLATE(C3564, ""en"", ""zh-cn""))"),"Apple 2024 MacBook Air 15 英寸笔记本电脑，配备 M3 芯片：15.3 英寸 Liquid Retina 显示屏、16GB 统一内存、512GB SSD 存储、背光键盘、1080p FaceTime 高清摄像头、Touch ID；银")</f>
        <v>Apple 2024 MacBook Air 15 英寸笔记本电脑，配备 M3 芯片：15.3 英寸 Liquid Retina 显示屏、16GB 统一内存、512GB SSD 存储、背光键盘、1080p FaceTime 高清摄像头、Touch ID；银</v>
      </c>
      <c r="E3564" s="1" t="str">
        <f>IFERROR(__xludf.DUMMYFUNCTION("CONCATENATE(GOOGLETRANSLATE(C3564, ""en"", ""ko""))"),"M3 칩을 탑재한 Apple 2024 MacBook Air 15인치 노트북: 15.3인치 Liquid Retina 디스플레이, 16GB 통합 메모리, 512GB SSD 스토리지, 백라이트 키보드, 1080p FaceTime HD 카메라, Touch ID; 은")</f>
        <v>M3 칩을 탑재한 Apple 2024 MacBook Air 15인치 노트북: 15.3인치 Liquid Retina 디스플레이, 16GB 통합 메모리, 512GB SSD 스토리지, 백라이트 키보드, 1080p FaceTime HD 카메라, Touch ID; 은</v>
      </c>
      <c r="F3564" s="1" t="str">
        <f>IFERROR(__xludf.DUMMYFUNCTION("CONCATENATE(GOOGLETRANSLATE(C3564, ""en"", ""ja""))"),"Apple 2024 MacBook Air 15 インチ ラップトップ (M3 チップ搭載): 15.3 インチ Liquid Retina ディスプレイ、16GB ユニファイド メモリ、512GB SSD ストレージ、バックライト付きキーボード、1080p FaceTime HD カメラ、Touch ID。銀")</f>
        <v>Apple 2024 MacBook Air 15 インチ ラップトップ (M3 チップ搭載): 15.3 インチ Liquid Retina ディスプレイ、16GB ユニファイド メモリ、512GB SSD ストレージ、バックライト付きキーボード、1080p FaceTime HD カメラ、Touch ID。銀</v>
      </c>
    </row>
    <row r="3565" ht="15.75" customHeight="1">
      <c r="A3565" s="1">
        <v>4835.0</v>
      </c>
      <c r="B3565" s="1" t="s">
        <v>15</v>
      </c>
      <c r="C3565" s="1" t="s">
        <v>3214</v>
      </c>
      <c r="D3565" s="1" t="str">
        <f>IFERROR(__xludf.DUMMYFUNCTION("CONCATENATE(GOOGLETRANSLATE(C3565, ""en"", ""zh-cn""))"),"Apple 2023 款 MacBook Pro 笔记本电脑 M3 Pro 芯片，配备 12 核 CPU、18 核 GPU：16.2 英寸 Liquid Retina XDR 显示屏、18GB 统一内存、512GB SSD 存储。适用于 iPhone/iPad；深空黑")</f>
        <v>Apple 2023 款 MacBook Pro 笔记本电脑 M3 Pro 芯片，配备 12 核 CPU、18 核 GPU：16.2 英寸 Liquid Retina XDR 显示屏、18GB 统一内存、512GB SSD 存储。适用于 iPhone/iPad；深空黑</v>
      </c>
      <c r="E3565" s="1" t="str">
        <f>IFERROR(__xludf.DUMMYFUNCTION("CONCATENATE(GOOGLETRANSLATE(C3565, ""en"", ""ko""))"),"Apple 2023 MacBook Pro 노트북 M3 Pro 칩, 12코어 CPU, 18코어 GPU: 16.2인치 Liquid Retina XDR 디스플레이, 18GB 통합 메모리, 512GB SSD 스토리지. iPhone/iPad에서 작동합니다. 스페이스 블랙")</f>
        <v>Apple 2023 MacBook Pro 노트북 M3 Pro 칩, 12코어 CPU, 18코어 GPU: 16.2인치 Liquid Retina XDR 디스플레이, 18GB 통합 메모리, 512GB SSD 스토리지. iPhone/iPad에서 작동합니다. 스페이스 블랙</v>
      </c>
      <c r="F3565" s="1" t="str">
        <f>IFERROR(__xludf.DUMMYFUNCTION("CONCATENATE(GOOGLETRANSLATE(C3565, ""en"", ""ja""))"),"12 コア CPU、18 コア GPU を搭載した Apple 2023 MacBook Pro ラップトップ M3 Pro チップ: 16.2 インチ Liquid Retina XDR ディスプレイ、18 GB ユニファイド メモリ、512 GB SSD ストレージ。 iPhone/iPad で動作します。スペースブラック")</f>
        <v>12 コア CPU、18 コア GPU を搭載した Apple 2023 MacBook Pro ラップトップ M3 Pro チップ: 16.2 インチ Liquid Retina XDR ディスプレイ、18 GB ユニファイド メモリ、512 GB SSD ストレージ。 iPhone/iPad で動作します。スペースブラック</v>
      </c>
    </row>
    <row r="3566" ht="15.75" customHeight="1">
      <c r="A3566" s="1">
        <v>4836.0</v>
      </c>
      <c r="B3566" s="1" t="s">
        <v>15</v>
      </c>
      <c r="C3566" s="1" t="s">
        <v>3215</v>
      </c>
      <c r="D3566" s="1" t="str">
        <f>IFERROR(__xludf.DUMMYFUNCTION("CONCATENATE(GOOGLETRANSLATE(C3566, ""en"", ""zh-cn""))"),"Apple 2023 MacBook Pro 笔记本电脑 M3 Pro 芯片，配备 12 核 CPU、18 核 GPU：16.2 英寸 Liquid Retina XDR 显示屏、36GB 统一内存、512GB SSD 存储。适用于 iPhone/iPad；银")</f>
        <v>Apple 2023 MacBook Pro 笔记本电脑 M3 Pro 芯片，配备 12 核 CPU、18 核 GPU：16.2 英寸 Liquid Retina XDR 显示屏、36GB 统一内存、512GB SSD 存储。适用于 iPhone/iPad；银</v>
      </c>
      <c r="E3566" s="1" t="str">
        <f>IFERROR(__xludf.DUMMYFUNCTION("CONCATENATE(GOOGLETRANSLATE(C3566, ""en"", ""ko""))"),"Apple 2023 MacBook Pro 노트북 M3 Pro 칩, 12코어 CPU, 18코어 GPU: 16.2인치 Liquid Retina XDR 디스플레이, 36GB 통합 메모리, 512GB SSD 스토리지. iPhone/iPad에서 작동합니다. 은")</f>
        <v>Apple 2023 MacBook Pro 노트북 M3 Pro 칩, 12코어 CPU, 18코어 GPU: 16.2인치 Liquid Retina XDR 디스플레이, 36GB 통합 메모리, 512GB SSD 스토리지. iPhone/iPad에서 작동합니다. 은</v>
      </c>
      <c r="F3566" s="1" t="str">
        <f>IFERROR(__xludf.DUMMYFUNCTION("CONCATENATE(GOOGLETRANSLATE(C3566, ""en"", ""ja""))"),"12 コア CPU、18 コア GPU を搭載した Apple 2023 MacBook Pro ラップトップ M3 Pro チップ: 16.2 インチ Liquid Retina XDR ディスプレイ、36 GB ユニファイド メモリ、512 GB SSD ストレージ。 iPhone/iPad で動作します。銀")</f>
        <v>12 コア CPU、18 コア GPU を搭載した Apple 2023 MacBook Pro ラップトップ M3 Pro チップ: 16.2 インチ Liquid Retina XDR ディスプレイ、36 GB ユニファイド メモリ、512 GB SSD ストレージ。 iPhone/iPad で動作します。銀</v>
      </c>
    </row>
    <row r="3567" ht="15.75" customHeight="1">
      <c r="A3567" s="1">
        <v>4841.0</v>
      </c>
      <c r="B3567" s="1" t="s">
        <v>15</v>
      </c>
      <c r="C3567" s="1" t="s">
        <v>3216</v>
      </c>
      <c r="D3567" s="1" t="str">
        <f>IFERROR(__xludf.DUMMYFUNCTION("CONCATENATE(GOOGLETRANSLATE(C3567, ""en"", ""zh-cn""))"),"戴尔 Alienware X16 游戏笔记本电脑 (2023) | 16 英寸 FHD+ | 酷睿 i9-2TB SSD - 32GB RAM | 14 核 @ 5.4 GHz - 第 13 代 CPU Win 11 Home（更新）")</f>
        <v>戴尔 Alienware X16 游戏笔记本电脑 (2023) | 16 英寸 FHD+ | 酷睿 i9-2TB SSD - 32GB RAM | 14 核 @ 5.4 GHz - 第 13 代 CPU Win 11 Home（更新）</v>
      </c>
      <c r="E3567" s="1" t="str">
        <f>IFERROR(__xludf.DUMMYFUNCTION("CONCATENATE(GOOGLETRANSLATE(C3567, ""en"", ""ko""))"),"Dell Alienware X16 게임용 노트북(2023) | 16인치 FHD+ | Core i9-2TB SSD - 32GB RAM | 14코어 @ 5.4GHz - 13세대 CPU Win 11 Home(리뉴얼)")</f>
        <v>Dell Alienware X16 게임용 노트북(2023) | 16인치 FHD+ | Core i9-2TB SSD - 32GB RAM | 14코어 @ 5.4GHz - 13세대 CPU Win 11 Home(리뉴얼)</v>
      </c>
      <c r="F3567" s="1" t="str">
        <f>IFERROR(__xludf.DUMMYFUNCTION("CONCATENATE(GOOGLETRANSLATE(C3567, ""en"", ""ja""))"),"Dell Alienware X16 ゲーミング ラップトップ (2023) | 16 インチ FHD+ | Core i9-2TB SSD - 32GB RAM | 14 コア @ 5.4 GHz - 第 13 世代 CPU Win 11 Home (リニューアル)")</f>
        <v>Dell Alienware X16 ゲーミング ラップトップ (2023) | 16 インチ FHD+ | Core i9-2TB SSD - 32GB RAM | 14 コア @ 5.4 GHz - 第 13 世代 CPU Win 11 Home (リニューアル)</v>
      </c>
    </row>
    <row r="3568" ht="15.75" customHeight="1">
      <c r="A3568" s="1">
        <v>4842.0</v>
      </c>
      <c r="B3568" s="1" t="s">
        <v>15</v>
      </c>
      <c r="C3568" s="1" t="s">
        <v>3217</v>
      </c>
      <c r="D3568" s="1" t="str">
        <f>IFERROR(__xludf.DUMMYFUNCTION("CONCATENATE(GOOGLETRANSLATE(C3568, ""en"", ""zh-cn""))"),"MSI WF66 11UJ-267 工作站笔记本电脑（Intel i7-11800H 8 核、64GB RAM、512GB PCIe SSD + 2TB HDD、RTX A2000、15.6 英寸全高清 (1920x1080)、WiFi、蓝牙、网络摄像头、Win 10 Pro）带战利品盒")</f>
        <v>MSI WF66 11UJ-267 工作站笔记本电脑（Intel i7-11800H 8 核、64GB RAM、512GB PCIe SSD + 2TB HDD、RTX A2000、15.6 英寸全高清 (1920x1080)、WiFi、蓝牙、网络摄像头、Win 10 Pro）带战利品盒</v>
      </c>
      <c r="E3568" s="1" t="str">
        <f>IFERROR(__xludf.DUMMYFUNCTION("CONCATENATE(GOOGLETRANSLATE(C3568, ""en"", ""ko""))"),"MSI WF66 11UJ-267 워크스테이션 노트북(인텔 i7-11800H 8코어, 64GB RAM, 512GB PCIe SSD + 2TB HDD, RTX A2000, 15.6인치 풀 HD(1920x1080), WiFi, 블루투스, 웹캠, Win 10 Pro) 및 전리품 상자")</f>
        <v>MSI WF66 11UJ-267 워크스테이션 노트북(인텔 i7-11800H 8코어, 64GB RAM, 512GB PCIe SSD + 2TB HDD, RTX A2000, 15.6인치 풀 HD(1920x1080), WiFi, 블루투스, 웹캠, Win 10 Pro) 및 전리품 상자</v>
      </c>
      <c r="F3568" s="1" t="str">
        <f>IFERROR(__xludf.DUMMYFUNCTION("CONCATENATE(GOOGLETRANSLATE(C3568, ""en"", ""ja""))"),"MSI WF66 11UJ-267 ワークステーション ラップトップ (Intel i7-11800H 8 コア、64GB RAM、512GB PCIe SSD + 2TB HDD、RTX A2000、15.6 インチ フル HD (1920x1080)、WiFi、Bluetooth、ウェブカメラ、Win 10 Pro) ルート ボックス付き")</f>
        <v>MSI WF66 11UJ-267 ワークステーション ラップトップ (Intel i7-11800H 8 コア、64GB RAM、512GB PCIe SSD + 2TB HDD、RTX A2000、15.6 インチ フル HD (1920x1080)、WiFi、Bluetooth、ウェブカメラ、Win 10 Pro) ルート ボックス付き</v>
      </c>
    </row>
    <row r="3569" ht="15.75" customHeight="1">
      <c r="A3569" s="1">
        <v>4846.0</v>
      </c>
      <c r="B3569" s="1" t="s">
        <v>15</v>
      </c>
      <c r="C3569" s="1" t="s">
        <v>3218</v>
      </c>
      <c r="D3569" s="1" t="str">
        <f>IFERROR(__xludf.DUMMYFUNCTION("CONCATENATE(GOOGLETRANSLATE(C3569, ""en"", ""zh-cn""))"),"戴尔 Precision 7000 7760 工作站笔记本电脑 (2021) | 17.3 英寸 FHD | Core Xeon W - 2TB SSD + 2TB SSD - 128GB RAM - RTX A4000 | 8 核 @ 5 GHz - 第 11 代 CPU - 8GB GDDR6 Win 10 Pro（更新版）")</f>
        <v>戴尔 Precision 7000 7760 工作站笔记本电脑 (2021) | 17.3 英寸 FHD | Core Xeon W - 2TB SSD + 2TB SSD - 128GB RAM - RTX A4000 | 8 核 @ 5 GHz - 第 11 代 CPU - 8GB GDDR6 Win 10 Pro（更新版）</v>
      </c>
      <c r="E3569" s="1" t="str">
        <f>IFERROR(__xludf.DUMMYFUNCTION("CONCATENATE(GOOGLETRANSLATE(C3569, ""en"", ""ko""))"),"Dell Precision 7000 7760 워크스테이션 노트북(2021) | 17.3인치 FHD | Core Xeon W - 2TB SSD + 2TB SSD - 128GB RAM - RTX A4000 | 8코어 @ 5GHz - 11세대 CPU - 8GB GDDR6 Win 10 Pro(리뉴얼)")</f>
        <v>Dell Precision 7000 7760 워크스테이션 노트북(2021) | 17.3인치 FHD | Core Xeon W - 2TB SSD + 2TB SSD - 128GB RAM - RTX A4000 | 8코어 @ 5GHz - 11세대 CPU - 8GB GDDR6 Win 10 Pro(리뉴얼)</v>
      </c>
      <c r="F3569" s="1" t="str">
        <f>IFERROR(__xludf.DUMMYFUNCTION("CONCATENATE(GOOGLETRANSLATE(C3569, ""en"", ""ja""))"),"Dell Precision 7000 7760 ワークステーション ラップトップ (2021) | 17.3 インチ FHD | Core Xeon W - 2TB SSD + 2TB SSD - 128GB RAM - RTX A4000 | 8 コア @ 5 GHz - 第 11 世代 CPU - 8GB GDDR6 Win 10 Pro (リニューアル)")</f>
        <v>Dell Precision 7000 7760 ワークステーション ラップトップ (2021) | 17.3 インチ FHD | Core Xeon W - 2TB SSD + 2TB SSD - 128GB RAM - RTX A4000 | 8 コア @ 5 GHz - 第 11 世代 CPU - 8GB GDDR6 Win 10 Pro (リニューアル)</v>
      </c>
    </row>
    <row r="3570" ht="15.75" customHeight="1">
      <c r="A3570" s="1">
        <v>4849.0</v>
      </c>
      <c r="B3570" s="1" t="s">
        <v>15</v>
      </c>
      <c r="C3570" s="1" t="s">
        <v>1907</v>
      </c>
      <c r="D3570" s="1" t="str">
        <f>IFERROR(__xludf.DUMMYFUNCTION("CONCATENATE(GOOGLETRANSLATE(C3570, ""en"", ""zh-cn""))"),"Lenovo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3570" s="1" t="str">
        <f>IFERROR(__xludf.DUMMYFUNCTION("CONCATENATE(GOOGLETRANSLATE(C3570, ""en"", ""ko""))"),"Lenovo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3570" s="1" t="str">
        <f>IFERROR(__xludf.DUMMYFUNCTION("CONCATENATE(GOOGLETRANSLATE(C3570, ""en"", ""ja""))"),"Lenovo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3571" ht="15.75" customHeight="1">
      <c r="A3571" s="1">
        <v>5046.0</v>
      </c>
      <c r="B3571" s="1" t="s">
        <v>15</v>
      </c>
      <c r="C3571" s="1" t="s">
        <v>3219</v>
      </c>
      <c r="D3571" s="1" t="str">
        <f>IFERROR(__xludf.DUMMYFUNCTION("CONCATENATE(GOOGLETRANSLATE(C3571, ""en"", ""zh-cn""))"),"Smith &amp; Wesson 男士手表，战术坚固军用手表，瑞士氚，20ATM 黑色表盘，不锈钢底盖，潜水表，金属和橡胶表带，42 毫米，父亲节礼物（蓝色）")</f>
        <v>Smith &amp; Wesson 男士手表，战术坚固军用手表，瑞士氚，20ATM 黑色表盘，不锈钢底盖，潜水表，金属和橡胶表带，42 毫米，父亲节礼物（蓝色）</v>
      </c>
      <c r="E3571" s="1" t="str">
        <f>IFERROR(__xludf.DUMMYFUNCTION("CONCATENATE(GOOGLETRANSLATE(C3571, ""en"", ""ko""))"),"Smith &amp; Wesson 남성용 시계, 전술 터프 밀리터리 시계, 스위스 삼중수소, 20ATM 블랙 다이얼, 스테인리스 스틸 케이스백, 다이버 시계, 금속 및 고무 스트랩, 42mm, 아버지의 날 선물(블루)")</f>
        <v>Smith &amp; Wesson 남성용 시계, 전술 터프 밀리터리 시계, 스위스 삼중수소, 20ATM 블랙 다이얼, 스테인리스 스틸 케이스백, 다이버 시계, 금속 및 고무 스트랩, 42mm, 아버지의 날 선물(블루)</v>
      </c>
      <c r="F3571" s="1" t="str">
        <f>IFERROR(__xludf.DUMMYFUNCTION("CONCATENATE(GOOGLETRANSLATE(C3571, ""en"", ""ja""))"),"Smith &amp; Wesson メンズウォッチ、タクティカルタフミリタリーウォッチ、スイストリチウム、20ATM ブラックダイヤル、ステンレススチールケースバック、ダイバーウォッチ、メタルとラバーストラップ、42mm、父の日ギフト (ブルー)")</f>
        <v>Smith &amp; Wesson メンズウォッチ、タクティカルタフミリタリーウォッチ、スイストリチウム、20ATM ブラックダイヤル、ステンレススチールケースバック、ダイバーウォッチ、メタルとラバーストラップ、42mm、父の日ギフト (ブルー)</v>
      </c>
    </row>
    <row r="3572" ht="15.75" customHeight="1">
      <c r="A3572" s="1">
        <v>5051.0</v>
      </c>
      <c r="B3572" s="1" t="s">
        <v>15</v>
      </c>
      <c r="C3572" s="1" t="s">
        <v>1903</v>
      </c>
      <c r="D3572" s="1" t="str">
        <f>IFERROR(__xludf.DUMMYFUNCTION("CONCATENATE(GOOGLETRANSLATE(C3572, ""en"", ""zh-cn""))"),"CuberShop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3572" s="1" t="str">
        <f>IFERROR(__xludf.DUMMYFUNCTION("CONCATENATE(GOOGLETRANSLATE(C3572, ""en"", ""ko""))"),"CuberShop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3572" s="1" t="str">
        <f>IFERROR(__xludf.DUMMYFUNCTION("CONCATENATE(GOOGLETRANSLATE(C3572, ""en"", ""ja""))"),"CuberShop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3573" ht="15.75" customHeight="1">
      <c r="A3573" s="1">
        <v>5065.0</v>
      </c>
      <c r="B3573" s="1" t="s">
        <v>381</v>
      </c>
      <c r="C3573" s="1" t="s">
        <v>707</v>
      </c>
      <c r="D3573" s="1" t="str">
        <f>IFERROR(__xludf.DUMMYFUNCTION("CONCATENATE(GOOGLETRANSLATE(C3573, ""en"", ""zh-cn""))"),"男士纯色无领休闲长袖西装外套")</f>
        <v>男士纯色无领休闲长袖西装外套</v>
      </c>
      <c r="E3573" s="1" t="str">
        <f>IFERROR(__xludf.DUMMYFUNCTION("CONCATENATE(GOOGLETRANSLATE(C3573, ""en"", ""ko""))"),"남성용 솔리드 노칼라 캐주얼 긴소매 블레이저")</f>
        <v>남성용 솔리드 노칼라 캐주얼 긴소매 블레이저</v>
      </c>
      <c r="F3573" s="1" t="str">
        <f>IFERROR(__xludf.DUMMYFUNCTION("CONCATENATE(GOOGLETRANSLATE(C3573, ""en"", ""ja""))"),"メンズソリッドノーカラーカジュアル長袖ブレザー")</f>
        <v>メンズソリッドノーカラーカジュアル長袖ブレザー</v>
      </c>
    </row>
    <row r="3574" ht="15.75" customHeight="1">
      <c r="A3574" s="1">
        <v>5079.0</v>
      </c>
      <c r="B3574" s="1" t="s">
        <v>15</v>
      </c>
      <c r="C3574" s="1" t="s">
        <v>3220</v>
      </c>
      <c r="D3574" s="1" t="str">
        <f>IFERROR(__xludf.DUMMYFUNCTION("CONCATENATE(GOOGLETRANSLATE(C3574, ""en"", ""zh-cn""))"),"Apple 2022 款 11 英寸 iPad Pro（Wi-Fi，128GB）- 深空灰色（第 4 代）")</f>
        <v>Apple 2022 款 11 英寸 iPad Pro（Wi-Fi，128GB）- 深空灰色（第 4 代）</v>
      </c>
      <c r="E3574" s="1" t="str">
        <f>IFERROR(__xludf.DUMMYFUNCTION("CONCATENATE(GOOGLETRANSLATE(C3574, ""en"", ""ko""))"),"Apple 2022 11인치 iPad Pro(Wi-Fi, 128GB) - 스페이스 그레이(4세대)")</f>
        <v>Apple 2022 11인치 iPad Pro(Wi-Fi, 128GB) - 스페이스 그레이(4세대)</v>
      </c>
      <c r="F3574" s="1" t="str">
        <f>IFERROR(__xludf.DUMMYFUNCTION("CONCATENATE(GOOGLETRANSLATE(C3574, ""en"", ""ja""))"),"Apple 2022 11 インチ iPad Pro (Wi-Fi、128GB) - スペース グレイ (第 4 世代)")</f>
        <v>Apple 2022 11 インチ iPad Pro (Wi-Fi、128GB) - スペース グレイ (第 4 世代)</v>
      </c>
    </row>
    <row r="3575" ht="15.75" customHeight="1">
      <c r="A3575" s="1">
        <v>5082.0</v>
      </c>
      <c r="B3575" s="1" t="s">
        <v>15</v>
      </c>
      <c r="C3575" s="1" t="s">
        <v>2789</v>
      </c>
      <c r="D3575" s="1" t="str">
        <f>IFERROR(__xludf.DUMMYFUNCTION("CONCATENATE(GOOGLETRANSLATE(C3575, ""en"", ""zh-cn""))"),"Apple iPad Pro 2018（11 英寸，Wi-Fi + 蜂窝网络，1TB）- 深空灰色 -（续订）")</f>
        <v>Apple iPad Pro 2018（11 英寸，Wi-Fi + 蜂窝网络，1TB）- 深空灰色 -（续订）</v>
      </c>
      <c r="E3575" s="1" t="str">
        <f>IFERROR(__xludf.DUMMYFUNCTION("CONCATENATE(GOOGLETRANSLATE(C3575, ""en"", ""ko""))"),"Apple iPad Pro 2018 (11인치, Wi-Fi + Cellular, 1TB) - 스페이스 그레이 - (리뉴얼)")</f>
        <v>Apple iPad Pro 2018 (11인치, Wi-Fi + Cellular, 1TB) - 스페이스 그레이 - (리뉴얼)</v>
      </c>
      <c r="F3575" s="1" t="str">
        <f>IFERROR(__xludf.DUMMYFUNCTION("CONCATENATE(GOOGLETRANSLATE(C3575, ""en"", ""ja""))"),"Apple iPad Pro 2018 (11インチ、Wi-Fi + Cellular、1TB) - スペースグレイ - (リニューアル)")</f>
        <v>Apple iPad Pro 2018 (11インチ、Wi-Fi + Cellular、1TB) - スペースグレイ - (リニューアル)</v>
      </c>
    </row>
    <row r="3576" ht="15.75" customHeight="1">
      <c r="A3576" s="1">
        <v>5094.0</v>
      </c>
      <c r="B3576" s="1" t="s">
        <v>381</v>
      </c>
      <c r="C3576" s="1" t="s">
        <v>774</v>
      </c>
      <c r="D3576" s="1" t="str">
        <f>IFERROR(__xludf.DUMMYFUNCTION("CONCATENATE(GOOGLETRANSLATE(C3576, ""en"", ""zh-cn""))"),"女式圆点印花拼布短袖假日波西米亚长连衣裙")</f>
        <v>女式圆点印花拼布短袖假日波西米亚长连衣裙</v>
      </c>
      <c r="E3576" s="1" t="str">
        <f>IFERROR(__xludf.DUMMYFUNCTION("CONCATENATE(GOOGLETRANSLATE(C3576, ""en"", ""ko""))"),"여성을 위한 폴카 도트 인쇄 패치워크 짧은 소매 휴일 보헤미아 맥시 드레스")</f>
        <v>여성을 위한 폴카 도트 인쇄 패치워크 짧은 소매 휴일 보헤미아 맥시 드레스</v>
      </c>
      <c r="F3576" s="1" t="str">
        <f>IFERROR(__xludf.DUMMYFUNCTION("CONCATENATE(GOOGLETRANSLATE(C3576, ""en"", ""ja""))"),"女性のための水玉プリント パッチワーク半袖ホリデー ボヘミア マキシ ドレス")</f>
        <v>女性のための水玉プリント パッチワーク半袖ホリデー ボヘミア マキシ ドレス</v>
      </c>
    </row>
    <row r="3577" ht="15.75" customHeight="1">
      <c r="A3577" s="1">
        <v>5159.0</v>
      </c>
      <c r="B3577" s="1" t="s">
        <v>15</v>
      </c>
      <c r="C3577" s="1" t="s">
        <v>3221</v>
      </c>
      <c r="D3577" s="1" t="str">
        <f>IFERROR(__xludf.DUMMYFUNCTION("CONCATENATE(GOOGLETRANSLATE(C3577, ""en"", ""zh-cn""))"),"3G Cardio Elite UB 立式健身车 - 商业级 - 占地面积紧凑 - 超舒适座椅 - 抗磁 - 350 磅用户容量")</f>
        <v>3G Cardio Elite UB 立式健身车 - 商业级 - 占地面积紧凑 - 超舒适座椅 - 抗磁 - 350 磅用户容量</v>
      </c>
      <c r="E3577" s="1" t="str">
        <f>IFERROR(__xludf.DUMMYFUNCTION("CONCATENATE(GOOGLETRANSLATE(C3577, ""en"", ""ko""))"),"3G Cardio Elite UB 직립 자전거 - 상업용 등급 - 컴팩트한 설치 공간 - 매우 편안한 시트 - 자기 저항 - 350 LB 사용자 용량")</f>
        <v>3G Cardio Elite UB 직립 자전거 - 상업용 등급 - 컴팩트한 설치 공간 - 매우 편안한 시트 - 자기 저항 - 350 LB 사용자 용량</v>
      </c>
      <c r="F3577" s="1" t="str">
        <f>IFERROR(__xludf.DUMMYFUNCTION("CONCATENATE(GOOGLETRANSLATE(C3577, ""en"", ""ja""))"),"3G カーディオ エリート UB アップライト バイク - 商用グレード - コンパクトな設置面積 - 超快適なシート - 磁気抵抗 - 350 ポンドのユーザー容量")</f>
        <v>3G カーディオ エリート UB アップライト バイク - 商用グレード - コンパクトな設置面積 - 超快適なシート - 磁気抵抗 - 350 ポンドのユーザー容量</v>
      </c>
    </row>
    <row r="3578" ht="15.75" customHeight="1">
      <c r="A3578" s="1">
        <v>5191.0</v>
      </c>
      <c r="B3578" s="1" t="s">
        <v>381</v>
      </c>
      <c r="C3578" s="1" t="s">
        <v>696</v>
      </c>
      <c r="D3578" s="1" t="str">
        <f>IFERROR(__xludf.DUMMYFUNCTION("CONCATENATE(GOOGLETRANSLATE(C3578, ""en"", ""zh-cn""))"),"男式佩斯利围巾日式印花开襟和服两件套")</f>
        <v>男式佩斯利围巾日式印花开襟和服两件套</v>
      </c>
      <c r="E3578" s="1" t="str">
        <f>IFERROR(__xludf.DUMMYFUNCTION("CONCATENATE(GOOGLETRANSLATE(C3578, ""en"", ""ko""))"),"남성 페이즐리 스카프 일본식 프린트 오픈 프론트 기모노 2피스 수트")</f>
        <v>남성 페이즐리 스카프 일본식 프린트 오픈 프론트 기모노 2피스 수트</v>
      </c>
      <c r="F3578" s="1" t="str">
        <f>IFERROR(__xludf.DUMMYFUNCTION("CONCATENATE(GOOGLETRANSLATE(C3578, ""en"", ""ja""))"),"メンズペイズリースカーフ日本のプリントオープンフロント着物ツーピーススーツ")</f>
        <v>メンズペイズリースカーフ日本のプリントオープンフロント着物ツーピーススーツ</v>
      </c>
    </row>
    <row r="3579" ht="15.75" customHeight="1">
      <c r="A3579" s="1">
        <v>5192.0</v>
      </c>
      <c r="B3579" s="1" t="s">
        <v>381</v>
      </c>
      <c r="C3579" s="1" t="s">
        <v>698</v>
      </c>
      <c r="D3579" s="1" t="str">
        <f>IFERROR(__xludf.DUMMYFUNCTION("CONCATENATE(GOOGLETRANSLATE(C3579, ""en"", ""zh-cn""))"),"男式拼色刺绣前拉链灯芯绒夹克")</f>
        <v>男式拼色刺绣前拉链灯芯绒夹克</v>
      </c>
      <c r="E3579" s="1" t="str">
        <f>IFERROR(__xludf.DUMMYFUNCTION("CONCATENATE(GOOGLETRANSLATE(C3579, ""en"", ""ko""))"),"남성용 컬러 블록 패치워크 자수 지퍼 프론트 코듀로이 재킷")</f>
        <v>남성용 컬러 블록 패치워크 자수 지퍼 프론트 코듀로이 재킷</v>
      </c>
      <c r="F3579" s="1" t="str">
        <f>IFERROR(__xludf.DUMMYFUNCTION("CONCATENATE(GOOGLETRANSLATE(C3579, ""en"", ""ja""))"),"メンズ カラーブロック パッチワーク 刺繍 ジップ フロント コーデュロイ ジャケット")</f>
        <v>メンズ カラーブロック パッチワーク 刺繍 ジップ フロント コーデュロイ ジャケット</v>
      </c>
    </row>
    <row r="3580" ht="15.75" customHeight="1">
      <c r="A3580" s="1">
        <v>5229.0</v>
      </c>
      <c r="B3580" s="1" t="s">
        <v>15</v>
      </c>
      <c r="C3580" s="1" t="s">
        <v>1658</v>
      </c>
      <c r="D3580" s="1" t="str">
        <f>IFERROR(__xludf.DUMMYFUNCTION("CONCATENATE(GOOGLETRANSLATE(C3580, ""en"", ""zh-cn""))"),"ACME FURNITURE Saul 组合沙发带电动躺椅，浓咖啡皮革-Aire")</f>
        <v>ACME FURNITURE Saul 组合沙发带电动躺椅，浓咖啡皮革-Aire</v>
      </c>
      <c r="E3580" s="1" t="str">
        <f>IFERROR(__xludf.DUMMYFUNCTION("CONCATENATE(GOOGLETRANSLATE(C3580, ""en"", ""ko""))"),"ACME FURNITURE 파워 리클라이너를 갖춘 Saul 단면 소파, Espresso Leather-Aire")</f>
        <v>ACME FURNITURE 파워 리클라이너를 갖춘 Saul 단면 소파, Espresso Leather-Aire</v>
      </c>
      <c r="F3580" s="1" t="str">
        <f>IFERROR(__xludf.DUMMYFUNCTION("CONCATENATE(GOOGLETRANSLATE(C3580, ""en"", ""ja""))"),"ACME FURNITURE ソール セクショナルソファ 電動リクライニングチェア付き エスプレッソ レザーエア")</f>
        <v>ACME FURNITURE ソール セクショナルソファ 電動リクライニングチェア付き エスプレッソ レザーエア</v>
      </c>
    </row>
    <row r="3581" ht="15.75" customHeight="1">
      <c r="A3581" s="1">
        <v>5282.0</v>
      </c>
      <c r="B3581" s="1" t="s">
        <v>381</v>
      </c>
      <c r="C3581" s="1" t="s">
        <v>616</v>
      </c>
      <c r="D3581" s="1" t="str">
        <f>IFERROR(__xludf.DUMMYFUNCTION("CONCATENATE(GOOGLETRANSLATE(C3581, ""en"", ""zh-cn""))"),"男士椰子树日式印花夏威夷度假短袖 T 恤")</f>
        <v>男士椰子树日式印花夏威夷度假短袖 T 恤</v>
      </c>
      <c r="E3581" s="1" t="str">
        <f>IFERROR(__xludf.DUMMYFUNCTION("CONCATENATE(GOOGLETRANSLATE(C3581, ""en"", ""ko""))"),"남성용 코코넛 나무 일본식 프린트 하와이 휴가 반팔 티셔츠")</f>
        <v>남성용 코코넛 나무 일본식 프린트 하와이 휴가 반팔 티셔츠</v>
      </c>
      <c r="F3581" s="1" t="str">
        <f>IFERROR(__xludf.DUMMYFUNCTION("CONCATENATE(GOOGLETRANSLATE(C3581, ""en"", ""ja""))"),"メンズ ココナッツ ツリー 日本語プリント ハワイアン バケーション 半袖 T シャツ")</f>
        <v>メンズ ココナッツ ツリー 日本語プリント ハワイアン バケーション 半袖 T シャツ</v>
      </c>
    </row>
    <row r="3582" ht="15.75" customHeight="1">
      <c r="A3582" s="1">
        <v>5291.0</v>
      </c>
      <c r="B3582" s="1" t="s">
        <v>15</v>
      </c>
      <c r="C3582" s="1" t="s">
        <v>1850</v>
      </c>
      <c r="D3582" s="1" t="str">
        <f>IFERROR(__xludf.DUMMYFUNCTION("CONCATENATE(GOOGLETRANSLATE(C3582, ""en"", ""zh-cn""))"),"GAN 13 磁悬浮磨砂涂层，磁性速度魔方 3x3 无贴纸 56 毫米磁铁魔方拼图玩具，GAN 2022 旗舰")</f>
        <v>GAN 13 磁悬浮磨砂涂层，磁性速度魔方 3x3 无贴纸 56 毫米磁铁魔方拼图玩具，GAN 2022 旗舰</v>
      </c>
      <c r="E3582" s="1" t="str">
        <f>IFERROR(__xludf.DUMMYFUNCTION("CONCATENATE(GOOGLETRANSLATE(C3582, ""en"", ""ko""))"),"GAN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3582" s="1" t="str">
        <f>IFERROR(__xludf.DUMMYFUNCTION("CONCATENATE(GOOGLETRANSLATE(C3582, ""en"", ""ja""))"),"GAN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3583" ht="15.75" customHeight="1">
      <c r="A3583" s="1">
        <v>5307.0</v>
      </c>
      <c r="B3583" s="1" t="s">
        <v>15</v>
      </c>
      <c r="C3583" s="1" t="s">
        <v>2792</v>
      </c>
      <c r="D3583" s="1" t="str">
        <f>IFERROR(__xludf.DUMMYFUNCTION("CONCATENATE(GOOGLETRANSLATE(C3583, ""en"", ""zh-cn""))"),"Sidi 男士 Ergo 5 Carbon Scape 骑行鞋")</f>
        <v>Sidi 男士 Ergo 5 Carbon Scape 骑行鞋</v>
      </c>
      <c r="E3583" s="1" t="str">
        <f>IFERROR(__xludf.DUMMYFUNCTION("CONCATENATE(GOOGLETRANSLATE(C3583, ""en"", ""ko""))"),"Sidi 남성용 Ergo 5 카본 스케이프 사이클링")</f>
        <v>Sidi 남성용 Ergo 5 카본 스케이프 사이클링</v>
      </c>
      <c r="F3583" s="1" t="str">
        <f>IFERROR(__xludf.DUMMYFUNCTION("CONCATENATE(GOOGLETRANSLATE(C3583, ""en"", ""ja""))"),"シディ メンズ エルゴ 5 カーボン スケープ サイクリング")</f>
        <v>シディ メンズ エルゴ 5 カーボン スケープ サイクリング</v>
      </c>
    </row>
    <row r="3584" ht="15.75" customHeight="1">
      <c r="A3584" s="1">
        <v>5316.0</v>
      </c>
      <c r="B3584" s="1" t="s">
        <v>15</v>
      </c>
      <c r="C3584" s="1" t="s">
        <v>1839</v>
      </c>
      <c r="D3584" s="1" t="str">
        <f>IFERROR(__xludf.DUMMYFUNCTION("CONCATENATE(GOOGLETRANSLATE(C3584, ""en"", ""zh-cn""))"),"GAN 13 磁悬浮 UV 涂层，磁性速度魔方 3x3 无贴纸 56 毫米磁铁魔方拼图玩具，GAN 2022 旗舰")</f>
        <v>GAN 13 磁悬浮 UV 涂层，磁性速度魔方 3x3 无贴纸 56 毫米磁铁魔方拼图玩具，GAN 2022 旗舰</v>
      </c>
      <c r="E3584" s="1" t="str">
        <f>IFERROR(__xludf.DUMMYFUNCTION("CONCATENATE(GOOGLETRANSLATE(C3584, ""en"", ""ko""))"),"GAN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3584" s="1" t="str">
        <f>IFERROR(__xludf.DUMMYFUNCTION("CONCATENATE(GOOGLETRANSLATE(C3584, ""en"", ""ja""))"),"GAN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3585" ht="15.75" customHeight="1">
      <c r="A3585" s="1">
        <v>5330.0</v>
      </c>
      <c r="B3585" s="1" t="s">
        <v>15</v>
      </c>
      <c r="C3585" s="1" t="s">
        <v>3222</v>
      </c>
      <c r="D3585" s="1" t="str">
        <f>IFERROR(__xludf.DUMMYFUNCTION("CONCATENATE(GOOGLETRANSLATE(C3585, ""en"", ""zh-cn""))"),"Apple 2022 iPad Air（10.9 英寸，Wi-Fi + 蜂窝网络，64GB）- 蓝色（第 5 代）")</f>
        <v>Apple 2022 iPad Air（10.9 英寸，Wi-Fi + 蜂窝网络，64GB）- 蓝色（第 5 代）</v>
      </c>
      <c r="E3585" s="1" t="str">
        <f>IFERROR(__xludf.DUMMYFUNCTION("CONCATENATE(GOOGLETRANSLATE(C3585, ""en"", ""ko""))"),"Apple 2022 아이패드 에어(10.9인치, Wi-Fi + Cellular, 64GB) - 블루(5세대)")</f>
        <v>Apple 2022 아이패드 에어(10.9인치, Wi-Fi + Cellular, 64GB) - 블루(5세대)</v>
      </c>
      <c r="F3585" s="1" t="str">
        <f>IFERROR(__xludf.DUMMYFUNCTION("CONCATENATE(GOOGLETRANSLATE(C3585, ""en"", ""ja""))"),"Apple 2022 iPad Air (10.9 インチ、Wi-Fi + Cellular、64GB) - ブルー (第 5 世代)")</f>
        <v>Apple 2022 iPad Air (10.9 インチ、Wi-Fi + Cellular、64GB) - ブルー (第 5 世代)</v>
      </c>
    </row>
    <row r="3586" ht="15.75" customHeight="1">
      <c r="A3586" s="1">
        <v>5340.0</v>
      </c>
      <c r="B3586" s="1" t="s">
        <v>15</v>
      </c>
      <c r="C3586" s="1" t="s">
        <v>1647</v>
      </c>
      <c r="D3586" s="1" t="str">
        <f>IFERROR(__xludf.DUMMYFUNCTION("CONCATENATE(GOOGLETRANSLATE(C3586, ""en"", ""zh-cn""))"),"带盖拼图板，大型倾斜 1500 块拼图桌，ENGRTALENT 35 英寸 x 26 英寸带抽屉便携式拼图桌，带彩色拼图分类托盘、指南、毛毡板和手柄。")</f>
        <v>带盖拼图板，大型倾斜 1500 块拼图桌，ENGRTALENT 35 英寸 x 26 英寸带抽屉便携式拼图桌，带彩色拼图分类托盘、指南、毛毡板和手柄。</v>
      </c>
      <c r="E3586" s="1" t="str">
        <f>IFERROR(__xludf.DUMMYFUNCTION("CONCATENATE(GOOGLETRANSLATE(C3586, ""en"", ""ko""))"),"덮개가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3586" s="1" t="str">
        <f>IFERROR(__xludf.DUMMYFUNCTION("CONCATENATE(GOOGLETRANSLATE(C3586, ""en"", ""ja""))"),"カバー付きパズルボード、大型傾斜1500ピースジグソーパズルテーブル、ENGRTALENT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3587" ht="15.75" customHeight="1">
      <c r="A3587" s="1">
        <v>5352.0</v>
      </c>
      <c r="B3587" s="1" t="s">
        <v>15</v>
      </c>
      <c r="C3587" s="1" t="s">
        <v>1851</v>
      </c>
      <c r="D3587" s="1" t="str">
        <f>IFERROR(__xludf.DUMMYFUNCTION("CONCATENATE(GOOGLETRANSLATE(C3587, ""en"", ""zh-cn""))"),"GAN Megaminx M，五角磁力测速魔方，无贴纸")</f>
        <v>GAN Megaminx M，五角磁力测速魔方，无贴纸</v>
      </c>
      <c r="E3587" s="1" t="str">
        <f>IFERROR(__xludf.DUMMYFUNCTION("CONCATENATE(GOOGLETRANSLATE(C3587, ""en"", ""ko""))"),"GAN Megaminx M, 오각형 자기 속도 큐브, 스티커 없음")</f>
        <v>GAN Megaminx M, 오각형 자기 속도 큐브, 스티커 없음</v>
      </c>
      <c r="F3587" s="1" t="str">
        <f>IFERROR(__xludf.DUMMYFUNCTION("CONCATENATE(GOOGLETRANSLATE(C3587, ""en"", ""ja""))"),"GAN メガミンクス M、五角形磁気スピードキューブ、ステッカーレス")</f>
        <v>GAN メガミンクス M、五角形磁気スピードキューブ、ステッカーレス</v>
      </c>
    </row>
    <row r="3588" ht="15.75" customHeight="1">
      <c r="A3588" s="1">
        <v>5364.0</v>
      </c>
      <c r="B3588" s="1" t="s">
        <v>15</v>
      </c>
      <c r="C3588" s="1" t="s">
        <v>3223</v>
      </c>
      <c r="D3588" s="1" t="str">
        <f>IFERROR(__xludf.DUMMYFUNCTION("CONCATENATE(GOOGLETRANSLATE(C3588, ""en"", ""zh-cn""))"),"REDMAGIC 8 Pro 智能手机 5G，120Hz 游戏手机，6.8 全面屏，屏下摄像头，6000mAh Android 手机，Snapdragon 8 Gen 2，12+256GB，65W 充电器，双卡，美国解锁手机黑色")</f>
        <v>REDMAGIC 8 Pro 智能手机 5G，120Hz 游戏手机，6.8 全面屏，屏下摄像头，6000mAh Android 手机，Snapdragon 8 Gen 2，12+256GB，65W 充电器，双卡，美国解锁手机黑色</v>
      </c>
      <c r="E3588" s="1" t="str">
        <f>IFERROR(__xludf.DUMMYFUNCTION("CONCATENATE(GOOGLETRANSLATE(C3588, ""en"", ""ko""))"),"REDMAGIC 8 Pro 스마트폰 5G, 120Hz 게이밍 폰, 6.8 전체 화면, 언더 디스플레이 카메라, 6000mAh 안드로이드 폰, Snapdragon 8 Gen 2, 12+256GB, 65W 충전기, 듀얼 심, 미국 공기계 휴대폰 블랙")</f>
        <v>REDMAGIC 8 Pro 스마트폰 5G, 120Hz 게이밍 폰, 6.8 전체 화면, 언더 디스플레이 카메라, 6000mAh 안드로이드 폰, Snapdragon 8 Gen 2, 12+256GB, 65W 충전기, 듀얼 심, 미국 공기계 휴대폰 블랙</v>
      </c>
      <c r="F3588" s="1" t="str">
        <f>IFERROR(__xludf.DUMMYFUNCTION("CONCATENATE(GOOGLETRANSLATE(C3588, ""en"", ""ja""))"),"REDMAGIC 8 Pro スマートフォン 5G、120Hz ゲーム電話、6.8 フルスクリーン、ディスプレイカメラ下、6000mAh Android 携帯電話、Snapdragon 8 Gen 2、12+256GB、65W 充電器、デュアル Sim、米国ロック解除済み携帯電話 ブラック")</f>
        <v>REDMAGIC 8 Pro スマートフォン 5G、120Hz ゲーム電話、6.8 フルスクリーン、ディスプレイカメラ下、6000mAh Android 携帯電話、Snapdragon 8 Gen 2、12+256GB、65W 充電器、デュアル Sim、米国ロック解除済み携帯電話 ブラック</v>
      </c>
    </row>
    <row r="3589" ht="15.75" customHeight="1">
      <c r="A3589" s="1">
        <v>5370.0</v>
      </c>
      <c r="B3589" s="1" t="s">
        <v>15</v>
      </c>
      <c r="C3589" s="1" t="s">
        <v>1649</v>
      </c>
      <c r="D3589" s="1" t="str">
        <f>IFERROR(__xludf.DUMMYFUNCTION("CONCATENATE(GOOGLETRANSLATE(C3589, ""en"", ""zh-cn""))"),"GAN 机器人，魔方解谜机自动解谜器和解谜器，兼容 GAN 356i2 i3 iplay iCarry Speed Cubes（不含魔方）和最新版本 APP")</f>
        <v>GAN 机器人，魔方解谜机自动解谜器和解谜器，兼容 GAN 356i2 i3 iplay iCarry Speed Cubes（不含魔方）和最新版本 APP</v>
      </c>
      <c r="E3589" s="1" t="str">
        <f>IFERROR(__xludf.DUMMYFUNCTION("CONCATENATE(GOOGLETRANSLATE(C3589, ""en"", ""ko""))"),"GAN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3589" s="1" t="str">
        <f>IFERROR(__xludf.DUMMYFUNCTION("CONCATENATE(GOOGLETRANSLATE(C3589, ""en"", ""ja""))"),"GAN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3590" ht="15.75" customHeight="1">
      <c r="A3590" s="1">
        <v>5378.0</v>
      </c>
      <c r="B3590" s="1" t="s">
        <v>381</v>
      </c>
      <c r="C3590" s="1" t="s">
        <v>689</v>
      </c>
      <c r="D3590" s="1" t="str">
        <f>IFERROR(__xludf.DUMMYFUNCTION("CONCATENATE(GOOGLETRANSLATE(C3590, ""en"", ""zh-cn""))"),"男式拼色拼布翻盖灯芯绒衬衫夹克")</f>
        <v>男式拼色拼布翻盖灯芯绒衬衫夹克</v>
      </c>
      <c r="E3590" s="1" t="str">
        <f>IFERROR(__xludf.DUMMYFUNCTION("CONCATENATE(GOOGLETRANSLATE(C3590, ""en"", ""ko""))"),"남성용 컬러 블록 패치워크 플랩 포켓 코듀로이 셔츠 재킷")</f>
        <v>남성용 컬러 블록 패치워크 플랩 포켓 코듀로이 셔츠 재킷</v>
      </c>
      <c r="F3590" s="1" t="str">
        <f>IFERROR(__xludf.DUMMYFUNCTION("CONCATENATE(GOOGLETRANSLATE(C3590, ""en"", ""ja""))"),"メンズ カラーブロック パッチワーク フラップ ポケット コーデュロイ シャツ ジャケット")</f>
        <v>メンズ カラーブロック パッチワーク フラップ ポケット コーデュロイ シャツ ジャケット</v>
      </c>
    </row>
    <row r="3591" ht="15.75" customHeight="1">
      <c r="A3591" s="1">
        <v>5380.0</v>
      </c>
      <c r="B3591" s="1" t="s">
        <v>15</v>
      </c>
      <c r="C3591" s="1" t="s">
        <v>1824</v>
      </c>
      <c r="D3591" s="1" t="str">
        <f>IFERROR(__xludf.DUMMYFUNCTION("CONCATENATE(GOOGLETRANSLATE(C3591, ""en"", ""zh-cn""))"),"ALL4JIG 1500 件便携式带腿拼图桌，可调节拼图板，带 4 个抽屉和盖子，3 倾斜角度成人拼图桌")</f>
        <v>ALL4JIG 1500 件便携式带腿拼图桌，可调节拼图板，带 4 个抽屉和盖子，3 倾斜角度成人拼图桌</v>
      </c>
      <c r="E3591" s="1" t="str">
        <f>IFERROR(__xludf.DUMMYFUNCTION("CONCATENATE(GOOGLETRANSLATE(C3591, ""en"", ""ko""))"),"ALL4JIG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3591" s="1" t="str">
        <f>IFERROR(__xludf.DUMMYFUNCTION("CONCATENATE(GOOGLETRANSLATE(C3591, ""en"", ""ja""))"),"ALL4JIG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3592" ht="15.75" customHeight="1">
      <c r="A3592" s="1">
        <v>5381.0</v>
      </c>
      <c r="B3592" s="1" t="s">
        <v>15</v>
      </c>
      <c r="C3592" s="1" t="s">
        <v>1647</v>
      </c>
      <c r="D3592" s="1" t="str">
        <f>IFERROR(__xludf.DUMMYFUNCTION("CONCATENATE(GOOGLETRANSLATE(C3592, ""en"", ""zh-cn""))"),"带盖拼图板，大型倾斜 1500 块拼图桌，ENGRTALENT 35 英寸 x 26 英寸带抽屉便携式拼图桌，带彩色拼图分类托盘、指南、毛毡板和手柄。")</f>
        <v>带盖拼图板，大型倾斜 1500 块拼图桌，ENGRTALENT 35 英寸 x 26 英寸带抽屉便携式拼图桌，带彩色拼图分类托盘、指南、毛毡板和手柄。</v>
      </c>
      <c r="E3592" s="1" t="str">
        <f>IFERROR(__xludf.DUMMYFUNCTION("CONCATENATE(GOOGLETRANSLATE(C3592, ""en"", ""ko""))"),"덮개가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3592" s="1" t="str">
        <f>IFERROR(__xludf.DUMMYFUNCTION("CONCATENATE(GOOGLETRANSLATE(C3592, ""en"", ""ja""))"),"カバー付きパズルボード、大型傾斜1500ピースジグソーパズルテーブル、ENGRTALENT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3593" ht="15.75" customHeight="1">
      <c r="A3593" s="1">
        <v>5384.0</v>
      </c>
      <c r="B3593" s="1" t="s">
        <v>15</v>
      </c>
      <c r="C3593" s="1" t="s">
        <v>1843</v>
      </c>
      <c r="D3593" s="1" t="str">
        <f>IFERROR(__xludf.DUMMYFUNCTION("CONCATENATE(GOOGLETRANSLATE(C3593, ""en"", ""zh-cn""))"),"BroMocube 的 GAN 11M Pro 3x3 速度魔方 GAN 11 磁性拼图魔方 Gan11M 魔方（GAN 11 M Pro 磨砂无贴纸（黑色））")</f>
        <v>BroMocube 的 GAN 11M Pro 3x3 速度魔方 GAN 11 磁性拼图魔方 Gan11M 魔方（GAN 11 M Pro 磨砂无贴纸（黑色））</v>
      </c>
      <c r="E3593" s="1" t="str">
        <f>IFERROR(__xludf.DUMMYFUNCTION("CONCATENATE(GOOGLETRANSLATE(C3593, ""en"", ""ko""))"),"GAN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3593" s="1" t="str">
        <f>IFERROR(__xludf.DUMMYFUNCTION("CONCATENATE(GOOGLETRANSLATE(C3593, ""en"", ""ja""))"),"GAN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3594" ht="15.75" customHeight="1">
      <c r="A3594" s="1">
        <v>5385.0</v>
      </c>
      <c r="B3594" s="1" t="s">
        <v>15</v>
      </c>
      <c r="C3594" s="1" t="s">
        <v>1649</v>
      </c>
      <c r="D3594" s="1" t="str">
        <f>IFERROR(__xludf.DUMMYFUNCTION("CONCATENATE(GOOGLETRANSLATE(C3594, ""en"", ""zh-cn""))"),"GAN 机器人，魔方解谜机自动解谜器和解谜器，兼容 GAN 356i2 i3 iplay iCarry Speed Cubes（不含魔方）和最新版本 APP")</f>
        <v>GAN 机器人，魔方解谜机自动解谜器和解谜器，兼容 GAN 356i2 i3 iplay iCarry Speed Cubes（不含魔方）和最新版本 APP</v>
      </c>
      <c r="E3594" s="1" t="str">
        <f>IFERROR(__xludf.DUMMYFUNCTION("CONCATENATE(GOOGLETRANSLATE(C3594, ""en"", ""ko""))"),"GAN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3594" s="1" t="str">
        <f>IFERROR(__xludf.DUMMYFUNCTION("CONCATENATE(GOOGLETRANSLATE(C3594, ""en"", ""ja""))"),"GAN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3595" ht="15.75" customHeight="1">
      <c r="A3595" s="1">
        <v>5386.0</v>
      </c>
      <c r="B3595" s="1" t="s">
        <v>15</v>
      </c>
      <c r="C3595" s="1" t="s">
        <v>1650</v>
      </c>
      <c r="D3595" s="1" t="str">
        <f>IFERROR(__xludf.DUMMYFUNCTION("CONCATENATE(GOOGLETRANSLATE(C3595, ""en"", ""zh-cn""))"),"SHARGEEK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3595" s="1" t="str">
        <f>IFERROR(__xludf.DUMMYFUNCTION("CONCATENATE(GOOGLETRANSLATE(C3595, ""en"", ""ko""))"),"SHARGEEK의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3595" s="1" t="str">
        <f>IFERROR(__xludf.DUMMYFUNCTION("CONCATENATE(GOOGLETRANSLATE(C3595, ""en"", ""ja""))"),"SHARGEEK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3596" ht="15.75" customHeight="1">
      <c r="A3596" s="1">
        <v>5399.0</v>
      </c>
      <c r="B3596" s="1" t="s">
        <v>381</v>
      </c>
      <c r="C3596" s="1" t="s">
        <v>790</v>
      </c>
      <c r="D3596" s="1" t="str">
        <f>IFERROR(__xludf.DUMMYFUNCTION("CONCATENATE(GOOGLETRANSLATE(C3596, ""en"", ""zh-cn""))"),"女式波点印花圆领短袖超长连衣裙")</f>
        <v>女式波点印花圆领短袖超长连衣裙</v>
      </c>
      <c r="E3596" s="1" t="str">
        <f>IFERROR(__xludf.DUMMYFUNCTION("CONCATENATE(GOOGLETRANSLATE(C3596, ""en"", ""ko""))"),"여성 폴카 도트 프린트 O 넥 반팔 맥시 드레스")</f>
        <v>여성 폴카 도트 프린트 O 넥 반팔 맥시 드레스</v>
      </c>
      <c r="F3596" s="1" t="str">
        <f>IFERROR(__xludf.DUMMYFUNCTION("CONCATENATE(GOOGLETRANSLATE(C3596, ""en"", ""ja""))"),"女性ポルカドットプリントOネック半袖マキシドレス")</f>
        <v>女性ポルカドットプリントOネック半袖マキシドレス</v>
      </c>
    </row>
    <row r="3597" ht="15.75" customHeight="1">
      <c r="A3597" s="1">
        <v>5403.0</v>
      </c>
      <c r="B3597" s="1" t="s">
        <v>381</v>
      </c>
      <c r="C3597" s="1" t="s">
        <v>772</v>
      </c>
      <c r="D3597" s="1" t="str">
        <f>IFERROR(__xludf.DUMMYFUNCTION("CONCATENATE(GOOGLETRANSLATE(C3597, ""en"", ""zh-cn""))"),"女式纯色荷叶边饰边无袖简约中长连衣裙")</f>
        <v>女式纯色荷叶边饰边无袖简约中长连衣裙</v>
      </c>
      <c r="E3597" s="1" t="str">
        <f>IFERROR(__xludf.DUMMYFUNCTION("CONCATENATE(GOOGLETRANSLATE(C3597, ""en"", ""ko""))"),"여성 솔리드 컬러 프릴 트림 민소매 단순 미디 드레스")</f>
        <v>여성 솔리드 컬러 프릴 트림 민소매 단순 미디 드레스</v>
      </c>
      <c r="F3597" s="1" t="str">
        <f>IFERROR(__xludf.DUMMYFUNCTION("CONCATENATE(GOOGLETRANSLATE(C3597, ""en"", ""ja""))"),"女性ソリッドカラーフリルトリムノースリーブシンプルなミディドレス")</f>
        <v>女性ソリッドカラーフリルトリムノースリーブシンプルなミディドレス</v>
      </c>
    </row>
    <row r="3598" ht="15.75" customHeight="1">
      <c r="A3598" s="1">
        <v>5405.0</v>
      </c>
      <c r="B3598" s="1" t="s">
        <v>15</v>
      </c>
      <c r="C3598" s="1" t="s">
        <v>1824</v>
      </c>
      <c r="D3598" s="1" t="str">
        <f>IFERROR(__xludf.DUMMYFUNCTION("CONCATENATE(GOOGLETRANSLATE(C3598, ""en"", ""zh-cn""))"),"ALL4JIG 1500 件便携式带腿拼图桌，可调节拼图板，带 4 个抽屉和盖子，3 倾斜角度成人拼图桌")</f>
        <v>ALL4JIG 1500 件便携式带腿拼图桌，可调节拼图板，带 4 个抽屉和盖子，3 倾斜角度成人拼图桌</v>
      </c>
      <c r="E3598" s="1" t="str">
        <f>IFERROR(__xludf.DUMMYFUNCTION("CONCATENATE(GOOGLETRANSLATE(C3598, ""en"", ""ko""))"),"ALL4JIG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3598" s="1" t="str">
        <f>IFERROR(__xludf.DUMMYFUNCTION("CONCATENATE(GOOGLETRANSLATE(C3598, ""en"", ""ja""))"),"ALL4JIG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3599" ht="15.75" customHeight="1">
      <c r="A3599" s="1">
        <v>5410.0</v>
      </c>
      <c r="B3599" s="1" t="s">
        <v>15</v>
      </c>
      <c r="C3599" s="1" t="s">
        <v>1824</v>
      </c>
      <c r="D3599" s="1" t="str">
        <f>IFERROR(__xludf.DUMMYFUNCTION("CONCATENATE(GOOGLETRANSLATE(C3599, ""en"", ""zh-cn""))"),"ALL4JIG 1500 件便携式带腿拼图桌，可调节拼图板，带 4 个抽屉和盖子，3 倾斜角度成人拼图桌")</f>
        <v>ALL4JIG 1500 件便携式带腿拼图桌，可调节拼图板，带 4 个抽屉和盖子，3 倾斜角度成人拼图桌</v>
      </c>
      <c r="E3599" s="1" t="str">
        <f>IFERROR(__xludf.DUMMYFUNCTION("CONCATENATE(GOOGLETRANSLATE(C3599, ""en"", ""ko""))"),"ALL4JIG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3599" s="1" t="str">
        <f>IFERROR(__xludf.DUMMYFUNCTION("CONCATENATE(GOOGLETRANSLATE(C3599, ""en"", ""ja""))"),"ALL4JIG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3600" ht="15.75" customHeight="1">
      <c r="A3600" s="1">
        <v>5417.0</v>
      </c>
      <c r="B3600" s="1" t="s">
        <v>15</v>
      </c>
      <c r="C3600" s="1" t="s">
        <v>1845</v>
      </c>
      <c r="D3600" s="1" t="str">
        <f>IFERROR(__xludf.DUMMYFUNCTION("CONCATENATE(GOOGLETRANSLATE(C3600, ""en"", ""zh-cn""))"),"LiangCuber GAN 13磁悬浮旗舰磁力3x3无贴纸GAN13 M速度魔方（磨砂版）")</f>
        <v>LiangCuber GAN 13磁悬浮旗舰磁力3x3无贴纸GAN13 M速度魔方（磨砂版）</v>
      </c>
      <c r="E3600" s="1" t="str">
        <f>IFERROR(__xludf.DUMMYFUNCTION("CONCATENATE(GOOGLETRANSLATE(C3600, ""en"", ""ko""))"),"LiangCuber GAN 13 자기 부상 플래그십 마그네틱 3x3 스티커 없는 GAN13 M 스피드 큐브(반투명 버전)")</f>
        <v>LiangCuber GAN 13 자기 부상 플래그십 마그네틱 3x3 스티커 없는 GAN13 M 스피드 큐브(반투명 버전)</v>
      </c>
      <c r="F3600" s="1" t="str">
        <f>IFERROR(__xludf.DUMMYFUNCTION("CONCATENATE(GOOGLETRANSLATE(C3600, ""en"", ""ja""))"),"LiangCuber GAN 13 マグレブ旗艦 磁気 3x3 ステッカーレス GAN13 M スピード キューブ (つや消しバージョン)")</f>
        <v>LiangCuber GAN 13 マグレブ旗艦 磁気 3x3 ステッカーレス GAN13 M スピード キューブ (つや消しバージョン)</v>
      </c>
    </row>
    <row r="3601" ht="15.75" customHeight="1">
      <c r="A3601" s="1">
        <v>5421.0</v>
      </c>
      <c r="B3601" s="1" t="s">
        <v>15</v>
      </c>
      <c r="C3601" s="1" t="s">
        <v>1824</v>
      </c>
      <c r="D3601" s="1" t="str">
        <f>IFERROR(__xludf.DUMMYFUNCTION("CONCATENATE(GOOGLETRANSLATE(C3601, ""en"", ""zh-cn""))"),"ALL4JIG 1500 件便携式带腿拼图桌，可调节拼图板，带 4 个抽屉和盖子，3 倾斜角度成人拼图桌")</f>
        <v>ALL4JIG 1500 件便携式带腿拼图桌，可调节拼图板，带 4 个抽屉和盖子，3 倾斜角度成人拼图桌</v>
      </c>
      <c r="E3601" s="1" t="str">
        <f>IFERROR(__xludf.DUMMYFUNCTION("CONCATENATE(GOOGLETRANSLATE(C3601, ""en"", ""ko""))"),"ALL4JIG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3601" s="1" t="str">
        <f>IFERROR(__xludf.DUMMYFUNCTION("CONCATENATE(GOOGLETRANSLATE(C3601, ""en"", ""ja""))"),"ALL4JIG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3602" ht="15.75" customHeight="1">
      <c r="A3602" s="1">
        <v>5431.0</v>
      </c>
      <c r="B3602" s="1" t="s">
        <v>15</v>
      </c>
      <c r="C3602" s="1" t="s">
        <v>1647</v>
      </c>
      <c r="D3602" s="1" t="str">
        <f>IFERROR(__xludf.DUMMYFUNCTION("CONCATENATE(GOOGLETRANSLATE(C3602, ""en"", ""zh-cn""))"),"带盖拼图板，大型倾斜 1500 块拼图桌，ENGRTALENT 35 英寸 x 26 英寸带抽屉便携式拼图桌，带彩色拼图分类托盘、指南、毛毡板和手柄。")</f>
        <v>带盖拼图板，大型倾斜 1500 块拼图桌，ENGRTALENT 35 英寸 x 26 英寸带抽屉便携式拼图桌，带彩色拼图分类托盘、指南、毛毡板和手柄。</v>
      </c>
      <c r="E3602" s="1" t="str">
        <f>IFERROR(__xludf.DUMMYFUNCTION("CONCATENATE(GOOGLETRANSLATE(C3602, ""en"", ""ko""))"),"덮개가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3602" s="1" t="str">
        <f>IFERROR(__xludf.DUMMYFUNCTION("CONCATENATE(GOOGLETRANSLATE(C3602, ""en"", ""ja""))"),"カバー付きパズルボード、大型傾斜1500ピースジグソーパズルテーブル、ENGRTALENT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3603" ht="15.75" customHeight="1">
      <c r="A3603" s="1">
        <v>5436.0</v>
      </c>
      <c r="B3603" s="1" t="s">
        <v>15</v>
      </c>
      <c r="C3603" s="1" t="s">
        <v>1904</v>
      </c>
      <c r="D3603" s="1" t="str">
        <f>IFERROR(__xludf.DUMMYFUNCTION("CONCATENATE(GOOGLETRANSLATE(C3603, ""en"", ""zh-cn""))"),"美国 Pride 家具瑜伽系列现代人造皮革弧形躺椅，适合伸展和放松，非常适合卧室、客厅、冥想室或办公室，常规，黑巧克力色")</f>
        <v>美国 Pride 家具瑜伽系列现代人造皮革弧形躺椅，适合伸展和放松，非常适合卧室、客厅、冥想室或办公室，常规，黑巧克力色</v>
      </c>
      <c r="E3603" s="1" t="str">
        <f>IFERROR(__xludf.DUMMYFUNCTION("CONCATENATE(GOOGLETRANSLATE(C3603, ""en"", ""ko""))"),"US Pride Furniture Yoga Collection 스트레칭과 휴식을 위한 현대적인 인조 가죽 곡선 라운지 의자, 침실, 거실, 명상실 또는 사무실, 일반, 다크 초콜릿에 이상적")</f>
        <v>US Pride Furniture Yoga Collection 스트레칭과 휴식을 위한 현대적인 인조 가죽 곡선 라운지 의자, 침실, 거실, 명상실 또는 사무실, 일반, 다크 초콜릿에 이상적</v>
      </c>
      <c r="F3603" s="1" t="str">
        <f>IFERROR(__xludf.DUMMYFUNCTION("CONCATENATE(GOOGLETRANSLATE(C3603, ""en"", ""ja""))"),"USプライドファニチャーヨガコレクション ストレッチとリラクゼーションのためのモダンなフェイクレザーの湾曲したラウンジ長椅子、寝室、リビング、瞑想室またはオフィスに最適、レギュラー、ダークチョコレート")</f>
        <v>USプライドファニチャーヨガコレクション ストレッチとリラクゼーションのためのモダンなフェイクレザーの湾曲したラウンジ長椅子、寝室、リビング、瞑想室またはオフィスに最適、レギュラー、ダークチョコレート</v>
      </c>
    </row>
    <row r="3604" ht="15.75" customHeight="1">
      <c r="A3604" s="1">
        <v>5442.0</v>
      </c>
      <c r="B3604" s="1" t="s">
        <v>15</v>
      </c>
      <c r="C3604" s="1" t="s">
        <v>1823</v>
      </c>
      <c r="D3604" s="1" t="str">
        <f>IFERROR(__xludf.DUMMYFUNCTION("CONCATENATE(GOOGLETRANSLATE(C3604, ""en"", ""zh-cn""))"),"Giro Sector 男士山地骑行鞋")</f>
        <v>Giro Sector 男士山地骑行鞋</v>
      </c>
      <c r="E3604" s="1" t="str">
        <f>IFERROR(__xludf.DUMMYFUNCTION("CONCATENATE(GOOGLETRANSLATE(C3604, ""en"", ""ko""))"),"Giro Sector 남성용 산악 사이클링 신발")</f>
        <v>Giro Sector 남성용 산악 사이클링 신발</v>
      </c>
      <c r="F3604" s="1" t="str">
        <f>IFERROR(__xludf.DUMMYFUNCTION("CONCATENATE(GOOGLETRANSLATE(C3604, ""en"", ""ja""))"),"Giro Sector メンズ マウンテン サイクリング シューズ")</f>
        <v>Giro Sector メンズ マウンテン サイクリング シューズ</v>
      </c>
    </row>
    <row r="3605" ht="15.75" customHeight="1">
      <c r="A3605" s="1">
        <v>5446.0</v>
      </c>
      <c r="B3605" s="1" t="s">
        <v>15</v>
      </c>
      <c r="C3605" s="1" t="s">
        <v>3206</v>
      </c>
      <c r="D3605" s="1" t="str">
        <f>IFERROR(__xludf.DUMMYFUNCTION("CONCATENATE(GOOGLETRANSLATE(C3605, ""en"", ""zh-cn""))"),"DIME Beauty 紧致紧致精华液，1 片")</f>
        <v>DIME Beauty 紧致紧致精华液，1 片</v>
      </c>
      <c r="E3605" s="1" t="str">
        <f>IFERROR(__xludf.DUMMYFUNCTION("CONCATENATE(GOOGLETRANSLATE(C3605, ""en"", ""ko""))"),"피부 탄력 및 퍼밍을 위한 DIME 뷰티 슈퍼 펌 세럼, 1개")</f>
        <v>피부 탄력 및 퍼밍을 위한 DIME 뷰티 슈퍼 펌 세럼, 1개</v>
      </c>
      <c r="F3605" s="1" t="str">
        <f>IFERROR(__xludf.DUMMYFUNCTION("CONCATENATE(GOOGLETRANSLATE(C3605, ""en"", ""ja""))"),"DIME Beauty スーパーファームセラム 肌の引き締め・引き締め 1本")</f>
        <v>DIME Beauty スーパーファームセラム 肌の引き締め・引き締め 1本</v>
      </c>
    </row>
    <row r="3606" ht="15.75" customHeight="1">
      <c r="A3606" s="1">
        <v>5463.0</v>
      </c>
      <c r="B3606" s="1" t="s">
        <v>15</v>
      </c>
      <c r="C3606" s="1" t="s">
        <v>1648</v>
      </c>
      <c r="D3606" s="1" t="str">
        <f>IFERROR(__xludf.DUMMYFUNCTION("CONCATENATE(GOOGLETRANSLATE(C3606, ""en"", ""zh-cn""))"),"CuberShop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3606" s="1" t="str">
        <f>IFERROR(__xludf.DUMMYFUNCTION("CONCATENATE(GOOGLETRANSLATE(C3606, ""en"", ""ko""))"),"CuberShop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3606" s="1" t="str">
        <f>IFERROR(__xludf.DUMMYFUNCTION("CONCATENATE(GOOGLETRANSLATE(C3606, ""en"", ""ja""))"),"CuberShop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3607" ht="15.75" customHeight="1">
      <c r="A3607" s="1">
        <v>5466.0</v>
      </c>
      <c r="B3607" s="1" t="s">
        <v>15</v>
      </c>
      <c r="C3607" s="1" t="s">
        <v>1850</v>
      </c>
      <c r="D3607" s="1" t="str">
        <f>IFERROR(__xludf.DUMMYFUNCTION("CONCATENATE(GOOGLETRANSLATE(C3607, ""en"", ""zh-cn""))"),"GAN 13 磁悬浮磨砂涂层，磁性速度魔方 3x3 无贴纸 56 毫米磁铁魔方拼图玩具，GAN 2022 旗舰")</f>
        <v>GAN 13 磁悬浮磨砂涂层，磁性速度魔方 3x3 无贴纸 56 毫米磁铁魔方拼图玩具，GAN 2022 旗舰</v>
      </c>
      <c r="E3607" s="1" t="str">
        <f>IFERROR(__xludf.DUMMYFUNCTION("CONCATENATE(GOOGLETRANSLATE(C3607, ""en"", ""ko""))"),"GAN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3607" s="1" t="str">
        <f>IFERROR(__xludf.DUMMYFUNCTION("CONCATENATE(GOOGLETRANSLATE(C3607, ""en"", ""ja""))"),"GAN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3608" ht="15.75" customHeight="1">
      <c r="A3608" s="1">
        <v>5471.0</v>
      </c>
      <c r="B3608" s="1" t="s">
        <v>15</v>
      </c>
      <c r="C3608" s="1" t="s">
        <v>1838</v>
      </c>
      <c r="D3608" s="1" t="str">
        <f>IFERROR(__xludf.DUMMYFUNCTION("CONCATENATE(GOOGLETRANSLATE(C3608, ""en"", ""zh-cn""))"),"Ravensburger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3608" s="1" t="str">
        <f>IFERROR(__xludf.DUMMYFUNCTION("CONCATENATE(GOOGLETRANSLATE(C3608, ""en"", ""ko""))"),"Ravensburger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3608" s="1" t="str">
        <f>IFERROR(__xludf.DUMMYFUNCTION("CONCATENATE(GOOGLETRANSLATE(C3608, ""en"", ""ja""))"),"Ravensburger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3609" ht="15.75" customHeight="1">
      <c r="A3609" s="1">
        <v>5490.0</v>
      </c>
      <c r="B3609" s="1" t="s">
        <v>15</v>
      </c>
      <c r="C3609" s="1" t="s">
        <v>1839</v>
      </c>
      <c r="D3609" s="1" t="str">
        <f>IFERROR(__xludf.DUMMYFUNCTION("CONCATENATE(GOOGLETRANSLATE(C3609, ""en"", ""zh-cn""))"),"GAN 13 磁悬浮 UV 涂层，磁性速度魔方 3x3 无贴纸 56 毫米磁铁魔方拼图玩具，GAN 2022 旗舰")</f>
        <v>GAN 13 磁悬浮 UV 涂层，磁性速度魔方 3x3 无贴纸 56 毫米磁铁魔方拼图玩具，GAN 2022 旗舰</v>
      </c>
      <c r="E3609" s="1" t="str">
        <f>IFERROR(__xludf.DUMMYFUNCTION("CONCATENATE(GOOGLETRANSLATE(C3609, ""en"", ""ko""))"),"GAN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3609" s="1" t="str">
        <f>IFERROR(__xludf.DUMMYFUNCTION("CONCATENATE(GOOGLETRANSLATE(C3609, ""en"", ""ja""))"),"GAN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3610" ht="15.75" customHeight="1">
      <c r="A3610" s="1">
        <v>5497.0</v>
      </c>
      <c r="B3610" s="1" t="s">
        <v>15</v>
      </c>
      <c r="C3610" s="1" t="s">
        <v>1849</v>
      </c>
      <c r="D3610" s="1" t="str">
        <f>IFERROR(__xludf.DUMMYFUNCTION("CONCATENATE(GOOGLETRANSLATE(C3610, ""en"", ""zh-cn""))"),"GAN 460 M， Gan 4x4 磁性速度魔方， gan 460 m 4 x 4 儿童和成人无贴纸拼图玩具")</f>
        <v>GAN 460 M， Gan 4x4 磁性速度魔方， gan 460 m 4 x 4 儿童和成人无贴纸拼图玩具</v>
      </c>
      <c r="E3610" s="1" t="str">
        <f>IFERROR(__xludf.DUMMYFUNCTION("CONCATENATE(GOOGLETRANSLATE(C3610, ""en"", ""ko""))"),"GAN 460 M, Gan 4x4 자기 속도 큐브, gan 460 m 4 by 4 어린이와 성인을 위한 스티커 없는 퍼즐 장난감")</f>
        <v>GAN 460 M, Gan 4x4 자기 속도 큐브, gan 460 m 4 by 4 어린이와 성인을 위한 스티커 없는 퍼즐 장난감</v>
      </c>
      <c r="F3610" s="1" t="str">
        <f>IFERROR(__xludf.DUMMYFUNCTION("CONCATENATE(GOOGLETRANSLATE(C3610, ""en"", ""ja""))"),"GAN 460 M、Gan 4x4 磁気スピードキューブ、GAN 460 m 4 by 4 ステッカーレスパズルおもちゃ子供と大人向け")</f>
        <v>GAN 460 M、Gan 4x4 磁気スピードキューブ、GAN 460 m 4 by 4 ステッカーレスパズルおもちゃ子供と大人向け</v>
      </c>
    </row>
    <row r="3611" ht="15.75" customHeight="1">
      <c r="A3611" s="1">
        <v>5507.0</v>
      </c>
      <c r="B3611" s="1" t="s">
        <v>15</v>
      </c>
      <c r="C3611" s="1" t="s">
        <v>2327</v>
      </c>
      <c r="D3611" s="1" t="str">
        <f>IFERROR(__xludf.DUMMYFUNCTION("CONCATENATE(GOOGLETRANSLATE(C3611, ""en"", ""zh-cn""))"),"GAN 356 i 3 无贴纸速度魔方，3x3 智能魔方 356 i3 甘斯磁力魔方智能跟踪计时运动步骤与 CubeStation 应用程序甘魔方拼图玩具（不含 GAN 机器人）")</f>
        <v>GAN 356 i 3 无贴纸速度魔方，3x3 智能魔方 356 i3 甘斯磁力魔方智能跟踪计时运动步骤与 CubeStation 应用程序甘魔方拼图玩具（不含 GAN 机器人）</v>
      </c>
      <c r="E3611" s="1" t="str">
        <f>IFERROR(__xludf.DUMMYFUNCTION("CONCATENATE(GOOGLETRANSLATE(C3611, ""en"", ""ko""))"),"GAN 356 i 3 스티커 없는 스피드 큐브, 3x3 스마트 큐브 356 i3 Gans 마그네틱 큐브 CubeStation 앱을 사용한 지능형 추적 타이밍 동작 단계 Gan 큐브 퍼즐 장난감(GAN 로봇은 포함되지 않음)")</f>
        <v>GAN 356 i 3 스티커 없는 스피드 큐브, 3x3 스마트 큐브 356 i3 Gans 마그네틱 큐브 CubeStation 앱을 사용한 지능형 추적 타이밍 동작 단계 Gan 큐브 퍼즐 장난감(GAN 로봇은 포함되지 않음)</v>
      </c>
      <c r="F3611" s="1" t="str">
        <f>IFERROR(__xludf.DUMMYFUNCTION("CONCATENATE(GOOGLETRANSLATE(C3611, ""en"", ""ja""))"),"GAN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f>
        <v>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v>
      </c>
    </row>
    <row r="3612" ht="15.75" customHeight="1">
      <c r="A3612" s="1">
        <v>5512.0</v>
      </c>
      <c r="B3612" s="1" t="s">
        <v>15</v>
      </c>
      <c r="C3612" s="1" t="s">
        <v>1845</v>
      </c>
      <c r="D3612" s="1" t="str">
        <f>IFERROR(__xludf.DUMMYFUNCTION("CONCATENATE(GOOGLETRANSLATE(C3612, ""en"", ""zh-cn""))"),"LiangCuber GAN 13磁悬浮旗舰磁力3x3无贴纸GAN13 M速度魔方（磨砂版）")</f>
        <v>LiangCuber GAN 13磁悬浮旗舰磁力3x3无贴纸GAN13 M速度魔方（磨砂版）</v>
      </c>
      <c r="E3612" s="1" t="str">
        <f>IFERROR(__xludf.DUMMYFUNCTION("CONCATENATE(GOOGLETRANSLATE(C3612, ""en"", ""ko""))"),"LiangCuber GAN 13 자기 부상 플래그십 마그네틱 3x3 스티커 없는 GAN13 M 스피드 큐브(반투명 버전)")</f>
        <v>LiangCuber GAN 13 자기 부상 플래그십 마그네틱 3x3 스티커 없는 GAN13 M 스피드 큐브(반투명 버전)</v>
      </c>
      <c r="F3612" s="1" t="str">
        <f>IFERROR(__xludf.DUMMYFUNCTION("CONCATENATE(GOOGLETRANSLATE(C3612, ""en"", ""ja""))"),"LiangCuber GAN 13 マグレブ旗艦 磁気 3x3 ステッカーレス GAN13 M スピード キューブ (つや消しバージョン)")</f>
        <v>LiangCuber GAN 13 マグレブ旗艦 磁気 3x3 ステッカーレス GAN13 M スピード キューブ (つや消しバージョン)</v>
      </c>
    </row>
    <row r="3613" ht="15.75" customHeight="1">
      <c r="A3613" s="1">
        <v>5517.0</v>
      </c>
      <c r="B3613" s="1" t="s">
        <v>15</v>
      </c>
      <c r="C3613" s="1" t="s">
        <v>1851</v>
      </c>
      <c r="D3613" s="1" t="str">
        <f>IFERROR(__xludf.DUMMYFUNCTION("CONCATENATE(GOOGLETRANSLATE(C3613, ""en"", ""zh-cn""))"),"GAN Megaminx M，五角磁力测速魔方，无贴纸")</f>
        <v>GAN Megaminx M，五角磁力测速魔方，无贴纸</v>
      </c>
      <c r="E3613" s="1" t="str">
        <f>IFERROR(__xludf.DUMMYFUNCTION("CONCATENATE(GOOGLETRANSLATE(C3613, ""en"", ""ko""))"),"GAN Megaminx M, 오각형 자기 속도 큐브, 스티커 없음")</f>
        <v>GAN Megaminx M, 오각형 자기 속도 큐브, 스티커 없음</v>
      </c>
      <c r="F3613" s="1" t="str">
        <f>IFERROR(__xludf.DUMMYFUNCTION("CONCATENATE(GOOGLETRANSLATE(C3613, ""en"", ""ja""))"),"GAN メガミンクス M、五角形磁気スピードキューブ、ステッカーレス")</f>
        <v>GAN メガミンクス M、五角形磁気スピードキューブ、ステッカーレス</v>
      </c>
    </row>
    <row r="3614" ht="15.75" customHeight="1">
      <c r="A3614" s="1">
        <v>5527.0</v>
      </c>
      <c r="B3614" s="1" t="s">
        <v>15</v>
      </c>
      <c r="C3614" s="1" t="s">
        <v>2488</v>
      </c>
      <c r="D3614" s="1" t="str">
        <f>IFERROR(__xludf.DUMMYFUNCTION("CONCATENATE(GOOGLETRANSLATE(C3614, ""en"", ""zh-cn""))"),"Rawlings 坚固背包巧克力")</f>
        <v>Rawlings 坚固背包巧克力</v>
      </c>
      <c r="E3614" s="1" t="str">
        <f>IFERROR(__xludf.DUMMYFUNCTION("CONCATENATE(GOOGLETRANSLATE(C3614, ""en"", ""ko""))"),"롤링스 러기드 백팩 초콜릿")</f>
        <v>롤링스 러기드 백팩 초콜릿</v>
      </c>
      <c r="F3614" s="1" t="str">
        <f>IFERROR(__xludf.DUMMYFUNCTION("CONCATENATE(GOOGLETRANSLATE(C3614, ""en"", ""ja""))"),"ローリングス ラギッド バックパック チョコレート")</f>
        <v>ローリングス ラギッド バックパック チョコレート</v>
      </c>
    </row>
    <row r="3615" ht="15.75" customHeight="1">
      <c r="A3615" s="1">
        <v>5548.0</v>
      </c>
      <c r="B3615" s="1" t="s">
        <v>15</v>
      </c>
      <c r="C3615" s="1" t="s">
        <v>2849</v>
      </c>
      <c r="D3615" s="1" t="str">
        <f>IFERROR(__xludf.DUMMYFUNCTION("CONCATENATE(GOOGLETRANSLATE(C3615, ""en"", ""zh-cn""))"),"Sidi 男士现代")</f>
        <v>Sidi 男士现代</v>
      </c>
      <c r="E3615" s="1" t="str">
        <f>IFERROR(__xludf.DUMMYFUNCTION("CONCATENATE(GOOGLETRANSLATE(C3615, ""en"", ""ko""))"),"시디 남성 모던")</f>
        <v>시디 남성 모던</v>
      </c>
      <c r="F3615" s="1" t="str">
        <f>IFERROR(__xludf.DUMMYFUNCTION("CONCATENATE(GOOGLETRANSLATE(C3615, ""en"", ""ja""))"),"シディ メンズ モダン")</f>
        <v>シディ メンズ モダン</v>
      </c>
    </row>
    <row r="3616" ht="15.75" customHeight="1">
      <c r="A3616" s="1">
        <v>5554.0</v>
      </c>
      <c r="B3616" s="1" t="s">
        <v>15</v>
      </c>
      <c r="C3616" s="1" t="s">
        <v>2844</v>
      </c>
      <c r="D3616" s="1" t="str">
        <f>IFERROR(__xludf.DUMMYFUNCTION("CONCATENATE(GOOGLETRANSLATE(C3616, ""en"", ""zh-cn""))"),"JOROTO 室内自行车健身车带 35 磅飞轮和 10.2 英寸大型 Ipad 支架（链条驱动）")</f>
        <v>JOROTO 室内自行车健身车带 35 磅飞轮和 10.2 英寸大型 Ipad 支架（链条驱动）</v>
      </c>
      <c r="E3616" s="1" t="str">
        <f>IFERROR(__xludf.DUMMYFUNCTION("CONCATENATE(GOOGLETRANSLATE(C3616, ""en"", ""ko""))"),"JOROTO 실내 사이클링 자전거 운동용 자전거 35파운드 플라이휠 및 10.2인치 대형 Ipad 홀더(체인 드라이브) 포함")</f>
        <v>JOROTO 실내 사이클링 자전거 운동용 자전거 35파운드 플라이휠 및 10.2인치 대형 Ipad 홀더(체인 드라이브) 포함</v>
      </c>
      <c r="F3616" s="1" t="str">
        <f>IFERROR(__xludf.DUMMYFUNCTION("CONCATENATE(GOOGLETRANSLATE(C3616, ""en"", ""ja""))"),"JOROTO インドアサイクリングバイクエクササイズバイク、35ポンドのフライホイールと10.2インチの大型iPadホルダー（チェーンドライブ）付き")</f>
        <v>JOROTO インドアサイクリングバイクエクササイズバイク、35ポンドのフライホイールと10.2インチの大型iPadホルダー（チェーンドライブ）付き</v>
      </c>
    </row>
    <row r="3617" ht="15.75" customHeight="1">
      <c r="A3617" s="1">
        <v>5557.0</v>
      </c>
      <c r="B3617" s="1" t="s">
        <v>15</v>
      </c>
      <c r="C3617" s="1" t="s">
        <v>2848</v>
      </c>
      <c r="D3617" s="1" t="str">
        <f>IFERROR(__xludf.DUMMYFUNCTION("CONCATENATE(GOOGLETRANSLATE(C3617, ""en"", ""zh-cn""))"),"Giro Vanquish MIPS 成人公路骑行头盔")</f>
        <v>Giro Vanquish MIPS 成人公路骑行头盔</v>
      </c>
      <c r="E3617" s="1" t="str">
        <f>IFERROR(__xludf.DUMMYFUNCTION("CONCATENATE(GOOGLETRANSLATE(C3617, ""en"", ""ko""))"),"Giro Vanquish MIPS 성인용 로드 사이클링 헬멧")</f>
        <v>Giro Vanquish MIPS 성인용 로드 사이클링 헬멧</v>
      </c>
      <c r="F3617" s="1" t="str">
        <f>IFERROR(__xludf.DUMMYFUNCTION("CONCATENATE(GOOGLETRANSLATE(C3617, ""en"", ""ja""))"),"Giro Vanquish MIPS 大人用ロードサイクリング ヘルメット")</f>
        <v>Giro Vanquish MIPS 大人用ロードサイクリング ヘルメット</v>
      </c>
    </row>
    <row r="3618" ht="15.75" customHeight="1">
      <c r="A3618" s="1">
        <v>5564.0</v>
      </c>
      <c r="B3618" s="1" t="s">
        <v>15</v>
      </c>
      <c r="C3618" s="1" t="s">
        <v>2014</v>
      </c>
      <c r="D3618" s="1" t="str">
        <f>IFERROR(__xludf.DUMMYFUNCTION("CONCATENATE(GOOGLETRANSLATE(C3618, ""en"", ""zh-cn""))"),"Atotfusion 棉质厚轻桌凳靠背坐垫瑜伽椅垫适用于室内/室外家庭办公室花园装饰棉质坐垫 3 座长凳坐垫，150 x 50 x 8 厘米（灰色）")</f>
        <v>Atotfusion 棉质厚轻桌凳靠背坐垫瑜伽椅垫适用于室内/室外家庭办公室花园装饰棉质坐垫 3 座长凳坐垫，150 x 50 x 8 厘米（灰色）</v>
      </c>
      <c r="E3618" s="1" t="str">
        <f>IFERROR(__xludf.DUMMYFUNCTION("CONCATENATE(GOOGLETRANSLATE(C3618, ""en"", ""ko""))"),"Atootfusion 면 두꺼운 경량 테이블 의자 뒷좌석 쿠션 요가 의자 패드 실내/실외 홈 오피스 정원 장식 면 쿠션 3인용 벤치 쿠션, 150 x 50 x 8 cm(회색)")</f>
        <v>Atootfusion 면 두꺼운 경량 테이블 의자 뒷좌석 쿠션 요가 의자 패드 실내/실외 홈 오피스 정원 장식 면 쿠션 3인용 벤치 쿠션, 150 x 50 x 8 cm(회색)</v>
      </c>
      <c r="F3618" s="1" t="str">
        <f>IFERROR(__xludf.DUMMYFUNCTION("CONCATENATE(GOOGLETRANSLATE(C3618, ""en"", ""ja""))"),"Atootfusion コットン 厚手 軽量 テーブル スツール バックシートクッション ヨガチェアパッド 屋内/屋外 ホームオフィス ガーデン装飾 コットンクッション 3人掛けベンチクッション 150 x 50 x 8 cm (グレー)")</f>
        <v>Atootfusion コットン 厚手 軽量 テーブル スツール バックシートクッション ヨガチェアパッド 屋内/屋外 ホームオフィス ガーデン装飾 コットンクッション 3人掛けベンチクッション 150 x 50 x 8 cm (グレー)</v>
      </c>
    </row>
    <row r="3619" ht="15.75" customHeight="1">
      <c r="A3619" s="1">
        <v>5571.0</v>
      </c>
      <c r="B3619" s="1" t="s">
        <v>15</v>
      </c>
      <c r="C3619" s="1" t="s">
        <v>1821</v>
      </c>
      <c r="D3619" s="1" t="str">
        <f>IFERROR(__xludf.DUMMYFUNCTION("CONCATENATE(GOOGLETRANSLATE(C3619, ""en"", ""zh-cn""))"),"Fizik Vento Infinito Carbon 2 骑行鞋 - 男士白色/黑色，46.0")</f>
        <v>Fizik Vento Infinito Carbon 2 骑行鞋 - 男士白色/黑色，46.0</v>
      </c>
      <c r="E3619" s="1" t="str">
        <f>IFERROR(__xludf.DUMMYFUNCTION("CONCATENATE(GOOGLETRANSLATE(C3619, ""en"", ""ko""))"),"Fizik Vento Infinito Carbon 2 사이클링 슈즈 - 남성용 화이트/블랙, 46.0")</f>
        <v>Fizik Vento Infinito Carbon 2 사이클링 슈즈 - 남성용 화이트/블랙, 46.0</v>
      </c>
      <c r="F3619" s="1" t="str">
        <f>IFERROR(__xludf.DUMMYFUNCTION("CONCATENATE(GOOGLETRANSLATE(C3619, ""en"", ""ja""))"),"Fizik Vento Infinito Carbon 2 サイクリング シューズ - メンズ ホワイト/ブラック、46.0")</f>
        <v>Fizik Vento Infinito Carbon 2 サイクリング シューズ - メンズ ホワイト/ブラック、46.0</v>
      </c>
    </row>
    <row r="3620" ht="15.75" customHeight="1">
      <c r="A3620" s="1">
        <v>5577.0</v>
      </c>
      <c r="B3620" s="1" t="s">
        <v>15</v>
      </c>
      <c r="C3620" s="1" t="s">
        <v>1818</v>
      </c>
      <c r="D3620" s="1" t="str">
        <f>IFERROR(__xludf.DUMMYFUNCTION("CONCATENATE(GOOGLETRANSLATE(C3620, ""en"", ""zh-cn""))"),"Alexia D371-E063 冥想座椅（布料，沙色）")</f>
        <v>Alexia D371-E063 冥想座椅（布料，沙色）</v>
      </c>
      <c r="E3620" s="1" t="str">
        <f>IFERROR(__xludf.DUMMYFUNCTION("CONCATENATE(GOOGLETRANSLATE(C3620, ""en"", ""ko""))"),"알렉시아 D371-E063 명상의자 (천, 모래)")</f>
        <v>알렉시아 D371-E063 명상의자 (천, 모래)</v>
      </c>
      <c r="F3620" s="1" t="str">
        <f>IFERROR(__xludf.DUMMYFUNCTION("CONCATENATE(GOOGLETRANSLATE(C3620, ""en"", ""ja""))"),"Alexia D371-E063 瞑想シート (ファブリック、サンド)")</f>
        <v>Alexia D371-E063 瞑想シート (ファブリック、サンド)</v>
      </c>
    </row>
    <row r="3621" ht="15.75" customHeight="1">
      <c r="A3621" s="1">
        <v>5584.0</v>
      </c>
      <c r="B3621" s="1" t="s">
        <v>15</v>
      </c>
      <c r="C3621" s="1" t="s">
        <v>3209</v>
      </c>
      <c r="D3621" s="1" t="str">
        <f>IFERROR(__xludf.DUMMYFUNCTION("CONCATENATE(GOOGLETRANSLATE(C3621, ""en"", ""zh-cn""))"),"Fitterfirst Pro Fitter 3D 交叉训练器和速降滑雪训练器")</f>
        <v>Fitterfirst Pro Fitter 3D 交叉训练器和速降滑雪训练器</v>
      </c>
      <c r="E3621" s="1" t="str">
        <f>IFERROR(__xludf.DUMMYFUNCTION("CONCATENATE(GOOGLETRANSLATE(C3621, ""en"", ""ko""))"),"Fitterfirst Pro Fitter 3D 크로스 트레이너 및 다운힐 스키 트레이너")</f>
        <v>Fitterfirst Pro Fitter 3D 크로스 트레이너 및 다운힐 스키 트레이너</v>
      </c>
      <c r="F3621" s="1" t="str">
        <f>IFERROR(__xludf.DUMMYFUNCTION("CONCATENATE(GOOGLETRANSLATE(C3621, ""en"", ""ja""))"),"Fitterfirst Pro Fitter 3D クロス トレーナーとダウンヒル スキー トレーナー")</f>
        <v>Fitterfirst Pro Fitter 3D クロス トレーナーとダウンヒル スキー トレーナー</v>
      </c>
    </row>
    <row r="3622" ht="15.75" customHeight="1">
      <c r="A3622" s="1">
        <v>5608.0</v>
      </c>
      <c r="B3622" s="1" t="s">
        <v>15</v>
      </c>
      <c r="C3622" s="1" t="s">
        <v>1650</v>
      </c>
      <c r="D3622" s="1" t="str">
        <f>IFERROR(__xludf.DUMMYFUNCTION("CONCATENATE(GOOGLETRANSLATE(C3622, ""en"", ""zh-cn""))"),"SHARGEEK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3622" s="1" t="str">
        <f>IFERROR(__xludf.DUMMYFUNCTION("CONCATENATE(GOOGLETRANSLATE(C3622, ""en"", ""ko""))"),"SHARGEEK의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3622" s="1" t="str">
        <f>IFERROR(__xludf.DUMMYFUNCTION("CONCATENATE(GOOGLETRANSLATE(C3622, ""en"", ""ja""))"),"SHARGEEK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3623" ht="15.75" customHeight="1">
      <c r="A3623" s="1">
        <v>5618.0</v>
      </c>
      <c r="B3623" s="1" t="s">
        <v>15</v>
      </c>
      <c r="C3623" s="1" t="s">
        <v>1849</v>
      </c>
      <c r="D3623" s="1" t="str">
        <f>IFERROR(__xludf.DUMMYFUNCTION("CONCATENATE(GOOGLETRANSLATE(C3623, ""en"", ""zh-cn""))"),"GAN 460 M， Gan 4x4 磁性速度魔方， gan 460 m 4 x 4 儿童和成人无贴纸拼图玩具")</f>
        <v>GAN 460 M， Gan 4x4 磁性速度魔方， gan 460 m 4 x 4 儿童和成人无贴纸拼图玩具</v>
      </c>
      <c r="E3623" s="1" t="str">
        <f>IFERROR(__xludf.DUMMYFUNCTION("CONCATENATE(GOOGLETRANSLATE(C3623, ""en"", ""ko""))"),"GAN 460 M, Gan 4x4 자기 속도 큐브, gan 460 m 4 by 4 어린이와 성인을 위한 스티커 없는 퍼즐 장난감")</f>
        <v>GAN 460 M, Gan 4x4 자기 속도 큐브, gan 460 m 4 by 4 어린이와 성인을 위한 스티커 없는 퍼즐 장난감</v>
      </c>
      <c r="F3623" s="1" t="str">
        <f>IFERROR(__xludf.DUMMYFUNCTION("CONCATENATE(GOOGLETRANSLATE(C3623, ""en"", ""ja""))"),"GAN 460 M、Gan 4x4 磁気スピードキューブ、GAN 460 m 4 by 4 ステッカーレスパズルおもちゃ子供と大人向け")</f>
        <v>GAN 460 M、Gan 4x4 磁気スピードキューブ、GAN 460 m 4 by 4 ステッカーレスパズルおもちゃ子供と大人向け</v>
      </c>
    </row>
    <row r="3624" ht="15.75" customHeight="1">
      <c r="A3624" s="1">
        <v>5627.0</v>
      </c>
      <c r="B3624" s="1" t="s">
        <v>15</v>
      </c>
      <c r="C3624" s="1" t="s">
        <v>2374</v>
      </c>
      <c r="D3624" s="1" t="str">
        <f>IFERROR(__xludf.DUMMYFUNCTION("CONCATENATE(GOOGLETRANSLATE(C3624, ""en"", ""zh-cn""))"),"Cyclace 固定式健身车 - 承重能力 330 磅 - 室内骑行车，配有舒适座垫、平板电脑支架和液晶显示屏，适合家庭锻炼")</f>
        <v>Cyclace 固定式健身车 - 承重能力 330 磅 - 室内骑行车，配有舒适座垫、平板电脑支架和液晶显示屏，适合家庭锻炼</v>
      </c>
      <c r="E3624" s="1" t="str">
        <f>IFERROR(__xludf.DUMMYFUNCTION("CONCATENATE(GOOGLETRANSLATE(C3624, ""en"", ""ko""))"),"사이클레이스 운동용 자전거 고정식 - 330파운드 무게 용량 - 편안한 시트 쿠션, 태블릿 홀더 및 가정 운동용 LCD 모니터를 갖춘 실내 사이클링 자전거")</f>
        <v>사이클레이스 운동용 자전거 고정식 - 330파운드 무게 용량 - 편안한 시트 쿠션, 태블릿 홀더 및 가정 운동용 LCD 모니터를 갖춘 실내 사이클링 자전거</v>
      </c>
      <c r="F3624" s="1" t="str">
        <f>IFERROR(__xludf.DUMMYFUNCTION("CONCATENATE(GOOGLETRANSLATE(C3624, ""en"", ""ja""))"),"Cyclace エアロバイク ステーショナリー - 耐荷重 330 ポンド - 快適なシートクッション、タブレットホルダー、自宅トレーニング用 LCD モニター付き屋内サイクリングバイク")</f>
        <v>Cyclace エアロバイク ステーショナリー - 耐荷重 330 ポンド - 快適なシートクッション、タブレットホルダー、自宅トレーニング用 LCD モニター付き屋内サイクリングバイク</v>
      </c>
    </row>
    <row r="3625" ht="15.75" customHeight="1">
      <c r="A3625" s="1">
        <v>5629.0</v>
      </c>
      <c r="B3625" s="1" t="s">
        <v>381</v>
      </c>
      <c r="C3625" s="1" t="s">
        <v>813</v>
      </c>
      <c r="D3625" s="1" t="str">
        <f>IFERROR(__xludf.DUMMYFUNCTION("CONCATENATE(GOOGLETRANSLATE(C3625, ""en"", ""zh-cn""))"),"女式 100% 棉长袍长袍蕾丝拼接休闲婚礼中长连衣裙")</f>
        <v>女式 100% 棉长袍长袍蕾丝拼接休闲婚礼中长连衣裙</v>
      </c>
      <c r="E3625" s="1" t="str">
        <f>IFERROR(__xludf.DUMMYFUNCTION("CONCATENATE(GOOGLETRANSLATE(C3625, ""en"", ""ko""))"),"여성 100% 면 아바야 카프탄 레이스 패치워크 캐주얼 웨딩 미디 드레스")</f>
        <v>여성 100% 면 아바야 카프탄 레이스 패치워크 캐주얼 웨딩 미디 드레스</v>
      </c>
      <c r="F3625" s="1" t="str">
        <f>IFERROR(__xludf.DUMMYFUNCTION("CONCATENATE(GOOGLETRANSLATE(C3625, ""en"", ""ja""))"),"女性 100% コットンアバヤカフタンレースパッチワークカジュアルウェディングミディドレス")</f>
        <v>女性 100% コットンアバヤカフタンレースパッチワークカジュアルウェディングミディドレス</v>
      </c>
    </row>
    <row r="3626" ht="15.75" customHeight="1">
      <c r="A3626" s="1">
        <v>5641.0</v>
      </c>
      <c r="B3626" s="1" t="s">
        <v>15</v>
      </c>
      <c r="C3626" s="1" t="s">
        <v>1850</v>
      </c>
      <c r="D3626" s="1" t="str">
        <f>IFERROR(__xludf.DUMMYFUNCTION("CONCATENATE(GOOGLETRANSLATE(C3626, ""en"", ""zh-cn""))"),"GAN 13 磁悬浮磨砂涂层，磁性速度魔方 3x3 无贴纸 56 毫米磁铁魔方拼图玩具，GAN 2022 旗舰")</f>
        <v>GAN 13 磁悬浮磨砂涂层，磁性速度魔方 3x3 无贴纸 56 毫米磁铁魔方拼图玩具，GAN 2022 旗舰</v>
      </c>
      <c r="E3626" s="1" t="str">
        <f>IFERROR(__xludf.DUMMYFUNCTION("CONCATENATE(GOOGLETRANSLATE(C3626, ""en"", ""ko""))"),"GAN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3626" s="1" t="str">
        <f>IFERROR(__xludf.DUMMYFUNCTION("CONCATENATE(GOOGLETRANSLATE(C3626, ""en"", ""ja""))"),"GAN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3627" ht="15.75" customHeight="1">
      <c r="A3627" s="1">
        <v>5655.0</v>
      </c>
      <c r="B3627" s="1" t="s">
        <v>381</v>
      </c>
      <c r="C3627" s="1" t="s">
        <v>789</v>
      </c>
      <c r="D3627" s="1" t="str">
        <f>IFERROR(__xludf.DUMMYFUNCTION("CONCATENATE(GOOGLETRANSLATE(C3627, ""en"", ""zh-cn""))"),"波西米亚女式 V 领花卉印花海滩度假开叉长连衣裙")</f>
        <v>波西米亚女式 V 领花卉印花海滩度假开叉长连衣裙</v>
      </c>
      <c r="E3627" s="1" t="str">
        <f>IFERROR(__xludf.DUMMYFUNCTION("CONCATENATE(GOOGLETRANSLATE(C3627, ""en"", ""ko""))"),"보헤미안 여성 V 넥 꽃 프린트 비치 홀리데이 스플릿 맥시 드레스")</f>
        <v>보헤미안 여성 V 넥 꽃 프린트 비치 홀리데이 스플릿 맥시 드레스</v>
      </c>
      <c r="F3627" s="1" t="str">
        <f>IFERROR(__xludf.DUMMYFUNCTION("CONCATENATE(GOOGLETRANSLATE(C3627, ""en"", ""ja""))"),"ボヘミアン レディース V ネック 花柄 ビーチ ホリデー スプリット マキシ ドレス")</f>
        <v>ボヘミアン レディース V ネック 花柄 ビーチ ホリデー スプリット マキシ ドレス</v>
      </c>
    </row>
    <row r="3628" ht="15.75" customHeight="1">
      <c r="A3628" s="1">
        <v>5657.0</v>
      </c>
      <c r="B3628" s="1" t="s">
        <v>381</v>
      </c>
      <c r="C3628" s="1" t="s">
        <v>773</v>
      </c>
      <c r="D3628" s="1" t="str">
        <f>IFERROR(__xludf.DUMMYFUNCTION("CONCATENATE(GOOGLETRANSLATE(C3628, ""en"", ""zh-cn""))"),"无袖圆领宽松休闲花卉印花超长连衣裙")</f>
        <v>无袖圆领宽松休闲花卉印花超长连衣裙</v>
      </c>
      <c r="E3628" s="1" t="str">
        <f>IFERROR(__xludf.DUMMYFUNCTION("CONCATENATE(GOOGLETRANSLATE(C3628, ""en"", ""ko""))"),"민소매 O 넥 루즈 캐쥬얼 플로럴 프린트 맥시 드레스")</f>
        <v>민소매 O 넥 루즈 캐쥬얼 플로럴 프린트 맥시 드레스</v>
      </c>
      <c r="F3628" s="1" t="str">
        <f>IFERROR(__xludf.DUMMYFUNCTION("CONCATENATE(GOOGLETRANSLATE(C3628, ""en"", ""ja""))"),"ノースリーブ O ネック ルーズ カジュアル フローラル プリント マキシ ドレス")</f>
        <v>ノースリーブ O ネック ルーズ カジュアル フローラル プリント マキシ ドレス</v>
      </c>
    </row>
    <row r="3629" ht="15.75" customHeight="1">
      <c r="A3629" s="1">
        <v>5665.0</v>
      </c>
      <c r="B3629" s="1" t="s">
        <v>15</v>
      </c>
      <c r="C3629" s="1" t="s">
        <v>1650</v>
      </c>
      <c r="D3629" s="1" t="str">
        <f>IFERROR(__xludf.DUMMYFUNCTION("CONCATENATE(GOOGLETRANSLATE(C3629, ""en"", ""zh-cn""))"),"SHARGEEK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3629" s="1" t="str">
        <f>IFERROR(__xludf.DUMMYFUNCTION("CONCATENATE(GOOGLETRANSLATE(C3629, ""en"", ""ko""))"),"SHARGEEK의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3629" s="1" t="str">
        <f>IFERROR(__xludf.DUMMYFUNCTION("CONCATENATE(GOOGLETRANSLATE(C3629, ""en"", ""ja""))"),"SHARGEEK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3630" ht="15.75" customHeight="1">
      <c r="A3630" s="1">
        <v>5669.0</v>
      </c>
      <c r="B3630" s="1" t="s">
        <v>15</v>
      </c>
      <c r="C3630" s="1" t="s">
        <v>1648</v>
      </c>
      <c r="D3630" s="1" t="str">
        <f>IFERROR(__xludf.DUMMYFUNCTION("CONCATENATE(GOOGLETRANSLATE(C3630, ""en"", ""zh-cn""))"),"CuberShop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3630" s="1" t="str">
        <f>IFERROR(__xludf.DUMMYFUNCTION("CONCATENATE(GOOGLETRANSLATE(C3630, ""en"", ""ko""))"),"CuberShop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3630" s="1" t="str">
        <f>IFERROR(__xludf.DUMMYFUNCTION("CONCATENATE(GOOGLETRANSLATE(C3630, ""en"", ""ja""))"),"CuberShop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3631" ht="15.75" customHeight="1">
      <c r="A3631" s="1">
        <v>5674.0</v>
      </c>
      <c r="B3631" s="1" t="s">
        <v>15</v>
      </c>
      <c r="C3631" s="1" t="s">
        <v>3224</v>
      </c>
      <c r="D3631" s="1" t="str">
        <f>IFERROR(__xludf.DUMMYFUNCTION("CONCATENATE(GOOGLETRANSLATE(C3631, ""en"", ""zh-cn""))"),"Fashion Nova 女式 It's Always 休闲裤套装")</f>
        <v>Fashion Nova 女式 It's Always 休闲裤套装</v>
      </c>
      <c r="E3631" s="1" t="str">
        <f>IFERROR(__xludf.DUMMYFUNCTION("CONCATENATE(GOOGLETRANSLATE(C3631, ""en"", ""ko""))"),"패션 노바 여성 항상 캐주얼 바지 세트")</f>
        <v>패션 노바 여성 항상 캐주얼 바지 세트</v>
      </c>
      <c r="F3631" s="1" t="str">
        <f>IFERROR(__xludf.DUMMYFUNCTION("CONCATENATE(GOOGLETRANSLATE(C3631, ""en"", ""ja""))"),"Fashion Nova レディース It's Always カジュアル パンツ セット")</f>
        <v>Fashion Nova レディース It's Always カジュアル パンツ セット</v>
      </c>
    </row>
    <row r="3632" ht="15.75" customHeight="1">
      <c r="A3632" s="1">
        <v>5691.0</v>
      </c>
      <c r="B3632" s="1" t="s">
        <v>15</v>
      </c>
      <c r="C3632" s="1" t="s">
        <v>3225</v>
      </c>
      <c r="D3632" s="1" t="str">
        <f>IFERROR(__xludf.DUMMYFUNCTION("CONCATENATE(GOOGLETRANSLATE(C3632, ""en"", ""zh-cn""))"),"H&amp;M 女士宽松上衣")</f>
        <v>H&amp;M 女士宽松上衣</v>
      </c>
      <c r="E3632" s="1" t="str">
        <f>IFERROR(__xludf.DUMMYFUNCTION("CONCATENATE(GOOGLETRANSLATE(C3632, ""en"", ""ko""))"),"H&amp;M 여성용 루즈핏 샤켓")</f>
        <v>H&amp;M 여성용 루즈핏 샤켓</v>
      </c>
      <c r="F3632" s="1" t="str">
        <f>IFERROR(__xludf.DUMMYFUNCTION("CONCATENATE(GOOGLETRANSLATE(C3632, ""en"", ""ja""))"),"H&amp;M レディース ルーズフィット シャケット")</f>
        <v>H&amp;M レディース ルーズフィット シャケット</v>
      </c>
    </row>
    <row r="3633" ht="15.75" customHeight="1">
      <c r="A3633" s="1">
        <v>5702.0</v>
      </c>
      <c r="B3633" s="1" t="s">
        <v>15</v>
      </c>
      <c r="C3633" s="1" t="s">
        <v>3226</v>
      </c>
      <c r="D3633" s="1" t="str">
        <f>IFERROR(__xludf.DUMMYFUNCTION("CONCATENATE(GOOGLETRANSLATE(C3633, ""en"", ""zh-cn""))"),"SHEIN 女式休闲套装，前拉链长袖 T 恤和喇叭裤")</f>
        <v>SHEIN 女式休闲套装，前拉链长袖 T 恤和喇叭裤</v>
      </c>
      <c r="E3633" s="1" t="str">
        <f>IFERROR(__xludf.DUMMYFUNCTION("CONCATENATE(GOOGLETRANSLATE(C3633, ""en"", ""ko""))"),"SHEIN 전면 지퍼 긴 소매 티셔츠와 플레어 팬츠가 있는 여성 캐주얼 세트")</f>
        <v>SHEIN 전면 지퍼 긴 소매 티셔츠와 플레어 팬츠가 있는 여성 캐주얼 세트</v>
      </c>
      <c r="F3633" s="1" t="str">
        <f>IFERROR(__xludf.DUMMYFUNCTION("CONCATENATE(GOOGLETRANSLATE(C3633, ""en"", ""ja""))"),"SHEIN フロントジップ長袖Tシャツとフレアパンツのカジュアルセット レディース")</f>
        <v>SHEIN フロントジップ長袖Tシャツとフレアパンツのカジュアルセット レディース</v>
      </c>
    </row>
    <row r="3634" ht="15.75" customHeight="1">
      <c r="A3634" s="1">
        <v>5735.0</v>
      </c>
      <c r="B3634" s="1" t="s">
        <v>15</v>
      </c>
      <c r="C3634" s="1" t="s">
        <v>3227</v>
      </c>
      <c r="D3634" s="1" t="str">
        <f>IFERROR(__xludf.DUMMYFUNCTION("CONCATENATE(GOOGLETRANSLATE(C3634, ""en"", ""zh-cn""))"),"Lacoste 男士华夫格针织保暖睡眠衬衫")</f>
        <v>Lacoste 男士华夫格针织保暖睡眠衬衫</v>
      </c>
      <c r="E3634" s="1" t="str">
        <f>IFERROR(__xludf.DUMMYFUNCTION("CONCATENATE(GOOGLETRANSLATE(C3634, ""en"", ""ko""))"),"Lacoste 남성용 와플 니트 보온 수면 셔츠")</f>
        <v>Lacoste 남성용 와플 니트 보온 수면 셔츠</v>
      </c>
      <c r="F3634" s="1" t="str">
        <f>IFERROR(__xludf.DUMMYFUNCTION("CONCATENATE(GOOGLETRANSLATE(C3634, ""en"", ""ja""))"),"ラコステ メンズ ワッフルニット サーマル スリープ シャツ")</f>
        <v>ラコステ メンズ ワッフルニット サーマル スリープ シャツ</v>
      </c>
    </row>
    <row r="3635" ht="15.75" customHeight="1">
      <c r="A3635" s="1">
        <v>5743.0</v>
      </c>
      <c r="B3635" s="1" t="s">
        <v>15</v>
      </c>
      <c r="C3635" s="1" t="s">
        <v>3228</v>
      </c>
      <c r="D3635" s="1" t="str">
        <f>IFERROR(__xludf.DUMMYFUNCTION("CONCATENATE(GOOGLETRANSLATE(C3635, ""en"", ""zh-cn""))"),"INCERUNMEN 男士宽松套头衫两件套")</f>
        <v>INCERUNMEN 男士宽松套头衫两件套</v>
      </c>
      <c r="E3635" s="1" t="str">
        <f>IFERROR(__xludf.DUMMYFUNCTION("CONCATENATE(GOOGLETRANSLATE(C3635, ""en"", ""ko""))"),"INCERUNMEN 남성 루즈핏 풀오버 투피스 의상")</f>
        <v>INCERUNMEN 남성 루즈핏 풀오버 투피스 의상</v>
      </c>
      <c r="F3635" s="1" t="str">
        <f>IFERROR(__xludf.DUMMYFUNCTION("CONCATENATE(GOOGLETRANSLATE(C3635, ""en"", ""ja""))"),"INCERUNMEN メンズ ルーズフィット プルオーバー ツーピース アウトフィット")</f>
        <v>INCERUNMEN メンズ ルーズフィット プルオーバー ツーピース アウトフィット</v>
      </c>
    </row>
    <row r="3636" ht="15.75" customHeight="1">
      <c r="A3636" s="1">
        <v>5746.0</v>
      </c>
      <c r="B3636" s="1" t="s">
        <v>15</v>
      </c>
      <c r="C3636" s="1" t="s">
        <v>3229</v>
      </c>
      <c r="D3636" s="1" t="str">
        <f>IFERROR(__xludf.DUMMYFUNCTION("CONCATENATE(GOOGLETRANSLATE(C3636, ""en"", ""zh-cn""))"),"Polo Ralph Lauren 男士 Estate 罗纹四分之一拉链套头衫")</f>
        <v>Polo Ralph Lauren 男士 Estate 罗纹四分之一拉链套头衫</v>
      </c>
      <c r="E3636" s="1" t="str">
        <f>IFERROR(__xludf.DUMMYFUNCTION("CONCATENATE(GOOGLETRANSLATE(C3636, ""en"", ""ko""))"),"폴로 랄프 로렌 남성 에스테이트 립 쿼터 지퍼 풀오버")</f>
        <v>폴로 랄프 로렌 남성 에스테이트 립 쿼터 지퍼 풀오버</v>
      </c>
      <c r="F3636" s="1" t="str">
        <f>IFERROR(__xludf.DUMMYFUNCTION("CONCATENATE(GOOGLETRANSLATE(C3636, ""en"", ""ja""))"),"ポロ ラルフローレン メンズ エステート リブ クォーター ジップ プルオーバー")</f>
        <v>ポロ ラルフローレン メンズ エステート リブ クォーター ジップ プルオーバー</v>
      </c>
    </row>
    <row r="3637" ht="15.75" customHeight="1">
      <c r="A3637" s="1">
        <v>5754.0</v>
      </c>
      <c r="B3637" s="1" t="s">
        <v>15</v>
      </c>
      <c r="C3637" s="1" t="s">
        <v>3230</v>
      </c>
      <c r="D3637" s="1" t="str">
        <f>IFERROR(__xludf.DUMMYFUNCTION("CONCATENATE(GOOGLETRANSLATE(C3637, ""en"", ""zh-cn""))"),"惠普一体机电脑")</f>
        <v>惠普一体机电脑</v>
      </c>
      <c r="E3637" s="1" t="str">
        <f>IFERROR(__xludf.DUMMYFUNCTION("CONCATENATE(GOOGLETRANSLATE(C3637, ""en"", ""ko""))"),"HP 올인원 컴퓨터")</f>
        <v>HP 올인원 컴퓨터</v>
      </c>
      <c r="F3637" s="1" t="str">
        <f>IFERROR(__xludf.DUMMYFUNCTION("CONCATENATE(GOOGLETRANSLATE(C3637, ""en"", ""ja""))"),"HP オールインワン コンピューター")</f>
        <v>HP オールインワン コンピューター</v>
      </c>
    </row>
    <row r="3638" ht="15.75" customHeight="1">
      <c r="A3638" s="1">
        <v>5756.0</v>
      </c>
      <c r="B3638" s="1" t="s">
        <v>15</v>
      </c>
      <c r="C3638" s="1" t="s">
        <v>3231</v>
      </c>
      <c r="D3638" s="1" t="str">
        <f>IFERROR(__xludf.DUMMYFUNCTION("CONCATENATE(GOOGLETRANSLATE(C3638, ""en"", ""zh-cn""))"),"NZXT H5 Flow ATX 中塔式机箱")</f>
        <v>NZXT H5 Flow ATX 中塔式机箱</v>
      </c>
      <c r="E3638" s="1" t="str">
        <f>IFERROR(__xludf.DUMMYFUNCTION("CONCATENATE(GOOGLETRANSLATE(C3638, ""en"", ""ko""))"),"NZXT H5 Flow ATX 미드 타워 케이스")</f>
        <v>NZXT H5 Flow ATX 미드 타워 케이스</v>
      </c>
      <c r="F3638" s="1" t="str">
        <f>IFERROR(__xludf.DUMMYFUNCTION("CONCATENATE(GOOGLETRANSLATE(C3638, ""en"", ""ja""))"),"NZXT H5 フロー ATX ミッドタワー ケース")</f>
        <v>NZXT H5 フロー ATX ミッドタワー ケース</v>
      </c>
    </row>
    <row r="3639" ht="15.75" customHeight="1">
      <c r="A3639" s="1">
        <v>5760.0</v>
      </c>
      <c r="B3639" s="1" t="s">
        <v>15</v>
      </c>
      <c r="C3639" s="1" t="s">
        <v>3232</v>
      </c>
      <c r="D3639" s="1" t="str">
        <f>IFERROR(__xludf.DUMMYFUNCTION("CONCATENATE(GOOGLETRANSLATE(C3639, ""en"", ""zh-cn""))"),"戴尔 OptiPlex 小型台式计算机")</f>
        <v>戴尔 OptiPlex 小型台式计算机</v>
      </c>
      <c r="E3639" s="1" t="str">
        <f>IFERROR(__xludf.DUMMYFUNCTION("CONCATENATE(GOOGLETRANSLATE(C3639, ""en"", ""ko""))"),"Dell OptiPlex 소형 폼 팩터 데스크탑 컴퓨터")</f>
        <v>Dell OptiPlex 소형 폼 팩터 데스크탑 컴퓨터</v>
      </c>
      <c r="F3639" s="1" t="str">
        <f>IFERROR(__xludf.DUMMYFUNCTION("CONCATENATE(GOOGLETRANSLATE(C3639, ""en"", ""ja""))"),"Dell OptiPlex スモール フォーム ファクター デスクトップ コンピュータ")</f>
        <v>Dell OptiPlex スモール フォーム ファクター デスクトップ コンピュータ</v>
      </c>
    </row>
    <row r="3640" ht="15.75" customHeight="1">
      <c r="A3640" s="1">
        <v>5762.0</v>
      </c>
      <c r="B3640" s="1" t="s">
        <v>15</v>
      </c>
      <c r="C3640" s="1" t="s">
        <v>3233</v>
      </c>
      <c r="D3640" s="1" t="str">
        <f>IFERROR(__xludf.DUMMYFUNCTION("CONCATENATE(GOOGLETRANSLATE(C3640, ""en"", ""zh-cn""))"),"NZXT H5 Flow ATX 中塔式机箱 CC-H51FW-R1")</f>
        <v>NZXT H5 Flow ATX 中塔式机箱 CC-H51FW-R1</v>
      </c>
      <c r="E3640" s="1" t="str">
        <f>IFERROR(__xludf.DUMMYFUNCTION("CONCATENATE(GOOGLETRANSLATE(C3640, ""en"", ""ko""))"),"NZXT H5 Flow ATX 미드 타워 케이스 CC-H51FW-R1")</f>
        <v>NZXT H5 Flow ATX 미드 타워 케이스 CC-H51FW-R1</v>
      </c>
      <c r="F3640" s="1" t="str">
        <f>IFERROR(__xludf.DUMMYFUNCTION("CONCATENATE(GOOGLETRANSLATE(C3640, ""en"", ""ja""))"),"NZXT H5 Flow ATX ミッドタワーケース CC-H51FW-R1")</f>
        <v>NZXT H5 Flow ATX ミッドタワーケース CC-H51FW-R1</v>
      </c>
    </row>
    <row r="3641" ht="15.75" customHeight="1">
      <c r="A3641" s="1">
        <v>5763.0</v>
      </c>
      <c r="B3641" s="1" t="s">
        <v>15</v>
      </c>
      <c r="C3641" s="1" t="s">
        <v>3234</v>
      </c>
      <c r="D3641" s="1" t="str">
        <f>IFERROR(__xludf.DUMMYFUNCTION("CONCATENATE(GOOGLETRANSLATE(C3641, ""en"", ""zh-cn""))"),"配备 FHD Win 11 和 Beat i3 1115G4 的笔记本电脑")</f>
        <v>配备 FHD Win 11 和 Beat i3 1115G4 的笔记本电脑</v>
      </c>
      <c r="E3641" s="1" t="str">
        <f>IFERROR(__xludf.DUMMYFUNCTION("CONCATENATE(GOOGLETRANSLATE(C3641, ""en"", ""ko""))"),"FHD Win 11 및 Beat i3 1115G4가 탑재된 노트북 컴퓨터")</f>
        <v>FHD Win 11 및 Beat i3 1115G4가 탑재된 노트북 컴퓨터</v>
      </c>
      <c r="F3641" s="1" t="str">
        <f>IFERROR(__xludf.DUMMYFUNCTION("CONCATENATE(GOOGLETRANSLATE(C3641, ""en"", ""ja""))"),"FHD Win 11 および Beat i3 1115G4 を搭載したラップトップ コンピューター")</f>
        <v>FHD Win 11 および Beat i3 1115G4 を搭載したラップトップ コンピューター</v>
      </c>
    </row>
    <row r="3642" ht="15.75" customHeight="1">
      <c r="A3642" s="1">
        <v>5770.0</v>
      </c>
      <c r="B3642" s="1" t="s">
        <v>15</v>
      </c>
      <c r="C3642" s="1" t="s">
        <v>3235</v>
      </c>
      <c r="D3642" s="1" t="str">
        <f>IFERROR(__xludf.DUMMYFUNCTION("CONCATENATE(GOOGLETRANSLATE(C3642, ""en"", ""zh-cn""))"),"微星 Cubi NUC 1M-007US")</f>
        <v>微星 Cubi NUC 1M-007US</v>
      </c>
      <c r="E3642" s="1" t="str">
        <f>IFERROR(__xludf.DUMMYFUNCTION("CONCATENATE(GOOGLETRANSLATE(C3642, ""en"", ""ko""))"),"MSI 큐비 NUC 1M-007US")</f>
        <v>MSI 큐비 NUC 1M-007US</v>
      </c>
      <c r="F3642" s="1" t="str">
        <f>IFERROR(__xludf.DUMMYFUNCTION("CONCATENATE(GOOGLETRANSLATE(C3642, ""en"", ""ja""))"),"MSI キュービ NUC 1M-007US")</f>
        <v>MSI キュービ NUC 1M-007US</v>
      </c>
    </row>
    <row r="3643" ht="15.75" customHeight="1">
      <c r="A3643" s="1">
        <v>5774.0</v>
      </c>
      <c r="B3643" s="1" t="s">
        <v>15</v>
      </c>
      <c r="C3643" s="1" t="s">
        <v>3236</v>
      </c>
      <c r="D3643" s="1" t="str">
        <f>IFERROR(__xludf.DUMMYFUNCTION("CONCATENATE(GOOGLETRANSLATE(C3643, ""en"", ""zh-cn""))"),"Corsair iCUE Link 2500X RGB Micro ATX 双室 PC 机箱")</f>
        <v>Corsair iCUE Link 2500X RGB Micro ATX 双室 PC 机箱</v>
      </c>
      <c r="E3643" s="1" t="str">
        <f>IFERROR(__xludf.DUMMYFUNCTION("CONCATENATE(GOOGLETRANSLATE(C3643, ""en"", ""ko""))"),"Corsair iCUE Link 2500X RGB 마이크로 ATX 듀얼 챔버 PC 케이스")</f>
        <v>Corsair iCUE Link 2500X RGB 마이크로 ATX 듀얼 챔버 PC 케이스</v>
      </c>
      <c r="F3643" s="1" t="str">
        <f>IFERROR(__xludf.DUMMYFUNCTION("CONCATENATE(GOOGLETRANSLATE(C3643, ""en"", ""ja""))"),"Corsair iCUE Link 2500X RGB マイクロ ATX デュアル チャンバー PC ケース")</f>
        <v>Corsair iCUE Link 2500X RGB マイクロ ATX デュアル チャンバー PC ケース</v>
      </c>
    </row>
    <row r="3644" ht="15.75" customHeight="1">
      <c r="A3644" s="1">
        <v>5778.0</v>
      </c>
      <c r="B3644" s="1" t="s">
        <v>15</v>
      </c>
      <c r="C3644" s="1" t="s">
        <v>3237</v>
      </c>
      <c r="D3644" s="1" t="str">
        <f>IFERROR(__xludf.DUMMYFUNCTION("CONCATENATE(GOOGLETRANSLATE(C3644, ""en"", ""zh-cn""))"),"三星 Essential S3 24 FHD 1800R 曲面电脑显示器")</f>
        <v>三星 Essential S3 24 FHD 1800R 曲面电脑显示器</v>
      </c>
      <c r="E3644" s="1" t="str">
        <f>IFERROR(__xludf.DUMMYFUNCTION("CONCATENATE(GOOGLETRANSLATE(C3644, ""en"", ""ko""))"),"삼성 에센셜 S3 24 FHD 1800R 커브드 컴퓨터 모니터")</f>
        <v>삼성 에센셜 S3 24 FHD 1800R 커브드 컴퓨터 모니터</v>
      </c>
      <c r="F3644" s="1" t="str">
        <f>IFERROR(__xludf.DUMMYFUNCTION("CONCATENATE(GOOGLETRANSLATE(C3644, ""en"", ""ja""))"),"Samsung Essential S3 24 FHD 1800R 曲面コンピューター モニター")</f>
        <v>Samsung Essential S3 24 FHD 1800R 曲面コンピューター モニター</v>
      </c>
    </row>
    <row r="3645" ht="15.75" customHeight="1">
      <c r="A3645" s="1">
        <v>5780.0</v>
      </c>
      <c r="B3645" s="1" t="s">
        <v>15</v>
      </c>
      <c r="C3645" s="1" t="s">
        <v>3238</v>
      </c>
      <c r="D3645" s="1" t="str">
        <f>IFERROR(__xludf.DUMMYFUNCTION("CONCATENATE(GOOGLETRANSLATE(C3645, ""en"", ""zh-cn""))"),"HP 14-dq0020nr 14 笔记本电脑英特尔赛扬 N4020")</f>
        <v>HP 14-dq0020nr 14 笔记本电脑英特尔赛扬 N4020</v>
      </c>
      <c r="E3645" s="1" t="str">
        <f>IFERROR(__xludf.DUMMYFUNCTION("CONCATENATE(GOOGLETRANSLATE(C3645, ""en"", ""ko""))"),"HP 14-dq0020nr 14 노트북 인텔 셀러론 N4020")</f>
        <v>HP 14-dq0020nr 14 노트북 인텔 셀러론 N4020</v>
      </c>
      <c r="F3645" s="1" t="str">
        <f>IFERROR(__xludf.DUMMYFUNCTION("CONCATENATE(GOOGLETRANSLATE(C3645, ""en"", ""ja""))"),"HP 14-dq0020nr 14 ノートブック インテル Celeron N4020")</f>
        <v>HP 14-dq0020nr 14 ノートブック インテル Celeron N4020</v>
      </c>
    </row>
    <row r="3646" ht="15.75" customHeight="1">
      <c r="A3646" s="1">
        <v>5781.0</v>
      </c>
      <c r="B3646" s="1" t="s">
        <v>15</v>
      </c>
      <c r="C3646" s="1" t="s">
        <v>3239</v>
      </c>
      <c r="D3646" s="1" t="str">
        <f>IFERROR(__xludf.DUMMYFUNCTION("CONCATENATE(GOOGLETRANSLATE(C3646, ""en"", ""zh-cn""))"),"Best Buy Essentials 全尺寸无线薄膜键盘和鼠标套装")</f>
        <v>Best Buy Essentials 全尺寸无线薄膜键盘和鼠标套装</v>
      </c>
      <c r="E3646" s="1" t="str">
        <f>IFERROR(__xludf.DUMMYFUNCTION("CONCATENATE(GOOGLETRANSLATE(C3646, ""en"", ""ko""))"),"Best Buy Essentials 풀사이즈 무선 멤브레인 키보드 및 마우스 번들")</f>
        <v>Best Buy Essentials 풀사이즈 무선 멤브레인 키보드 및 마우스 번들</v>
      </c>
      <c r="F3646" s="1" t="str">
        <f>IFERROR(__xludf.DUMMYFUNCTION("CONCATENATE(GOOGLETRANSLATE(C3646, ""en"", ""ja""))"),"Best Buy Essentials フルサイズ ワイヤレス メンブレン キーボードとマウスのバンドル")</f>
        <v>Best Buy Essentials フルサイズ ワイヤレス メンブレン キーボードとマウスのバンドル</v>
      </c>
    </row>
    <row r="3647" ht="15.75" customHeight="1">
      <c r="A3647" s="1">
        <v>5791.0</v>
      </c>
      <c r="B3647" s="1" t="s">
        <v>15</v>
      </c>
      <c r="C3647" s="1" t="s">
        <v>3240</v>
      </c>
      <c r="D3647" s="1" t="str">
        <f>IFERROR(__xludf.DUMMYFUNCTION("CONCATENATE(GOOGLETRANSLATE(C3647, ""en"", ""zh-cn""))"),"惠普台式机 AMD 锐龙 3")</f>
        <v>惠普台式机 AMD 锐龙 3</v>
      </c>
      <c r="E3647" s="1" t="str">
        <f>IFERROR(__xludf.DUMMYFUNCTION("CONCATENATE(GOOGLETRANSLATE(C3647, ""en"", ""ko""))"),"HP 데스크탑 AMD Ryzen 3")</f>
        <v>HP 데스크탑 AMD Ryzen 3</v>
      </c>
      <c r="F3647" s="1" t="str">
        <f>IFERROR(__xludf.DUMMYFUNCTION("CONCATENATE(GOOGLETRANSLATE(C3647, ""en"", ""ja""))"),"HP デスクトップ AMD Ryzen 3")</f>
        <v>HP デスクトップ AMD Ryzen 3</v>
      </c>
    </row>
    <row r="3648" ht="15.75" customHeight="1">
      <c r="A3648" s="1">
        <v>5799.0</v>
      </c>
      <c r="B3648" s="1" t="s">
        <v>15</v>
      </c>
      <c r="C3648" s="1" t="s">
        <v>3241</v>
      </c>
      <c r="D3648" s="1" t="str">
        <f>IFERROR(__xludf.DUMMYFUNCTION("CONCATENATE(GOOGLETRANSLATE(C3648, ""en"", ""zh-cn""))"),"Frogg Toggs 男士全运动雨衣")</f>
        <v>Frogg Toggs 男士全运动雨衣</v>
      </c>
      <c r="E3648" s="1" t="str">
        <f>IFERROR(__xludf.DUMMYFUNCTION("CONCATENATE(GOOGLETRANSLATE(C3648, ""en"", ""ko""))"),"Frogg Toggs 남성용 올스포츠 비옷")</f>
        <v>Frogg Toggs 남성용 올스포츠 비옷</v>
      </c>
      <c r="F3648" s="1" t="str">
        <f>IFERROR(__xludf.DUMMYFUNCTION("CONCATENATE(GOOGLETRANSLATE(C3648, ""en"", ""ja""))"),"Frogg Toggs メンズ オールスポーツ レインスーツ")</f>
        <v>Frogg Toggs メンズ オールスポーツ レインスーツ</v>
      </c>
    </row>
    <row r="3649" ht="15.75" customHeight="1">
      <c r="A3649" s="1">
        <v>5803.0</v>
      </c>
      <c r="B3649" s="1" t="s">
        <v>15</v>
      </c>
      <c r="C3649" s="1" t="s">
        <v>3242</v>
      </c>
      <c r="D3649" s="1" t="str">
        <f>IFERROR(__xludf.DUMMYFUNCTION("CONCATENATE(GOOGLETRANSLATE(C3649, ""en"", ""zh-cn""))"),"Champion 运动户外敏捷杆套装")</f>
        <v>Champion 运动户外敏捷杆套装</v>
      </c>
      <c r="E3649" s="1" t="str">
        <f>IFERROR(__xludf.DUMMYFUNCTION("CONCATENATE(GOOGLETRANSLATE(C3649, ""en"", ""ko""))"),"챔피언 스포츠 아웃도어 민첩성 폴 세트")</f>
        <v>챔피언 스포츠 아웃도어 민첩성 폴 세트</v>
      </c>
      <c r="F3649" s="1" t="str">
        <f>IFERROR(__xludf.DUMMYFUNCTION("CONCATENATE(GOOGLETRANSLATE(C3649, ""en"", ""ja""))"),"Champion スポーツ アウトドア アジリティ ポール セット")</f>
        <v>Champion スポーツ アウトドア アジリティ ポール セット</v>
      </c>
    </row>
    <row r="3650" ht="15.75" customHeight="1">
      <c r="A3650" s="1">
        <v>5807.0</v>
      </c>
      <c r="B3650" s="1" t="s">
        <v>15</v>
      </c>
      <c r="C3650" s="1" t="s">
        <v>3243</v>
      </c>
      <c r="D3650" s="1" t="str">
        <f>IFERROR(__xludf.DUMMYFUNCTION("CONCATENATE(GOOGLETRANSLATE(C3650, ""en"", ""zh-cn""))"),"PRIMED 三合一足球训练器")</f>
        <v>PRIMED 三合一足球训练器</v>
      </c>
      <c r="E3650" s="1" t="str">
        <f>IFERROR(__xludf.DUMMYFUNCTION("CONCATENATE(GOOGLETRANSLATE(C3650, ""en"", ""ko""))"),"PRIMED 3-in-1 축구 트레이너")</f>
        <v>PRIMED 3-in-1 축구 트레이너</v>
      </c>
      <c r="F3650" s="1" t="str">
        <f>IFERROR(__xludf.DUMMYFUNCTION("CONCATENATE(GOOGLETRANSLATE(C3650, ""en"", ""ja""))"),"PRIMED 3-in-1 サッカー トレーナー")</f>
        <v>PRIMED 3-in-1 サッカー トレーナー</v>
      </c>
    </row>
    <row r="3651" ht="15.75" customHeight="1">
      <c r="A3651" s="1">
        <v>5825.0</v>
      </c>
      <c r="B3651" s="1" t="s">
        <v>15</v>
      </c>
      <c r="C3651" s="1" t="s">
        <v>3244</v>
      </c>
      <c r="D3651" s="1" t="str">
        <f>IFERROR(__xludf.DUMMYFUNCTION("CONCATENATE(GOOGLETRANSLATE(C3651, ""en"", ""zh-cn""))"),"Costway 10 英尺 43 英寸室内/室外可调高度篮球框系统")</f>
        <v>Costway 10 英尺 43 英寸室内/室外可调高度篮球框系统</v>
      </c>
      <c r="E3651" s="1" t="str">
        <f>IFERROR(__xludf.DUMMYFUNCTION("CONCATENATE(GOOGLETRANSLATE(C3651, ""en"", ""ko""))"),"Costway 10피트 43'' 실내외 높이 조절 가능 농구 골대 시스템")</f>
        <v>Costway 10피트 43'' 실내외 높이 조절 가능 농구 골대 시스템</v>
      </c>
      <c r="F3651" s="1" t="str">
        <f>IFERROR(__xludf.DUMMYFUNCTION("CONCATENATE(GOOGLETRANSLATE(C3651, ""en"", ""ja""))"),"Costway 10フィート 43インチ 屋内/屋外 高さ調節可能なバスケットボールフープシステム")</f>
        <v>Costway 10フィート 43インチ 屋内/屋外 高さ調節可能なバスケットボールフープシステム</v>
      </c>
    </row>
    <row r="3652" ht="15.75" customHeight="1">
      <c r="A3652" s="1">
        <v>5837.0</v>
      </c>
      <c r="B3652" s="1" t="s">
        <v>15</v>
      </c>
      <c r="C3652" s="1" t="s">
        <v>3245</v>
      </c>
      <c r="D3652" s="1" t="str">
        <f>IFERROR(__xludf.DUMMYFUNCTION("CONCATENATE(GOOGLETRANSLATE(C3652, ""en"", ""zh-cn""))"),"Invicta 男士 Pro Diver 26970 石英手表")</f>
        <v>Invicta 男士 Pro Diver 26970 石英手表</v>
      </c>
      <c r="E3652" s="1" t="str">
        <f>IFERROR(__xludf.DUMMYFUNCTION("CONCATENATE(GOOGLETRANSLATE(C3652, ""en"", ""ko""))"),"인빅타 남성용 프로 다이버 26970 쿼츠 시계")</f>
        <v>인빅타 남성용 프로 다이버 26970 쿼츠 시계</v>
      </c>
      <c r="F3652" s="1" t="str">
        <f>IFERROR(__xludf.DUMMYFUNCTION("CONCATENATE(GOOGLETRANSLATE(C3652, ""en"", ""ja""))"),"インヴィクタ メンズ プロ ダイバー 26970 クォーツ時計")</f>
        <v>インヴィクタ メンズ プロ ダイバー 26970 クォーツ時計</v>
      </c>
    </row>
    <row r="3653" ht="15.75" customHeight="1">
      <c r="A3653" s="1">
        <v>5849.0</v>
      </c>
      <c r="B3653" s="1" t="s">
        <v>15</v>
      </c>
      <c r="C3653" s="1" t="s">
        <v>3246</v>
      </c>
      <c r="D3653" s="1" t="str">
        <f>IFERROR(__xludf.DUMMYFUNCTION("CONCATENATE(GOOGLETRANSLATE(C3653, ""en"", ""zh-cn""))"),"JBW Cristal 28 颗钻石手链手表和手链套装")</f>
        <v>JBW Cristal 28 颗钻石手链手表和手链套装</v>
      </c>
      <c r="E3653" s="1" t="str">
        <f>IFERROR(__xludf.DUMMYFUNCTION("CONCATENATE(GOOGLETRANSLATE(C3653, ""en"", ""ko""))"),"JBW 크리스탈 28 다이아몬드 팔찌 시계 및 팔찌 세트")</f>
        <v>JBW 크리스탈 28 다이아몬드 팔찌 시계 및 팔찌 세트</v>
      </c>
      <c r="F3653" s="1" t="str">
        <f>IFERROR(__xludf.DUMMYFUNCTION("CONCATENATE(GOOGLETRANSLATE(C3653, ""en"", ""ja""))"),"JBW クリスタル 28 ダイヤモンド ブレスレット ウォッチ &amp; ブレスレット セット")</f>
        <v>JBW クリスタル 28 ダイヤモンド ブレスレット ウォッチ &amp; ブレスレット セット</v>
      </c>
    </row>
    <row r="3654" ht="15.75" customHeight="1">
      <c r="A3654" s="1">
        <v>5880.0</v>
      </c>
      <c r="B3654" s="1" t="s">
        <v>15</v>
      </c>
      <c r="C3654" s="1" t="s">
        <v>3247</v>
      </c>
      <c r="D3654" s="1" t="str">
        <f>IFERROR(__xludf.DUMMYFUNCTION("CONCATENATE(GOOGLETRANSLATE(C3654, ""en"", ""zh-cn""))"),"Case-Mate 粗链手机腕带")</f>
        <v>Case-Mate 粗链手机腕带</v>
      </c>
      <c r="E3654" s="1" t="str">
        <f>IFERROR(__xludf.DUMMYFUNCTION("CONCATENATE(GOOGLETRANSLATE(C3654, ""en"", ""ko""))"),"Case-Mate 청키 체인 휴대폰 팔찌")</f>
        <v>Case-Mate 청키 체인 휴대폰 팔찌</v>
      </c>
      <c r="F3654" s="1" t="str">
        <f>IFERROR(__xludf.DUMMYFUNCTION("CONCATENATE(GOOGLETRANSLATE(C3654, ""en"", ""ja""))"),"Case-Mate チャンキー チェーン フォン リストレット")</f>
        <v>Case-Mate チャンキー チェーン フォン リストレット</v>
      </c>
    </row>
    <row r="3655" ht="15.75" customHeight="1">
      <c r="A3655" s="1">
        <v>5901.0</v>
      </c>
      <c r="B3655" s="1" t="s">
        <v>15</v>
      </c>
      <c r="C3655" s="1" t="s">
        <v>3248</v>
      </c>
      <c r="D3655" s="1" t="str">
        <f>IFERROR(__xludf.DUMMYFUNCTION("CONCATENATE(GOOGLETRANSLATE(C3655, ""en"", ""zh-cn""))"),"Nite Ize 挤压式夹式手机支架")</f>
        <v>Nite Ize 挤压式夹式手机支架</v>
      </c>
      <c r="E3655" s="1" t="str">
        <f>IFERROR(__xludf.DUMMYFUNCTION("CONCATENATE(GOOGLETRANSLATE(C3655, ""en"", ""ko""))"),"Nite Ize Squeeze 클립형 휴대폰 홀더")</f>
        <v>Nite Ize Squeeze 클립형 휴대폰 홀더</v>
      </c>
      <c r="F3655" s="1" t="str">
        <f>IFERROR(__xludf.DUMMYFUNCTION("CONCATENATE(GOOGLETRANSLATE(C3655, ""en"", ""ja""))"),"Nite Ize スクイーズ クリップ式携帯電話ホルダー")</f>
        <v>Nite Ize スクイーズ クリップ式携帯電話ホルダー</v>
      </c>
    </row>
    <row r="3656" ht="15.75" customHeight="1">
      <c r="A3656" s="1">
        <v>5905.0</v>
      </c>
      <c r="B3656" s="1" t="s">
        <v>15</v>
      </c>
      <c r="C3656" s="1" t="s">
        <v>3249</v>
      </c>
      <c r="D3656" s="1" t="str">
        <f>IFERROR(__xludf.DUMMYFUNCTION("CONCATENATE(GOOGLETRANSLATE(C3656, ""en"", ""zh-cn""))"),"噢，啪！ Snap 4 豪华磁性手机握把")</f>
        <v>噢，啪！ Snap 4 豪华磁性手机握把</v>
      </c>
      <c r="E3656" s="1" t="str">
        <f>IFERROR(__xludf.DUMMYFUNCTION("CONCATENATE(GOOGLETRANSLATE(C3656, ""en"", ""ko""))"),"앗앗! Snap 4 Luxe 마그네틱 휴대폰 그립")</f>
        <v>앗앗! Snap 4 Luxe 마그네틱 휴대폰 그립</v>
      </c>
      <c r="F3656" s="1" t="str">
        <f>IFERROR(__xludf.DUMMYFUNCTION("CONCATENATE(GOOGLETRANSLATE(C3656, ""en"", ""ja""))"),"ああ、スナップ！ Snap 4 Luxe 磁気フォン グリップ")</f>
        <v>ああ、スナップ！ Snap 4 Luxe 磁気フォン グリップ</v>
      </c>
    </row>
    <row r="3657" ht="15.75" customHeight="1">
      <c r="A3657" s="1">
        <v>5913.0</v>
      </c>
      <c r="B3657" s="1" t="s">
        <v>15</v>
      </c>
      <c r="C3657" s="1" t="s">
        <v>3250</v>
      </c>
      <c r="D3657" s="1" t="str">
        <f>IFERROR(__xludf.DUMMYFUNCTION("CONCATENATE(GOOGLETRANSLATE(C3657, ""en"", ""zh-cn""))"),"hOmeLabs 饮料冰箱和冷却器")</f>
        <v>hOmeLabs 饮料冰箱和冷却器</v>
      </c>
      <c r="E3657" s="1" t="str">
        <f>IFERROR(__xludf.DUMMYFUNCTION("CONCATENATE(GOOGLETRANSLATE(C3657, ""en"", ""ko""))"),"hOmeLabs 음료 냉장고 및 냉각기")</f>
        <v>hOmeLabs 음료 냉장고 및 냉각기</v>
      </c>
      <c r="F3657" s="1" t="str">
        <f>IFERROR(__xludf.DUMMYFUNCTION("CONCATENATE(GOOGLETRANSLATE(C3657, ""en"", ""ja""))"),"hOmeLabs 飲料用冷蔵庫とクーラー")</f>
        <v>hOmeLabs 飲料用冷蔵庫とクーラー</v>
      </c>
    </row>
    <row r="3658" ht="15.75" customHeight="1">
      <c r="A3658" s="1">
        <v>5918.0</v>
      </c>
      <c r="B3658" s="1" t="s">
        <v>15</v>
      </c>
      <c r="C3658" s="1" t="s">
        <v>3251</v>
      </c>
      <c r="D3658" s="1" t="str">
        <f>IFERROR(__xludf.DUMMYFUNCTION("CONCATENATE(GOOGLETRANSLATE(C3658, ""en"", ""zh-cn""))"),"怀旧复古三合一早餐站")</f>
        <v>怀旧复古三合一早餐站</v>
      </c>
      <c r="E3658" s="1" t="str">
        <f>IFERROR(__xludf.DUMMYFUNCTION("CONCATENATE(GOOGLETRANSLATE(C3658, ""en"", ""ko""))"),"노스탤지어 레트로 3-in-1 조식 스테이션")</f>
        <v>노스탤지어 레트로 3-in-1 조식 스테이션</v>
      </c>
      <c r="F3658" s="1" t="str">
        <f>IFERROR(__xludf.DUMMYFUNCTION("CONCATENATE(GOOGLETRANSLATE(C3658, ""en"", ""ja""))"),"ノスタルジア レトロ 3-in-1 ブレックファスト ステーション")</f>
        <v>ノスタルジア レトロ 3-in-1 ブレックファスト ステーション</v>
      </c>
    </row>
    <row r="3659" ht="15.75" customHeight="1">
      <c r="A3659" s="1">
        <v>5920.0</v>
      </c>
      <c r="B3659" s="1" t="s">
        <v>15</v>
      </c>
      <c r="C3659" s="1" t="s">
        <v>3252</v>
      </c>
      <c r="D3659" s="1" t="str">
        <f>IFERROR(__xludf.DUMMYFUNCTION("CONCATENATE(GOOGLETRANSLATE(C3659, ""en"", ""zh-cn""))"),"Magic Chef 24 内置壁挂式烤箱，带风扇对流")</f>
        <v>Magic Chef 24 内置壁挂式烤箱，带风扇对流</v>
      </c>
      <c r="E3659" s="1" t="str">
        <f>IFERROR(__xludf.DUMMYFUNCTION("CONCATENATE(GOOGLETRANSLATE(C3659, ""en"", ""ko""))"),"Magic Chef 24 팬 대류 기능이 내장된 벽 오븐")</f>
        <v>Magic Chef 24 팬 대류 기능이 내장된 벽 오븐</v>
      </c>
      <c r="F3659" s="1" t="str">
        <f>IFERROR(__xludf.DUMMYFUNCTION("CONCATENATE(GOOGLETRANSLATE(C3659, ""en"", ""ja""))"),"マジックシェフ 24 ファンコンベクション付きウォールオーブン内蔵")</f>
        <v>マジックシェフ 24 ファンコンベクション付きウォールオーブン内蔵</v>
      </c>
    </row>
    <row r="3660" ht="15.75" customHeight="1">
      <c r="A3660" s="1">
        <v>5935.0</v>
      </c>
      <c r="B3660" s="1" t="s">
        <v>15</v>
      </c>
      <c r="C3660" s="1" t="s">
        <v>3253</v>
      </c>
      <c r="D3660" s="1" t="str">
        <f>IFERROR(__xludf.DUMMYFUNCTION("CONCATENATE(GOOGLETRANSLATE(C3660, ""en"", ""zh-cn""))"),"弗里吉代尔画廊 2.2 立方米英尺。内置微波炉")</f>
        <v>弗里吉代尔画廊 2.2 立方米英尺。内置微波炉</v>
      </c>
      <c r="E3660" s="1" t="str">
        <f>IFERROR(__xludf.DUMMYFUNCTION("CONCATENATE(GOOGLETRANSLATE(C3660, ""en"", ""ko""))"),"Frigidaire 갤러리 2.2 Cu. 포트. 내장 전자레인지")</f>
        <v>Frigidaire 갤러리 2.2 Cu. 포트. 내장 전자레인지</v>
      </c>
      <c r="F3660" s="1" t="str">
        <f>IFERROR(__xludf.DUMMYFUNCTION("CONCATENATE(GOOGLETRANSLATE(C3660, ""en"", ""ja""))"),"フリジデア ギャラリー 2.2 Cu。フォート内蔵電子レンジ")</f>
        <v>フリジデア ギャラリー 2.2 Cu。フォート内蔵電子レンジ</v>
      </c>
    </row>
    <row r="3661" ht="15.75" customHeight="1">
      <c r="A3661" s="1">
        <v>5937.0</v>
      </c>
      <c r="B3661" s="1" t="s">
        <v>15</v>
      </c>
      <c r="C3661" s="1" t="s">
        <v>3254</v>
      </c>
      <c r="D3661" s="1" t="str">
        <f>IFERROR(__xludf.DUMMYFUNCTION("CONCATENATE(GOOGLETRANSLATE(C3661, ""en"", ""zh-cn""))"),"Rocco超级智能饮料冰箱")</f>
        <v>Rocco超级智能饮料冰箱</v>
      </c>
      <c r="E3661" s="1" t="str">
        <f>IFERROR(__xludf.DUMMYFUNCTION("CONCATENATE(GOOGLETRANSLATE(C3661, ""en"", ""ko""))"),"로코 슈퍼 스마트 음료 냉장고")</f>
        <v>로코 슈퍼 스마트 음료 냉장고</v>
      </c>
      <c r="F3661" s="1" t="str">
        <f>IFERROR(__xludf.DUMMYFUNCTION("CONCATENATE(GOOGLETRANSLATE(C3661, ""en"", ""ja""))"),"Rocco スーパースマート飲料冷蔵庫")</f>
        <v>Rocco スーパースマート飲料冷蔵庫</v>
      </c>
    </row>
    <row r="3662" ht="15.75" customHeight="1">
      <c r="A3662" s="1">
        <v>5949.0</v>
      </c>
      <c r="B3662" s="1" t="s">
        <v>15</v>
      </c>
      <c r="C3662" s="1" t="s">
        <v>3255</v>
      </c>
      <c r="D3662" s="1" t="str">
        <f>IFERROR(__xludf.DUMMYFUNCTION("CONCATENATE(GOOGLETRANSLATE(C3662, ""en"", ""zh-cn""))"),"格兰仕复古顶冷式冰箱")</f>
        <v>格兰仕复古顶冷式冰箱</v>
      </c>
      <c r="E3662" s="1" t="str">
        <f>IFERROR(__xludf.DUMMYFUNCTION("CONCATENATE(GOOGLETRANSLATE(C3662, ""en"", ""ko""))"),"Galanz 레트로 탑 냉동고 냉장고")</f>
        <v>Galanz 레트로 탑 냉동고 냉장고</v>
      </c>
      <c r="F3662" s="1" t="str">
        <f>IFERROR(__xludf.DUMMYFUNCTION("CONCATENATE(GOOGLETRANSLATE(C3662, ""en"", ""ja""))"),"ギャランツ レトロトップフリーザー冷蔵庫")</f>
        <v>ギャランツ レトロトップフリーザー冷蔵庫</v>
      </c>
    </row>
    <row r="3663" ht="15.75" customHeight="1">
      <c r="A3663" s="1">
        <v>5953.0</v>
      </c>
      <c r="B3663" s="1" t="s">
        <v>15</v>
      </c>
      <c r="C3663" s="1" t="s">
        <v>3256</v>
      </c>
      <c r="D3663" s="1" t="str">
        <f>IFERROR(__xludf.DUMMYFUNCTION("CONCATENATE(GOOGLETRANSLATE(C3663, ""en"", ""zh-cn""))"),"头发补充剂可减少脱发")</f>
        <v>头发补充剂可减少脱发</v>
      </c>
      <c r="E3663" s="1" t="str">
        <f>IFERROR(__xludf.DUMMYFUNCTION("CONCATENATE(GOOGLETRANSLATE(C3663, ""en"", ""ko""))"),"모발 산문을 위한 모발 보충제는 탈모를 감소시킵니다")</f>
        <v>모발 산문을 위한 모발 보충제는 탈모를 감소시킵니다</v>
      </c>
      <c r="F3663" s="1" t="str">
        <f>IFERROR(__xludf.DUMMYFUNCTION("CONCATENATE(GOOGLETRANSLATE(C3663, ""en"", ""ja""))"),"髪のためのサプリメント Prose が抜け毛を軽減")</f>
        <v>髪のためのサプリメント Prose が抜け毛を軽減</v>
      </c>
    </row>
    <row r="3664" ht="15.75" customHeight="1">
      <c r="A3664" s="1">
        <v>5958.0</v>
      </c>
      <c r="B3664" s="1" t="s">
        <v>15</v>
      </c>
      <c r="C3664" s="1" t="s">
        <v>3257</v>
      </c>
      <c r="D3664" s="1" t="str">
        <f>IFERROR(__xludf.DUMMYFUNCTION("CONCATENATE(GOOGLETRANSLATE(C3664, ""en"", ""zh-cn""))"),"新你新发束")</f>
        <v>新你新发束</v>
      </c>
      <c r="E3664" s="1" t="str">
        <f>IFERROR(__xludf.DUMMYFUNCTION("CONCATENATE(GOOGLETRANSLATE(C3664, ""en"", ""ko""))"),"새로운 당신 새로운 헤어 번들")</f>
        <v>새로운 당신 새로운 헤어 번들</v>
      </c>
      <c r="F3664" s="1" t="str">
        <f>IFERROR(__xludf.DUMMYFUNCTION("CONCATENATE(GOOGLETRANSLATE(C3664, ""en"", ""ja""))"),"New You New ヘアバンドル")</f>
        <v>New You New ヘアバンドル</v>
      </c>
    </row>
    <row r="3665" ht="15.75" customHeight="1">
      <c r="A3665" s="1">
        <v>5964.0</v>
      </c>
      <c r="B3665" s="1" t="s">
        <v>15</v>
      </c>
      <c r="C3665" s="1" t="s">
        <v>3258</v>
      </c>
      <c r="D3665" s="1" t="str">
        <f>IFERROR(__xludf.DUMMYFUNCTION("CONCATENATE(GOOGLETRANSLATE(C3665, ""en"", ""zh-cn""))"),"Hers 三重威胁增稠保湿护发洗发水 + 护发素")</f>
        <v>Hers 三重威胁增稠保湿护发洗发水 + 护发素</v>
      </c>
      <c r="E3665" s="1" t="str">
        <f>IFERROR(__xludf.DUMMYFUNCTION("CONCATENATE(GOOGLETRANSLATE(C3665, ""en"", ""ko""))"),"허스 트리플 쓰렛 씨크닝 &amp; 모이스춰라이징 헤어 디펜스 샴푸 + 컨디셔너")</f>
        <v>허스 트리플 쓰렛 씨크닝 &amp; 모이스춰라이징 헤어 디펜스 샴푸 + 컨디셔너</v>
      </c>
      <c r="F3665" s="1" t="str">
        <f>IFERROR(__xludf.DUMMYFUNCTION("CONCATENATE(GOOGLETRANSLATE(C3665, ""en"", ""ja""))"),"Hers トリプル スレット シックニング &amp; モイスチャライジング ヘア ディフェンス シャンプー + コンディショナー")</f>
        <v>Hers トリプル スレット シックニング &amp; モイスチャライジング ヘア ディフェンス シャンプー + コンディショナー</v>
      </c>
    </row>
    <row r="3666" ht="15.75" customHeight="1">
      <c r="A3666" s="1">
        <v>5977.0</v>
      </c>
      <c r="B3666" s="1" t="s">
        <v>15</v>
      </c>
      <c r="C3666" s="1" t="s">
        <v>3259</v>
      </c>
      <c r="D3666" s="1" t="str">
        <f>IFERROR(__xludf.DUMMYFUNCTION("CONCATENATE(GOOGLETRANSLATE(C3666, ""en"", ""zh-cn""))"),"Codeage 头发维生素生物素")</f>
        <v>Codeage 头发维生素生物素</v>
      </c>
      <c r="E3666" s="1" t="str">
        <f>IFERROR(__xludf.DUMMYFUNCTION("CONCATENATE(GOOGLETRANSLATE(C3666, ""en"", ""ko""))"),"코드디지 헤어 비타민 비오틴")</f>
        <v>코드디지 헤어 비타민 비오틴</v>
      </c>
      <c r="F3666" s="1" t="str">
        <f>IFERROR(__xludf.DUMMYFUNCTION("CONCATENATE(GOOGLETRANSLATE(C3666, ""en"", ""ja""))"),"Codeage ヘアビタミン ビオチン")</f>
        <v>Codeage ヘアビタミン ビオチン</v>
      </c>
    </row>
    <row r="3667" ht="15.75" customHeight="1">
      <c r="A3667" s="1">
        <v>5985.0</v>
      </c>
      <c r="B3667" s="1" t="s">
        <v>15</v>
      </c>
      <c r="C3667" s="1" t="s">
        <v>3260</v>
      </c>
      <c r="D3667" s="1" t="str">
        <f>IFERROR(__xludf.DUMMYFUNCTION("CONCATENATE(GOOGLETRANSLATE(C3667, ""en"", ""zh-cn""))"),"佛经美容美发鸡尾酒")</f>
        <v>佛经美容美发鸡尾酒</v>
      </c>
      <c r="E3667" s="1" t="str">
        <f>IFERROR(__xludf.DUMMYFUNCTION("CONCATENATE(GOOGLETRANSLATE(C3667, ""en"", ""ko""))"),"수트라 뷰티 헤어 칵테일")</f>
        <v>수트라 뷰티 헤어 칵테일</v>
      </c>
      <c r="F3667" s="1" t="str">
        <f>IFERROR(__xludf.DUMMYFUNCTION("CONCATENATE(GOOGLETRANSLATE(C3667, ""en"", ""ja""))"),"スートラビューティーヘアカクテル")</f>
        <v>スートラビューティーヘアカクテル</v>
      </c>
    </row>
    <row r="3668" ht="15.75" customHeight="1">
      <c r="A3668" s="1">
        <v>5992.0</v>
      </c>
      <c r="B3668" s="1" t="s">
        <v>15</v>
      </c>
      <c r="C3668" s="1" t="s">
        <v>3261</v>
      </c>
      <c r="D3668" s="1" t="str">
        <f>IFERROR(__xludf.DUMMYFUNCTION("CONCATENATE(GOOGLETRANSLATE(C3668, ""en"", ""zh-cn""))"),"Design Essentials 草本复合物 4 头发和头皮护理")</f>
        <v>Design Essentials 草本复合物 4 头发和头皮护理</v>
      </c>
      <c r="E3668" s="1" t="str">
        <f>IFERROR(__xludf.DUMMYFUNCTION("CONCATENATE(GOOGLETRANSLATE(C3668, ""en"", ""ko""))"),"디자인 에센셜 허벌 콤플렉스 4 헤어 &amp; 두피 트리트먼트")</f>
        <v>디자인 에센셜 허벌 콤플렉스 4 헤어 &amp; 두피 트리트먼트</v>
      </c>
      <c r="F3668" s="1" t="str">
        <f>IFERROR(__xludf.DUMMYFUNCTION("CONCATENATE(GOOGLETRANSLATE(C3668, ""en"", ""ja""))"),"デザイン エッセンシャル ハーバル コンプレックス 4 ヘア &amp; スカルプ トリートメント")</f>
        <v>デザイン エッセンシャル ハーバル コンプレックス 4 ヘア &amp; スカルプ トリートメント</v>
      </c>
    </row>
    <row r="3669" ht="15.75" customHeight="1">
      <c r="A3669" s="1">
        <v>5994.0</v>
      </c>
      <c r="B3669" s="1" t="s">
        <v>15</v>
      </c>
      <c r="C3669" s="1" t="s">
        <v>3262</v>
      </c>
      <c r="D3669" s="1" t="str">
        <f>IFERROR(__xludf.DUMMYFUNCTION("CONCATENATE(GOOGLETRANSLATE(C3669, ""en"", ""zh-cn""))"),"Gisou 蜂蜜护发油")</f>
        <v>Gisou 蜂蜜护发油</v>
      </c>
      <c r="E3669" s="1" t="str">
        <f>IFERROR(__xludf.DUMMYFUNCTION("CONCATENATE(GOOGLETRANSLATE(C3669, ""en"", ""ko""))"),"기소 허니 인퓨즈드 헤어 오일")</f>
        <v>기소 허니 인퓨즈드 헤어 오일</v>
      </c>
      <c r="F3669" s="1" t="str">
        <f>IFERROR(__xludf.DUMMYFUNCTION("CONCATENATE(GOOGLETRANSLATE(C3669, ""en"", ""ja""))"),"Gisou ハニーインフューズド ヘアオイル")</f>
        <v>Gisou ハニーインフューズド ヘアオイル</v>
      </c>
    </row>
    <row r="3670" ht="15.75" customHeight="1">
      <c r="A3670" s="1">
        <v>6000.0</v>
      </c>
      <c r="B3670" s="1" t="s">
        <v>15</v>
      </c>
      <c r="C3670" s="1" t="s">
        <v>3263</v>
      </c>
      <c r="D3670" s="1" t="str">
        <f>IFERROR(__xludf.DUMMYFUNCTION("CONCATENATE(GOOGLETRANSLATE(C3670, ""en"", ""zh-cn""))"),"Olaplex 头发完美剂 3 号")</f>
        <v>Olaplex 头发完美剂 3 号</v>
      </c>
      <c r="E3670" s="1" t="str">
        <f>IFERROR(__xludf.DUMMYFUNCTION("CONCATENATE(GOOGLETRANSLATE(C3670, ""en"", ""ko""))"),"올라플렉스 헤어 퍼펙터 3호")</f>
        <v>올라플렉스 헤어 퍼펙터 3호</v>
      </c>
      <c r="F3670" s="1" t="str">
        <f>IFERROR(__xludf.DUMMYFUNCTION("CONCATENATE(GOOGLETRANSLATE(C3670, ""en"", ""ja""))"),"オラプレックス ヘアパーフェクター No.3")</f>
        <v>オラプレックス ヘアパーフェクター No.3</v>
      </c>
    </row>
    <row r="3671" ht="15.75" customHeight="1">
      <c r="A3671" s="1">
        <v>6001.0</v>
      </c>
      <c r="B3671" s="1" t="s">
        <v>15</v>
      </c>
      <c r="C3671" s="1" t="s">
        <v>3264</v>
      </c>
      <c r="D3671" s="1" t="str">
        <f>IFERROR(__xludf.DUMMYFUNCTION("CONCATENATE(GOOGLETRANSLATE(C3671, ""en"", ""zh-cn""))"),"Kitsch 迷迭香和生物素洗发水和护发素套装")</f>
        <v>Kitsch 迷迭香和生物素洗发水和护发素套装</v>
      </c>
      <c r="E3671" s="1" t="str">
        <f>IFERROR(__xludf.DUMMYFUNCTION("CONCATENATE(GOOGLETRANSLATE(C3671, ""en"", ""ko""))"),"키치 로즈마리 &amp; 비오틴 샴푸 및 컨디셔너 바 세트")</f>
        <v>키치 로즈마리 &amp; 비오틴 샴푸 및 컨디셔너 바 세트</v>
      </c>
      <c r="F3671" s="1" t="str">
        <f>IFERROR(__xludf.DUMMYFUNCTION("CONCATENATE(GOOGLETRANSLATE(C3671, ""en"", ""ja""))"),"キッチュ ローズマリー &amp; ビオチン シャンプー &amp; コンディショナー バー セット")</f>
        <v>キッチュ ローズマリー &amp; ビオチン シャンプー &amp; コンディショナー バー セット</v>
      </c>
    </row>
    <row r="3672" ht="15.75" customHeight="1">
      <c r="A3672" s="1">
        <v>6004.0</v>
      </c>
      <c r="B3672" s="1" t="s">
        <v>15</v>
      </c>
      <c r="C3672" s="1" t="s">
        <v>3265</v>
      </c>
      <c r="D3672" s="1" t="str">
        <f>IFERROR(__xludf.DUMMYFUNCTION("CONCATENATE(GOOGLETRANSLATE(C3672, ""en"", ""zh-cn""))"),"生物素头发生长补充剂")</f>
        <v>生物素头发生长补充剂</v>
      </c>
      <c r="E3672" s="1" t="str">
        <f>IFERROR(__xludf.DUMMYFUNCTION("CONCATENATE(GOOGLETRANSLATE(C3672, ""en"", ""ko""))"),"비오틴 모발 성장 보조제")</f>
        <v>비오틴 모발 성장 보조제</v>
      </c>
      <c r="F3672" s="1" t="str">
        <f>IFERROR(__xludf.DUMMYFUNCTION("CONCATENATE(GOOGLETRANSLATE(C3672, ""en"", ""ja""))"),"ビオチン育毛サプリメント")</f>
        <v>ビオチン育毛サプリメント</v>
      </c>
    </row>
    <row r="3673" ht="15.75" customHeight="1">
      <c r="A3673" s="1">
        <v>6005.0</v>
      </c>
      <c r="B3673" s="1" t="s">
        <v>15</v>
      </c>
      <c r="C3673" s="1" t="s">
        <v>3266</v>
      </c>
      <c r="D3673" s="1" t="str">
        <f>IFERROR(__xludf.DUMMYFUNCTION("CONCATENATE(GOOGLETRANSLATE(C3673, ""en"", ""zh-cn""))"),"Matrix 食品软礼品套装")</f>
        <v>Matrix 食品软礼品套装</v>
      </c>
      <c r="E3673" s="1" t="str">
        <f>IFERROR(__xludf.DUMMYFUNCTION("CONCATENATE(GOOGLETRANSLATE(C3673, ""en"", ""ko""))"),"부드러운 선물 세트용 매트릭스 식품")</f>
        <v>부드러운 선물 세트용 매트릭스 식품</v>
      </c>
      <c r="F3673" s="1" t="str">
        <f>IFERROR(__xludf.DUMMYFUNCTION("CONCATENATE(GOOGLETRANSLATE(C3673, ""en"", ""ja""))"),"マトリックス フードフォーソフト ギフトセット")</f>
        <v>マトリックス フードフォーソフト ギフトセット</v>
      </c>
    </row>
    <row r="3674" ht="15.75" customHeight="1">
      <c r="A3674" s="1">
        <v>6037.0</v>
      </c>
      <c r="B3674" s="1" t="s">
        <v>15</v>
      </c>
      <c r="C3674" s="1" t="s">
        <v>1847</v>
      </c>
      <c r="D3674" s="1" t="str">
        <f>IFERROR(__xludf.DUMMYFUNCTION("CONCATENATE(GOOGLETRANSLATE(C3674, ""en"", ""zh-cn""))"),"Bukefuno GAN 12 Maglev 3x3 磁性魔方 GAN12Maglev Speed GAN 12Maglev 拼图魔方 GAN12 Maglev 3x3 魔方（磨砂表面无贴纸）")</f>
        <v>Bukefuno GAN 12 Maglev 3x3 磁性魔方 GAN12Maglev Speed GAN 12Maglev 拼图魔方 GAN12 Maglev 3x3 魔方（磨砂表面无贴纸）</v>
      </c>
      <c r="E3674" s="1" t="str">
        <f>IFERROR(__xludf.DUMMYFUNCTION("CONCATENATE(GOOGLETRANSLATE(C3674, ""en"", ""ko""))"),"Bukefuno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3674" s="1" t="str">
        <f>IFERROR(__xludf.DUMMYFUNCTION("CONCATENATE(GOOGLETRANSLATE(C3674, ""en"", ""ja""))"),"Bukefuno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3675" ht="15.75" customHeight="1">
      <c r="A3675" s="1">
        <v>6052.0</v>
      </c>
      <c r="B3675" s="1" t="s">
        <v>15</v>
      </c>
      <c r="C3675" s="1" t="s">
        <v>1851</v>
      </c>
      <c r="D3675" s="1" t="str">
        <f>IFERROR(__xludf.DUMMYFUNCTION("CONCATENATE(GOOGLETRANSLATE(C3675, ""en"", ""zh-cn""))"),"GAN Megaminx M，五角磁力测速魔方，无贴纸")</f>
        <v>GAN Megaminx M，五角磁力测速魔方，无贴纸</v>
      </c>
      <c r="E3675" s="1" t="str">
        <f>IFERROR(__xludf.DUMMYFUNCTION("CONCATENATE(GOOGLETRANSLATE(C3675, ""en"", ""ko""))"),"GAN Megaminx M, 오각형 자기 속도 큐브, 스티커 없음")</f>
        <v>GAN Megaminx M, 오각형 자기 속도 큐브, 스티커 없음</v>
      </c>
      <c r="F3675" s="1" t="str">
        <f>IFERROR(__xludf.DUMMYFUNCTION("CONCATENATE(GOOGLETRANSLATE(C3675, ""en"", ""ja""))"),"GAN メガミンクス M、五角形磁気スピードキューブ、ステッカーレス")</f>
        <v>GAN メガミンクス M、五角形磁気スピードキューブ、ステッカーレス</v>
      </c>
    </row>
    <row r="3676" ht="15.75" customHeight="1">
      <c r="A3676" s="1">
        <v>6065.0</v>
      </c>
      <c r="B3676" s="1" t="s">
        <v>15</v>
      </c>
      <c r="C3676" s="1" t="s">
        <v>1826</v>
      </c>
      <c r="D3676" s="1" t="str">
        <f>IFERROR(__xludf.DUMMYFUNCTION("CONCATENATE(GOOGLETRANSLATE(C3676, ""en"", ""zh-cn""))"),"GAN 460 M 速度魔方， 4x4 磁性魔方 Gans 460M 拼图玩具（无贴纸）")</f>
        <v>GAN 460 M 速度魔方， 4x4 磁性魔方 Gans 460M 拼图玩具（无贴纸）</v>
      </c>
      <c r="E3676" s="1" t="str">
        <f>IFERROR(__xludf.DUMMYFUNCTION("CONCATENATE(GOOGLETRANSLATE(C3676, ""en"", ""ko""))"),"GAN 460 M 스피드 큐브, 4x4 마그네틱 마스터 큐브 Gans 460M 퍼즐 장난감(스티커 없음)")</f>
        <v>GAN 460 M 스피드 큐브, 4x4 마그네틱 마스터 큐브 Gans 460M 퍼즐 장난감(스티커 없음)</v>
      </c>
      <c r="F3676" s="1" t="str">
        <f>IFERROR(__xludf.DUMMYFUNCTION("CONCATENATE(GOOGLETRANSLATE(C3676, ""en"", ""ja""))"),"GAN 460 M スピード キューブ、4x4 磁気マスター キューブ Gans 460M パズルおもちゃ (ステッカーなし)")</f>
        <v>GAN 460 M スピード キューブ、4x4 磁気マスター キューブ Gans 460M パズルおもちゃ (ステッカーなし)</v>
      </c>
    </row>
    <row r="3677" ht="15.75" customHeight="1">
      <c r="A3677" s="1">
        <v>6070.0</v>
      </c>
      <c r="B3677" s="1" t="s">
        <v>15</v>
      </c>
      <c r="C3677" s="1" t="s">
        <v>1840</v>
      </c>
      <c r="D3677" s="1" t="str">
        <f>IFERROR(__xludf.DUMMYFUNCTION("CONCATENATE(GOOGLETRANSLATE(C3677, ""en"", ""zh-cn""))"),"Cuberspeed GAN 13 uv 涂层 MagLev 无贴纸 3x3 速度立方拼图 gan13 maglev uv 涂层旗舰拼图")</f>
        <v>Cuberspeed GAN 13 uv 涂层 MagLev 无贴纸 3x3 速度立方拼图 gan13 maglev uv 涂层旗舰拼图</v>
      </c>
      <c r="E3677" s="1" t="str">
        <f>IFERROR(__xludf.DUMMYFUNCTION("CONCATENATE(GOOGLETRANSLATE(C3677, ""en"", ""ko""))"),"Cuberspeed GAN 13 uv 코팅 MagLev 스티커가 없는 3x3 스피드 큐브 퍼즐 gan13 maglev uv 코팅 플래그십 퍼즐")</f>
        <v>Cuberspeed GAN 13 uv 코팅 MagLev 스티커가 없는 3x3 스피드 큐브 퍼즐 gan13 maglev uv 코팅 플래그십 퍼즐</v>
      </c>
      <c r="F3677" s="1" t="str">
        <f>IFERROR(__xludf.DUMMYFUNCTION("CONCATENATE(GOOGLETRANSLATE(C3677, ""en"", ""ja""))"),"Cuberspeed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3678" ht="15.75" customHeight="1">
      <c r="A3678" s="1">
        <v>6076.0</v>
      </c>
      <c r="B3678" s="1" t="s">
        <v>15</v>
      </c>
      <c r="C3678" s="1" t="s">
        <v>2792</v>
      </c>
      <c r="D3678" s="1" t="str">
        <f>IFERROR(__xludf.DUMMYFUNCTION("CONCATENATE(GOOGLETRANSLATE(C3678, ""en"", ""zh-cn""))"),"Sidi 男士 Ergo 5 Carbon Scape 骑行鞋")</f>
        <v>Sidi 男士 Ergo 5 Carbon Scape 骑行鞋</v>
      </c>
      <c r="E3678" s="1" t="str">
        <f>IFERROR(__xludf.DUMMYFUNCTION("CONCATENATE(GOOGLETRANSLATE(C3678, ""en"", ""ko""))"),"Sidi 남성용 Ergo 5 카본 스케이프 사이클링")</f>
        <v>Sidi 남성용 Ergo 5 카본 스케이프 사이클링</v>
      </c>
      <c r="F3678" s="1" t="str">
        <f>IFERROR(__xludf.DUMMYFUNCTION("CONCATENATE(GOOGLETRANSLATE(C3678, ""en"", ""ja""))"),"シディ メンズ エルゴ 5 カーボン スケープ サイクリング")</f>
        <v>シディ メンズ エルゴ 5 カーボン スケープ サイクリング</v>
      </c>
    </row>
    <row r="3679" ht="15.75" customHeight="1">
      <c r="A3679" s="1">
        <v>6089.0</v>
      </c>
      <c r="B3679" s="1" t="s">
        <v>15</v>
      </c>
      <c r="C3679" s="1" t="s">
        <v>2378</v>
      </c>
      <c r="D3679" s="1" t="str">
        <f>IFERROR(__xludf.DUMMYFUNCTION("CONCATENATE(GOOGLETRANSLATE(C3679, ""en"", ""zh-cn""))"),"EF ECOFLOW RIVER Pro 额外电池 720Wh，RIVER Pro 可扩展电源，适用于露营、家庭备用应急、户外、房车、离网")</f>
        <v>EF ECOFLOW RIVER Pro 额外电池 720Wh，RIVER Pro 可扩展电源，适用于露营、家庭备用应急、户外、房车、离网</v>
      </c>
      <c r="E3679" s="1" t="str">
        <f>IFERROR(__xludf.DUMMYFUNCTION("CONCATENATE(GOOGLETRANSLATE(C3679, ""en"", ""ko""))"),"EF ECOFLOW RIVER Pro 추가 배터리 720Wh, RIVER Pro용 확장 가능한 전력, 캠핑, 홈 백업 비상, 야외, RV, 오프 그리드용")</f>
        <v>EF ECOFLOW RIVER Pro 추가 배터리 720Wh, RIVER Pro용 확장 가능한 전력, 캠핑, 홈 백업 비상, 야외, RV, 오프 그리드용</v>
      </c>
      <c r="F3679" s="1" t="str">
        <f>IFERROR(__xludf.DUMMYFUNCTION("CONCATENATE(GOOGLETRANSLATE(C3679, ""en"", ""ja""))"),"EF ECOFLOW RIVER Pro 予備バッテリー 720Wh、RIVER Pro 用の拡張可能な電源、キャンプ、ホームバックアップ緊急時、アウトドア、RV、オフグリッド用")</f>
        <v>EF ECOFLOW RIVER Pro 予備バッテリー 720Wh、RIVER Pro 用の拡張可能な電源、キャンプ、ホームバックアップ緊急時、アウトドア、RV、オフグリッド用</v>
      </c>
    </row>
    <row r="3680" ht="15.75" customHeight="1">
      <c r="A3680" s="1">
        <v>6105.0</v>
      </c>
      <c r="B3680" s="1" t="s">
        <v>15</v>
      </c>
      <c r="C3680" s="1" t="s">
        <v>1903</v>
      </c>
      <c r="D3680" s="1" t="str">
        <f>IFERROR(__xludf.DUMMYFUNCTION("CONCATENATE(GOOGLETRANSLATE(C3680, ""en"", ""zh-cn""))"),"CuberShop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3680" s="1" t="str">
        <f>IFERROR(__xludf.DUMMYFUNCTION("CONCATENATE(GOOGLETRANSLATE(C3680, ""en"", ""ko""))"),"CuberShop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3680" s="1" t="str">
        <f>IFERROR(__xludf.DUMMYFUNCTION("CONCATENATE(GOOGLETRANSLATE(C3680, ""en"", ""ja""))"),"CuberShop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3681" ht="15.75" customHeight="1">
      <c r="A3681" s="1">
        <v>6116.0</v>
      </c>
      <c r="B3681" s="1" t="s">
        <v>15</v>
      </c>
      <c r="C3681" s="1" t="s">
        <v>1824</v>
      </c>
      <c r="D3681" s="1" t="str">
        <f>IFERROR(__xludf.DUMMYFUNCTION("CONCATENATE(GOOGLETRANSLATE(C3681, ""en"", ""zh-cn""))"),"ALL4JIG 1500 件便携式带腿拼图桌，可调节拼图板，带 4 个抽屉和盖子，3 倾斜角度成人拼图桌")</f>
        <v>ALL4JIG 1500 件便携式带腿拼图桌，可调节拼图板，带 4 个抽屉和盖子，3 倾斜角度成人拼图桌</v>
      </c>
      <c r="E3681" s="1" t="str">
        <f>IFERROR(__xludf.DUMMYFUNCTION("CONCATENATE(GOOGLETRANSLATE(C3681, ""en"", ""ko""))"),"ALL4JIG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3681" s="1" t="str">
        <f>IFERROR(__xludf.DUMMYFUNCTION("CONCATENATE(GOOGLETRANSLATE(C3681, ""en"", ""ja""))"),"ALL4JIG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3682" ht="15.75" customHeight="1">
      <c r="A3682" s="1">
        <v>6130.0</v>
      </c>
      <c r="B3682" s="1" t="s">
        <v>15</v>
      </c>
      <c r="C3682" s="1" t="s">
        <v>1823</v>
      </c>
      <c r="D3682" s="1" t="str">
        <f>IFERROR(__xludf.DUMMYFUNCTION("CONCATENATE(GOOGLETRANSLATE(C3682, ""en"", ""zh-cn""))"),"Giro Sector 男士山地骑行鞋")</f>
        <v>Giro Sector 男士山地骑行鞋</v>
      </c>
      <c r="E3682" s="1" t="str">
        <f>IFERROR(__xludf.DUMMYFUNCTION("CONCATENATE(GOOGLETRANSLATE(C3682, ""en"", ""ko""))"),"Giro Sector 남성용 산악 사이클링 신발")</f>
        <v>Giro Sector 남성용 산악 사이클링 신발</v>
      </c>
      <c r="F3682" s="1" t="str">
        <f>IFERROR(__xludf.DUMMYFUNCTION("CONCATENATE(GOOGLETRANSLATE(C3682, ""en"", ""ja""))"),"Giro Sector メンズ マウンテン サイクリング シューズ")</f>
        <v>Giro Sector メンズ マウンテン サイクリング シューズ</v>
      </c>
    </row>
    <row r="3683" ht="15.75" customHeight="1">
      <c r="A3683" s="1">
        <v>6135.0</v>
      </c>
      <c r="B3683" s="1" t="s">
        <v>15</v>
      </c>
      <c r="C3683" s="1" t="s">
        <v>3267</v>
      </c>
      <c r="D3683" s="1" t="str">
        <f>IFERROR(__xludf.DUMMYFUNCTION("CONCATENATE(GOOGLETRANSLATE(C3683, ""en"", ""zh-cn""))"),"罗林斯| HEART OF THE HIDE 棒球手套 |传统的闯入|多种风格")</f>
        <v>罗林斯| HEART OF THE HIDE 棒球手套 |传统的闯入|多种风格</v>
      </c>
      <c r="E3683" s="1" t="str">
        <f>IFERROR(__xludf.DUMMYFUNCTION("CONCATENATE(GOOGLETRANSLATE(C3683, ""en"", ""ko""))"),"롤링스 | 숨은 야구 글러브의 심장 | 전통적인 침입 | 다양한 스타일")</f>
        <v>롤링스 | 숨은 야구 글러브의 심장 | 전통적인 침입 | 다양한 스타일</v>
      </c>
      <c r="F3683" s="1" t="str">
        <f>IFERROR(__xludf.DUMMYFUNCTION("CONCATENATE(GOOGLETRANSLATE(C3683, ""en"", ""ja""))"),"ローリングス | HEART OF THE HIDE 野球グローブ |従来の慣らし運転 |複数のスタイル")</f>
        <v>ローリングス | HEART OF THE HIDE 野球グローブ |従来の慣らし運転 |複数のスタイル</v>
      </c>
    </row>
    <row r="3684" ht="15.75" customHeight="1">
      <c r="A3684" s="1">
        <v>6136.0</v>
      </c>
      <c r="B3684" s="1" t="s">
        <v>15</v>
      </c>
      <c r="C3684" s="1" t="s">
        <v>2792</v>
      </c>
      <c r="D3684" s="1" t="str">
        <f>IFERROR(__xludf.DUMMYFUNCTION("CONCATENATE(GOOGLETRANSLATE(C3684, ""en"", ""zh-cn""))"),"Sidi 男士 Ergo 5 Carbon Scape 骑行鞋")</f>
        <v>Sidi 男士 Ergo 5 Carbon Scape 骑行鞋</v>
      </c>
      <c r="E3684" s="1" t="str">
        <f>IFERROR(__xludf.DUMMYFUNCTION("CONCATENATE(GOOGLETRANSLATE(C3684, ""en"", ""ko""))"),"Sidi 남성용 Ergo 5 카본 스케이프 사이클링")</f>
        <v>Sidi 남성용 Ergo 5 카본 스케이프 사이클링</v>
      </c>
      <c r="F3684" s="1" t="str">
        <f>IFERROR(__xludf.DUMMYFUNCTION("CONCATENATE(GOOGLETRANSLATE(C3684, ""en"", ""ja""))"),"シディ メンズ エルゴ 5 カーボン スケープ サイクリング")</f>
        <v>シディ メンズ エルゴ 5 カーボン スケープ サイクリング</v>
      </c>
    </row>
    <row r="3685" ht="15.75" customHeight="1">
      <c r="A3685" s="1">
        <v>6139.0</v>
      </c>
      <c r="B3685" s="1" t="s">
        <v>15</v>
      </c>
      <c r="C3685" s="1" t="s">
        <v>1821</v>
      </c>
      <c r="D3685" s="1" t="str">
        <f>IFERROR(__xludf.DUMMYFUNCTION("CONCATENATE(GOOGLETRANSLATE(C3685, ""en"", ""zh-cn""))"),"Fizik Vento Infinito Carbon 2 骑行鞋 - 男士白色/黑色，46.0")</f>
        <v>Fizik Vento Infinito Carbon 2 骑行鞋 - 男士白色/黑色，46.0</v>
      </c>
      <c r="E3685" s="1" t="str">
        <f>IFERROR(__xludf.DUMMYFUNCTION("CONCATENATE(GOOGLETRANSLATE(C3685, ""en"", ""ko""))"),"Fizik Vento Infinito Carbon 2 사이클링 슈즈 - 남성용 화이트/블랙, 46.0")</f>
        <v>Fizik Vento Infinito Carbon 2 사이클링 슈즈 - 남성용 화이트/블랙, 46.0</v>
      </c>
      <c r="F3685" s="1" t="str">
        <f>IFERROR(__xludf.DUMMYFUNCTION("CONCATENATE(GOOGLETRANSLATE(C3685, ""en"", ""ja""))"),"Fizik Vento Infinito Carbon 2 サイクリング シューズ - メンズ ホワイト/ブラック、46.0")</f>
        <v>Fizik Vento Infinito Carbon 2 サイクリング シューズ - メンズ ホワイト/ブラック、46.0</v>
      </c>
    </row>
    <row r="3686" ht="15.75" customHeight="1">
      <c r="A3686" s="1">
        <v>6142.0</v>
      </c>
      <c r="B3686" s="1" t="s">
        <v>15</v>
      </c>
      <c r="C3686" s="1" t="s">
        <v>1855</v>
      </c>
      <c r="D3686" s="1" t="str">
        <f>IFERROR(__xludf.DUMMYFUNCTION("CONCATENATE(GOOGLETRANSLATE(C3686, ""en"", ""zh-cn""))"),"单人炉篝火带支架便携式火坑不锈钢火坑燃木低烟野营炉| 19.5x14 英寸户外火坑")</f>
        <v>单人炉篝火带支架便携式火坑不锈钢火坑燃木低烟野营炉| 19.5x14 英寸户外火坑</v>
      </c>
      <c r="E3686" s="1" t="str">
        <f>IFERROR(__xludf.DUMMYFUNCTION("CONCATENATE(GOOGLETRANSLATE(C3686, ""en"", ""ko""))"),"스탠드가 있는 솔로 스토브 모닥불 휴대용 화재 구덩이 스테인레스 스틸 화재 구덩이 장작 및 저연 캠핑 스토브 | 19.5x14 인치 야외 화덕")</f>
        <v>스탠드가 있는 솔로 스토브 모닥불 휴대용 화재 구덩이 스테인레스 스틸 화재 구덩이 장작 및 저연 캠핑 스토브 | 19.5x14 인치 야외 화덕</v>
      </c>
      <c r="F3686" s="1" t="str">
        <f>IFERROR(__xludf.DUMMYFUNCTION("CONCATENATE(GOOGLETRANSLATE(C3686, ""en"", ""ja""))"),"ソロストーブ焚き火スタンド付きポータブルファイヤーピットステンレススチールファイヤーピット薪燃焼および低煙キャンプストーブ | 19.5x14インチの屋外ファイヤーピット")</f>
        <v>ソロストーブ焚き火スタンド付きポータブルファイヤーピットステンレススチールファイヤーピット薪燃焼および低煙キャンプストーブ | 19.5x14インチの屋外ファイヤーピット</v>
      </c>
    </row>
    <row r="3687" ht="15.75" customHeight="1">
      <c r="A3687" s="1">
        <v>6146.0</v>
      </c>
      <c r="B3687" s="1" t="s">
        <v>15</v>
      </c>
      <c r="C3687" s="1" t="s">
        <v>2013</v>
      </c>
      <c r="D3687" s="1" t="str">
        <f>IFERROR(__xludf.DUMMYFUNCTION("CONCATENATE(GOOGLETRANSLATE(C3687, ""en"", ""zh-cn""))"),"Tilt Industries - 自行车平衡训练器|自行车修理架/平衡训练器组合")</f>
        <v>Tilt Industries - 自行车平衡训练器|自行车修理架/平衡训练器组合</v>
      </c>
      <c r="E3687" s="1" t="str">
        <f>IFERROR(__xludf.DUMMYFUNCTION("CONCATENATE(GOOGLETRANSLATE(C3687, ""en"", ""ko""))"),"Tilt Industries - 자전거 밸런스 트레이너 | 자전거 수리 스탠드/밸런스 트레이너 콤보")</f>
        <v>Tilt Industries - 자전거 밸런스 트레이너 | 자전거 수리 스탠드/밸런스 트레이너 콤보</v>
      </c>
      <c r="F3687" s="1" t="str">
        <f>IFERROR(__xludf.DUMMYFUNCTION("CONCATENATE(GOOGLETRANSLATE(C3687, ""en"", ""ja""))"),"Tilt Industries - バイクバランストレーナー |自転車修理スタンド/バランストレーナーコンボ")</f>
        <v>Tilt Industries - バイクバランストレーナー |自転車修理スタンド/バランストレーナーコンボ</v>
      </c>
    </row>
    <row r="3688" ht="15.75" customHeight="1">
      <c r="A3688" s="1">
        <v>6160.0</v>
      </c>
      <c r="B3688" s="1" t="s">
        <v>15</v>
      </c>
      <c r="C3688" s="1" t="s">
        <v>1913</v>
      </c>
      <c r="D3688" s="1" t="str">
        <f>IFERROR(__xludf.DUMMYFUNCTION("CONCATENATE(GOOGLETRANSLATE(C3688, ""en"", ""zh-cn""))"),"Lake CX241 骑行鞋 - 男士")</f>
        <v>Lake CX241 骑行鞋 - 男士</v>
      </c>
      <c r="E3688" s="1" t="str">
        <f>IFERROR(__xludf.DUMMYFUNCTION("CONCATENATE(GOOGLETRANSLATE(C3688, ""en"", ""ko""))"),"Lake CX241 사이클링 신발 - 남성용")</f>
        <v>Lake CX241 사이클링 신발 - 남성용</v>
      </c>
      <c r="F3688" s="1" t="str">
        <f>IFERROR(__xludf.DUMMYFUNCTION("CONCATENATE(GOOGLETRANSLATE(C3688, ""en"", ""ja""))"),"Lake CX241 サイクリング シューズ - メンズ")</f>
        <v>Lake CX241 サイクリング シューズ - メンズ</v>
      </c>
    </row>
    <row r="3689" ht="15.75" customHeight="1">
      <c r="A3689" s="1">
        <v>6161.0</v>
      </c>
      <c r="B3689" s="1" t="s">
        <v>15</v>
      </c>
      <c r="C3689" s="1" t="s">
        <v>3268</v>
      </c>
      <c r="D3689" s="1" t="str">
        <f>IFERROR(__xludf.DUMMYFUNCTION("CONCATENATE(GOOGLETRANSLATE(C3689, ""en"", ""zh-cn""))"),"Alexia冥想座椅（浅灰色，纯素皮革）")</f>
        <v>Alexia冥想座椅（浅灰色，纯素皮革）</v>
      </c>
      <c r="E3689" s="1" t="str">
        <f>IFERROR(__xludf.DUMMYFUNCTION("CONCATENATE(GOOGLETRANSLATE(C3689, ""en"", ""ko""))"),"알렉시아 명상좌 (라이트 그레이, 비건 가죽)")</f>
        <v>알렉시아 명상좌 (라이트 그레이, 비건 가죽)</v>
      </c>
      <c r="F3689" s="1" t="str">
        <f>IFERROR(__xludf.DUMMYFUNCTION("CONCATENATE(GOOGLETRANSLATE(C3689, ""en"", ""ja""))"),"Alexia 瞑想シート (ライトグレー、ビーガンレザー)")</f>
        <v>Alexia 瞑想シート (ライトグレー、ビーガンレザー)</v>
      </c>
    </row>
    <row r="3690" ht="15.75" customHeight="1">
      <c r="A3690" s="1">
        <v>6167.0</v>
      </c>
      <c r="B3690" s="1" t="s">
        <v>15</v>
      </c>
      <c r="C3690" s="1" t="s">
        <v>2327</v>
      </c>
      <c r="D3690" s="1" t="str">
        <f>IFERROR(__xludf.DUMMYFUNCTION("CONCATENATE(GOOGLETRANSLATE(C3690, ""en"", ""zh-cn""))"),"GAN 356 i 3 无贴纸速度魔方，3x3 智能魔方 356 i3 甘斯磁力魔方智能跟踪计时运动步骤与 CubeStation 应用程序甘魔方拼图玩具（不含 GAN 机器人）")</f>
        <v>GAN 356 i 3 无贴纸速度魔方，3x3 智能魔方 356 i3 甘斯磁力魔方智能跟踪计时运动步骤与 CubeStation 应用程序甘魔方拼图玩具（不含 GAN 机器人）</v>
      </c>
      <c r="E3690" s="1" t="str">
        <f>IFERROR(__xludf.DUMMYFUNCTION("CONCATENATE(GOOGLETRANSLATE(C3690, ""en"", ""ko""))"),"GAN 356 i 3 스티커 없는 스피드 큐브, 3x3 스마트 큐브 356 i3 Gans 마그네틱 큐브 CubeStation 앱을 사용한 지능형 추적 타이밍 동작 단계 Gan 큐브 퍼즐 장난감(GAN 로봇은 포함되지 않음)")</f>
        <v>GAN 356 i 3 스티커 없는 스피드 큐브, 3x3 스마트 큐브 356 i3 Gans 마그네틱 큐브 CubeStation 앱을 사용한 지능형 추적 타이밍 동작 단계 Gan 큐브 퍼즐 장난감(GAN 로봇은 포함되지 않음)</v>
      </c>
      <c r="F3690" s="1" t="str">
        <f>IFERROR(__xludf.DUMMYFUNCTION("CONCATENATE(GOOGLETRANSLATE(C3690, ""en"", ""ja""))"),"GAN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f>
        <v>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v>
      </c>
    </row>
    <row r="3691" ht="15.75" customHeight="1">
      <c r="A3691" s="1">
        <v>6169.0</v>
      </c>
      <c r="B3691" s="1" t="s">
        <v>15</v>
      </c>
      <c r="C3691" s="1" t="s">
        <v>1826</v>
      </c>
      <c r="D3691" s="1" t="str">
        <f>IFERROR(__xludf.DUMMYFUNCTION("CONCATENATE(GOOGLETRANSLATE(C3691, ""en"", ""zh-cn""))"),"GAN 460 M 速度魔方， 4x4 磁性魔方 Gans 460M 拼图玩具（无贴纸）")</f>
        <v>GAN 460 M 速度魔方， 4x4 磁性魔方 Gans 460M 拼图玩具（无贴纸）</v>
      </c>
      <c r="E3691" s="1" t="str">
        <f>IFERROR(__xludf.DUMMYFUNCTION("CONCATENATE(GOOGLETRANSLATE(C3691, ""en"", ""ko""))"),"GAN 460 M 스피드 큐브, 4x4 마그네틱 마스터 큐브 Gans 460M 퍼즐 장난감(스티커 없음)")</f>
        <v>GAN 460 M 스피드 큐브, 4x4 마그네틱 마스터 큐브 Gans 460M 퍼즐 장난감(스티커 없음)</v>
      </c>
      <c r="F3691" s="1" t="str">
        <f>IFERROR(__xludf.DUMMYFUNCTION("CONCATENATE(GOOGLETRANSLATE(C3691, ""en"", ""ja""))"),"GAN 460 M スピード キューブ、4x4 磁気マスター キューブ Gans 460M パズルおもちゃ (ステッカーなし)")</f>
        <v>GAN 460 M スピード キューブ、4x4 磁気マスター キューブ Gans 460M パズルおもちゃ (ステッカーなし)</v>
      </c>
    </row>
    <row r="3692" ht="15.75" customHeight="1">
      <c r="A3692" s="1">
        <v>6175.0</v>
      </c>
      <c r="B3692" s="1" t="s">
        <v>15</v>
      </c>
      <c r="C3692" s="1" t="s">
        <v>1846</v>
      </c>
      <c r="D3692" s="1" t="str">
        <f>IFERROR(__xludf.DUMMYFUNCTION("CONCATENATE(GOOGLETRANSLATE(C3692, ""en"", ""zh-cn""))"),"带抽屉和盖垫的拼图板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3692" s="1" t="str">
        <f>IFERROR(__xludf.DUMMYFUNCTION("CONCATENATE(GOOGLETRANSLATE(C3692, ""en"", ""ko""))"),"서랍과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3692" s="1" t="str">
        <f>IFERROR(__xludf.DUMMYFUNCTION("CONCATENATE(GOOGLETRANSLATE(C3692, ""en"", ""ja""))"),"引き出しとカバー付きパズルボード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3693" ht="15.75" customHeight="1">
      <c r="A3693" s="1">
        <v>6193.0</v>
      </c>
      <c r="B3693" s="1" t="s">
        <v>15</v>
      </c>
      <c r="C3693" s="1" t="s">
        <v>3268</v>
      </c>
      <c r="D3693" s="1" t="str">
        <f>IFERROR(__xludf.DUMMYFUNCTION("CONCATENATE(GOOGLETRANSLATE(C3693, ""en"", ""zh-cn""))"),"Alexia冥想座椅（浅灰色，纯素皮革）")</f>
        <v>Alexia冥想座椅（浅灰色，纯素皮革）</v>
      </c>
      <c r="E3693" s="1" t="str">
        <f>IFERROR(__xludf.DUMMYFUNCTION("CONCATENATE(GOOGLETRANSLATE(C3693, ""en"", ""ko""))"),"알렉시아 명상좌 (라이트 그레이, 비건 가죽)")</f>
        <v>알렉시아 명상좌 (라이트 그레이, 비건 가죽)</v>
      </c>
      <c r="F3693" s="1" t="str">
        <f>IFERROR(__xludf.DUMMYFUNCTION("CONCATENATE(GOOGLETRANSLATE(C3693, ""en"", ""ja""))"),"Alexia 瞑想シート (ライトグレー、ビーガンレザー)")</f>
        <v>Alexia 瞑想シート (ライトグレー、ビーガンレザー)</v>
      </c>
    </row>
    <row r="3694" ht="15.75" customHeight="1">
      <c r="A3694" s="1">
        <v>6194.0</v>
      </c>
      <c r="B3694" s="1" t="s">
        <v>15</v>
      </c>
      <c r="C3694" s="1" t="s">
        <v>2844</v>
      </c>
      <c r="D3694" s="1" t="str">
        <f>IFERROR(__xludf.DUMMYFUNCTION("CONCATENATE(GOOGLETRANSLATE(C3694, ""en"", ""zh-cn""))"),"JOROTO 室内自行车健身车带 35 磅飞轮和 10.2 英寸大型 Ipad 支架（链条驱动）")</f>
        <v>JOROTO 室内自行车健身车带 35 磅飞轮和 10.2 英寸大型 Ipad 支架（链条驱动）</v>
      </c>
      <c r="E3694" s="1" t="str">
        <f>IFERROR(__xludf.DUMMYFUNCTION("CONCATENATE(GOOGLETRANSLATE(C3694, ""en"", ""ko""))"),"JOROTO 실내 사이클링 자전거 운동용 자전거 35파운드 플라이휠 및 10.2인치 대형 Ipad 홀더(체인 드라이브) 포함")</f>
        <v>JOROTO 실내 사이클링 자전거 운동용 자전거 35파운드 플라이휠 및 10.2인치 대형 Ipad 홀더(체인 드라이브) 포함</v>
      </c>
      <c r="F3694" s="1" t="str">
        <f>IFERROR(__xludf.DUMMYFUNCTION("CONCATENATE(GOOGLETRANSLATE(C3694, ""en"", ""ja""))"),"JOROTO インドアサイクリングバイクエクササイズバイク、35ポンドのフライホイールと10.2インチの大型iPadホルダー（チェーンドライブ）付き")</f>
        <v>JOROTO インドアサイクリングバイクエクササイズバイク、35ポンドのフライホイールと10.2インチの大型iPadホルダー（チェーンドライブ）付き</v>
      </c>
    </row>
    <row r="3695" ht="15.75" customHeight="1">
      <c r="A3695" s="1">
        <v>6199.0</v>
      </c>
      <c r="B3695" s="1" t="s">
        <v>15</v>
      </c>
      <c r="C3695" s="1" t="s">
        <v>2325</v>
      </c>
      <c r="D3695" s="1" t="str">
        <f>IFERROR(__xludf.DUMMYFUNCTION("CONCATENATE(GOOGLETRANSLATE(C3695, ""en"", ""zh-cn""))"),"Drako 2 SRS 山地自行车鞋")</f>
        <v>Drako 2 SRS 山地自行车鞋</v>
      </c>
      <c r="E3695" s="1" t="str">
        <f>IFERROR(__xludf.DUMMYFUNCTION("CONCATENATE(GOOGLETRANSLATE(C3695, ""en"", ""ko""))"),"Drako 2 SRS 산악 자전거 신발")</f>
        <v>Drako 2 SRS 산악 자전거 신발</v>
      </c>
      <c r="F3695" s="1" t="str">
        <f>IFERROR(__xludf.DUMMYFUNCTION("CONCATENATE(GOOGLETRANSLATE(C3695, ""en"", ""ja""))"),"Drako 2 SRS マウンテン バイク シューズ")</f>
        <v>Drako 2 SRS マウンテン バイク シューズ</v>
      </c>
    </row>
    <row r="3696" ht="15.75" customHeight="1">
      <c r="A3696" s="1">
        <v>6200.0</v>
      </c>
      <c r="B3696" s="1" t="s">
        <v>15</v>
      </c>
      <c r="C3696" s="1" t="s">
        <v>2307</v>
      </c>
      <c r="D3696" s="1" t="str">
        <f>IFERROR(__xludf.DUMMYFUNCTION("CONCATENATE(GOOGLETRANSLATE(C3696, ""en"", ""zh-cn""))"),"Sunny Health &amp; Fitness 椭圆运动机训练器，配有可选的独家 SunnyFit™ 应用程序和增强型蓝牙连接")</f>
        <v>Sunny Health &amp; Fitness 椭圆运动机训练器，配有可选的独家 SunnyFit™ 应用程序和增强型蓝牙连接</v>
      </c>
      <c r="E3696" s="1" t="str">
        <f>IFERROR(__xludf.DUMMYFUNCTION("CONCATENATE(GOOGLETRANSLATE(C3696, ""en"", ""ko""))"),"독점 SunnyFit™ 앱(옵션) 및 향상된 Bluetooth 연결 기능을 갖춘 Sunny 건강 및 피트니스 타원형 운동 기구 트레이너")</f>
        <v>독점 SunnyFit™ 앱(옵션) 및 향상된 Bluetooth 연결 기능을 갖춘 Sunny 건강 및 피트니스 타원형 운동 기구 트레이너</v>
      </c>
      <c r="F3696" s="1" t="str">
        <f>IFERROR(__xludf.DUMMYFUNCTION("CONCATENATE(GOOGLETRANSLATE(C3696, ""en"", ""ja""))"),"Sunny Health &amp; Fitness エリプティカル エクササイズ マシン トレーナー (オプションの専用 SunnyFit™ アプリと強化された Bluetooth 接続を備え)")</f>
        <v>Sunny Health &amp; Fitness エリプティカル エクササイズ マシン トレーナー (オプションの専用 SunnyFit™ アプリと強化された Bluetooth 接続を備え)</v>
      </c>
    </row>
    <row r="3697" ht="15.75" customHeight="1">
      <c r="A3697" s="1">
        <v>6202.0</v>
      </c>
      <c r="B3697" s="1" t="s">
        <v>15</v>
      </c>
      <c r="C3697" s="1" t="s">
        <v>2014</v>
      </c>
      <c r="D3697" s="1" t="str">
        <f>IFERROR(__xludf.DUMMYFUNCTION("CONCATENATE(GOOGLETRANSLATE(C3697, ""en"", ""zh-cn""))"),"Atotfusion 棉质厚轻桌凳靠背坐垫瑜伽椅垫适用于室内/室外家庭办公室花园装饰棉质坐垫 3 座长凳坐垫，150 x 50 x 8 厘米（灰色）")</f>
        <v>Atotfusion 棉质厚轻桌凳靠背坐垫瑜伽椅垫适用于室内/室外家庭办公室花园装饰棉质坐垫 3 座长凳坐垫，150 x 50 x 8 厘米（灰色）</v>
      </c>
      <c r="E3697" s="1" t="str">
        <f>IFERROR(__xludf.DUMMYFUNCTION("CONCATENATE(GOOGLETRANSLATE(C3697, ""en"", ""ko""))"),"Atootfusion 면 두꺼운 경량 테이블 의자 뒷좌석 쿠션 요가 의자 패드 실내/실외 홈 오피스 정원 장식 면 쿠션 3인용 벤치 쿠션, 150 x 50 x 8 cm(회색)")</f>
        <v>Atootfusion 면 두꺼운 경량 테이블 의자 뒷좌석 쿠션 요가 의자 패드 실내/실외 홈 오피스 정원 장식 면 쿠션 3인용 벤치 쿠션, 150 x 50 x 8 cm(회색)</v>
      </c>
      <c r="F3697" s="1" t="str">
        <f>IFERROR(__xludf.DUMMYFUNCTION("CONCATENATE(GOOGLETRANSLATE(C3697, ""en"", ""ja""))"),"Atootfusion コットン 厚手 軽量 テーブル スツール バックシートクッション ヨガチェアパッド 屋内/屋外 ホームオフィス ガーデン装飾 コットンクッション 3人掛けベンチクッション 150 x 50 x 8 cm (グレー)")</f>
        <v>Atootfusion コットン 厚手 軽量 テーブル スツール バックシートクッション ヨガチェアパッド 屋内/屋外 ホームオフィス ガーデン装飾 コットンクッション 3人掛けベンチクッション 150 x 50 x 8 cm (グレー)</v>
      </c>
    </row>
    <row r="3698" ht="15.75" customHeight="1">
      <c r="A3698" s="1">
        <v>6206.0</v>
      </c>
      <c r="B3698" s="1" t="s">
        <v>15</v>
      </c>
      <c r="C3698" s="1" t="s">
        <v>1854</v>
      </c>
      <c r="D3698" s="1" t="str">
        <f>IFERROR(__xludf.DUMMYFUNCTION("CONCATENATE(GOOGLETRANSLATE(C3698, ""en"", ""zh-cn""))"),"FNNEMGE 300W便携式充电站（峰值350W），266Wh太阳能户外发电机，72000mAh 60W PD移动电源，双110V交流插座12V/10A直流输出，纯正弦波，野营电池供电")</f>
        <v>FNNEMGE 300W便携式充电站（峰值350W），266Wh太阳能户外发电机，72000mAh 60W PD移动电源，双110V交流插座12V/10A直流输出，纯正弦波，野营电池供电</v>
      </c>
      <c r="E3698" s="1" t="str">
        <f>IFERROR(__xludf.DUMMYFUNCTION("CONCATENATE(GOOGLETRANSLATE(C3698, ""en"", ""ko""))"),"FNNEMGE 300W 휴대용 발전소(350W 피크), 266Wh 태양광 실외 발전기, 듀얼 110V AC 콘센트 12V/10A DC 출력, 순수 사인파, 캠핑용 배터리 전원 공급 장치가 포함된 72000mAh 60W PD 전원 은행")</f>
        <v>FNNEMGE 300W 휴대용 발전소(350W 피크), 266Wh 태양광 실외 발전기, 듀얼 110V AC 콘센트 12V/10A DC 출력, 순수 사인파, 캠핑용 배터리 전원 공급 장치가 포함된 72000mAh 60W PD 전원 은행</v>
      </c>
      <c r="F3698" s="1" t="str">
        <f>IFERROR(__xludf.DUMMYFUNCTION("CONCATENATE(GOOGLETRANSLATE(C3698, ""en"", ""ja""))"),"FNNEMGE 300W ポータブルパワーステーション (350W ピーク)、266Wh ソーラー屋外発電機、デュアル 110V AC コンセント付き 72000mAh 60W PD パワーバンク 12V/10A DC 出力、純粋な正弦波、キャンプ用バッテリー電源")</f>
        <v>FNNEMGE 300W ポータブルパワーステーション (350W ピーク)、266Wh ソーラー屋外発電機、デュアル 110V AC コンセント付き 72000mAh 60W PD パワーバンク 12V/10A DC 出力、純粋な正弦波、キャンプ用バッテリー電源</v>
      </c>
    </row>
    <row r="3699" ht="15.75" customHeight="1">
      <c r="A3699" s="1">
        <v>6214.0</v>
      </c>
      <c r="B3699" s="1" t="s">
        <v>15</v>
      </c>
      <c r="C3699" s="1" t="s">
        <v>1907</v>
      </c>
      <c r="D3699" s="1" t="str">
        <f>IFERROR(__xludf.DUMMYFUNCTION("CONCATENATE(GOOGLETRANSLATE(C3699, ""en"", ""zh-cn""))"),"Lenovo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3699" s="1" t="str">
        <f>IFERROR(__xludf.DUMMYFUNCTION("CONCATENATE(GOOGLETRANSLATE(C3699, ""en"", ""ko""))"),"Lenovo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3699" s="1" t="str">
        <f>IFERROR(__xludf.DUMMYFUNCTION("CONCATENATE(GOOGLETRANSLATE(C3699, ""en"", ""ja""))"),"Lenovo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3700" ht="15.75" customHeight="1">
      <c r="A3700" s="1">
        <v>6216.0</v>
      </c>
      <c r="B3700" s="1" t="s">
        <v>15</v>
      </c>
      <c r="C3700" s="1" t="s">
        <v>1843</v>
      </c>
      <c r="D3700" s="1" t="str">
        <f>IFERROR(__xludf.DUMMYFUNCTION("CONCATENATE(GOOGLETRANSLATE(C3700, ""en"", ""zh-cn""))"),"BroMocube 的 GAN 11M Pro 3x3 速度魔方 GAN 11 磁性拼图魔方 Gan11M 魔方（GAN 11 M Pro 磨砂无贴纸（黑色））")</f>
        <v>BroMocube 的 GAN 11M Pro 3x3 速度魔方 GAN 11 磁性拼图魔方 Gan11M 魔方（GAN 11 M Pro 磨砂无贴纸（黑色））</v>
      </c>
      <c r="E3700" s="1" t="str">
        <f>IFERROR(__xludf.DUMMYFUNCTION("CONCATENATE(GOOGLETRANSLATE(C3700, ""en"", ""ko""))"),"GAN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3700" s="1" t="str">
        <f>IFERROR(__xludf.DUMMYFUNCTION("CONCATENATE(GOOGLETRANSLATE(C3700, ""en"", ""ja""))"),"GAN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3701" ht="15.75" customHeight="1">
      <c r="A3701" s="1">
        <v>6218.0</v>
      </c>
      <c r="B3701" s="1" t="s">
        <v>15</v>
      </c>
      <c r="C3701" s="1" t="s">
        <v>1903</v>
      </c>
      <c r="D3701" s="1" t="str">
        <f>IFERROR(__xludf.DUMMYFUNCTION("CONCATENATE(GOOGLETRANSLATE(C3701, ""en"", ""zh-cn""))"),"CuberShop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3701" s="1" t="str">
        <f>IFERROR(__xludf.DUMMYFUNCTION("CONCATENATE(GOOGLETRANSLATE(C3701, ""en"", ""ko""))"),"CuberShop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3701" s="1" t="str">
        <f>IFERROR(__xludf.DUMMYFUNCTION("CONCATENATE(GOOGLETRANSLATE(C3701, ""en"", ""ja""))"),"CuberShop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3702" ht="15.75" customHeight="1">
      <c r="A3702" s="1">
        <v>6239.0</v>
      </c>
      <c r="B3702" s="1" t="s">
        <v>15</v>
      </c>
      <c r="C3702" s="1" t="s">
        <v>2844</v>
      </c>
      <c r="D3702" s="1" t="str">
        <f>IFERROR(__xludf.DUMMYFUNCTION("CONCATENATE(GOOGLETRANSLATE(C3702, ""en"", ""zh-cn""))"),"JOROTO 室内自行车健身车带 35 磅飞轮和 10.2 英寸大型 Ipad 支架（链条驱动）")</f>
        <v>JOROTO 室内自行车健身车带 35 磅飞轮和 10.2 英寸大型 Ipad 支架（链条驱动）</v>
      </c>
      <c r="E3702" s="1" t="str">
        <f>IFERROR(__xludf.DUMMYFUNCTION("CONCATENATE(GOOGLETRANSLATE(C3702, ""en"", ""ko""))"),"JOROTO 실내 사이클링 자전거 운동용 자전거 35파운드 플라이휠 및 10.2인치 대형 Ipad 홀더(체인 드라이브) 포함")</f>
        <v>JOROTO 실내 사이클링 자전거 운동용 자전거 35파운드 플라이휠 및 10.2인치 대형 Ipad 홀더(체인 드라이브) 포함</v>
      </c>
      <c r="F3702" s="1" t="str">
        <f>IFERROR(__xludf.DUMMYFUNCTION("CONCATENATE(GOOGLETRANSLATE(C3702, ""en"", ""ja""))"),"JOROTO インドアサイクリングバイクエクササイズバイク、35ポンドのフライホイールと10.2インチの大型iPadホルダー（チェーンドライブ）付き")</f>
        <v>JOROTO インドアサイクリングバイクエクササイズバイク、35ポンドのフライホイールと10.2インチの大型iPadホルダー（チェーンドライブ）付き</v>
      </c>
    </row>
    <row r="3703" ht="15.75" customHeight="1">
      <c r="A3703" s="1">
        <v>6242.0</v>
      </c>
      <c r="B3703" s="1" t="s">
        <v>15</v>
      </c>
      <c r="C3703" s="1" t="s">
        <v>2488</v>
      </c>
      <c r="D3703" s="1" t="str">
        <f>IFERROR(__xludf.DUMMYFUNCTION("CONCATENATE(GOOGLETRANSLATE(C3703, ""en"", ""zh-cn""))"),"Rawlings 坚固背包巧克力")</f>
        <v>Rawlings 坚固背包巧克力</v>
      </c>
      <c r="E3703" s="1" t="str">
        <f>IFERROR(__xludf.DUMMYFUNCTION("CONCATENATE(GOOGLETRANSLATE(C3703, ""en"", ""ko""))"),"롤링스 러기드 백팩 초콜릿")</f>
        <v>롤링스 러기드 백팩 초콜릿</v>
      </c>
      <c r="F3703" s="1" t="str">
        <f>IFERROR(__xludf.DUMMYFUNCTION("CONCATENATE(GOOGLETRANSLATE(C3703, ""en"", ""ja""))"),"ローリングス ラギッド バックパック チョコレート")</f>
        <v>ローリングス ラギッド バックパック チョコレート</v>
      </c>
    </row>
    <row r="3704" ht="15.75" customHeight="1">
      <c r="A3704" s="1">
        <v>6255.0</v>
      </c>
      <c r="B3704" s="1" t="s">
        <v>15</v>
      </c>
      <c r="C3704" s="1" t="s">
        <v>1854</v>
      </c>
      <c r="D3704" s="1" t="str">
        <f>IFERROR(__xludf.DUMMYFUNCTION("CONCATENATE(GOOGLETRANSLATE(C3704, ""en"", ""zh-cn""))"),"FNNEMGE 300W便携式充电站（峰值350W），266Wh太阳能户外发电机，72000mAh 60W PD移动电源，双110V交流插座12V/10A直流输出，纯正弦波，野营电池供电")</f>
        <v>FNNEMGE 300W便携式充电站（峰值350W），266Wh太阳能户外发电机，72000mAh 60W PD移动电源，双110V交流插座12V/10A直流输出，纯正弦波，野营电池供电</v>
      </c>
      <c r="E3704" s="1" t="str">
        <f>IFERROR(__xludf.DUMMYFUNCTION("CONCATENATE(GOOGLETRANSLATE(C3704, ""en"", ""ko""))"),"FNNEMGE 300W 휴대용 발전소(350W 피크), 266Wh 태양광 실외 발전기, 듀얼 110V AC 콘센트 12V/10A DC 출력, 순수 사인파, 캠핑용 배터리 전원 공급 장치가 포함된 72000mAh 60W PD 전원 은행")</f>
        <v>FNNEMGE 300W 휴대용 발전소(350W 피크), 266Wh 태양광 실외 발전기, 듀얼 110V AC 콘센트 12V/10A DC 출력, 순수 사인파, 캠핑용 배터리 전원 공급 장치가 포함된 72000mAh 60W PD 전원 은행</v>
      </c>
      <c r="F3704" s="1" t="str">
        <f>IFERROR(__xludf.DUMMYFUNCTION("CONCATENATE(GOOGLETRANSLATE(C3704, ""en"", ""ja""))"),"FNNEMGE 300W ポータブルパワーステーション (350W ピーク)、266Wh ソーラー屋外発電機、デュアル 110V AC コンセント付き 72000mAh 60W PD パワーバンク 12V/10A DC 出力、純粋な正弦波、キャンプ用バッテリー電源")</f>
        <v>FNNEMGE 300W ポータブルパワーステーション (350W ピーク)、266Wh ソーラー屋外発電機、デュアル 110V AC コンセント付き 72000mAh 60W PD パワーバンク 12V/10A DC 出力、純粋な正弦波、キャンプ用バッテリー電源</v>
      </c>
    </row>
    <row r="3705" ht="15.75" customHeight="1">
      <c r="A3705" s="1">
        <v>6258.0</v>
      </c>
      <c r="B3705" s="1" t="s">
        <v>15</v>
      </c>
      <c r="C3705" s="1" t="s">
        <v>2011</v>
      </c>
      <c r="D3705" s="1" t="str">
        <f>IFERROR(__xludf.DUMMYFUNCTION("CONCATENATE(GOOGLETRANSLATE(C3705, ""en"", ""zh-cn""))"),"罗林斯| HEART OF THE HIDE 棒球手套 | R2G 和轮廓贴合模型 |高级磨合|多种风格")</f>
        <v>罗林斯| HEART OF THE HIDE 棒球手套 | R2G 和轮廓贴合模型 |高级磨合|多种风格</v>
      </c>
      <c r="E3705" s="1" t="str">
        <f>IFERROR(__xludf.DUMMYFUNCTION("CONCATENATE(GOOGLETRANSLATE(C3705, ""en"", ""ko""))"),"롤링스 | 숨은 야구 글러브의 심장 | R2G 및 윤곽 맞춤 모델 | 고급 침입 | 다양한 스타일")</f>
        <v>롤링스 | 숨은 야구 글러브의 심장 | R2G 및 윤곽 맞춤 모델 | 고급 침입 | 다양한 스타일</v>
      </c>
      <c r="F3705" s="1" t="str">
        <f>IFERROR(__xludf.DUMMYFUNCTION("CONCATENATE(GOOGLETRANSLATE(C3705, ""en"", ""ja""))"),"ローリングス | HEART OF THE HIDE 野球グローブ | R2G &amp; 輪郭フィットモデル |高度な慣らし運転 |複数のスタイル")</f>
        <v>ローリングス | HEART OF THE HIDE 野球グローブ | R2G &amp; 輪郭フィットモデル |高度な慣らし運転 |複数のスタイル</v>
      </c>
    </row>
    <row r="3706" ht="15.75" customHeight="1">
      <c r="A3706" s="1">
        <v>6265.0</v>
      </c>
      <c r="B3706" s="1" t="s">
        <v>15</v>
      </c>
      <c r="C3706" s="1" t="s">
        <v>1847</v>
      </c>
      <c r="D3706" s="1" t="str">
        <f>IFERROR(__xludf.DUMMYFUNCTION("CONCATENATE(GOOGLETRANSLATE(C3706, ""en"", ""zh-cn""))"),"Bukefuno GAN 12 Maglev 3x3 磁性魔方 GAN12Maglev Speed GAN 12Maglev 拼图魔方 GAN12 Maglev 3x3 魔方（磨砂表面无贴纸）")</f>
        <v>Bukefuno GAN 12 Maglev 3x3 磁性魔方 GAN12Maglev Speed GAN 12Maglev 拼图魔方 GAN12 Maglev 3x3 魔方（磨砂表面无贴纸）</v>
      </c>
      <c r="E3706" s="1" t="str">
        <f>IFERROR(__xludf.DUMMYFUNCTION("CONCATENATE(GOOGLETRANSLATE(C3706, ""en"", ""ko""))"),"Bukefuno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3706" s="1" t="str">
        <f>IFERROR(__xludf.DUMMYFUNCTION("CONCATENATE(GOOGLETRANSLATE(C3706, ""en"", ""ja""))"),"Bukefuno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3707" ht="15.75" customHeight="1">
      <c r="A3707" s="1">
        <v>6275.0</v>
      </c>
      <c r="B3707" s="1" t="s">
        <v>15</v>
      </c>
      <c r="C3707" s="1" t="s">
        <v>1850</v>
      </c>
      <c r="D3707" s="1" t="str">
        <f>IFERROR(__xludf.DUMMYFUNCTION("CONCATENATE(GOOGLETRANSLATE(C3707, ""en"", ""zh-cn""))"),"GAN 13 磁悬浮磨砂涂层，磁性速度魔方 3x3 无贴纸 56 毫米磁铁魔方拼图玩具，GAN 2022 旗舰")</f>
        <v>GAN 13 磁悬浮磨砂涂层，磁性速度魔方 3x3 无贴纸 56 毫米磁铁魔方拼图玩具，GAN 2022 旗舰</v>
      </c>
      <c r="E3707" s="1" t="str">
        <f>IFERROR(__xludf.DUMMYFUNCTION("CONCATENATE(GOOGLETRANSLATE(C3707, ""en"", ""ko""))"),"GAN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3707" s="1" t="str">
        <f>IFERROR(__xludf.DUMMYFUNCTION("CONCATENATE(GOOGLETRANSLATE(C3707, ""en"", ""ja""))"),"GAN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3708" ht="15.75" customHeight="1">
      <c r="A3708" s="1">
        <v>6291.0</v>
      </c>
      <c r="B3708" s="1" t="s">
        <v>15</v>
      </c>
      <c r="C3708" s="1" t="s">
        <v>1825</v>
      </c>
      <c r="D3708" s="1" t="str">
        <f>IFERROR(__xludf.DUMMYFUNCTION("CONCATENATE(GOOGLETRANSLATE(C3708, ""en"", ""zh-cn""))"),"1500 块木制拼图桌 - 6 个抽屉，拼图板 | 27” X 35” 便携式拼图板 - 便携式拼图桌 |适合成人和儿童")</f>
        <v>1500 块木制拼图桌 - 6 个抽屉，拼图板 | 27” X 35” 便携式拼图板 - 便携式拼图桌 |适合成人和儿童</v>
      </c>
      <c r="E3708" s="1" t="str">
        <f>IFERROR(__xludf.DUMMYFUNCTION("CONCATENATE(GOOGLETRANSLATE(C3708, ""en"", ""ko""))"),"1500피스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3708" s="1" t="str">
        <f>IFERROR(__xludf.DUMMYFUNCTION("CONCATENATE(GOOGLETRANSLATE(C3708, ""en"", ""ja""))"),"1500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3709" ht="15.75" customHeight="1">
      <c r="A3709" s="1">
        <v>6296.0</v>
      </c>
      <c r="B3709" s="1" t="s">
        <v>15</v>
      </c>
      <c r="C3709" s="1" t="s">
        <v>2849</v>
      </c>
      <c r="D3709" s="1" t="str">
        <f>IFERROR(__xludf.DUMMYFUNCTION("CONCATENATE(GOOGLETRANSLATE(C3709, ""en"", ""zh-cn""))"),"Sidi 男士现代")</f>
        <v>Sidi 男士现代</v>
      </c>
      <c r="E3709" s="1" t="str">
        <f>IFERROR(__xludf.DUMMYFUNCTION("CONCATENATE(GOOGLETRANSLATE(C3709, ""en"", ""ko""))"),"시디 남성 모던")</f>
        <v>시디 남성 모던</v>
      </c>
      <c r="F3709" s="1" t="str">
        <f>IFERROR(__xludf.DUMMYFUNCTION("CONCATENATE(GOOGLETRANSLATE(C3709, ""en"", ""ja""))"),"シディ メンズ モダン")</f>
        <v>シディ メンズ モダン</v>
      </c>
    </row>
    <row r="3710" ht="15.75" customHeight="1">
      <c r="A3710" s="1">
        <v>6315.0</v>
      </c>
      <c r="B3710" s="1" t="s">
        <v>15</v>
      </c>
      <c r="C3710" s="1" t="s">
        <v>1904</v>
      </c>
      <c r="D3710" s="1" t="str">
        <f>IFERROR(__xludf.DUMMYFUNCTION("CONCATENATE(GOOGLETRANSLATE(C3710, ""en"", ""zh-cn""))"),"美国 Pride 家具瑜伽系列现代人造皮革弧形躺椅，适合伸展和放松，非常适合卧室、客厅、冥想室或办公室，常规，黑巧克力色")</f>
        <v>美国 Pride 家具瑜伽系列现代人造皮革弧形躺椅，适合伸展和放松，非常适合卧室、客厅、冥想室或办公室，常规，黑巧克力色</v>
      </c>
      <c r="E3710" s="1" t="str">
        <f>IFERROR(__xludf.DUMMYFUNCTION("CONCATENATE(GOOGLETRANSLATE(C3710, ""en"", ""ko""))"),"US Pride Furniture Yoga Collection 스트레칭과 휴식을 위한 현대적인 인조 가죽 곡선 라운지 의자, 침실, 거실, 명상실 또는 사무실, 일반, 다크 초콜릿에 이상적")</f>
        <v>US Pride Furniture Yoga Collection 스트레칭과 휴식을 위한 현대적인 인조 가죽 곡선 라운지 의자, 침실, 거실, 명상실 또는 사무실, 일반, 다크 초콜릿에 이상적</v>
      </c>
      <c r="F3710" s="1" t="str">
        <f>IFERROR(__xludf.DUMMYFUNCTION("CONCATENATE(GOOGLETRANSLATE(C3710, ""en"", ""ja""))"),"USプライドファニチャーヨガコレクション ストレッチとリラクゼーションのためのモダンなフェイクレザーの湾曲したラウンジ長椅子、寝室、リビング、瞑想室またはオフィスに最適、レギュラー、ダークチョコレート")</f>
        <v>USプライドファニチャーヨガコレクション ストレッチとリラクゼーションのためのモダンなフェイクレザーの湾曲したラウンジ長椅子、寝室、リビング、瞑想室またはオフィスに最適、レギュラー、ダークチョコレート</v>
      </c>
    </row>
    <row r="3711" ht="15.75" customHeight="1">
      <c r="A3711" s="1">
        <v>6322.0</v>
      </c>
      <c r="B3711" s="1" t="s">
        <v>15</v>
      </c>
      <c r="C3711" s="1" t="s">
        <v>2327</v>
      </c>
      <c r="D3711" s="1" t="str">
        <f>IFERROR(__xludf.DUMMYFUNCTION("CONCATENATE(GOOGLETRANSLATE(C3711, ""en"", ""zh-cn""))"),"GAN 356 i 3 无贴纸速度魔方，3x3 智能魔方 356 i3 甘斯磁力魔方智能跟踪计时运动步骤与 CubeStation 应用程序甘魔方拼图玩具（不含 GAN 机器人）")</f>
        <v>GAN 356 i 3 无贴纸速度魔方，3x3 智能魔方 356 i3 甘斯磁力魔方智能跟踪计时运动步骤与 CubeStation 应用程序甘魔方拼图玩具（不含 GAN 机器人）</v>
      </c>
      <c r="E3711" s="1" t="str">
        <f>IFERROR(__xludf.DUMMYFUNCTION("CONCATENATE(GOOGLETRANSLATE(C3711, ""en"", ""ko""))"),"GAN 356 i 3 스티커 없는 스피드 큐브, 3x3 스마트 큐브 356 i3 Gans 마그네틱 큐브 CubeStation 앱을 사용한 지능형 추적 타이밍 동작 단계 Gan 큐브 퍼즐 장난감(GAN 로봇은 포함되지 않음)")</f>
        <v>GAN 356 i 3 스티커 없는 스피드 큐브, 3x3 스마트 큐브 356 i3 Gans 마그네틱 큐브 CubeStation 앱을 사용한 지능형 추적 타이밍 동작 단계 Gan 큐브 퍼즐 장난감(GAN 로봇은 포함되지 않음)</v>
      </c>
      <c r="F3711" s="1" t="str">
        <f>IFERROR(__xludf.DUMMYFUNCTION("CONCATENATE(GOOGLETRANSLATE(C3711, ""en"", ""ja""))"),"GAN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f>
        <v>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v>
      </c>
    </row>
    <row r="3712" ht="15.75" customHeight="1">
      <c r="A3712" s="1">
        <v>6324.0</v>
      </c>
      <c r="B3712" s="1" t="s">
        <v>15</v>
      </c>
      <c r="C3712" s="1" t="s">
        <v>1852</v>
      </c>
      <c r="D3712" s="1" t="str">
        <f>IFERROR(__xludf.DUMMYFUNCTION("CONCATENATE(GOOGLETRANSLATE(C3712, ""en"", ""zh-cn""))"),"Roxenda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3712" s="1" t="str">
        <f>IFERROR(__xludf.DUMMYFUNCTION("CONCATENATE(GOOGLETRANSLATE(C3712, ""en"", ""ko""))"),"Roxenda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3712" s="1" t="str">
        <f>IFERROR(__xludf.DUMMYFUNCTION("CONCATENATE(GOOGLETRANSLATE(C3712, ""en"", ""ja""))"),"Roxenda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3713" ht="15.75" customHeight="1">
      <c r="A3713" s="1">
        <v>6326.0</v>
      </c>
      <c r="B3713" s="1" t="s">
        <v>15</v>
      </c>
      <c r="C3713" s="1" t="s">
        <v>1649</v>
      </c>
      <c r="D3713" s="1" t="str">
        <f>IFERROR(__xludf.DUMMYFUNCTION("CONCATENATE(GOOGLETRANSLATE(C3713, ""en"", ""zh-cn""))"),"GAN 机器人，魔方解谜机自动解谜器和解谜器，兼容 GAN 356i2 i3 iplay iCarry Speed Cubes（不含魔方）和最新版本 APP")</f>
        <v>GAN 机器人，魔方解谜机自动解谜器和解谜器，兼容 GAN 356i2 i3 iplay iCarry Speed Cubes（不含魔方）和最新版本 APP</v>
      </c>
      <c r="E3713" s="1" t="str">
        <f>IFERROR(__xludf.DUMMYFUNCTION("CONCATENATE(GOOGLETRANSLATE(C3713, ""en"", ""ko""))"),"GAN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3713" s="1" t="str">
        <f>IFERROR(__xludf.DUMMYFUNCTION("CONCATENATE(GOOGLETRANSLATE(C3713, ""en"", ""ja""))"),"GAN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3714" ht="15.75" customHeight="1">
      <c r="A3714" s="1">
        <v>6328.0</v>
      </c>
      <c r="B3714" s="1" t="s">
        <v>15</v>
      </c>
      <c r="C3714" s="1" t="s">
        <v>1827</v>
      </c>
      <c r="D3714" s="1" t="str">
        <f>IFERROR(__xludf.DUMMYFUNCTION("CONCATENATE(GOOGLETRANSLATE(C3714, ""en"", ""zh-cn""))"),"宁神茶丸 甘麦大枣丸 (1000 茶丸)3383E-MAYWAY by Mayway")</f>
        <v>宁神茶丸 甘麦大枣丸 (1000 茶丸)3383E-MAYWAY by Mayway</v>
      </c>
      <c r="E3714" s="1" t="str">
        <f>IFERROR(__xludf.DUMMYFUNCTION("CONCATENATE(GOOGLETRANSLATE(C3714, ""en"", ""ko""))"),"Calm Spirit Teapills Gan Mai Da Zao Wan (1000 티필)3383E-MAYWAY by Mayway")</f>
        <v>Calm Spirit Teapills Gan Mai Da Zao Wan (1000 티필)3383E-MAYWAY by Mayway</v>
      </c>
      <c r="F3714" s="1" t="str">
        <f>IFERROR(__xludf.DUMMYFUNCTION("CONCATENATE(GOOGLETRANSLATE(C3714, ""en"", ""ja""))"),"Calm Spirit Teapills Gan Mai Da Zao Wan (1000 Teapills)3383E-MAYWAY by Mayway")</f>
        <v>Calm Spirit Teapills Gan Mai Da Zao Wan (1000 Teapills)3383E-MAYWAY by Mayway</v>
      </c>
    </row>
    <row r="3715" ht="15.75" customHeight="1">
      <c r="A3715" s="1">
        <v>6336.0</v>
      </c>
      <c r="B3715" s="1" t="s">
        <v>15</v>
      </c>
      <c r="C3715" s="1" t="s">
        <v>1907</v>
      </c>
      <c r="D3715" s="1" t="str">
        <f>IFERROR(__xludf.DUMMYFUNCTION("CONCATENATE(GOOGLETRANSLATE(C3715, ""en"", ""zh-cn""))"),"Lenovo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3715" s="1" t="str">
        <f>IFERROR(__xludf.DUMMYFUNCTION("CONCATENATE(GOOGLETRANSLATE(C3715, ""en"", ""ko""))"),"Lenovo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3715" s="1" t="str">
        <f>IFERROR(__xludf.DUMMYFUNCTION("CONCATENATE(GOOGLETRANSLATE(C3715, ""en"", ""ja""))"),"Lenovo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3716" ht="15.75" customHeight="1">
      <c r="A3716" s="1">
        <v>6356.0</v>
      </c>
      <c r="B3716" s="1" t="s">
        <v>15</v>
      </c>
      <c r="C3716" s="1" t="s">
        <v>1907</v>
      </c>
      <c r="D3716" s="1" t="str">
        <f>IFERROR(__xludf.DUMMYFUNCTION("CONCATENATE(GOOGLETRANSLATE(C3716, ""en"", ""zh-cn""))"),"Lenovo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3716" s="1" t="str">
        <f>IFERROR(__xludf.DUMMYFUNCTION("CONCATENATE(GOOGLETRANSLATE(C3716, ""en"", ""ko""))"),"Lenovo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3716" s="1" t="str">
        <f>IFERROR(__xludf.DUMMYFUNCTION("CONCATENATE(GOOGLETRANSLATE(C3716, ""en"", ""ja""))"),"Lenovo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3717" ht="15.75" customHeight="1">
      <c r="A3717" s="1">
        <v>6357.0</v>
      </c>
      <c r="B3717" s="1" t="s">
        <v>15</v>
      </c>
      <c r="C3717" s="1" t="s">
        <v>1850</v>
      </c>
      <c r="D3717" s="1" t="str">
        <f>IFERROR(__xludf.DUMMYFUNCTION("CONCATENATE(GOOGLETRANSLATE(C3717, ""en"", ""zh-cn""))"),"GAN 13 磁悬浮磨砂涂层，磁性速度魔方 3x3 无贴纸 56 毫米磁铁魔方拼图玩具，GAN 2022 旗舰")</f>
        <v>GAN 13 磁悬浮磨砂涂层，磁性速度魔方 3x3 无贴纸 56 毫米磁铁魔方拼图玩具，GAN 2022 旗舰</v>
      </c>
      <c r="E3717" s="1" t="str">
        <f>IFERROR(__xludf.DUMMYFUNCTION("CONCATENATE(GOOGLETRANSLATE(C3717, ""en"", ""ko""))"),"GAN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3717" s="1" t="str">
        <f>IFERROR(__xludf.DUMMYFUNCTION("CONCATENATE(GOOGLETRANSLATE(C3717, ""en"", ""ja""))"),"GAN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3718" ht="15.75" customHeight="1">
      <c r="A3718" s="1">
        <v>6359.0</v>
      </c>
      <c r="B3718" s="1" t="s">
        <v>15</v>
      </c>
      <c r="C3718" s="1" t="s">
        <v>1649</v>
      </c>
      <c r="D3718" s="1" t="str">
        <f>IFERROR(__xludf.DUMMYFUNCTION("CONCATENATE(GOOGLETRANSLATE(C3718, ""en"", ""zh-cn""))"),"GAN 机器人，魔方解谜机自动解谜器和解谜器，兼容 GAN 356i2 i3 iplay iCarry Speed Cubes（不含魔方）和最新版本 APP")</f>
        <v>GAN 机器人，魔方解谜机自动解谜器和解谜器，兼容 GAN 356i2 i3 iplay iCarry Speed Cubes（不含魔方）和最新版本 APP</v>
      </c>
      <c r="E3718" s="1" t="str">
        <f>IFERROR(__xludf.DUMMYFUNCTION("CONCATENATE(GOOGLETRANSLATE(C3718, ""en"", ""ko""))"),"GAN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3718" s="1" t="str">
        <f>IFERROR(__xludf.DUMMYFUNCTION("CONCATENATE(GOOGLETRANSLATE(C3718, ""en"", ""ja""))"),"GAN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3719" ht="15.75" customHeight="1">
      <c r="A3719" s="1">
        <v>6375.0</v>
      </c>
      <c r="B3719" s="1" t="s">
        <v>15</v>
      </c>
      <c r="C3719" s="1" t="s">
        <v>3269</v>
      </c>
      <c r="D3719" s="1" t="str">
        <f>IFERROR(__xludf.DUMMYFUNCTION("CONCATENATE(GOOGLETRANSLATE(C3719, ""en"", ""zh-cn""))"),"Calvin Klein 女式羊毛混纺束带裹身大衣")</f>
        <v>Calvin Klein 女式羊毛混纺束带裹身大衣</v>
      </c>
      <c r="E3719" s="1" t="str">
        <f>IFERROR(__xludf.DUMMYFUNCTION("CONCATENATE(GOOGLETRANSLATE(C3719, ""en"", ""ko""))"),"Calvin Klein 여성용 울 블렌드 벨티드 랩 코트")</f>
        <v>Calvin Klein 여성용 울 블렌드 벨티드 랩 코트</v>
      </c>
      <c r="F3719" s="1" t="str">
        <f>IFERROR(__xludf.DUMMYFUNCTION("CONCATENATE(GOOGLETRANSLATE(C3719, ""en"", ""ja""))"),"Calvin Klein レディース ウール ブレンド ベルテッド ラップ コート")</f>
        <v>Calvin Klein レディース ウール ブレンド ベルテッド ラップ コート</v>
      </c>
    </row>
    <row r="3720" ht="15.75" customHeight="1">
      <c r="A3720" s="1">
        <v>6387.0</v>
      </c>
      <c r="B3720" s="1" t="s">
        <v>15</v>
      </c>
      <c r="C3720" s="1" t="s">
        <v>3270</v>
      </c>
      <c r="D3720" s="1" t="str">
        <f>IFERROR(__xludf.DUMMYFUNCTION("CONCATENATE(GOOGLETRANSLATE(C3720, ""en"", ""zh-cn""))"),"Michael Michael Kors 女式 Michael 束带连帽羽绒服")</f>
        <v>Michael Michael Kors 女式 Michael 束带连帽羽绒服</v>
      </c>
      <c r="E3720" s="1" t="str">
        <f>IFERROR(__xludf.DUMMYFUNCTION("CONCATENATE(GOOGLETRANSLATE(C3720, ""en"", ""ko""))"),"Michael Michael Kors 여성용 마이클 벨트 후드 퍼퍼 코트")</f>
        <v>Michael Michael Kors 여성용 마이클 벨트 후드 퍼퍼 코트</v>
      </c>
      <c r="F3720" s="1" t="str">
        <f>IFERROR(__xludf.DUMMYFUNCTION("CONCATENATE(GOOGLETRANSLATE(C3720, ""en"", ""ja""))"),"マイケル マイケル コース レディース Michael ベルテッド フード付き パファー コート")</f>
        <v>マイケル マイケル コース レディース Michael ベルテッド フード付き パファー コート</v>
      </c>
    </row>
    <row r="3721" ht="15.75" customHeight="1">
      <c r="A3721" s="1">
        <v>6406.0</v>
      </c>
      <c r="B3721" s="1" t="s">
        <v>15</v>
      </c>
      <c r="C3721" s="1" t="s">
        <v>3271</v>
      </c>
      <c r="D3721" s="1" t="str">
        <f>IFERROR(__xludf.DUMMYFUNCTION("CONCATENATE(GOOGLETRANSLATE(C3721, ""en"", ""zh-cn""))"),"塞拉菲娜连衣裙")</f>
        <v>塞拉菲娜连衣裙</v>
      </c>
      <c r="E3721" s="1" t="str">
        <f>IFERROR(__xludf.DUMMYFUNCTION("CONCATENATE(GOOGLETRANSLATE(C3721, ""en"", ""ko""))"),"세라피나 드레스")</f>
        <v>세라피나 드레스</v>
      </c>
      <c r="F3721" s="1" t="str">
        <f>IFERROR(__xludf.DUMMYFUNCTION("CONCATENATE(GOOGLETRANSLATE(C3721, ""en"", ""ja""))"),"セラフィーナドレス")</f>
        <v>セラフィーナドレス</v>
      </c>
    </row>
    <row r="3722" ht="15.75" customHeight="1">
      <c r="A3722" s="1">
        <v>6409.0</v>
      </c>
      <c r="B3722" s="1" t="s">
        <v>15</v>
      </c>
      <c r="C3722" s="1" t="s">
        <v>3272</v>
      </c>
      <c r="D3722" s="1" t="str">
        <f>IFERROR(__xludf.DUMMYFUNCTION("CONCATENATE(GOOGLETRANSLATE(C3722, ""en"", ""zh-cn""))"),"女式轻质针织短袖圆领短袖上衣")</f>
        <v>女式轻质针织短袖圆领短袖上衣</v>
      </c>
      <c r="E3722" s="1" t="str">
        <f>IFERROR(__xludf.DUMMYFUNCTION("CONCATENATE(GOOGLETRANSLATE(C3722, ""en"", ""ko""))"),"여성용 경량 니트 반팔 크루넥 반팔 탑")</f>
        <v>여성용 경량 니트 반팔 크루넥 반팔 탑</v>
      </c>
      <c r="F3722" s="1" t="str">
        <f>IFERROR(__xludf.DUMMYFUNCTION("CONCATENATE(GOOGLETRANSLATE(C3722, ""en"", ""ja""))"),"レディース軽量ニット半袖クルーネック半袖トップス")</f>
        <v>レディース軽量ニット半袖クルーネック半袖トップス</v>
      </c>
    </row>
    <row r="3723" ht="15.75" customHeight="1">
      <c r="A3723" s="1">
        <v>6410.0</v>
      </c>
      <c r="B3723" s="1" t="s">
        <v>15</v>
      </c>
      <c r="C3723" s="1" t="s">
        <v>3273</v>
      </c>
      <c r="D3723" s="1" t="str">
        <f>IFERROR(__xludf.DUMMYFUNCTION("CONCATENATE(GOOGLETRANSLATE(C3723, ""en"", ""zh-cn""))"),"时尚 Nova Wilma 无袖双肩一字肩迷你连衣裙")</f>
        <v>时尚 Nova Wilma 无袖双肩一字肩迷你连衣裙</v>
      </c>
      <c r="E3723" s="1" t="str">
        <f>IFERROR(__xludf.DUMMYFUNCTION("CONCATENATE(GOOGLETRANSLATE(C3723, ""en"", ""ko""))"),"패션 노바 윌마 민소매 폰테 원 숄더 미니 드레스")</f>
        <v>패션 노바 윌마 민소매 폰테 원 숄더 미니 드레스</v>
      </c>
      <c r="F3723" s="1" t="str">
        <f>IFERROR(__xludf.DUMMYFUNCTION("CONCATENATE(GOOGLETRANSLATE(C3723, ""en"", ""ja""))"),"ファッションノヴァウィルマノースリーブポンテワンショルダーミニドレス")</f>
        <v>ファッションノヴァウィルマノースリーブポンテワンショルダーミニドレス</v>
      </c>
    </row>
    <row r="3724" ht="15.75" customHeight="1">
      <c r="A3724" s="1">
        <v>6413.0</v>
      </c>
      <c r="B3724" s="1" t="s">
        <v>15</v>
      </c>
      <c r="C3724" s="1" t="s">
        <v>3274</v>
      </c>
      <c r="D3724" s="1" t="str">
        <f>IFERROR(__xludf.DUMMYFUNCTION("CONCATENATE(GOOGLETRANSLATE(C3724, ""en"", ""zh-cn""))"),"时尚 Nova 男士暴君正装衬衫")</f>
        <v>时尚 Nova 男士暴君正装衬衫</v>
      </c>
      <c r="E3724" s="1" t="str">
        <f>IFERROR(__xludf.DUMMYFUNCTION("CONCATENATE(GOOGLETRANSLATE(C3724, ""en"", ""ko""))"),"패션 노바 남성 폭군 드레스 셔츠")</f>
        <v>패션 노바 남성 폭군 드레스 셔츠</v>
      </c>
      <c r="F3724" s="1" t="str">
        <f>IFERROR(__xludf.DUMMYFUNCTION("CONCATENATE(GOOGLETRANSLATE(C3724, ""en"", ""ja""))"),"Fashion Nova メンズ タイラント ドレス シャツ")</f>
        <v>Fashion Nova メンズ タイラント ドレス シャツ</v>
      </c>
    </row>
    <row r="3725" ht="15.75" customHeight="1">
      <c r="A3725" s="1">
        <v>6423.0</v>
      </c>
      <c r="B3725" s="1" t="s">
        <v>15</v>
      </c>
      <c r="C3725" s="1" t="s">
        <v>3275</v>
      </c>
      <c r="D3725" s="1" t="str">
        <f>IFERROR(__xludf.DUMMYFUNCTION("CONCATENATE(GOOGLETRANSLATE(C3725, ""en"", ""zh-cn""))"),"Bonobos 男士 Watson 格纹日常休闲衬衫")</f>
        <v>Bonobos 男士 Watson 格纹日常休闲衬衫</v>
      </c>
      <c r="E3725" s="1" t="str">
        <f>IFERROR(__xludf.DUMMYFUNCTION("CONCATENATE(GOOGLETRANSLATE(C3725, ""en"", ""ko""))"),"보노보스 남성 왓슨 체크 무늬 에브리데이 캐주얼 셔츠")</f>
        <v>보노보스 남성 왓슨 체크 무늬 에브리데이 캐주얼 셔츠</v>
      </c>
      <c r="F3725" s="1" t="str">
        <f>IFERROR(__xludf.DUMMYFUNCTION("CONCATENATE(GOOGLETRANSLATE(C3725, ""en"", ""ja""))"),"Bonobos メンズ ワトソン チェック柄 エブリデイ カジュアル シャツ")</f>
        <v>Bonobos メンズ ワトソン チェック柄 エブリデイ カジュアル シャツ</v>
      </c>
    </row>
    <row r="3726" ht="15.75" customHeight="1">
      <c r="A3726" s="1">
        <v>6426.0</v>
      </c>
      <c r="B3726" s="1" t="s">
        <v>15</v>
      </c>
      <c r="C3726" s="1" t="s">
        <v>3276</v>
      </c>
      <c r="D3726" s="1" t="str">
        <f>IFERROR(__xludf.DUMMYFUNCTION("CONCATENATE(GOOGLETRANSLATE(C3726, ""en"", ""zh-cn""))"),"男士百搭工装裤")</f>
        <v>男士百搭工装裤</v>
      </c>
      <c r="E3726" s="1" t="str">
        <f>IFERROR(__xludf.DUMMYFUNCTION("CONCATENATE(GOOGLETRANSLATE(C3726, ""en"", ""ko""))"),"남성용 와일드 카고 팬츠 매치")</f>
        <v>남성용 와일드 카고 팬츠 매치</v>
      </c>
      <c r="F3726" s="1" t="str">
        <f>IFERROR(__xludf.DUMMYFUNCTION("CONCATENATE(GOOGLETRANSLATE(C3726, ""en"", ""ja""))"),"Match メンズ ワイルド カーゴ パンツ")</f>
        <v>Match メンズ ワイルド カーゴ パンツ</v>
      </c>
    </row>
    <row r="3727" ht="15.75" customHeight="1">
      <c r="A3727" s="1">
        <v>6448.0</v>
      </c>
      <c r="B3727" s="1" t="s">
        <v>15</v>
      </c>
      <c r="C3727" s="1" t="s">
        <v>3277</v>
      </c>
      <c r="D3727" s="1" t="str">
        <f>IFERROR(__xludf.DUMMYFUNCTION("CONCATENATE(GOOGLETRANSLATE(C3727, ""en"", ""zh-cn""))"),"Boss 男士修身绗缝全拉链连帽羽绒夹克")</f>
        <v>Boss 男士修身绗缝全拉链连帽羽绒夹克</v>
      </c>
      <c r="E3727" s="1" t="str">
        <f>IFERROR(__xludf.DUMMYFUNCTION("CONCATENATE(GOOGLETRANSLATE(C3727, ""en"", ""ko""))"),"보스 남성 슬림핏 퀼팅 풀집 후드 퍼퍼 재킷")</f>
        <v>보스 남성 슬림핏 퀼팅 풀집 후드 퍼퍼 재킷</v>
      </c>
      <c r="F3727" s="1" t="str">
        <f>IFERROR(__xludf.DUMMYFUNCTION("CONCATENATE(GOOGLETRANSLATE(C3727, ""en"", ""ja""))"),"Boss メンズ スリムフィット キルティング フルジップ フード付き パファー ジャケット")</f>
        <v>Boss メンズ スリムフィット キルティング フルジップ フード付き パファー ジャケット</v>
      </c>
    </row>
    <row r="3728" ht="15.75" customHeight="1">
      <c r="A3728" s="1">
        <v>6462.0</v>
      </c>
      <c r="B3728" s="1" t="s">
        <v>15</v>
      </c>
      <c r="C3728" s="1" t="s">
        <v>3278</v>
      </c>
      <c r="D3728" s="1" t="str">
        <f>IFERROR(__xludf.DUMMYFUNCTION("CONCATENATE(GOOGLETRANSLATE(C3728, ""en"", ""zh-cn""))"),"HYTE Y60 ATX 中塔机箱")</f>
        <v>HYTE Y60 ATX 中塔机箱</v>
      </c>
      <c r="E3728" s="1" t="str">
        <f>IFERROR(__xludf.DUMMYFUNCTION("CONCATENATE(GOOGLETRANSLATE(C3728, ""en"", ""ko""))"),"HYTE Y60 ATX 미드타워 케이스")</f>
        <v>HYTE Y60 ATX 미드타워 케이스</v>
      </c>
      <c r="F3728" s="1" t="str">
        <f>IFERROR(__xludf.DUMMYFUNCTION("CONCATENATE(GOOGLETRANSLATE(C3728, ""en"", ""ja""))"),"HYTE Y60 ATX ミッドタワーケース")</f>
        <v>HYTE Y60 ATX ミッドタワーケース</v>
      </c>
    </row>
    <row r="3729" ht="15.75" customHeight="1">
      <c r="A3729" s="1">
        <v>6478.0</v>
      </c>
      <c r="B3729" s="1" t="s">
        <v>15</v>
      </c>
      <c r="C3729" s="1" t="s">
        <v>3279</v>
      </c>
      <c r="D3729" s="1" t="str">
        <f>IFERROR(__xludf.DUMMYFUNCTION("CONCATENATE(GOOGLETRANSLATE(C3729, ""en"", ""zh-cn""))"),"HP 一体式台式电脑 22 FHD")</f>
        <v>HP 一体式台式电脑 22 FHD</v>
      </c>
      <c r="E3729" s="1" t="str">
        <f>IFERROR(__xludf.DUMMYFUNCTION("CONCATENATE(GOOGLETRANSLATE(C3729, ""en"", ""ko""))"),"HP 올인원 데스크탑 PC 22 FHD")</f>
        <v>HP 올인원 데스크탑 PC 22 FHD</v>
      </c>
      <c r="F3729" s="1" t="str">
        <f>IFERROR(__xludf.DUMMYFUNCTION("CONCATENATE(GOOGLETRANSLATE(C3729, ""en"", ""ja""))"),"HP オールインワン デスクトップ PC 22 FHD")</f>
        <v>HP オールインワン デスクトップ PC 22 FHD</v>
      </c>
    </row>
    <row r="3730" ht="15.75" customHeight="1">
      <c r="A3730" s="1">
        <v>6479.0</v>
      </c>
      <c r="B3730" s="1" t="s">
        <v>15</v>
      </c>
      <c r="C3730" s="1" t="s">
        <v>3280</v>
      </c>
      <c r="D3730" s="1" t="str">
        <f>IFERROR(__xludf.DUMMYFUNCTION("CONCATENATE(GOOGLETRANSLATE(C3730, ""en"", ""zh-cn""))"),"Redragon K509 RGB背光游戏键盘，104键有线机械感低调静音键盘")</f>
        <v>Redragon K509 RGB背光游戏键盘，104键有线机械感低调静音键盘</v>
      </c>
      <c r="E3730" s="1" t="str">
        <f>IFERROR(__xludf.DUMMYFUNCTION("CONCATENATE(GOOGLETRANSLATE(C3730, ""en"", ""ko""))"),"Redragon K509 rgb 백라이트 게임용 키보드, 104 키 유선 기계적 느낌 로우 프로파일 조용한 키보드")</f>
        <v>Redragon K509 rgb 백라이트 게임용 키보드, 104 키 유선 기계적 느낌 로우 프로파일 조용한 키보드</v>
      </c>
      <c r="F3730" s="1" t="str">
        <f>IFERROR(__xludf.DUMMYFUNCTION("CONCATENATE(GOOGLETRANSLATE(C3730, ""en"", ""ja""))"),"Redragon K509 rgb バックライト付きゲーミングキーボード、104 キー有線メカニカルフィーリングロープロファイル静かなキーボード")</f>
        <v>Redragon K509 rgb バックライト付きゲーミングキーボード、104 キー有線メカニカルフィーリングロープロファイル静かなキーボード</v>
      </c>
    </row>
    <row r="3731" ht="15.75" customHeight="1">
      <c r="A3731" s="1">
        <v>6480.0</v>
      </c>
      <c r="B3731" s="1" t="s">
        <v>15</v>
      </c>
      <c r="C3731" s="1" t="s">
        <v>3281</v>
      </c>
      <c r="D3731" s="1" t="str">
        <f>IFERROR(__xludf.DUMMYFUNCTION("CONCATENATE(GOOGLETRANSLATE(C3731, ""en"", ""zh-cn""))"),"CORSAIR FRAME 4000D 模块化中塔式 PC 机箱")</f>
        <v>CORSAIR FRAME 4000D 模块化中塔式 PC 机箱</v>
      </c>
      <c r="E3731" s="1" t="str">
        <f>IFERROR(__xludf.DUMMYFUNCTION("CONCATENATE(GOOGLETRANSLATE(C3731, ""en"", ""ko""))"),"CORSAIR FRAME 4000D 모듈형 미드 타워 PC 케이스")</f>
        <v>CORSAIR FRAME 4000D 모듈형 미드 타워 PC 케이스</v>
      </c>
      <c r="F3731" s="1" t="str">
        <f>IFERROR(__xludf.DUMMYFUNCTION("CONCATENATE(GOOGLETRANSLATE(C3731, ""en"", ""ja""))"),"CORSAIR FRAME 4000D モジュラー ミッドタワー PC ケース")</f>
        <v>CORSAIR FRAME 4000D モジュラー ミッドタワー PC ケース</v>
      </c>
    </row>
    <row r="3732" ht="15.75" customHeight="1">
      <c r="A3732" s="1">
        <v>6500.0</v>
      </c>
      <c r="B3732" s="1" t="s">
        <v>15</v>
      </c>
      <c r="C3732" s="1" t="s">
        <v>3282</v>
      </c>
      <c r="D3732" s="1" t="str">
        <f>IFERROR(__xludf.DUMMYFUNCTION("CONCATENATE(GOOGLETRANSLATE(C3732, ""en"", ""zh-cn""))"),"Cooler Master HAF 700 Evo 全塔式机箱")</f>
        <v>Cooler Master HAF 700 Evo 全塔式机箱</v>
      </c>
      <c r="E3732" s="1" t="str">
        <f>IFERROR(__xludf.DUMMYFUNCTION("CONCATENATE(GOOGLETRANSLATE(C3732, ""en"", ""ko""))"),"Cooler Master HAF 700 Evo 풀 타워 케이스")</f>
        <v>Cooler Master HAF 700 Evo 풀 타워 케이스</v>
      </c>
      <c r="F3732" s="1" t="str">
        <f>IFERROR(__xludf.DUMMYFUNCTION("CONCATENATE(GOOGLETRANSLATE(C3732, ""en"", ""ja""))"),"Cooler Master HAF 700 Evo フルタワーケース")</f>
        <v>Cooler Master HAF 700 Evo フルタワーケース</v>
      </c>
    </row>
    <row r="3733" ht="15.75" customHeight="1">
      <c r="A3733" s="1">
        <v>6506.0</v>
      </c>
      <c r="B3733" s="1" t="s">
        <v>15</v>
      </c>
      <c r="C3733" s="1" t="s">
        <v>3283</v>
      </c>
      <c r="D3733" s="1" t="str">
        <f>IFERROR(__xludf.DUMMYFUNCTION("CONCATENATE(GOOGLETRANSLATE(C3733, ""en"", ""zh-cn""))"),"戴尔坞站 WD19S 130W 14CN6 210-AZBG")</f>
        <v>戴尔坞站 WD19S 130W 14CN6 210-AZBG</v>
      </c>
      <c r="E3733" s="1" t="str">
        <f>IFERROR(__xludf.DUMMYFUNCTION("CONCATENATE(GOOGLETRANSLATE(C3733, ""en"", ""ko""))"),"델 도크 WD19S 130W 14CN6 210-AZBG")</f>
        <v>델 도크 WD19S 130W 14CN6 210-AZBG</v>
      </c>
      <c r="F3733" s="1" t="str">
        <f>IFERROR(__xludf.DUMMYFUNCTION("CONCATENATE(GOOGLETRANSLATE(C3733, ""en"", ""ja""))"),"デル ドック WD19S 130W 14CN6 210-AZBG")</f>
        <v>デル ドック WD19S 130W 14CN6 210-AZBG</v>
      </c>
    </row>
    <row r="3734" ht="15.75" customHeight="1">
      <c r="A3734" s="1">
        <v>6510.0</v>
      </c>
      <c r="B3734" s="1" t="s">
        <v>15</v>
      </c>
      <c r="C3734" s="1" t="s">
        <v>3284</v>
      </c>
      <c r="D3734" s="1" t="str">
        <f>IFERROR(__xludf.DUMMYFUNCTION("CONCATENATE(GOOGLETRANSLATE(C3734, ""en"", ""zh-cn""))"),"USB 光纤有线电脑鼠标")</f>
        <v>USB 光纤有线电脑鼠标</v>
      </c>
      <c r="E3734" s="1" t="str">
        <f>IFERROR(__xludf.DUMMYFUNCTION("CONCATENATE(GOOGLETRANSLATE(C3734, ""en"", ""ko""))"),"USB 광 유선 컴퓨터 마우스")</f>
        <v>USB 광 유선 컴퓨터 마우스</v>
      </c>
      <c r="F3734" s="1" t="str">
        <f>IFERROR(__xludf.DUMMYFUNCTION("CONCATENATE(GOOGLETRANSLATE(C3734, ""en"", ""ja""))"),"USB光学式有線コンピュータマウス")</f>
        <v>USB光学式有線コンピュータマウス</v>
      </c>
    </row>
    <row r="3735" ht="15.75" customHeight="1">
      <c r="A3735" s="1">
        <v>6522.0</v>
      </c>
      <c r="B3735" s="1" t="s">
        <v>15</v>
      </c>
      <c r="C3735" s="1" t="s">
        <v>3285</v>
      </c>
      <c r="D3735" s="1" t="str">
        <f>IFERROR(__xludf.DUMMYFUNCTION("CONCATENATE(GOOGLETRANSLATE(C3735, ""en"", ""zh-cn""))"),"批发电脑机箱")</f>
        <v>批发电脑机箱</v>
      </c>
      <c r="E3735" s="1" t="str">
        <f>IFERROR(__xludf.DUMMYFUNCTION("CONCATENATE(GOOGLETRANSLATE(C3735, ""en"", ""ko""))"),"도매 PC 케이스")</f>
        <v>도매 PC 케이스</v>
      </c>
      <c r="F3735" s="1" t="str">
        <f>IFERROR(__xludf.DUMMYFUNCTION("CONCATENATE(GOOGLETRANSLATE(C3735, ""en"", ""ja""))"),"卸売PCケース")</f>
        <v>卸売PCケース</v>
      </c>
    </row>
    <row r="3736" ht="15.75" customHeight="1">
      <c r="A3736" s="1">
        <v>6523.0</v>
      </c>
      <c r="B3736" s="1" t="s">
        <v>15</v>
      </c>
      <c r="C3736" s="1" t="s">
        <v>3286</v>
      </c>
      <c r="D3736" s="1" t="str">
        <f>IFERROR(__xludf.DUMMYFUNCTION("CONCATENATE(GOOGLETRANSLATE(C3736, ""en"", ""zh-cn""))"),"华硕 Nuc 14 Pro 迷你处理器")</f>
        <v>华硕 Nuc 14 Pro 迷你处理器</v>
      </c>
      <c r="E3736" s="1" t="str">
        <f>IFERROR(__xludf.DUMMYFUNCTION("CONCATENATE(GOOGLETRANSLATE(C3736, ""en"", ""ko""))"),"Asus Nuc 14 Pro 미니 프로세서")</f>
        <v>Asus Nuc 14 Pro 미니 프로세서</v>
      </c>
      <c r="F3736" s="1" t="str">
        <f>IFERROR(__xludf.DUMMYFUNCTION("CONCATENATE(GOOGLETRANSLATE(C3736, ""en"", ""ja""))"),"Asus Nuc 14 Pro ミニプロセッサー")</f>
        <v>Asus Nuc 14 Pro ミニプロセッサー</v>
      </c>
    </row>
    <row r="3737" ht="15.75" customHeight="1">
      <c r="A3737" s="1">
        <v>6528.0</v>
      </c>
      <c r="B3737" s="1" t="s">
        <v>15</v>
      </c>
      <c r="C3737" s="1" t="s">
        <v>3287</v>
      </c>
      <c r="D3737" s="1" t="str">
        <f>IFERROR(__xludf.DUMMYFUNCTION("CONCATENATE(GOOGLETRANSLATE(C3737, ""en"", ""zh-cn""))"),"Hp 14 英特尔四核笔记本电脑")</f>
        <v>Hp 14 英特尔四核笔记本电脑</v>
      </c>
      <c r="E3737" s="1" t="str">
        <f>IFERROR(__xludf.DUMMYFUNCTION("CONCATENATE(GOOGLETRANSLATE(C3737, ""en"", ""ko""))"),"Hp 14 Intel 쿼드 코어 노트북")</f>
        <v>Hp 14 Intel 쿼드 코어 노트북</v>
      </c>
      <c r="F3737" s="1" t="str">
        <f>IFERROR(__xludf.DUMMYFUNCTION("CONCATENATE(GOOGLETRANSLATE(C3737, ""en"", ""ja""))"),"HP 14 インテル クアッドコア ラップトップ")</f>
        <v>HP 14 インテル クアッドコア ラップトップ</v>
      </c>
    </row>
    <row r="3738" ht="15.75" customHeight="1">
      <c r="A3738" s="1">
        <v>6537.0</v>
      </c>
      <c r="B3738" s="1" t="s">
        <v>15</v>
      </c>
      <c r="C3738" s="1" t="s">
        <v>3288</v>
      </c>
      <c r="D3738" s="1" t="str">
        <f>IFERROR(__xludf.DUMMYFUNCTION("CONCATENATE(GOOGLETRANSLATE(C3738, ""en"", ""zh-cn""))"),"PicassoTiles 二合一磁性大理石跑步套装和赛道套装")</f>
        <v>PicassoTiles 二合一磁性大理石跑步套装和赛道套装</v>
      </c>
      <c r="E3738" s="1" t="str">
        <f>IFERROR(__xludf.DUMMYFUNCTION("CONCATENATE(GOOGLETRANSLATE(C3738, ""en"", ""ko""))"),"PicassoTiles 2-in-1 자석 대리석 달리기 세트 및 레이싱 트랙 세트")</f>
        <v>PicassoTiles 2-in-1 자석 대리석 달리기 세트 및 레이싱 트랙 세트</v>
      </c>
      <c r="F3738" s="1" t="str">
        <f>IFERROR(__xludf.DUMMYFUNCTION("CONCATENATE(GOOGLETRANSLATE(C3738, ""en"", ""ja""))"),"PicassoTiles 2-in-1 磁気マーブル ラン セット &amp; レーシング トラック セット")</f>
        <v>PicassoTiles 2-in-1 磁気マーブル ラン セット &amp; レーシング トラック セット</v>
      </c>
    </row>
    <row r="3739" ht="15.75" customHeight="1">
      <c r="A3739" s="1">
        <v>6557.0</v>
      </c>
      <c r="B3739" s="1" t="s">
        <v>15</v>
      </c>
      <c r="C3739" s="1" t="s">
        <v>3289</v>
      </c>
      <c r="D3739" s="1" t="str">
        <f>IFERROR(__xludf.DUMMYFUNCTION("CONCATENATE(GOOGLETRANSLATE(C3739, ""en"", ""zh-cn""))"),"Melissa &amp; Doug 珠子迷宫经典玩具")</f>
        <v>Melissa &amp; Doug 珠子迷宫经典玩具</v>
      </c>
      <c r="E3739" s="1" t="str">
        <f>IFERROR(__xludf.DUMMYFUNCTION("CONCATENATE(GOOGLETRANSLATE(C3739, ""en"", ""ko""))"),"멜리사 &amp; 더그 비드 미로 클래식 장난감")</f>
        <v>멜리사 &amp; 더그 비드 미로 클래식 장난감</v>
      </c>
      <c r="F3739" s="1" t="str">
        <f>IFERROR(__xludf.DUMMYFUNCTION("CONCATENATE(GOOGLETRANSLATE(C3739, ""en"", ""ja""))"),"メリッサとダグのビーズ迷路クラシックおもちゃ")</f>
        <v>メリッサとダグのビーズ迷路クラシックおもちゃ</v>
      </c>
    </row>
    <row r="3740" ht="15.75" customHeight="1">
      <c r="A3740" s="1">
        <v>6572.0</v>
      </c>
      <c r="B3740" s="1" t="s">
        <v>15</v>
      </c>
      <c r="C3740" s="1" t="s">
        <v>3290</v>
      </c>
      <c r="D3740" s="1" t="str">
        <f>IFERROR(__xludf.DUMMYFUNCTION("CONCATENATE(GOOGLETRANSLATE(C3740, ""en"", ""zh-cn""))"),"Franklin Sports 正品钢制足球门柱")</f>
        <v>Franklin Sports 正品钢制足球门柱</v>
      </c>
      <c r="E3740" s="1" t="str">
        <f>IFERROR(__xludf.DUMMYFUNCTION("CONCATENATE(GOOGLETRANSLATE(C3740, ""en"", ""ko""))"),"프랭클린 스포츠 정통 강철 축구 골대")</f>
        <v>프랭클린 스포츠 정통 강철 축구 골대</v>
      </c>
      <c r="F3740" s="1" t="str">
        <f>IFERROR(__xludf.DUMMYFUNCTION("CONCATENATE(GOOGLETRANSLATE(C3740, ""en"", ""ja""))"),"フランクリン スポーツ オーセンティック スチール フットボール ゴール ポスト")</f>
        <v>フランクリン スポーツ オーセンティック スチール フットボール ゴール ポスト</v>
      </c>
    </row>
    <row r="3741" ht="15.75" customHeight="1">
      <c r="A3741" s="1">
        <v>6588.0</v>
      </c>
      <c r="B3741" s="1" t="s">
        <v>15</v>
      </c>
      <c r="C3741" s="1" t="s">
        <v>3291</v>
      </c>
      <c r="D3741" s="1" t="str">
        <f>IFERROR(__xludf.DUMMYFUNCTION("CONCATENATE(GOOGLETRANSLATE(C3741, ""en"", ""zh-cn""))"),"SMOOTOR 全天候运动帐篷")</f>
        <v>SMOOTOR 全天候运动帐篷</v>
      </c>
      <c r="E3741" s="1" t="str">
        <f>IFERROR(__xludf.DUMMYFUNCTION("CONCATENATE(GOOGLETRANSLATE(C3741, ""en"", ""ko""))"),"SMOOTOR 전천후 스포츠 텐트")</f>
        <v>SMOOTOR 전천후 스포츠 텐트</v>
      </c>
      <c r="F3741" s="1" t="str">
        <f>IFERROR(__xludf.DUMMYFUNCTION("CONCATENATE(GOOGLETRANSLATE(C3741, ""en"", ""ja""))"),"SMOOTOR 全天候型スポーツテント")</f>
        <v>SMOOTOR 全天候型スポーツテント</v>
      </c>
    </row>
    <row r="3742" ht="15.75" customHeight="1">
      <c r="A3742" s="1">
        <v>6617.0</v>
      </c>
      <c r="B3742" s="1" t="s">
        <v>15</v>
      </c>
      <c r="C3742" s="1" t="s">
        <v>3292</v>
      </c>
      <c r="D3742" s="1" t="str">
        <f>IFERROR(__xludf.DUMMYFUNCTION("CONCATENATE(GOOGLETRANSLATE(C3742, ""en"", ""zh-cn""))"),"Invicta 男士 Reserve Gladiator 计时石英钻石手表")</f>
        <v>Invicta 男士 Reserve Gladiator 计时石英钻石手表</v>
      </c>
      <c r="E3742" s="1" t="str">
        <f>IFERROR(__xludf.DUMMYFUNCTION("CONCATENATE(GOOGLETRANSLATE(C3742, ""en"", ""ko""))"),"인빅타 남성용 리저브 글래디에이터 크로노그래프 쿼츠 다이아몬드 시계")</f>
        <v>인빅타 남성용 리저브 글래디에이터 크로노그래프 쿼츠 다이아몬드 시계</v>
      </c>
      <c r="F3742" s="1" t="str">
        <f>IFERROR(__xludf.DUMMYFUNCTION("CONCATENATE(GOOGLETRANSLATE(C3742, ""en"", ""ja""))"),"インヴィクタ メンズ リザーブ グラディエーター クロノグラフ クォーツ ダイヤモンド ウォッチ")</f>
        <v>インヴィクタ メンズ リザーブ グラディエーター クロノグラフ クォーツ ダイヤモンド ウォッチ</v>
      </c>
    </row>
    <row r="3743" ht="15.75" customHeight="1">
      <c r="A3743" s="1">
        <v>6625.0</v>
      </c>
      <c r="B3743" s="1" t="s">
        <v>15</v>
      </c>
      <c r="C3743" s="1" t="s">
        <v>3293</v>
      </c>
      <c r="D3743" s="1" t="str">
        <f>IFERROR(__xludf.DUMMYFUNCTION("CONCATENATE(GOOGLETRANSLATE(C3743, ""en"", ""zh-cn""))"),"对比 Versace 女士 Les Docks 手链手表")</f>
        <v>对比 Versace 女士 Les Docks 手链手表</v>
      </c>
      <c r="E3743" s="1" t="str">
        <f>IFERROR(__xludf.DUMMYFUNCTION("CONCATENATE(GOOGLETRANSLATE(C3743, ""en"", ""ko""))"),"vs 베르사체 여성용 레 도크 브레이슬릿 시계")</f>
        <v>vs 베르사체 여성용 레 도크 브레이슬릿 시계</v>
      </c>
      <c r="F3743" s="1" t="str">
        <f>IFERROR(__xludf.DUMMYFUNCTION("CONCATENATE(GOOGLETRANSLATE(C3743, ""en"", ""ja""))"),"vs ヴェルサーチ レディース Les Docks ブレスレット ウォッチ")</f>
        <v>vs ヴェルサーチ レディース Les Docks ブレスレット ウォッチ</v>
      </c>
    </row>
    <row r="3744" ht="15.75" customHeight="1">
      <c r="A3744" s="1">
        <v>6637.0</v>
      </c>
      <c r="B3744" s="1" t="s">
        <v>15</v>
      </c>
      <c r="C3744" s="1" t="s">
        <v>3294</v>
      </c>
      <c r="D3744" s="1" t="str">
        <f>IFERROR(__xludf.DUMMYFUNCTION("CONCATENATE(GOOGLETRANSLATE(C3744, ""en"", ""zh-cn""))"),"杰西卡·辛普森 (Jessica Simpson) 玫瑰金色扩展表带戒指手表套装")</f>
        <v>杰西卡·辛普森 (Jessica Simpson) 玫瑰金色扩展表带戒指手表套装</v>
      </c>
      <c r="E3744" s="1" t="str">
        <f>IFERROR(__xludf.DUMMYFUNCTION("CONCATENATE(GOOGLETRANSLATE(C3744, ""en"", ""ko""))"),"제시카 심슨 로즈 골드 톤 확장 밴드 링 시계 세트")</f>
        <v>제시카 심슨 로즈 골드 톤 확장 밴드 링 시계 세트</v>
      </c>
      <c r="F3744" s="1" t="str">
        <f>IFERROR(__xludf.DUMMYFUNCTION("CONCATENATE(GOOGLETRANSLATE(C3744, ""en"", ""ja""))"),"ジェシカ シンプソン ローズゴールドトーン拡張バンド リング ウォッチ セット")</f>
        <v>ジェシカ シンプソン ローズゴールドトーン拡張バンド リング ウォッチ セット</v>
      </c>
    </row>
    <row r="3745" ht="15.75" customHeight="1">
      <c r="A3745" s="1">
        <v>6649.0</v>
      </c>
      <c r="B3745" s="1" t="s">
        <v>15</v>
      </c>
      <c r="C3745" s="1" t="s">
        <v>3295</v>
      </c>
      <c r="D3745" s="1" t="str">
        <f>IFERROR(__xludf.DUMMYFUNCTION("CONCATENATE(GOOGLETRANSLATE(C3745, ""en"", ""zh-cn""))"),"Bulova 男士 Precisionist Icon 计时腕表")</f>
        <v>Bulova 男士 Precisionist Icon 计时腕表</v>
      </c>
      <c r="E3745" s="1" t="str">
        <f>IFERROR(__xludf.DUMMYFUNCTION("CONCATENATE(GOOGLETRANSLATE(C3745, ""en"", ""ko""))"),"부로바 남성용 프리시니스트 아이콘 크로노그래프 시계")</f>
        <v>부로바 남성용 프리시니스트 아이콘 크로노그래프 시계</v>
      </c>
      <c r="F3745" s="1" t="str">
        <f>IFERROR(__xludf.DUMMYFUNCTION("CONCATENATE(GOOGLETRANSLATE(C3745, ""en"", ""ja""))"),"ブローバ メンズ プレシジョニスト アイコン クロノグラフ ウォッチ")</f>
        <v>ブローバ メンズ プレシジョニスト アイコン クロノグラフ ウォッチ</v>
      </c>
    </row>
    <row r="3746" ht="15.75" customHeight="1">
      <c r="A3746" s="1">
        <v>6678.0</v>
      </c>
      <c r="B3746" s="1" t="s">
        <v>15</v>
      </c>
      <c r="C3746" s="1" t="s">
        <v>3296</v>
      </c>
      <c r="D3746" s="1" t="str">
        <f>IFERROR(__xludf.DUMMYFUNCTION("CONCATENATE(GOOGLETRANSLATE(C3746, ""en"", ""zh-cn""))"),"Realtree EZ PIC 手机支架")</f>
        <v>Realtree EZ PIC 手机支架</v>
      </c>
      <c r="E3746" s="1" t="str">
        <f>IFERROR(__xludf.DUMMYFUNCTION("CONCATENATE(GOOGLETRANSLATE(C3746, ""en"", ""ko""))"),"Realtree EZ PIC 휴대폰 홀더")</f>
        <v>Realtree EZ PIC 휴대폰 홀더</v>
      </c>
      <c r="F3746" s="1" t="str">
        <f>IFERROR(__xludf.DUMMYFUNCTION("CONCATENATE(GOOGLETRANSLATE(C3746, ""en"", ""ja""))"),"Realtree EZ PIC 携帯電話ホルダー")</f>
        <v>Realtree EZ PIC 携帯電話ホルダー</v>
      </c>
    </row>
    <row r="3747" ht="15.75" customHeight="1">
      <c r="A3747" s="1">
        <v>6680.0</v>
      </c>
      <c r="B3747" s="1" t="s">
        <v>15</v>
      </c>
      <c r="C3747" s="1" t="s">
        <v>3297</v>
      </c>
      <c r="D3747" s="1" t="str">
        <f>IFERROR(__xludf.DUMMYFUNCTION("CONCATENATE(GOOGLETRANSLATE(C3747, ""en"", ""zh-cn""))"),"Klsniur 手机支架")</f>
        <v>Klsniur 手机支架</v>
      </c>
      <c r="E3747" s="1" t="str">
        <f>IFERROR(__xludf.DUMMYFUNCTION("CONCATENATE(GOOGLETRANSLATE(C3747, ""en"", ""ko""))"),"클스니우르 휴대폰 거치대")</f>
        <v>클스니우르 휴대폰 거치대</v>
      </c>
      <c r="F3747" s="1" t="str">
        <f>IFERROR(__xludf.DUMMYFUNCTION("CONCATENATE(GOOGLETRANSLATE(C3747, ""en"", ""ja""))"),"Klsniur 携帯電話スタンド")</f>
        <v>Klsniur 携帯電話スタンド</v>
      </c>
    </row>
    <row r="3748" ht="15.75" customHeight="1">
      <c r="A3748" s="1">
        <v>6685.0</v>
      </c>
      <c r="B3748" s="1" t="s">
        <v>15</v>
      </c>
      <c r="C3748" s="1" t="s">
        <v>3298</v>
      </c>
      <c r="D3748" s="1" t="str">
        <f>IFERROR(__xludf.DUMMYFUNCTION("CONCATENATE(GOOGLETRANSLATE(C3748, ""en"", ""zh-cn""))"),"Tapp Collections 手机风格 2 皮革颈袋")</f>
        <v>Tapp Collections 手机风格 2 皮革颈袋</v>
      </c>
      <c r="E3748" s="1" t="str">
        <f>IFERROR(__xludf.DUMMYFUNCTION("CONCATENATE(GOOGLETRANSLATE(C3748, ""en"", ""ko""))"),"Tapp Collections 휴대폰 스타일 2용 가죽 넥 파우치")</f>
        <v>Tapp Collections 휴대폰 스타일 2용 가죽 넥 파우치</v>
      </c>
      <c r="F3748" s="1" t="str">
        <f>IFERROR(__xludf.DUMMYFUNCTION("CONCATENATE(GOOGLETRANSLATE(C3748, ""en"", ""ja""))"),"タップ コレクション レザー ネック ポーチ 携帯電話 スタイル 2 用")</f>
        <v>タップ コレクション レザー ネック ポーチ 携帯電話 スタイル 2 用</v>
      </c>
    </row>
    <row r="3749" ht="15.75" customHeight="1">
      <c r="A3749" s="1">
        <v>6687.0</v>
      </c>
      <c r="B3749" s="1" t="s">
        <v>15</v>
      </c>
      <c r="C3749" s="1" t="s">
        <v>3299</v>
      </c>
      <c r="D3749" s="1" t="str">
        <f>IFERROR(__xludf.DUMMYFUNCTION("CONCATENATE(GOOGLETRANSLATE(C3749, ""en"", ""zh-cn""))"),"智能手机带")</f>
        <v>智能手机带</v>
      </c>
      <c r="E3749" s="1" t="str">
        <f>IFERROR(__xludf.DUMMYFUNCTION("CONCATENATE(GOOGLETRANSLATE(C3749, ""en"", ""ko""))"),"스마트폰 스트랩")</f>
        <v>스마트폰 스트랩</v>
      </c>
      <c r="F3749" s="1" t="str">
        <f>IFERROR(__xludf.DUMMYFUNCTION("CONCATENATE(GOOGLETRANSLATE(C3749, ""en"", ""ja""))"),"スマホストラップ")</f>
        <v>スマホストラップ</v>
      </c>
    </row>
    <row r="3750" ht="15.75" customHeight="1">
      <c r="A3750" s="1">
        <v>6692.0</v>
      </c>
      <c r="B3750" s="1" t="s">
        <v>15</v>
      </c>
      <c r="C3750" s="1" t="s">
        <v>3300</v>
      </c>
      <c r="D3750" s="1" t="str">
        <f>IFERROR(__xludf.DUMMYFUNCTION("CONCATENATE(GOOGLETRANSLATE(C3750, ""en"", ""zh-cn""))"),"Frigidaire Gallery 30 英寸壁挂式烤箱和微波炉组合")</f>
        <v>Frigidaire Gallery 30 英寸壁挂式烤箱和微波炉组合</v>
      </c>
      <c r="E3750" s="1" t="str">
        <f>IFERROR(__xludf.DUMMYFUNCTION("CONCATENATE(GOOGLETRANSLATE(C3750, ""en"", ""ko""))"),"Frigidaire Gallery 30인치 벽면 오븐과 전자레인지 조합")</f>
        <v>Frigidaire Gallery 30인치 벽면 오븐과 전자레인지 조합</v>
      </c>
      <c r="F3750" s="1" t="str">
        <f>IFERROR(__xludf.DUMMYFUNCTION("CONCATENATE(GOOGLETRANSLATE(C3750, ""en"", ""ja""))"),"Frigidaire Gallery 30 インチ ウォール オーブンと電子レンジの組み合わせ")</f>
        <v>Frigidaire Gallery 30 インチ ウォール オーブンと電子レンジの組み合わせ</v>
      </c>
    </row>
    <row r="3751" ht="15.75" customHeight="1">
      <c r="A3751" s="1">
        <v>6693.0</v>
      </c>
      <c r="B3751" s="1" t="s">
        <v>15</v>
      </c>
      <c r="C3751" s="1" t="s">
        <v>3301</v>
      </c>
      <c r="D3751" s="1" t="str">
        <f>IFERROR(__xludf.DUMMYFUNCTION("CONCATENATE(GOOGLETRANSLATE(C3751, ""en"", ""zh-cn""))"),"家居装饰系列 Tuilene 21 集成 LED 哑光黑色吊扇带灯和遥控器")</f>
        <v>家居装饰系列 Tuilene 21 集成 LED 哑光黑色吊扇带灯和遥控器</v>
      </c>
      <c r="E3751" s="1" t="str">
        <f>IFERROR(__xludf.DUMMYFUNCTION("CONCATENATE(GOOGLETRANSLATE(C3751, ""en"", ""ko""))"),"홈 데코레이터 컬렉션 Tuilene 21 조명 및 원격 제어 기능이 있는 통합 LED 무광 검정색 천장 선풍기")</f>
        <v>홈 데코레이터 컬렉션 Tuilene 21 조명 및 원격 제어 기능이 있는 통합 LED 무광 검정색 천장 선풍기</v>
      </c>
      <c r="F3751" s="1" t="str">
        <f>IFERROR(__xludf.DUMMYFUNCTION("CONCATENATE(GOOGLETRANSLATE(C3751, ""en"", ""ja""))"),"Home Decorators Collection Tuilene 21 一体型 LED マットブラック シーリングファン ライトとリモコン付き")</f>
        <v>Home Decorators Collection Tuilene 21 一体型 LED マットブラック シーリングファン ライトとリモコン付き</v>
      </c>
    </row>
    <row r="3752" ht="15.75" customHeight="1">
      <c r="A3752" s="1">
        <v>6701.0</v>
      </c>
      <c r="B3752" s="1" t="s">
        <v>15</v>
      </c>
      <c r="C3752" s="1" t="s">
        <v>3302</v>
      </c>
      <c r="D3752" s="1" t="str">
        <f>IFERROR(__xludf.DUMMYFUNCTION("CONCATENATE(GOOGLETRANSLATE(C3752, ""en"", ""zh-cn""))"),"32 立方英尺英尺超大容量 3 门法式对开门冰箱，带双自动制冰机，哑光黑钢材质")</f>
        <v>32 立方英尺英尺超大容量 3 门法式对开门冰箱，带双自动制冰机，哑光黑钢材质</v>
      </c>
      <c r="E3752" s="1" t="str">
        <f>IFERROR(__xludf.DUMMYFUNCTION("CONCATENATE(GOOGLETRANSLATE(C3752, ""en"", ""ko""))"),"32큐빅 ft. 매트 블랙 스틸 소재의 듀얼 자동 제빙기를 갖춘 대용량 3도어 프렌치 도어 냉장고")</f>
        <v>32큐빅 ft. 매트 블랙 스틸 소재의 듀얼 자동 제빙기를 갖춘 대용량 3도어 프렌치 도어 냉장고</v>
      </c>
      <c r="F3752" s="1" t="str">
        <f>IFERROR(__xludf.DUMMYFUNCTION("CONCATENATE(GOOGLETRANSLATE(C3752, ""en"", ""ja""))"),"32立方メートル。マットブラックスチールのデュアル自動製氷機付きフィートメガ容量3ドアフレンチドア冷蔵庫")</f>
        <v>32立方メートル。マットブラックスチールのデュアル自動製氷機付きフィートメガ容量3ドアフレンチドア冷蔵庫</v>
      </c>
    </row>
    <row r="3753" ht="15.75" customHeight="1">
      <c r="A3753" s="1">
        <v>6706.0</v>
      </c>
      <c r="B3753" s="1" t="s">
        <v>15</v>
      </c>
      <c r="C3753" s="1" t="s">
        <v>3303</v>
      </c>
      <c r="D3753" s="1" t="str">
        <f>IFERROR(__xludf.DUMMYFUNCTION("CONCATENATE(GOOGLETRANSLATE(C3753, ""en"", ""zh-cn""))"),"27.2 英寸室内花形照明吊扇，6 档速度和 3 色温调节")</f>
        <v>27.2 英寸室内花形照明吊扇，6 档速度和 3 色温调节</v>
      </c>
      <c r="E3753" s="1" t="str">
        <f>IFERROR(__xludf.DUMMYFUNCTION("CONCATENATE(GOOGLETRANSLATE(C3753, ""en"", ""ko""))"),"27.2인치 실내 꽃 모양 조명 천장형 팬(6단계 속도 및 3단계 색온도 조절 가능)")</f>
        <v>27.2인치 실내 꽃 모양 조명 천장형 팬(6단계 속도 및 3단계 색온도 조절 가능)</v>
      </c>
      <c r="F3753" s="1" t="str">
        <f>IFERROR(__xludf.DUMMYFUNCTION("CONCATENATE(GOOGLETRANSLATE(C3753, ""en"", ""ja""))"),"27.2 インチ屋内花型照明シーリングファン、6 速度および 3 色温度調整機能付き")</f>
        <v>27.2 インチ屋内花型照明シーリングファン、6 速度および 3 色温度調整機能付き</v>
      </c>
    </row>
    <row r="3754" ht="15.75" customHeight="1">
      <c r="A3754" s="1">
        <v>6712.0</v>
      </c>
      <c r="B3754" s="1" t="s">
        <v>15</v>
      </c>
      <c r="C3754" s="1" t="s">
        <v>3304</v>
      </c>
      <c r="D3754" s="1" t="str">
        <f>IFERROR(__xludf.DUMMYFUNCTION("CONCATENATE(GOOGLETRANSLATE(C3754, ""en"", ""zh-cn""))"),"SMEG 迷你不锈钢水壶")</f>
        <v>SMEG 迷你不锈钢水壶</v>
      </c>
      <c r="E3754" s="1" t="str">
        <f>IFERROR(__xludf.DUMMYFUNCTION("CONCATENATE(GOOGLETRANSLATE(C3754, ""en"", ""ko""))"),"스메그 미니 스테인리스 주전자")</f>
        <v>스메그 미니 스테인리스 주전자</v>
      </c>
      <c r="F3754" s="1" t="str">
        <f>IFERROR(__xludf.DUMMYFUNCTION("CONCATENATE(GOOGLETRANSLATE(C3754, ""en"", ""ja""))"),"Smeg ミニステンレスケトル")</f>
        <v>Smeg ミニステンレスケトル</v>
      </c>
    </row>
    <row r="3755" ht="15.75" customHeight="1">
      <c r="A3755" s="1">
        <v>6713.0</v>
      </c>
      <c r="B3755" s="1" t="s">
        <v>15</v>
      </c>
      <c r="C3755" s="1" t="s">
        <v>3305</v>
      </c>
      <c r="D3755" s="1" t="str">
        <f>IFERROR(__xludf.DUMMYFUNCTION("CONCATENATE(GOOGLETRANSLATE(C3755, ""en"", ""zh-cn""))"),"麦吉公司|吉尔森灯笼中号")</f>
        <v>麦吉公司|吉尔森灯笼中号</v>
      </c>
      <c r="E3755" s="1" t="str">
        <f>IFERROR(__xludf.DUMMYFUNCTION("CONCATENATE(GOOGLETRANSLATE(C3755, ""en"", ""ko""))"),"맥기 앤 컴퍼니 | 길슨 랜턴 미디엄")</f>
        <v>맥기 앤 컴퍼니 | 길슨 랜턴 미디엄</v>
      </c>
      <c r="F3755" s="1" t="str">
        <f>IFERROR(__xludf.DUMMYFUNCTION("CONCATENATE(GOOGLETRANSLATE(C3755, ""en"", ""ja""))"),"マギー＆カンパニー |ギルソン ランタン ミディアム")</f>
        <v>マギー＆カンパニー |ギルソン ランタン ミディアム</v>
      </c>
    </row>
    <row r="3756" ht="15.75" customHeight="1">
      <c r="A3756" s="1">
        <v>6721.0</v>
      </c>
      <c r="B3756" s="1" t="s">
        <v>15</v>
      </c>
      <c r="C3756" s="1" t="s">
        <v>3306</v>
      </c>
      <c r="D3756" s="1" t="str">
        <f>IFERROR(__xludf.DUMMYFUNCTION("CONCATENATE(GOOGLETRANSLATE(C3756, ""en"", ""zh-cn""))"),"26 铜。英尺。 36标准深度并排冰箱")</f>
        <v>26 铜。英尺。 36标准深度并排冰箱</v>
      </c>
      <c r="E3756" s="1" t="str">
        <f>IFERROR(__xludf.DUMMYFUNCTION("CONCATENATE(GOOGLETRANSLATE(C3756, ""en"", ""ko""))"),"26큐. 포트. 36 표준 깊이 병렬 냉장고")</f>
        <v>26큐. 포트. 36 표준 깊이 병렬 냉장고</v>
      </c>
      <c r="F3756" s="1" t="str">
        <f>IFERROR(__xludf.DUMMYFUNCTION("CONCATENATE(GOOGLETRANSLATE(C3756, ""en"", ""ja""))"),"26銅。フォート標準深さ36型サイドバイサイド冷蔵庫")</f>
        <v>26銅。フォート標準深さ36型サイドバイサイド冷蔵庫</v>
      </c>
    </row>
    <row r="3757" ht="15.75" customHeight="1">
      <c r="A3757" s="1">
        <v>6727.0</v>
      </c>
      <c r="B3757" s="1" t="s">
        <v>15</v>
      </c>
      <c r="C3757" s="1" t="s">
        <v>3307</v>
      </c>
      <c r="D3757" s="1" t="str">
        <f>IFERROR(__xludf.DUMMYFUNCTION("CONCATENATE(GOOGLETRANSLATE(C3757, ""en"", ""zh-cn""))"),"Haden Dorset 4 片烤面包机和电热水壶")</f>
        <v>Haden Dorset 4 片烤面包机和电热水壶</v>
      </c>
      <c r="E3757" s="1" t="str">
        <f>IFERROR(__xludf.DUMMYFUNCTION("CONCATENATE(GOOGLETRANSLATE(C3757, ""en"", ""ko""))"),"Haden Dorset 4슬라이스 토스터 및 전기 주전자")</f>
        <v>Haden Dorset 4슬라이스 토스터 및 전기 주전자</v>
      </c>
      <c r="F3757" s="1" t="str">
        <f>IFERROR(__xludf.DUMMYFUNCTION("CONCATENATE(GOOGLETRANSLATE(C3757, ""en"", ""ja""))"),"Haden Dorset 4スライストースターと電気ケトル")</f>
        <v>Haden Dorset 4スライストースターと電気ケトル</v>
      </c>
    </row>
    <row r="3758" ht="15.75" customHeight="1">
      <c r="A3758" s="1">
        <v>6747.0</v>
      </c>
      <c r="B3758" s="1" t="s">
        <v>15</v>
      </c>
      <c r="C3758" s="1" t="s">
        <v>3308</v>
      </c>
      <c r="D3758" s="1" t="str">
        <f>IFERROR(__xludf.DUMMYFUNCTION("CONCATENATE(GOOGLETRANSLATE(C3758, ""en"", ""zh-cn""))"),"Soapbox 生物素和超级水果混合强化洗发水")</f>
        <v>Soapbox 生物素和超级水果混合强化洗发水</v>
      </c>
      <c r="E3758" s="1" t="str">
        <f>IFERROR(__xludf.DUMMYFUNCTION("CONCATENATE(GOOGLETRANSLATE(C3758, ""en"", ""ko""))"),"솝박스 비오틴 &amp; 슈퍼과일 블렌드 강화 샴푸")</f>
        <v>솝박스 비오틴 &amp; 슈퍼과일 블렌드 강화 샴푸</v>
      </c>
      <c r="F3758" s="1" t="str">
        <f>IFERROR(__xludf.DUMMYFUNCTION("CONCATENATE(GOOGLETRANSLATE(C3758, ""en"", ""ja""))"),"ソープボックス ビオチン &amp; スーパーフルーツ ブレンド 強化シャンプー")</f>
        <v>ソープボックス ビオチン &amp; スーパーフルーツ ブレンド 強化シャンプー</v>
      </c>
    </row>
    <row r="3759" ht="15.75" customHeight="1">
      <c r="A3759" s="1">
        <v>6751.0</v>
      </c>
      <c r="B3759" s="1" t="s">
        <v>15</v>
      </c>
      <c r="C3759" s="1" t="s">
        <v>3309</v>
      </c>
      <c r="D3759" s="1" t="str">
        <f>IFERROR(__xludf.DUMMYFUNCTION("CONCATENATE(GOOGLETRANSLATE(C3759, ""en"", ""zh-cn""))"),"美发目标丰盈功能")</f>
        <v>美发目标丰盈功能</v>
      </c>
      <c r="E3759" s="1" t="str">
        <f>IFERROR(__xludf.DUMMYFUNCTION("CONCATENATE(GOOGLETRANSLATE(C3759, ""en"", ""ko""))"),"뷰티 헤어 골 볼류마이징 기능")</f>
        <v>뷰티 헤어 골 볼류마이징 기능</v>
      </c>
      <c r="F3759" s="1" t="str">
        <f>IFERROR(__xludf.DUMMYFUNCTION("CONCATENATE(GOOGLETRANSLATE(C3759, ""en"", ""ja""))"),"美髪ゴールのボリュームアップの機能")</f>
        <v>美髪ゴールのボリュームアップの機能</v>
      </c>
    </row>
    <row r="3760" ht="15.75" customHeight="1">
      <c r="A3760" s="1">
        <v>6763.0</v>
      </c>
      <c r="B3760" s="1" t="s">
        <v>15</v>
      </c>
      <c r="C3760" s="1" t="s">
        <v>3310</v>
      </c>
      <c r="D3760" s="1" t="str">
        <f>IFERROR(__xludf.DUMMYFUNCTION("CONCATENATE(GOOGLETRANSLATE(C3760, ""en"", ""zh-cn""))"),"The Hair、Skin &amp; Nails 抗氧化剂 120 片")</f>
        <v>The Hair、Skin &amp; Nails 抗氧化剂 120 片</v>
      </c>
      <c r="E3760" s="1" t="str">
        <f>IFERROR(__xludf.DUMMYFUNCTION("CONCATENATE(GOOGLETRANSLATE(C3760, ""en"", ""ko""))"),"헤어, 스킨 &amp; 네일 항산화제 120정")</f>
        <v>헤어, 스킨 &amp; 네일 항산화제 120정</v>
      </c>
      <c r="F3760" s="1" t="str">
        <f>IFERROR(__xludf.DUMMYFUNCTION("CONCATENATE(GOOGLETRANSLATE(C3760, ""en"", ""ja""))"),"髪、肌、爪の抗酸化物質 120 錠")</f>
        <v>髪、肌、爪の抗酸化物質 120 錠</v>
      </c>
    </row>
    <row r="3761" ht="15.75" customHeight="1">
      <c r="A3761" s="1">
        <v>6787.0</v>
      </c>
      <c r="B3761" s="1" t="s">
        <v>15</v>
      </c>
      <c r="C3761" s="1" t="s">
        <v>3311</v>
      </c>
      <c r="D3761" s="1" t="str">
        <f>IFERROR(__xludf.DUMMYFUNCTION("CONCATENATE(GOOGLETRANSLATE(C3761, ""en"", ""zh-cn""))"),"Maple Holistics 生物素护发素")</f>
        <v>Maple Holistics 生物素护发素</v>
      </c>
      <c r="E3761" s="1" t="str">
        <f>IFERROR(__xludf.DUMMYFUNCTION("CONCATENATE(GOOGLETRANSLATE(C3761, ""en"", ""ko""))"),"메이플 홀리스틱스 비오틴 컨디셔너")</f>
        <v>메이플 홀리스틱스 비오틴 컨디셔너</v>
      </c>
      <c r="F3761" s="1" t="str">
        <f>IFERROR(__xludf.DUMMYFUNCTION("CONCATENATE(GOOGLETRANSLATE(C3761, ""en"", ""ja""))"),"メープル ホリスティック ビオチン コンディショナー")</f>
        <v>メープル ホリスティック ビオチン コンディショナー</v>
      </c>
    </row>
    <row r="3762" ht="15.75" customHeight="1">
      <c r="A3762" s="1">
        <v>6797.0</v>
      </c>
      <c r="B3762" s="1" t="s">
        <v>15</v>
      </c>
      <c r="C3762" s="1" t="s">
        <v>1961</v>
      </c>
      <c r="D3762" s="1" t="str">
        <f>IFERROR(__xludf.DUMMYFUNCTION("CONCATENATE(GOOGLETRANSLATE(C3762, ""en"", ""zh-cn""))"),"Diva Stuff 头发生长凝胶")</f>
        <v>Diva Stuff 头发生长凝胶</v>
      </c>
      <c r="E3762" s="1" t="str">
        <f>IFERROR(__xludf.DUMMYFUNCTION("CONCATENATE(GOOGLETRANSLATE(C3762, ""en"", ""ko""))"),"디바 스터프 모발 성장 젤")</f>
        <v>디바 스터프 모발 성장 젤</v>
      </c>
      <c r="F3762" s="1" t="str">
        <f>IFERROR(__xludf.DUMMYFUNCTION("CONCATENATE(GOOGLETRANSLATE(C3762, ""en"", ""ja""))"),"ディーバ スタッフ 育毛ジェル")</f>
        <v>ディーバ スタッフ 育毛ジェル</v>
      </c>
    </row>
    <row r="3763" ht="15.75" customHeight="1">
      <c r="A3763" s="1">
        <v>6798.0</v>
      </c>
      <c r="B3763" s="1" t="s">
        <v>15</v>
      </c>
      <c r="C3763" s="1" t="s">
        <v>3312</v>
      </c>
      <c r="D3763" s="1" t="str">
        <f>IFERROR(__xludf.DUMMYFUNCTION("CONCATENATE(GOOGLETRANSLATE(C3763, ""en"", ""zh-cn""))"),"Clinic Plus + 天然强效草药提取物健康洗发水")</f>
        <v>Clinic Plus + 天然强效草药提取物健康洗发水</v>
      </c>
      <c r="E3763" s="1" t="str">
        <f>IFERROR(__xludf.DUMMYFUNCTION("CONCATENATE(GOOGLETRANSLATE(C3763, ""en"", ""ko""))"),"클리닉 플러스 + 허브 추출물이 함유된 내추럴 스트롱 헬스 샴푸")</f>
        <v>클리닉 플러스 + 허브 추출물이 함유된 내추럴 스트롱 헬스 샴푸</v>
      </c>
      <c r="F3763" s="1" t="str">
        <f>IFERROR(__xludf.DUMMYFUNCTION("CONCATENATE(GOOGLETRANSLATE(C3763, ""en"", ""ja""))"),"Clinic Plus + ハーブエキス配合の自然に強い健康シャンプー")</f>
        <v>Clinic Plus + ハーブエキス配合の自然に強い健康シャンプー</v>
      </c>
    </row>
    <row r="3764" ht="15.75" customHeight="1">
      <c r="A3764" s="1">
        <v>6801.0</v>
      </c>
      <c r="B3764" s="1" t="s">
        <v>15</v>
      </c>
      <c r="C3764" s="1" t="s">
        <v>3313</v>
      </c>
      <c r="D3764" s="1" t="str">
        <f>IFERROR(__xludf.DUMMYFUNCTION("CONCATENATE(GOOGLETRANSLATE(C3764, ""en"", ""zh-cn""))"),"Dabur Vatika 健康洗发水")</f>
        <v>Dabur Vatika 健康洗发水</v>
      </c>
      <c r="E3764" s="1" t="str">
        <f>IFERROR(__xludf.DUMMYFUNCTION("CONCATENATE(GOOGLETRANSLATE(C3764, ""en"", ""ko""))"),"다부르 바티카 헬스 샴푸")</f>
        <v>다부르 바티카 헬스 샴푸</v>
      </c>
      <c r="F3764" s="1" t="str">
        <f>IFERROR(__xludf.DUMMYFUNCTION("CONCATENATE(GOOGLETRANSLATE(C3764, ""en"", ""ja""))"),"ダブール ヴァティカ ヘルス シャンプー")</f>
        <v>ダブール ヴァティカ ヘルス シャンプー</v>
      </c>
    </row>
    <row r="3765" ht="15.75" customHeight="1">
      <c r="A3765" s="1">
        <v>6803.0</v>
      </c>
      <c r="B3765" s="1" t="s">
        <v>15</v>
      </c>
      <c r="C3765" s="1" t="s">
        <v>3314</v>
      </c>
      <c r="D3765" s="1" t="str">
        <f>IFERROR(__xludf.DUMMYFUNCTION("CONCATENATE(GOOGLETRANSLATE(C3765, ""en"", ""zh-cn""))"),"更多含有透明质酸和生物素的美容专业护发精华")</f>
        <v>更多含有透明质酸和生物素的美容专业护发精华</v>
      </c>
      <c r="E3765" s="1" t="str">
        <f>IFERROR(__xludf.DUMMYFUNCTION("CONCATENATE(GOOGLETRANSLATE(C3765, ""en"", ""ko""))"),"히알루론산과 비오틴이 함유된 뷰티 프로페셔널 헤어 세럼")</f>
        <v>히알루론산과 비오틴이 함유된 뷰티 프로페셔널 헤어 세럼</v>
      </c>
      <c r="F3765" s="1" t="str">
        <f>IFERROR(__xludf.DUMMYFUNCTION("CONCATENATE(GOOGLETRANSLATE(C3765, ""en"", ""ja""))"),"ヒアルロン酸とビオチンを配合した美容専門ヘアセラム")</f>
        <v>ヒアルロン酸とビオチンを配合した美容専門ヘアセラム</v>
      </c>
    </row>
    <row r="3766" ht="15.75" customHeight="1">
      <c r="A3766" s="1">
        <v>6805.0</v>
      </c>
      <c r="B3766" s="1" t="s">
        <v>15</v>
      </c>
      <c r="C3766" s="1" t="s">
        <v>2432</v>
      </c>
      <c r="D3766" s="1" t="str">
        <f>IFERROR(__xludf.DUMMYFUNCTION("CONCATENATE(GOOGLETRANSLATE(C3766, ""en"", ""zh-cn""))"),"OGX 浓稠全生物素胶原蛋白护发素")</f>
        <v>OGX 浓稠全生物素胶原蛋白护发素</v>
      </c>
      <c r="E3766" s="1" t="str">
        <f>IFERROR(__xludf.DUMMYFUNCTION("CONCATENATE(GOOGLETRANSLATE(C3766, ""en"", ""ko""))"),"OGX 씨크 풀 비오틴 콜라겐 컨디셔너")</f>
        <v>OGX 씨크 풀 비오틴 콜라겐 컨디셔너</v>
      </c>
      <c r="F3766" s="1" t="str">
        <f>IFERROR(__xludf.DUMMYFUNCTION("CONCATENATE(GOOGLETRANSLATE(C3766, ""en"", ""ja""))"),"OGX 濃厚フルビオチンコラーゲンコンディショナー")</f>
        <v>OGX 濃厚フルビオチンコラーゲンコンディショナー</v>
      </c>
    </row>
    <row r="3767" ht="15.75" customHeight="1">
      <c r="A3767" s="1">
        <v>6810.0</v>
      </c>
      <c r="B3767" s="1" t="s">
        <v>15</v>
      </c>
      <c r="C3767" s="1" t="s">
        <v>3315</v>
      </c>
      <c r="D3767" s="1" t="str">
        <f>IFERROR(__xludf.DUMMYFUNCTION("CONCATENATE(GOOGLETRANSLATE(C3767, ""en"", ""zh-cn""))"),"Betterbrand Betterhair 每日护发补充剂，天然混合物，防止脱发")</f>
        <v>Betterbrand Betterhair 每日护发补充剂，天然混合物，防止脱发</v>
      </c>
      <c r="E3767" s="1" t="str">
        <f>IFERROR(__xludf.DUMMYFUNCTION("CONCATENATE(GOOGLETRANSLATE(C3767, ""en"", ""ko""))"),"Betterbrand Betterhair 데일리 헤어 보충제, 손실을 위한 천연 블렌드")</f>
        <v>Betterbrand Betterhair 데일리 헤어 보충제, 손실을 위한 천연 블렌드</v>
      </c>
      <c r="F3767" s="1" t="str">
        <f>IFERROR(__xludf.DUMMYFUNCTION("CONCATENATE(GOOGLETRANSLATE(C3767, ""en"", ""ja""))"),"Betterbrand Betterhair デイリー ヘア サプリメント、ナチュラル ブレンド フォー ロス")</f>
        <v>Betterbrand Betterhair デイリー ヘア サプリメント、ナチュラル ブレンド フォー ロス</v>
      </c>
    </row>
    <row r="3768" ht="15.75" customHeight="1">
      <c r="A3768" s="1">
        <v>6814.0</v>
      </c>
      <c r="B3768" s="1" t="s">
        <v>15</v>
      </c>
      <c r="C3768" s="1" t="s">
        <v>3316</v>
      </c>
      <c r="D3768" s="1" t="str">
        <f>IFERROR(__xludf.DUMMYFUNCTION("CONCATENATE(GOOGLETRANSLATE(C3768, ""en"", ""zh-cn""))"),"继承：小说[电子书]")</f>
        <v>继承：小说[电子书]</v>
      </c>
      <c r="E3768" s="1" t="str">
        <f>IFERROR(__xludf.DUMMYFUNCTION("CONCATENATE(GOOGLETRANSLATE(C3768, ""en"", ""ko""))"),"상속: 소설 [eBook]")</f>
        <v>상속: 소설 [eBook]</v>
      </c>
      <c r="F3768" s="1" t="str">
        <f>IFERROR(__xludf.DUMMYFUNCTION("CONCATENATE(GOOGLETRANSLATE(C3768, ""en"", ""ja""))"),"相続: 小説 [電子書籍]")</f>
        <v>相続: 小説 [電子書籍]</v>
      </c>
    </row>
    <row r="3769" ht="15.75" customHeight="1">
      <c r="A3769" s="1">
        <v>6815.0</v>
      </c>
      <c r="B3769" s="1" t="s">
        <v>15</v>
      </c>
      <c r="C3769" s="1" t="s">
        <v>3317</v>
      </c>
      <c r="D3769" s="1" t="str">
        <f>IFERROR(__xludf.DUMMYFUNCTION("CONCATENATE(GOOGLETRANSLATE(C3769, ""en"", ""zh-cn""))"),"Meebook M6 电子书阅读器 2023")</f>
        <v>Meebook M6 电子书阅读器 2023</v>
      </c>
      <c r="E3769" s="1" t="str">
        <f>IFERROR(__xludf.DUMMYFUNCTION("CONCATENATE(GOOGLETRANSLATE(C3769, ""en"", ""ko""))"),"Meebook M6 전자책 리더 2023")</f>
        <v>Meebook M6 전자책 리더 2023</v>
      </c>
      <c r="F3769" s="1" t="str">
        <f>IFERROR(__xludf.DUMMYFUNCTION("CONCATENATE(GOOGLETRANSLATE(C3769, ""en"", ""ja""))"),"Meebook M6 電子書籍リーダー 2023")</f>
        <v>Meebook M6 電子書籍リーダー 2023</v>
      </c>
    </row>
    <row r="3770" ht="15.75" customHeight="1">
      <c r="A3770" s="1">
        <v>6818.0</v>
      </c>
      <c r="B3770" s="1" t="s">
        <v>15</v>
      </c>
      <c r="C3770" s="1" t="s">
        <v>3318</v>
      </c>
      <c r="D3770" s="1" t="str">
        <f>IFERROR(__xludf.DUMMYFUNCTION("CONCATENATE(GOOGLETRANSLATE(C3770, ""en"", ""zh-cn""))"),"开放：在电子书中以广阔的思维生活")</f>
        <v>开放：在电子书中以广阔的思维生活</v>
      </c>
      <c r="E3770" s="1" t="str">
        <f>IFERROR(__xludf.DUMMYFUNCTION("CONCATENATE(GOOGLETRANSLATE(C3770, ""en"", ""ko""))"),"개방형: eBook에서 폭넓은 마음으로 생활하기")</f>
        <v>개방형: eBook에서 폭넓은 마음으로 생활하기</v>
      </c>
      <c r="F3770" s="1" t="str">
        <f>IFERROR(__xludf.DUMMYFUNCTION("CONCATENATE(GOOGLETRANSLATE(C3770, ""en"", ""ja""))"),"開く: 電子書籍で広い心を持って生きる")</f>
        <v>開く: 電子書籍で広い心を持って生きる</v>
      </c>
    </row>
    <row r="3771" ht="15.75" customHeight="1">
      <c r="A3771" s="1">
        <v>6820.0</v>
      </c>
      <c r="B3771" s="1" t="s">
        <v>15</v>
      </c>
      <c r="C3771" s="1" t="s">
        <v>3319</v>
      </c>
      <c r="D3771" s="1" t="str">
        <f>IFERROR(__xludf.DUMMYFUNCTION("CONCATENATE(GOOGLETRANSLATE(C3771, ""en"", ""zh-cn""))"),"成长心态电子书职业和个人成长指南")</f>
        <v>成长心态电子书职业和个人成长指南</v>
      </c>
      <c r="E3771" s="1" t="str">
        <f>IFERROR(__xludf.DUMMYFUNCTION("CONCATENATE(GOOGLETRANSLATE(C3771, ""en"", ""ko""))"),"성장 사고방식 E-Book 직업적, 개인적 성장을 위한 가이드")</f>
        <v>성장 사고방식 E-Book 직업적, 개인적 성장을 위한 가이드</v>
      </c>
      <c r="F3771" s="1" t="str">
        <f>IFERROR(__xludf.DUMMYFUNCTION("CONCATENATE(GOOGLETRANSLATE(C3771, ""en"", ""ja""))"),"成長マインドセット電子書籍 職業的および個人的な成長へのガイド")</f>
        <v>成長マインドセット電子書籍 職業的および個人的な成長へのガイド</v>
      </c>
    </row>
    <row r="3772" ht="15.75" customHeight="1">
      <c r="A3772" s="1">
        <v>6830.0</v>
      </c>
      <c r="B3772" s="1" t="s">
        <v>15</v>
      </c>
      <c r="C3772" s="1" t="s">
        <v>3320</v>
      </c>
      <c r="D3772" s="1" t="str">
        <f>IFERROR(__xludf.DUMMYFUNCTION("CONCATENATE(GOOGLETRANSLATE(C3772, ""en"", ""zh-cn""))"),"隐形人")</f>
        <v>隐形人</v>
      </c>
      <c r="E3772" s="1" t="str">
        <f>IFERROR(__xludf.DUMMYFUNCTION("CONCATENATE(GOOGLETRANSLATE(C3772, ""en"", ""ko""))"),"투명인간")</f>
        <v>투명인간</v>
      </c>
      <c r="F3772" s="1" t="str">
        <f>IFERROR(__xludf.DUMMYFUNCTION("CONCATENATE(GOOGLETRANSLATE(C3772, ""en"", ""ja""))"),"透明人間")</f>
        <v>透明人間</v>
      </c>
    </row>
    <row r="3773" ht="15.75" customHeight="1">
      <c r="A3773" s="1">
        <v>6834.0</v>
      </c>
      <c r="B3773" s="1" t="s">
        <v>15</v>
      </c>
      <c r="C3773" s="1" t="s">
        <v>3321</v>
      </c>
      <c r="D3773" s="1" t="str">
        <f>IFERROR(__xludf.DUMMYFUNCTION("CONCATENATE(GOOGLETRANSLATE(C3773, ""en"", ""zh-cn""))"),"比利·斯特雷特")</f>
        <v>比利·斯特雷特</v>
      </c>
      <c r="E3773" s="1" t="str">
        <f>IFERROR(__xludf.DUMMYFUNCTION("CONCATENATE(GOOGLETRANSLATE(C3773, ""en"", ""ko""))"),"빌리 스트레이트")</f>
        <v>빌리 스트레이트</v>
      </c>
      <c r="F3773" s="1" t="str">
        <f>IFERROR(__xludf.DUMMYFUNCTION("CONCATENATE(GOOGLETRANSLATE(C3773, ""en"", ""ja""))"),"ビリー・ストレート")</f>
        <v>ビリー・ストレート</v>
      </c>
    </row>
    <row r="3774" ht="15.75" customHeight="1">
      <c r="A3774" s="1">
        <v>6842.0</v>
      </c>
      <c r="B3774" s="1" t="s">
        <v>15</v>
      </c>
      <c r="C3774" s="1" t="s">
        <v>3322</v>
      </c>
      <c r="D3774" s="1" t="str">
        <f>IFERROR(__xludf.DUMMYFUNCTION("CONCATENATE(GOOGLETRANSLATE(C3774, ""en"", ""zh-cn""))"),"有了这枚戒指：一本小说")</f>
        <v>有了这枚戒指：一本小说</v>
      </c>
      <c r="E3774" s="1" t="str">
        <f>IFERROR(__xludf.DUMMYFUNCTION("CONCATENATE(GOOGLETRANSLATE(C3774, ""en"", ""ko""))"),"이 반지를 가지고: 소설")</f>
        <v>이 반지를 가지고: 소설</v>
      </c>
      <c r="F3774" s="1" t="str">
        <f>IFERROR(__xludf.DUMMYFUNCTION("CONCATENATE(GOOGLETRANSLATE(C3774, ""en"", ""ja""))"),"この指輪とともに: 小説")</f>
        <v>この指輪とともに: 小説</v>
      </c>
    </row>
    <row r="3775" ht="15.75" customHeight="1">
      <c r="A3775" s="1">
        <v>6843.0</v>
      </c>
      <c r="B3775" s="1" t="s">
        <v>15</v>
      </c>
      <c r="C3775" s="1" t="s">
        <v>3323</v>
      </c>
      <c r="D3775" s="1" t="str">
        <f>IFERROR(__xludf.DUMMYFUNCTION("CONCATENATE(GOOGLETRANSLATE(C3775, ""en"", ""zh-cn""))"),"和我在一起：一本小说 [电子书]")</f>
        <v>和我在一起：一本小说 [电子书]</v>
      </c>
      <c r="E3775" s="1" t="str">
        <f>IFERROR(__xludf.DUMMYFUNCTION("CONCATENATE(GOOGLETRANSLATE(C3775, ""en"", ""ko""))"),"나와 함께 있어주세요: 소설 [eBook]")</f>
        <v>나와 함께 있어주세요: 소설 [eBook]</v>
      </c>
      <c r="F3775" s="1" t="str">
        <f>IFERROR(__xludf.DUMMYFUNCTION("CONCATENATE(GOOGLETRANSLATE(C3775, ""en"", ""ja""))"),"Be with Me: 小説 [電子書籍]")</f>
        <v>Be with Me: 小説 [電子書籍]</v>
      </c>
    </row>
    <row r="3776" ht="15.75" customHeight="1">
      <c r="A3776" s="1">
        <v>6847.0</v>
      </c>
      <c r="B3776" s="1" t="s">
        <v>15</v>
      </c>
      <c r="C3776" s="1" t="s">
        <v>3324</v>
      </c>
      <c r="D3776" s="1" t="str">
        <f>IFERROR(__xludf.DUMMYFUNCTION("CONCATENATE(GOOGLETRANSLATE(C3776, ""en"", ""zh-cn""))"),"白热化")</f>
        <v>白热化</v>
      </c>
      <c r="E3776" s="1" t="str">
        <f>IFERROR(__xludf.DUMMYFUNCTION("CONCATENATE(GOOGLETRANSLATE(C3776, ""en"", ""ko""))"),"화이트 핫")</f>
        <v>화이트 핫</v>
      </c>
      <c r="F3776" s="1" t="str">
        <f>IFERROR(__xludf.DUMMYFUNCTION("CONCATENATE(GOOGLETRANSLATE(C3776, ""en"", ""ja""))"),"ホワイトホット")</f>
        <v>ホワイトホット</v>
      </c>
    </row>
    <row r="3777" ht="15.75" customHeight="1">
      <c r="A3777" s="1">
        <v>6848.0</v>
      </c>
      <c r="B3777" s="1" t="s">
        <v>15</v>
      </c>
      <c r="C3777" s="1" t="s">
        <v>3325</v>
      </c>
      <c r="D3777" s="1" t="str">
        <f>IFERROR(__xludf.DUMMYFUNCTION("CONCATENATE(GOOGLETRANSLATE(C3777, ""en"", ""zh-cn""))"),"瓦哈拉：一本小说")</f>
        <v>瓦哈拉：一本小说</v>
      </c>
      <c r="E3777" s="1" t="str">
        <f>IFERROR(__xludf.DUMMYFUNCTION("CONCATENATE(GOOGLETRANSLATE(C3777, ""en"", ""ko""))"),"와할라: 소설")</f>
        <v>와할라: 소설</v>
      </c>
      <c r="F3777" s="1" t="str">
        <f>IFERROR(__xludf.DUMMYFUNCTION("CONCATENATE(GOOGLETRANSLATE(C3777, ""en"", ""ja""))"),"ワハラ: 小説")</f>
        <v>ワハラ: 小説</v>
      </c>
    </row>
    <row r="3778" ht="15.75" customHeight="1">
      <c r="A3778" s="1">
        <v>6849.0</v>
      </c>
      <c r="B3778" s="1" t="s">
        <v>15</v>
      </c>
      <c r="C3778" s="1" t="s">
        <v>3326</v>
      </c>
      <c r="D3778" s="1" t="str">
        <f>IFERROR(__xludf.DUMMYFUNCTION("CONCATENATE(GOOGLETRANSLATE(C3778, ""en"", ""zh-cn""))"),"是你！")</f>
        <v>是你！</v>
      </c>
      <c r="E3778" s="1" t="str">
        <f>IFERROR(__xludf.DUMMYFUNCTION("CONCATENATE(GOOGLETRANSLATE(C3778, ""en"", ""ko""))"),"당신이 되세요!")</f>
        <v>당신이 되세요!</v>
      </c>
      <c r="F3778" s="1" t="str">
        <f>IFERROR(__xludf.DUMMYFUNCTION("CONCATENATE(GOOGLETRANSLATE(C3778, ""en"", ""ja""))"),"ビーユー！")</f>
        <v>ビーユー！</v>
      </c>
    </row>
    <row r="3779" ht="15.75" customHeight="1">
      <c r="A3779" s="1">
        <v>6854.0</v>
      </c>
      <c r="B3779" s="1" t="s">
        <v>15</v>
      </c>
      <c r="C3779" s="1" t="s">
        <v>3327</v>
      </c>
      <c r="D3779" s="1" t="str">
        <f>IFERROR(__xludf.DUMMYFUNCTION("CONCATENATE(GOOGLETRANSLATE(C3779, ""en"", ""zh-cn""))"),"Fabledom - 索尼 PlayStation 5 [数字下载]")</f>
        <v>Fabledom - 索尼 PlayStation 5 [数字下载]</v>
      </c>
      <c r="E3779" s="1" t="str">
        <f>IFERROR(__xludf.DUMMYFUNCTION("CONCATENATE(GOOGLETRANSLATE(C3779, ""en"", ""ko""))"),"Fabledom - Sony PlayStation 5 [디지털 다운로드]")</f>
        <v>Fabledom - Sony PlayStation 5 [디지털 다운로드]</v>
      </c>
      <c r="F3779" s="1" t="str">
        <f>IFERROR(__xludf.DUMMYFUNCTION("CONCATENATE(GOOGLETRANSLATE(C3779, ""en"", ""ja""))"),"ファブルダム - Sony PlayStation 5 [デジタルダウンロード]")</f>
        <v>ファブルダム - Sony PlayStation 5 [デジタルダウンロード]</v>
      </c>
    </row>
    <row r="3780" ht="15.75" customHeight="1">
      <c r="A3780" s="1">
        <v>6860.0</v>
      </c>
      <c r="B3780" s="1" t="s">
        <v>15</v>
      </c>
      <c r="C3780" s="1" t="s">
        <v>3328</v>
      </c>
      <c r="D3780" s="1" t="str">
        <f>IFERROR(__xludf.DUMMYFUNCTION("CONCATENATE(GOOGLETRANSLATE(C3780, ""en"", ""zh-cn""))"),"索尼 PlayStation 电子礼品卡")</f>
        <v>索尼 PlayStation 电子礼品卡</v>
      </c>
      <c r="E3780" s="1" t="str">
        <f>IFERROR(__xludf.DUMMYFUNCTION("CONCATENATE(GOOGLETRANSLATE(C3780, ""en"", ""ko""))"),"Sony PlayStation e기프트 카드")</f>
        <v>Sony PlayStation e기프트 카드</v>
      </c>
      <c r="F3780" s="1" t="str">
        <f>IFERROR(__xludf.DUMMYFUNCTION("CONCATENATE(GOOGLETRANSLATE(C3780, ""en"", ""ja""))"),"ソニー プレイステーション eギフトカード")</f>
        <v>ソニー プレイステーション eギフトカード</v>
      </c>
    </row>
    <row r="3781" ht="15.75" customHeight="1">
      <c r="A3781" s="1">
        <v>6871.0</v>
      </c>
      <c r="B3781" s="1" t="s">
        <v>15</v>
      </c>
      <c r="C3781" s="1" t="s">
        <v>3329</v>
      </c>
      <c r="D3781" s="1" t="str">
        <f>IFERROR(__xludf.DUMMYFUNCTION("CONCATENATE(GOOGLETRANSLATE(C3781, ""en"", ""zh-cn""))"),"女神异闻录 3 重装上阵")</f>
        <v>女神异闻录 3 重装上阵</v>
      </c>
      <c r="E3781" s="1" t="str">
        <f>IFERROR(__xludf.DUMMYFUNCTION("CONCATENATE(GOOGLETRANSLATE(C3781, ""en"", ""ko""))"),"페르소나 3 리로드")</f>
        <v>페르소나 3 리로드</v>
      </c>
      <c r="F3781" s="1" t="str">
        <f>IFERROR(__xludf.DUMMYFUNCTION("CONCATENATE(GOOGLETRANSLATE(C3781, ""en"", ""ja""))"),"ペルソナ3リロード")</f>
        <v>ペルソナ3リロード</v>
      </c>
    </row>
    <row r="3782" ht="15.75" customHeight="1">
      <c r="A3782" s="1">
        <v>6875.0</v>
      </c>
      <c r="B3782" s="1" t="s">
        <v>15</v>
      </c>
      <c r="C3782" s="1" t="s">
        <v>3330</v>
      </c>
      <c r="D3782" s="1" t="str">
        <f>IFERROR(__xludf.DUMMYFUNCTION("CONCATENATE(GOOGLETRANSLATE(C3782, ""en"", ""zh-cn""))"),"侠盗猎车手 Online (PlayStation5) - 索尼 PlayStation 5 [数字下载]")</f>
        <v>侠盗猎车手 Online (PlayStation5) - 索尼 PlayStation 5 [数字下载]</v>
      </c>
      <c r="E3782" s="1" t="str">
        <f>IFERROR(__xludf.DUMMYFUNCTION("CONCATENATE(GOOGLETRANSLATE(C3782, ""en"", ""ko""))"),"Grand Theft Auto 온라인(PlayStation5) - Sony PlayStation 5 [디지털 다운로드]")</f>
        <v>Grand Theft Auto 온라인(PlayStation5) - Sony PlayStation 5 [디지털 다운로드]</v>
      </c>
      <c r="F3782" s="1" t="str">
        <f>IFERROR(__xludf.DUMMYFUNCTION("CONCATENATE(GOOGLETRANSLATE(C3782, ""en"", ""ja""))"),"グランド セフト オート オンライン (PlayStation5) - Sony PlayStation 5 [デジタル ダウンロード]")</f>
        <v>グランド セフト オート オンライン (PlayStation5) - Sony PlayStation 5 [デジタル ダウンロード]</v>
      </c>
    </row>
    <row r="3783" ht="15.75" customHeight="1">
      <c r="A3783" s="1">
        <v>6879.0</v>
      </c>
      <c r="B3783" s="1" t="s">
        <v>15</v>
      </c>
      <c r="C3783" s="1" t="s">
        <v>3331</v>
      </c>
      <c r="D3783" s="1" t="str">
        <f>IFERROR(__xludf.DUMMYFUNCTION("CONCATENATE(GOOGLETRANSLATE(C3783, ""en"", ""zh-cn""))"),"《地平线：禁域西部》完整游戏数字代码 - 索尼 Ps5 和 Ps4")</f>
        <v>《地平线：禁域西部》完整游戏数字代码 - 索尼 Ps5 和 Ps4</v>
      </c>
      <c r="E3783" s="1" t="str">
        <f>IFERROR(__xludf.DUMMYFUNCTION("CONCATENATE(GOOGLETRANSLATE(C3783, ""en"", ""ko""))"),"Horizon Forbidden West 전체 게임 디지털 코드 - Sony Ps5 및 Ps4")</f>
        <v>Horizon Forbidden West 전체 게임 디지털 코드 - Sony Ps5 및 Ps4</v>
      </c>
      <c r="F3783" s="1" t="str">
        <f>IFERROR(__xludf.DUMMYFUNCTION("CONCATENATE(GOOGLETRANSLATE(C3783, ""en"", ""ja""))"),"Horizo​​n Forbidden West フルゲーム デジタル コード - Sony Ps5 &amp; Ps4")</f>
        <v>Horizo​​n Forbidden West フルゲーム デジタル コード - Sony Ps5 &amp; Ps4</v>
      </c>
    </row>
    <row r="3784" ht="15.75" customHeight="1">
      <c r="A3784" s="1">
        <v>6890.0</v>
      </c>
      <c r="B3784" s="1" t="s">
        <v>15</v>
      </c>
      <c r="C3784" s="1" t="s">
        <v>3332</v>
      </c>
      <c r="D3784" s="1" t="str">
        <f>IFERROR(__xludf.DUMMYFUNCTION("CONCATENATE(GOOGLETRANSLATE(C3784, ""en"", ""zh-cn""))"),"索尼 GODFALL PS5 预购数字战利品代码 - 新电子产品")</f>
        <v>索尼 GODFALL PS5 预购数字战利品代码 - 新电子产品</v>
      </c>
      <c r="E3784" s="1" t="str">
        <f>IFERROR(__xludf.DUMMYFUNCTION("CONCATENATE(GOOGLETRANSLATE(C3784, ""en"", ""ko""))"),"Sony GODFALL PS5 사전 주문 디지털 전리품 코드 - 새 전자제품")</f>
        <v>Sony GODFALL PS5 사전 주문 디지털 전리품 코드 - 새 전자제품</v>
      </c>
      <c r="F3784" s="1" t="str">
        <f>IFERROR(__xludf.DUMMYFUNCTION("CONCATENATE(GOOGLETRANSLATE(C3784, ""en"", ""ja""))"),"Sony GODFALL PS5 予約注文デジタルルートコード - 新しいエレクトロニクス")</f>
        <v>Sony GODFALL PS5 予約注文デジタルルートコード - 新しいエレクトロニクス</v>
      </c>
    </row>
    <row r="3785" ht="15.75" customHeight="1">
      <c r="A3785" s="1">
        <v>6892.0</v>
      </c>
      <c r="B3785" s="1" t="s">
        <v>15</v>
      </c>
      <c r="C3785" s="1" t="s">
        <v>3333</v>
      </c>
      <c r="D3785" s="1" t="str">
        <f>IFERROR(__xludf.DUMMYFUNCTION("CONCATENATE(GOOGLETRANSLATE(C3785, ""en"", ""zh-cn""))"),"100 美元 Apple 礼品卡 - App Store、Apple Music、iTunes、iPhone、iPad、AirPods、配件等 [数字]")</f>
        <v>100 美元 Apple 礼品卡 - App Store、Apple Music、iTunes、iPhone、iPad、AirPods、配件等 [数字]</v>
      </c>
      <c r="E3785" s="1" t="str">
        <f>IFERROR(__xludf.DUMMYFUNCTION("CONCATENATE(GOOGLETRANSLATE(C3785, ""en"", ""ko""))"),"$100 Apple 기프트 카드 - App Store, Apple Music, iTunes, iPhone, iPad, AirPods, 액세서리 등 [디지털]")</f>
        <v>$100 Apple 기프트 카드 - App Store, Apple Music, iTunes, iPhone, iPad, AirPods, 액세서리 등 [디지털]</v>
      </c>
      <c r="F3785" s="1" t="str">
        <f>IFERROR(__xludf.DUMMYFUNCTION("CONCATENATE(GOOGLETRANSLATE(C3785, ""en"", ""ja""))"),"$100 Apple ギフト カード - App Store、Apple Music、iTunes、iPhone、iPad、AirPods、アクセサリなど [デジタル]")</f>
        <v>$100 Apple ギフト カード - App Store、Apple Music、iTunes、iPhone、iPad、AirPods、アクセサリなど [デジタル]</v>
      </c>
    </row>
    <row r="3786" ht="15.75" customHeight="1">
      <c r="A3786" s="1">
        <v>6902.0</v>
      </c>
      <c r="B3786" s="1" t="s">
        <v>15</v>
      </c>
      <c r="C3786" s="1" t="s">
        <v>3334</v>
      </c>
      <c r="D3786" s="1" t="str">
        <f>IFERROR(__xludf.DUMMYFUNCTION("CONCATENATE(GOOGLETRANSLATE(C3786, ""en"", ""zh-cn""))"),"苹果电子礼品卡")</f>
        <v>苹果电子礼品卡</v>
      </c>
      <c r="E3786" s="1" t="str">
        <f>IFERROR(__xludf.DUMMYFUNCTION("CONCATENATE(GOOGLETRANSLATE(C3786, ""en"", ""ko""))"),"Apple e기프트 카드")</f>
        <v>Apple e기프트 카드</v>
      </c>
      <c r="F3786" s="1" t="str">
        <f>IFERROR(__xludf.DUMMYFUNCTION("CONCATENATE(GOOGLETRANSLATE(C3786, ""en"", ""ja""))"),"Apple eギフトカード")</f>
        <v>Apple eギフトカード</v>
      </c>
    </row>
    <row r="3787" ht="15.75" customHeight="1">
      <c r="A3787" s="1">
        <v>6917.0</v>
      </c>
      <c r="B3787" s="1" t="s">
        <v>15</v>
      </c>
      <c r="C3787" s="1" t="s">
        <v>2489</v>
      </c>
      <c r="D3787" s="1" t="str">
        <f>IFERROR(__xludf.DUMMYFUNCTION("CONCATENATE(GOOGLETRANSLATE(C3787, ""en"", ""zh-cn""))"),"苹果礼品卡 500 美元")</f>
        <v>苹果礼品卡 500 美元</v>
      </c>
      <c r="E3787" s="1" t="str">
        <f>IFERROR(__xludf.DUMMYFUNCTION("CONCATENATE(GOOGLETRANSLATE(C3787, ""en"", ""ko""))"),"애플 기프트 카드 $500")</f>
        <v>애플 기프트 카드 $500</v>
      </c>
      <c r="F3787" s="1" t="str">
        <f>IFERROR(__xludf.DUMMYFUNCTION("CONCATENATE(GOOGLETRANSLATE(C3787, ""en"", ""ja""))"),"Apple ギフトカード $500")</f>
        <v>Apple ギフトカード $500</v>
      </c>
    </row>
    <row r="3788" ht="15.75" customHeight="1">
      <c r="A3788" s="1">
        <v>6920.0</v>
      </c>
      <c r="B3788" s="1" t="s">
        <v>15</v>
      </c>
      <c r="C3788" s="1" t="s">
        <v>3335</v>
      </c>
      <c r="D3788" s="1" t="str">
        <f>IFERROR(__xludf.DUMMYFUNCTION("CONCATENATE(GOOGLETRANSLATE(C3788, ""en"", ""zh-cn""))"),"Apple 200 美元美国礼品卡")</f>
        <v>Apple 200 美元美国礼品卡</v>
      </c>
      <c r="E3788" s="1" t="str">
        <f>IFERROR(__xludf.DUMMYFUNCTION("CONCATENATE(GOOGLETRANSLATE(C3788, ""en"", ""ko""))"),"Apple $200 기프트 카드(미국)")</f>
        <v>Apple $200 기프트 카드(미국)</v>
      </c>
      <c r="F3788" s="1" t="str">
        <f>IFERROR(__xludf.DUMMYFUNCTION("CONCATENATE(GOOGLETRANSLATE(C3788, ""en"", ""ja""))"),"Apple $200 ギフトカード 米国")</f>
        <v>Apple $200 ギフトカード 米国</v>
      </c>
    </row>
    <row r="3789" ht="15.75" customHeight="1">
      <c r="A3789" s="1">
        <v>6921.0</v>
      </c>
      <c r="B3789" s="1" t="s">
        <v>15</v>
      </c>
      <c r="C3789" s="1" t="s">
        <v>3336</v>
      </c>
      <c r="D3789" s="1" t="str">
        <f>IFERROR(__xludf.DUMMYFUNCTION("CONCATENATE(GOOGLETRANSLATE(C3789, ""en"", ""zh-cn""))"),"Apple 礼品卡 App Store Itunes 值：10.25.50.100 仅供我们使用")</f>
        <v>Apple 礼品卡 App Store Itunes 值：10.25.50.100 仅供我们使用</v>
      </c>
      <c r="E3789" s="1" t="str">
        <f>IFERROR(__xludf.DUMMYFUNCTION("CONCATENATE(GOOGLETRANSLATE(C3789, ""en"", ""ko""))"),"Apple Gift Card App Store Itunes 값:10.25.50.100 For Us Only")</f>
        <v>Apple Gift Card App Store Itunes 값:10.25.50.100 For Us Only</v>
      </c>
      <c r="F3789" s="1" t="str">
        <f>IFERROR(__xludf.DUMMYFUNCTION("CONCATENATE(GOOGLETRANSLATE(C3789, ""en"", ""ja""))"),"Apple Gift Card App Store Itunes-value:10.25.50.100 当社限定")</f>
        <v>Apple Gift Card App Store Itunes-value:10.25.50.100 当社限定</v>
      </c>
    </row>
    <row r="3790" ht="15.75" customHeight="1">
      <c r="A3790" s="1">
        <v>6923.0</v>
      </c>
      <c r="B3790" s="1" t="s">
        <v>15</v>
      </c>
      <c r="C3790" s="1" t="s">
        <v>3337</v>
      </c>
      <c r="D3790" s="1" t="str">
        <f>IFERROR(__xludf.DUMMYFUNCTION("CONCATENATE(GOOGLETRANSLATE(C3790, ""en"", ""zh-cn""))"),"Apple iTunes 礼品卡 13 美元 iTunes Key 美国")</f>
        <v>Apple iTunes 礼品卡 13 美元 iTunes Key 美国</v>
      </c>
      <c r="E3790" s="1" t="str">
        <f>IFERROR(__xludf.DUMMYFUNCTION("CONCATENATE(GOOGLETRANSLATE(C3790, ""en"", ""ko""))"),"Apple iTunes 기프트 카드 13 USD iTunes 키 미국")</f>
        <v>Apple iTunes 기프트 카드 13 USD iTunes 키 미국</v>
      </c>
      <c r="F3790" s="1" t="str">
        <f>IFERROR(__xludf.DUMMYFUNCTION("CONCATENATE(GOOGLETRANSLATE(C3790, ""en"", ""ja""))"),"Apple iTunes ギフトカード 13 USD iTunes キー 米国")</f>
        <v>Apple iTunes ギフトカード 13 USD iTunes キー 米国</v>
      </c>
    </row>
    <row r="3791" ht="15.75" customHeight="1">
      <c r="A3791" s="1">
        <v>6937.0</v>
      </c>
      <c r="B3791" s="1" t="s">
        <v>15</v>
      </c>
      <c r="C3791" s="1" t="s">
        <v>3338</v>
      </c>
      <c r="D3791" s="1" t="str">
        <f>IFERROR(__xludf.DUMMYFUNCTION("CONCATENATE(GOOGLETRANSLATE(C3791, ""en"", ""zh-cn""))"),"电子电路革命：畅游在线电子世界；电子书；作者 - SREEKUMAR V T")</f>
        <v>电子电路革命：畅游在线电子世界；电子书；作者 - SREEKUMAR V T</v>
      </c>
      <c r="E3791" s="1" t="str">
        <f>IFERROR(__xludf.DUMMYFUNCTION("CONCATENATE(GOOGLETRANSLATE(C3791, ""en"", ""ko""))"),"전자회로 혁명: 온라인 전자제품의 세계 탐색; 전자책; 저자 - SREEKUMAR VT")</f>
        <v>전자회로 혁명: 온라인 전자제품의 세계 탐색; 전자책; 저자 - SREEKUMAR VT</v>
      </c>
      <c r="F3791" s="1" t="str">
        <f>IFERROR(__xludf.DUMMYFUNCTION("CONCATENATE(GOOGLETRANSLATE(C3791, ""en"", ""ja""))"),"E-Circuit Revolution: オンラインエレクトロニクスの世界をナビゲートする;電子書籍;著者 - SREEKUMAR V T")</f>
        <v>E-Circuit Revolution: オンラインエレクトロニクスの世界をナビゲートする;電子書籍;著者 - SREEKUMAR V T</v>
      </c>
    </row>
    <row r="3792" ht="15.75" customHeight="1">
      <c r="A3792" s="1">
        <v>6938.0</v>
      </c>
      <c r="B3792" s="1" t="s">
        <v>15</v>
      </c>
      <c r="C3792" s="1" t="s">
        <v>3339</v>
      </c>
      <c r="D3792" s="1" t="str">
        <f>IFERROR(__xludf.DUMMYFUNCTION("CONCATENATE(GOOGLETRANSLATE(C3792, ""en"", ""zh-cn""))"),"当我和你在一起时")</f>
        <v>当我和你在一起时</v>
      </c>
      <c r="E3792" s="1" t="str">
        <f>IFERROR(__xludf.DUMMYFUNCTION("CONCATENATE(GOOGLETRANSLATE(C3792, ""en"", ""ko""))"),"내가 당신과 함께 있을 때")</f>
        <v>내가 당신과 함께 있을 때</v>
      </c>
      <c r="F3792" s="1" t="str">
        <f>IFERROR(__xludf.DUMMYFUNCTION("CONCATENATE(GOOGLETRANSLATE(C3792, ""en"", ""ja""))"),"あなたと一緒にいるとき")</f>
        <v>あなたと一緒にいるとき</v>
      </c>
    </row>
    <row r="3793" ht="15.75" customHeight="1">
      <c r="A3793" s="1">
        <v>6943.0</v>
      </c>
      <c r="B3793" s="1" t="s">
        <v>15</v>
      </c>
      <c r="C3793" s="1" t="s">
        <v>3340</v>
      </c>
      <c r="D3793" s="1" t="str">
        <f>IFERROR(__xludf.DUMMYFUNCTION("CONCATENATE(GOOGLETRANSLATE(C3793, ""en"", ""zh-cn""))"),"聪明的年轻女性：一部小说")</f>
        <v>聪明的年轻女性：一部小说</v>
      </c>
      <c r="E3793" s="1" t="str">
        <f>IFERROR(__xludf.DUMMYFUNCTION("CONCATENATE(GOOGLETRANSLATE(C3793, ""en"", ""ko""))"),"총명한 젊은 여성: 소설")</f>
        <v>총명한 젊은 여성: 소설</v>
      </c>
      <c r="F3793" s="1" t="str">
        <f>IFERROR(__xludf.DUMMYFUNCTION("CONCATENATE(GOOGLETRANSLATE(C3793, ""en"", ""ja""))"),"明るい若い女性たち: 小説")</f>
        <v>明るい若い女性たち: 小説</v>
      </c>
    </row>
    <row r="3794" ht="15.75" customHeight="1">
      <c r="A3794" s="1">
        <v>6945.0</v>
      </c>
      <c r="B3794" s="1" t="s">
        <v>15</v>
      </c>
      <c r="C3794" s="1" t="s">
        <v>3341</v>
      </c>
      <c r="D3794" s="1" t="str">
        <f>IFERROR(__xludf.DUMMYFUNCTION("CONCATENATE(GOOGLETRANSLATE(C3794, ""en"", ""zh-cn""))"),"永恒：不朽 [电子书]")</f>
        <v>永恒：不朽 [电子书]</v>
      </c>
      <c r="E3794" s="1" t="str">
        <f>IFERROR(__xludf.DUMMYFUNCTION("CONCATENATE(GOOGLETRANSLATE(C3794, ""en"", ""ko""))"),"Evermore: The Immortals [eBook]")</f>
        <v>Evermore: The Immortals [eBook]</v>
      </c>
      <c r="F3794" s="1" t="str">
        <f>IFERROR(__xludf.DUMMYFUNCTION("CONCATENATE(GOOGLETRANSLATE(C3794, ""en"", ""ja""))"),"Evermore: The Immortals [電子書籍]")</f>
        <v>Evermore: The Immortals [電子書籍]</v>
      </c>
    </row>
    <row r="3795" ht="15.75" customHeight="1">
      <c r="A3795" s="1">
        <v>6957.0</v>
      </c>
      <c r="B3795" s="1" t="s">
        <v>15</v>
      </c>
      <c r="C3795" s="1" t="s">
        <v>3342</v>
      </c>
      <c r="D3795" s="1" t="str">
        <f>IFERROR(__xludf.DUMMYFUNCTION("CONCATENATE(GOOGLETRANSLATE(C3795, ""en"", ""zh-cn""))"),"鼹鼠小姐")</f>
        <v>鼹鼠小姐</v>
      </c>
      <c r="E3795" s="1" t="str">
        <f>IFERROR(__xludf.DUMMYFUNCTION("CONCATENATE(GOOGLETRANSLATE(C3795, ""en"", ""ko""))"),"미스 몰")</f>
        <v>미스 몰</v>
      </c>
      <c r="F3795" s="1" t="str">
        <f>IFERROR(__xludf.DUMMYFUNCTION("CONCATENATE(GOOGLETRANSLATE(C3795, ""en"", ""ja""))"),"ミス・モール")</f>
        <v>ミス・モール</v>
      </c>
    </row>
    <row r="3796" ht="15.75" customHeight="1">
      <c r="A3796" s="1">
        <v>6963.0</v>
      </c>
      <c r="B3796" s="1" t="s">
        <v>15</v>
      </c>
      <c r="C3796" s="1" t="s">
        <v>3343</v>
      </c>
      <c r="D3796" s="1" t="str">
        <f>IFERROR(__xludf.DUMMYFUNCTION("CONCATENATE(GOOGLETRANSLATE(C3796, ""en"", ""zh-cn""))"),"不引人注目的企业家书 1：步入聚光灯电子书")</f>
        <v>不引人注目的企业家书 1：步入聚光灯电子书</v>
      </c>
      <c r="E3796" s="1" t="str">
        <f>IFERROR(__xludf.DUMMYFUNCTION("CONCATENATE(GOOGLETRANSLATE(C3796, ""en"", ""ko""))"),"눈에 띄지 않는 기업가 도서 1: 스포트라이트를 받아보세요 eBook")</f>
        <v>눈에 띄지 않는 기업가 도서 1: 스포트라이트를 받아보세요 eBook</v>
      </c>
      <c r="F3796" s="1" t="str">
        <f>IFERROR(__xludf.DUMMYFUNCTION("CONCATENATE(GOOGLETRANSLATE(C3796, ""en"", ""ja""))"),"『The Un Noticed Entrepreneur Book 1: Step In the Spotlight』電子書籍")</f>
        <v>『The Un Noticed Entrepreneur Book 1: Step In the Spotlight』電子書籍</v>
      </c>
    </row>
    <row r="3797" ht="15.75" customHeight="1">
      <c r="A3797" s="1">
        <v>6965.0</v>
      </c>
      <c r="B3797" s="1" t="s">
        <v>15</v>
      </c>
      <c r="C3797" s="1" t="s">
        <v>3344</v>
      </c>
      <c r="D3797" s="1" t="str">
        <f>IFERROR(__xludf.DUMMYFUNCTION("CONCATENATE(GOOGLETRANSLATE(C3797, ""en"", ""zh-cn""))"),"一切都很好：回忆录")</f>
        <v>一切都很好：回忆录</v>
      </c>
      <c r="E3797" s="1" t="str">
        <f>IFERROR(__xludf.DUMMYFUNCTION("CONCATENATE(GOOGLETRANSLATE(C3797, ""en"", ""ko""))"),"모든 것이 괜찮다: 회고록")</f>
        <v>모든 것이 괜찮다: 회고록</v>
      </c>
      <c r="F3797" s="1" t="str">
        <f>IFERROR(__xludf.DUMMYFUNCTION("CONCATENATE(GOOGLETRANSLATE(C3797, ""en"", ""ja""))"),"すべては順調です: 回想録")</f>
        <v>すべては順調です: 回想録</v>
      </c>
    </row>
    <row r="3798" ht="15.75" customHeight="1">
      <c r="A3798" s="1">
        <v>6973.0</v>
      </c>
      <c r="B3798" s="1" t="s">
        <v>15</v>
      </c>
      <c r="C3798" s="1" t="s">
        <v>3345</v>
      </c>
      <c r="D3798" s="1" t="str">
        <f>IFERROR(__xludf.DUMMYFUNCTION("CONCATENATE(GOOGLETRANSLATE(C3798, ""en"", ""zh-cn""))"),"任天堂 eShop 数字礼品卡")</f>
        <v>任天堂 eShop 数字礼品卡</v>
      </c>
      <c r="E3798" s="1" t="str">
        <f>IFERROR(__xludf.DUMMYFUNCTION("CONCATENATE(GOOGLETRANSLATE(C3798, ""en"", ""ko""))"),"Nintendo eShop 디지털 기프트 카드")</f>
        <v>Nintendo eShop 디지털 기프트 카드</v>
      </c>
      <c r="F3798" s="1" t="str">
        <f>IFERROR(__xludf.DUMMYFUNCTION("CONCATENATE(GOOGLETRANSLATE(C3798, ""en"", ""ja""))"),"ニンテンドーeショップデジタルギフトカード")</f>
        <v>ニンテンドーeショップデジタルギフトカード</v>
      </c>
    </row>
    <row r="3799" ht="15.75" customHeight="1">
      <c r="A3799" s="1">
        <v>6984.0</v>
      </c>
      <c r="B3799" s="1" t="s">
        <v>15</v>
      </c>
      <c r="C3799" s="1" t="s">
        <v>3346</v>
      </c>
      <c r="D3799" s="1" t="str">
        <f>IFERROR(__xludf.DUMMYFUNCTION("CONCATENATE(GOOGLETRANSLATE(C3799, ""en"", ""zh-cn""))"),"任天堂超级马里奥 3D 全明星")</f>
        <v>任天堂超级马里奥 3D 全明星</v>
      </c>
      <c r="E3799" s="1" t="str">
        <f>IFERROR(__xludf.DUMMYFUNCTION("CONCATENATE(GOOGLETRANSLATE(C3799, ""en"", ""ko""))"),"닌텐도 슈퍼 마리오 3D 올스타")</f>
        <v>닌텐도 슈퍼 마리오 3D 올스타</v>
      </c>
      <c r="F3799" s="1" t="str">
        <f>IFERROR(__xludf.DUMMYFUNCTION("CONCATENATE(GOOGLETRANSLATE(C3799, ""en"", ""ja""))"),"任天堂 スーパーマリオ 3D オールスターズ")</f>
        <v>任天堂 スーパーマリオ 3D オールスターズ</v>
      </c>
    </row>
    <row r="3800" ht="15.75" customHeight="1">
      <c r="A3800" s="1">
        <v>7001.0</v>
      </c>
      <c r="B3800" s="1" t="s">
        <v>15</v>
      </c>
      <c r="C3800" s="1" t="s">
        <v>3347</v>
      </c>
      <c r="D3800" s="1" t="str">
        <f>IFERROR(__xludf.DUMMYFUNCTION("CONCATENATE(GOOGLETRANSLATE(C3800, ""en"", ""zh-cn""))"),"马里奥网球王牌")</f>
        <v>马里奥网球王牌</v>
      </c>
      <c r="E3800" s="1" t="str">
        <f>IFERROR(__xludf.DUMMYFUNCTION("CONCATENATE(GOOGLETRANSLATE(C3800, ""en"", ""ko""))"),"마리오 테니스 에이스")</f>
        <v>마리오 테니스 에이스</v>
      </c>
      <c r="F3800" s="1" t="str">
        <f>IFERROR(__xludf.DUMMYFUNCTION("CONCATENATE(GOOGLETRANSLATE(C3800, ""en"", ""ja""))"),"マリオテニス エース")</f>
        <v>マリオテニス エース</v>
      </c>
    </row>
    <row r="3801" ht="15.75" customHeight="1">
      <c r="A3801" s="1">
        <v>7009.0</v>
      </c>
      <c r="B3801" s="1" t="s">
        <v>15</v>
      </c>
      <c r="C3801" s="1" t="s">
        <v>3348</v>
      </c>
      <c r="D3801" s="1" t="str">
        <f>IFERROR(__xludf.DUMMYFUNCTION("CONCATENATE(GOOGLETRANSLATE(C3801, ""en"", ""zh-cn""))"),"任天堂世界锦标赛 NES 版")</f>
        <v>任天堂世界锦标赛 NES 版</v>
      </c>
      <c r="E3801" s="1" t="str">
        <f>IFERROR(__xludf.DUMMYFUNCTION("CONCATENATE(GOOGLETRANSLATE(C3801, ""en"", ""ko""))"),"닌텐도 월드 챔피언십 NES 에디션")</f>
        <v>닌텐도 월드 챔피언십 NES 에디션</v>
      </c>
      <c r="F3801" s="1" t="str">
        <f>IFERROR(__xludf.DUMMYFUNCTION("CONCATENATE(GOOGLETRANSLATE(C3801, ""en"", ""ja""))"),"任天堂ワールドチャンピオンシップス NES版")</f>
        <v>任天堂ワールドチャンピオンシップス NES版</v>
      </c>
    </row>
    <row r="3802" ht="15.75" customHeight="1">
      <c r="A3802" s="1">
        <v>7015.0</v>
      </c>
      <c r="B3802" s="1" t="s">
        <v>15</v>
      </c>
      <c r="C3802" s="1" t="s">
        <v>3349</v>
      </c>
      <c r="D3802" s="1" t="str">
        <f>IFERROR(__xludf.DUMMYFUNCTION("CONCATENATE(GOOGLETRANSLATE(C3802, ""en"", ""zh-cn""))"),"阿迪达斯 (adidas) 女式 Essentials 3 条纹打底裤")</f>
        <v>阿迪达斯 (adidas) 女式 Essentials 3 条纹打底裤</v>
      </c>
      <c r="E3802" s="1" t="str">
        <f>IFERROR(__xludf.DUMMYFUNCTION("CONCATENATE(GOOGLETRANSLATE(C3802, ""en"", ""ko""))"),"adidas Women's Essentials 3 스트라이프 레깅스")</f>
        <v>adidas Women's Essentials 3 스트라이프 레깅스</v>
      </c>
      <c r="F3802" s="1" t="str">
        <f>IFERROR(__xludf.DUMMYFUNCTION("CONCATENATE(GOOGLETRANSLATE(C3802, ""en"", ""ja""))"),"adidas レディース エッセンシャル 3 ストライプ レギンス")</f>
        <v>adidas レディース エッセンシャル 3 ストライプ レギンス</v>
      </c>
    </row>
    <row r="3803" ht="15.75" customHeight="1">
      <c r="A3803" s="1">
        <v>7019.0</v>
      </c>
      <c r="B3803" s="1" t="s">
        <v>15</v>
      </c>
      <c r="C3803" s="1" t="s">
        <v>3350</v>
      </c>
      <c r="D3803" s="1" t="str">
        <f>IFERROR(__xludf.DUMMYFUNCTION("CONCATENATE(GOOGLETRANSLATE(C3803, ""en"", ""zh-cn""))"),"adidas Originals 女式 Adicolor Neuclassics 运动裤")</f>
        <v>adidas Originals 女式 Adicolor Neuclassics 运动裤</v>
      </c>
      <c r="E3803" s="1" t="str">
        <f>IFERROR(__xludf.DUMMYFUNCTION("CONCATENATE(GOOGLETRANSLATE(C3803, ""en"", ""ko""))"),"adidas Originals 여성 Adicolor 뉴클래식 트랙수트 팬츠")</f>
        <v>adidas Originals 여성 Adicolor 뉴클래식 트랙수트 팬츠</v>
      </c>
      <c r="F3803" s="1" t="str">
        <f>IFERROR(__xludf.DUMMYFUNCTION("CONCATENATE(GOOGLETRANSLATE(C3803, ""en"", ""ja""))"),"アディダス オリジナルス ウィメンズ アディカラー ニュークラシック トラックスーツ パンツ")</f>
        <v>アディダス オリジナルス ウィメンズ アディカラー ニュークラシック トラックスーツ パンツ</v>
      </c>
    </row>
    <row r="3804" ht="15.75" customHeight="1">
      <c r="A3804" s="1">
        <v>7021.0</v>
      </c>
      <c r="B3804" s="1" t="s">
        <v>15</v>
      </c>
      <c r="C3804" s="1" t="s">
        <v>3351</v>
      </c>
      <c r="D3804" s="1" t="str">
        <f>IFERROR(__xludf.DUMMYFUNCTION("CONCATENATE(GOOGLETRANSLATE(C3804, ""en"", ""zh-cn""))"),"阿迪达斯男士 Adicolor 3 条纹慢跑裤")</f>
        <v>阿迪达斯男士 Adicolor 3 条纹慢跑裤</v>
      </c>
      <c r="E3804" s="1" t="str">
        <f>IFERROR(__xludf.DUMMYFUNCTION("CONCATENATE(GOOGLETRANSLATE(C3804, ""en"", ""ko""))"),"아디다스 남성용 아디컬러 3-스트라이프 조거팬츠")</f>
        <v>아디다스 남성용 아디컬러 3-스트라이프 조거팬츠</v>
      </c>
      <c r="F3804" s="1" t="str">
        <f>IFERROR(__xludf.DUMMYFUNCTION("CONCATENATE(GOOGLETRANSLATE(C3804, ""en"", ""ja""))"),"アディダス メンズ アディカラー 3 ストライプ ジョガー")</f>
        <v>アディダス メンズ アディカラー 3 ストライプ ジョガー</v>
      </c>
    </row>
    <row r="3805" ht="15.75" customHeight="1">
      <c r="A3805" s="1">
        <v>7024.0</v>
      </c>
      <c r="B3805" s="1" t="s">
        <v>15</v>
      </c>
      <c r="C3805" s="1" t="s">
        <v>3352</v>
      </c>
      <c r="D3805" s="1" t="str">
        <f>IFERROR(__xludf.DUMMYFUNCTION("CONCATENATE(GOOGLETRANSLATE(C3805, ""en"", ""zh-cn""))"),"阿迪达斯 (adidas) 男士 Z.N.E.全拉链")</f>
        <v>阿迪达斯 (adidas) 男士 Z.N.E.全拉链</v>
      </c>
      <c r="E3805" s="1" t="str">
        <f>IFERROR(__xludf.DUMMYFUNCTION("CONCATENATE(GOOGLETRANSLATE(C3805, ""en"", ""ko""))"),"아디다스 남성 Z.N.E. 풀집")</f>
        <v>아디다스 남성 Z.N.E. 풀집</v>
      </c>
      <c r="F3805" s="1" t="str">
        <f>IFERROR(__xludf.DUMMYFUNCTION("CONCATENATE(GOOGLETRANSLATE(C3805, ""en"", ""ja""))"),"アディダス メンズ Z.N.E.フルジップ")</f>
        <v>アディダス メンズ Z.N.E.フルジップ</v>
      </c>
    </row>
    <row r="3806" ht="15.75" customHeight="1">
      <c r="A3806" s="1">
        <v>7029.0</v>
      </c>
      <c r="B3806" s="1" t="s">
        <v>15</v>
      </c>
      <c r="C3806" s="1" t="s">
        <v>3353</v>
      </c>
      <c r="D3806" s="1" t="str">
        <f>IFERROR(__xludf.DUMMYFUNCTION("CONCATENATE(GOOGLETRANSLATE(C3806, ""en"", ""zh-cn""))"),"阿迪达斯男式三条纹经编锥形运动裤")</f>
        <v>阿迪达斯男式三条纹经编锥形运动裤</v>
      </c>
      <c r="E3806" s="1" t="str">
        <f>IFERROR(__xludf.DUMMYFUNCTION("CONCATENATE(GOOGLETRANSLATE(C3806, ""en"", ""ko""))"),"adidas 남성용 3-스트라이프 트리코 테이퍼드 트랙 팬츠")</f>
        <v>adidas 남성용 3-스트라이프 트리코 테이퍼드 트랙 팬츠</v>
      </c>
      <c r="F3806" s="1" t="str">
        <f>IFERROR(__xludf.DUMMYFUNCTION("CONCATENATE(GOOGLETRANSLATE(C3806, ""en"", ""ja""))"),"adidas メンズ 3 ストライプ トリコット テーパード トラック パンツ")</f>
        <v>adidas メンズ 3 ストライプ トリコット テーパード トラック パンツ</v>
      </c>
    </row>
    <row r="3807" ht="15.75" customHeight="1">
      <c r="A3807" s="1">
        <v>7036.0</v>
      </c>
      <c r="B3807" s="1" t="s">
        <v>15</v>
      </c>
      <c r="C3807" s="1" t="s">
        <v>3354</v>
      </c>
      <c r="D3807" s="1" t="str">
        <f>IFERROR(__xludf.DUMMYFUNCTION("CONCATENATE(GOOGLETRANSLATE(C3807, ""en"", ""zh-cn""))"),"阿迪达斯 (adidas) 女式 D4T 针织训练裤")</f>
        <v>阿迪达斯 (adidas) 女式 D4T 针织训练裤</v>
      </c>
      <c r="E3807" s="1" t="str">
        <f>IFERROR(__xludf.DUMMYFUNCTION("CONCATENATE(GOOGLETRANSLATE(C3807, ""en"", ""ko""))"),"아디다스 여성용 D4T 니트 트레이닝 팬츠")</f>
        <v>아디다스 여성용 D4T 니트 트레이닝 팬츠</v>
      </c>
      <c r="F3807" s="1" t="str">
        <f>IFERROR(__xludf.DUMMYFUNCTION("CONCATENATE(GOOGLETRANSLATE(C3807, ""en"", ""ja""))"),"アディダス レディース D4T ニット トレーニング パンツ")</f>
        <v>アディダス レディース D4T ニット トレーニング パンツ</v>
      </c>
    </row>
    <row r="3808" ht="15.75" customHeight="1">
      <c r="A3808" s="1">
        <v>7041.0</v>
      </c>
      <c r="B3808" s="1" t="s">
        <v>15</v>
      </c>
      <c r="C3808" s="1" t="s">
        <v>3355</v>
      </c>
      <c r="D3808" s="1" t="str">
        <f>IFERROR(__xludf.DUMMYFUNCTION("CONCATENATE(GOOGLETRANSLATE(C3808, ""en"", ""zh-cn""))"),"阿迪达斯 (adidas) 女式 Cloudfoam Pure 跑鞋")</f>
        <v>阿迪达斯 (adidas) 女式 Cloudfoam Pure 跑鞋</v>
      </c>
      <c r="E3808" s="1" t="str">
        <f>IFERROR(__xludf.DUMMYFUNCTION("CONCATENATE(GOOGLETRANSLATE(C3808, ""en"", ""ko""))"),"아디다스 여성용 Cloudfoam Pure 운동화")</f>
        <v>아디다스 여성용 Cloudfoam Pure 운동화</v>
      </c>
      <c r="F3808" s="1" t="str">
        <f>IFERROR(__xludf.DUMMYFUNCTION("CONCATENATE(GOOGLETRANSLATE(C3808, ""en"", ""ja""))"),"アディダス レディース クラウドフォーム ピュア ランニング シューズ")</f>
        <v>アディダス レディース クラウドフォーム ピュア ランニング シューズ</v>
      </c>
    </row>
    <row r="3809" ht="15.75" customHeight="1">
      <c r="A3809" s="1">
        <v>7044.0</v>
      </c>
      <c r="B3809" s="1" t="s">
        <v>15</v>
      </c>
      <c r="C3809" s="1" t="s">
        <v>3356</v>
      </c>
      <c r="D3809" s="1" t="str">
        <f>IFERROR(__xludf.DUMMYFUNCTION("CONCATENATE(GOOGLETRANSLATE(C3809, ""en"", ""zh-cn""))"),"adidas Barreda Decode 男鞋白色")</f>
        <v>adidas Barreda Decode 男鞋白色</v>
      </c>
      <c r="E3809" s="1" t="str">
        <f>IFERROR(__xludf.DUMMYFUNCTION("CONCATENATE(GOOGLETRANSLATE(C3809, ""en"", ""ko""))"),"아디다스 바레다 디코드 남성 신발 화이트")</f>
        <v>아디다스 바레다 디코드 남성 신발 화이트</v>
      </c>
      <c r="F3809" s="1" t="str">
        <f>IFERROR(__xludf.DUMMYFUNCTION("CONCATENATE(GOOGLETRANSLATE(C3809, ""en"", ""ja""))"),"アディダス バレダ デコード メンズ シューズ ホワイト")</f>
        <v>アディダス バレダ デコード メンズ シューズ ホワイト</v>
      </c>
    </row>
    <row r="3810" ht="15.75" customHeight="1">
      <c r="A3810" s="1">
        <v>7046.0</v>
      </c>
      <c r="B3810" s="1" t="s">
        <v>15</v>
      </c>
      <c r="C3810" s="1" t="s">
        <v>3357</v>
      </c>
      <c r="D3810" s="1" t="str">
        <f>IFERROR(__xludf.DUMMYFUNCTION("CONCATENATE(GOOGLETRANSLATE(C3810, ""en"", ""zh-cn""))"),"阿迪达斯 (adidas) 女式 Energize 运动服")</f>
        <v>阿迪达斯 (adidas) 女式 Energize 运动服</v>
      </c>
      <c r="E3810" s="1" t="str">
        <f>IFERROR(__xludf.DUMMYFUNCTION("CONCATENATE(GOOGLETRANSLATE(C3810, ""en"", ""ko""))"),"adidas 여성용 에너자이즈 트랙수트")</f>
        <v>adidas 여성용 에너자이즈 트랙수트</v>
      </c>
      <c r="F3810" s="1" t="str">
        <f>IFERROR(__xludf.DUMMYFUNCTION("CONCATENATE(GOOGLETRANSLATE(C3810, ""en"", ""ja""))"),"アディダス レディース Energize トラックスーツ")</f>
        <v>アディダス レディース Energize トラックスーツ</v>
      </c>
    </row>
    <row r="3811" ht="15.75" customHeight="1">
      <c r="A3811" s="1">
        <v>7052.0</v>
      </c>
      <c r="B3811" s="1" t="s">
        <v>15</v>
      </c>
      <c r="C3811" s="1" t="s">
        <v>3358</v>
      </c>
      <c r="D3811" s="1" t="str">
        <f>IFERROR(__xludf.DUMMYFUNCTION("CONCATENATE(GOOGLETRANSLATE(C3811, ""en"", ""zh-cn""))"),"ASICS 男士螺旋刺绣梭织长裤")</f>
        <v>ASICS 男士螺旋刺绣梭织长裤</v>
      </c>
      <c r="E3811" s="1" t="str">
        <f>IFERROR(__xludf.DUMMYFUNCTION("CONCATENATE(GOOGLETRANSLATE(C3811, ""en"", ""ko""))"),"아식스 남성용 나선형 자수 우븐 팬츠")</f>
        <v>아식스 남성용 나선형 자수 우븐 팬츠</v>
      </c>
      <c r="F3811" s="1" t="str">
        <f>IFERROR(__xludf.DUMMYFUNCTION("CONCATENATE(GOOGLETRANSLATE(C3811, ""en"", ""ja""))"),"[アシックス] スパイラル刺繍ウーブンパンツ メンズ")</f>
        <v>[アシックス] スパイラル刺繍ウーブンパンツ メンズ</v>
      </c>
    </row>
    <row r="3812" ht="15.75" customHeight="1">
      <c r="A3812" s="1">
        <v>7053.0</v>
      </c>
      <c r="B3812" s="1" t="s">
        <v>15</v>
      </c>
      <c r="C3812" s="1" t="s">
        <v>3359</v>
      </c>
      <c r="D3812" s="1" t="str">
        <f>IFERROR(__xludf.DUMMYFUNCTION("CONCATENATE(GOOGLETRANSLATE(C3812, ""en"", ""zh-cn""))"),"ASICS 男士弹力针织慢跑裤")</f>
        <v>ASICS 男士弹力针织慢跑裤</v>
      </c>
      <c r="E3812" s="1" t="str">
        <f>IFERROR(__xludf.DUMMYFUNCTION("CONCATENATE(GOOGLETRANSLATE(C3812, ""en"", ""ko""))"),"아식스 남성 스트레치 니트 조거 팬츠")</f>
        <v>아식스 남성 스트레치 니트 조거 팬츠</v>
      </c>
      <c r="F3812" s="1" t="str">
        <f>IFERROR(__xludf.DUMMYFUNCTION("CONCATENATE(GOOGLETRANSLATE(C3812, ""en"", ""ja""))"),"[アシックス] ストレッチニットジョガーパンツ メンズ")</f>
        <v>[アシックス] ストレッチニットジョガーパンツ メンズ</v>
      </c>
    </row>
    <row r="3813" ht="15.75" customHeight="1">
      <c r="A3813" s="1">
        <v>7059.0</v>
      </c>
      <c r="B3813" s="1" t="s">
        <v>15</v>
      </c>
      <c r="C3813" s="1" t="s">
        <v>3360</v>
      </c>
      <c r="D3813" s="1" t="str">
        <f>IFERROR(__xludf.DUMMYFUNCTION("CONCATENATE(GOOGLETRANSLATE(C3813, ""en"", ""zh-cn""))"),"ASICS 女子训练核心紧身裤")</f>
        <v>ASICS 女子训练核心紧身裤</v>
      </c>
      <c r="E3813" s="1" t="str">
        <f>IFERROR(__xludf.DUMMYFUNCTION("CONCATENATE(GOOGLETRANSLATE(C3813, ""en"", ""ko""))"),"아식스 여성 트레이닝 코어 타이트")</f>
        <v>아식스 여성 트레이닝 코어 타이트</v>
      </c>
      <c r="F3813" s="1" t="str">
        <f>IFERROR(__xludf.DUMMYFUNCTION("CONCATENATE(GOOGLETRANSLATE(C3813, ""en"", ""ja""))"),"アシックス ウィメンズ トレーニング コア タイト")</f>
        <v>アシックス ウィメンズ トレーニング コア タイト</v>
      </c>
    </row>
    <row r="3814" ht="15.75" customHeight="1">
      <c r="A3814" s="1">
        <v>7060.0</v>
      </c>
      <c r="B3814" s="1" t="s">
        <v>15</v>
      </c>
      <c r="C3814" s="1" t="s">
        <v>3361</v>
      </c>
      <c r="D3814" s="1" t="str">
        <f>IFERROR(__xludf.DUMMYFUNCTION("CONCATENATE(GOOGLETRANSLATE(C3814, ""en"", ""zh-cn""))"),"ASICS 男女通用经典针织裤")</f>
        <v>ASICS 男女通用经典针织裤</v>
      </c>
      <c r="E3814" s="1" t="str">
        <f>IFERROR(__xludf.DUMMYFUNCTION("CONCATENATE(GOOGLETRANSLATE(C3814, ""en"", ""ko""))"),"아식스 유니섹스 클래식 니트 팬츠")</f>
        <v>아식스 유니섹스 클래식 니트 팬츠</v>
      </c>
      <c r="F3814" s="1" t="str">
        <f>IFERROR(__xludf.DUMMYFUNCTION("CONCATENATE(GOOGLETRANSLATE(C3814, ""en"", ""ja""))"),"アシックス ユニセックス クラシック ニット パンツ")</f>
        <v>アシックス ユニセックス クラシック ニット パンツ</v>
      </c>
    </row>
    <row r="3815" ht="15.75" customHeight="1">
      <c r="A3815" s="1">
        <v>7073.0</v>
      </c>
      <c r="B3815" s="1" t="s">
        <v>15</v>
      </c>
      <c r="C3815" s="1" t="s">
        <v>3362</v>
      </c>
      <c r="D3815" s="1" t="str">
        <f>IFERROR(__xludf.DUMMYFUNCTION("CONCATENATE(GOOGLETRANSLATE(C3815, ""en"", ""zh-cn""))"),"ASICS 男士双层编织 7 英寸短裤")</f>
        <v>ASICS 男士双层编织 7 英寸短裤</v>
      </c>
      <c r="E3815" s="1" t="str">
        <f>IFERROR(__xludf.DUMMYFUNCTION("CONCATENATE(GOOGLETRANSLATE(C3815, ""en"", ""ko""))"),"아식스 남성용 더블 위브 7인치 반바지")</f>
        <v>아식스 남성용 더블 위브 7인치 반바지</v>
      </c>
      <c r="F3815" s="1" t="str">
        <f>IFERROR(__xludf.DUMMYFUNCTION("CONCATENATE(GOOGLETRANSLATE(C3815, ""en"", ""ja""))"),"アシックス メンズ ダブルウィーブ 7インチ ショーツ")</f>
        <v>アシックス メンズ ダブルウィーブ 7インチ ショーツ</v>
      </c>
    </row>
    <row r="3816" ht="15.75" customHeight="1">
      <c r="A3816" s="1">
        <v>7074.0</v>
      </c>
      <c r="B3816" s="1" t="s">
        <v>15</v>
      </c>
      <c r="C3816" s="1" t="s">
        <v>3363</v>
      </c>
      <c r="D3816" s="1" t="str">
        <f>IFERROR(__xludf.DUMMYFUNCTION("CONCATENATE(GOOGLETRANSLATE(C3816, ""en"", ""zh-cn""))"),"ASICS GEL-NYC 运动风格运动鞋")</f>
        <v>ASICS GEL-NYC 运动风格运动鞋</v>
      </c>
      <c r="E3816" s="1" t="str">
        <f>IFERROR(__xludf.DUMMYFUNCTION("CONCATENATE(GOOGLETRANSLATE(C3816, ""en"", ""ko""))"),"ASICS GEL-NYC 스포츠스타일 스니커즈")</f>
        <v>ASICS GEL-NYC 스포츠스타일 스니커즈</v>
      </c>
      <c r="F3816" s="1" t="str">
        <f>IFERROR(__xludf.DUMMYFUNCTION("CONCATENATE(GOOGLETRANSLATE(C3816, ""en"", ""ja""))"),"アシックス GEL-NYC スポーツスタイル スニーカー")</f>
        <v>アシックス GEL-NYC スポーツスタイル スニーカー</v>
      </c>
    </row>
    <row r="3817" ht="15.75" customHeight="1">
      <c r="A3817" s="1">
        <v>7082.0</v>
      </c>
      <c r="B3817" s="1" t="s">
        <v>15</v>
      </c>
      <c r="C3817" s="1" t="s">
        <v>3364</v>
      </c>
      <c r="D3817" s="1" t="str">
        <f>IFERROR(__xludf.DUMMYFUNCTION("CONCATENATE(GOOGLETRANSLATE(C3817, ""en"", ""zh-cn""))"),"ASICS 男士 Court 9 英寸短裤")</f>
        <v>ASICS 男士 Court 9 英寸短裤</v>
      </c>
      <c r="E3817" s="1" t="str">
        <f>IFERROR(__xludf.DUMMYFUNCTION("CONCATENATE(GOOGLETRANSLATE(C3817, ""en"", ""ko""))"),"아식스 남성 코트 9인치 반바지")</f>
        <v>아식스 남성 코트 9인치 반바지</v>
      </c>
      <c r="F3817" s="1" t="str">
        <f>IFERROR(__xludf.DUMMYFUNCTION("CONCATENATE(GOOGLETRANSLATE(C3817, ""en"", ""ja""))"),"アシックス メンズ コート 9インチ ショーツ")</f>
        <v>アシックス メンズ コート 9インチ ショーツ</v>
      </c>
    </row>
    <row r="3818" ht="15.75" customHeight="1">
      <c r="A3818" s="1">
        <v>7090.0</v>
      </c>
      <c r="B3818" s="1" t="s">
        <v>15</v>
      </c>
      <c r="C3818" s="1" t="s">
        <v>3365</v>
      </c>
      <c r="D3818" s="1" t="str">
        <f>IFERROR(__xludf.DUMMYFUNCTION("CONCATENATE(GOOGLETRANSLATE(C3818, ""en"", ""zh-cn""))"),"ASICS 女式 Flex 弹力短袖上衣")</f>
        <v>ASICS 女式 Flex 弹力短袖上衣</v>
      </c>
      <c r="E3818" s="1" t="str">
        <f>IFERROR(__xludf.DUMMYFUNCTION("CONCATENATE(GOOGLETRANSLATE(C3818, ""en"", ""ko""))"),"아식스 여성용 플렉스 스트레치 반소매 탑")</f>
        <v>아식스 여성용 플렉스 스트레치 반소매 탑</v>
      </c>
      <c r="F3818" s="1" t="str">
        <f>IFERROR(__xludf.DUMMYFUNCTION("CONCATENATE(GOOGLETRANSLATE(C3818, ""en"", ""ja""))"),"[アシックス] フレックスストレッチ半袖トップ レディース")</f>
        <v>[アシックス] フレックスストレッチ半袖トップ レディース</v>
      </c>
    </row>
    <row r="3819" ht="15.75" customHeight="1">
      <c r="A3819" s="1">
        <v>7097.0</v>
      </c>
      <c r="B3819" s="1" t="s">
        <v>15</v>
      </c>
      <c r="C3819" s="1" t="s">
        <v>3366</v>
      </c>
      <c r="D3819" s="1" t="str">
        <f>IFERROR(__xludf.DUMMYFUNCTION("CONCATENATE(GOOGLETRANSLATE(C3819, ""en"", ""zh-cn""))"),"Gymshark 男士平针织徽标印花连帽衫")</f>
        <v>Gymshark 男士平针织徽标印花连帽衫</v>
      </c>
      <c r="E3819" s="1" t="str">
        <f>IFERROR(__xludf.DUMMYFUNCTION("CONCATENATE(GOOGLETRANSLATE(C3819, ""en"", ""ko""))"),"Gymshark 남성용 플랫 니트 로고 프린트 후디")</f>
        <v>Gymshark 남성용 플랫 니트 로고 프린트 후디</v>
      </c>
      <c r="F3819" s="1" t="str">
        <f>IFERROR(__xludf.DUMMYFUNCTION("CONCATENATE(GOOGLETRANSLATE(C3819, ""en"", ""ja""))"),"Gymshark メンズ フラット ニット ロゴプリント フーディ")</f>
        <v>Gymshark メンズ フラット ニット ロゴプリント フーディ</v>
      </c>
    </row>
    <row r="3820" ht="15.75" customHeight="1">
      <c r="A3820" s="1">
        <v>7121.0</v>
      </c>
      <c r="B3820" s="1" t="s">
        <v>15</v>
      </c>
      <c r="C3820" s="1" t="s">
        <v>3367</v>
      </c>
      <c r="D3820" s="1" t="str">
        <f>IFERROR(__xludf.DUMMYFUNCTION("CONCATENATE(GOOGLETRANSLATE(C3820, ""en"", ""zh-cn""))"),"Gymshark 提升紧身裤 2.0")</f>
        <v>Gymshark 提升紧身裤 2.0</v>
      </c>
      <c r="E3820" s="1" t="str">
        <f>IFERROR(__xludf.DUMMYFUNCTION("CONCATENATE(GOOGLETRANSLATE(C3820, ""en"", ""ko""))"),"Gymshark 엘리베이트 레깅스 2.0")</f>
        <v>Gymshark 엘리베이트 레깅스 2.0</v>
      </c>
      <c r="F3820" s="1" t="str">
        <f>IFERROR(__xludf.DUMMYFUNCTION("CONCATENATE(GOOGLETRANSLATE(C3820, ""en"", ""ja""))"),"ジムシャーク エレベート レギンス 2.0")</f>
        <v>ジムシャーク エレベート レギンス 2.0</v>
      </c>
    </row>
    <row r="3821" ht="15.75" customHeight="1">
      <c r="A3821" s="1">
        <v>7122.0</v>
      </c>
      <c r="B3821" s="1" t="s">
        <v>15</v>
      </c>
      <c r="C3821" s="1" t="s">
        <v>3368</v>
      </c>
      <c r="D3821" s="1" t="str">
        <f>IFERROR(__xludf.DUMMYFUNCTION("CONCATENATE(GOOGLETRANSLATE(C3821, ""en"", ""zh-cn""))"),"Gymshark 交叉护腿")</f>
        <v>Gymshark 交叉护腿</v>
      </c>
      <c r="E3821" s="1" t="str">
        <f>IFERROR(__xludf.DUMMYFUNCTION("CONCATENATE(GOOGLETRANSLATE(C3821, ""en"", ""ko""))"),"Gymshark 크로스오버 레깅스")</f>
        <v>Gymshark 크로스오버 레깅스</v>
      </c>
      <c r="F3821" s="1" t="str">
        <f>IFERROR(__xludf.DUMMYFUNCTION("CONCATENATE(GOOGLETRANSLATE(C3821, ""en"", ""ja""))"),"Gymshark クロスオーバー レギンス")</f>
        <v>Gymshark クロスオーバー レギンス</v>
      </c>
    </row>
    <row r="3822" ht="15.75" customHeight="1">
      <c r="A3822" s="1">
        <v>7136.0</v>
      </c>
      <c r="B3822" s="1" t="s">
        <v>15</v>
      </c>
      <c r="C3822" s="1" t="s">
        <v>3369</v>
      </c>
      <c r="D3822" s="1" t="str">
        <f>IFERROR(__xludf.DUMMYFUNCTION("CONCATENATE(GOOGLETRANSLATE(C3822, ""en"", ""zh-cn""))"),"耐克男士俱乐部抓绒套头连帽衫")</f>
        <v>耐克男士俱乐部抓绒套头连帽衫</v>
      </c>
      <c r="E3822" s="1" t="str">
        <f>IFERROR(__xludf.DUMMYFUNCTION("CONCATENATE(GOOGLETRANSLATE(C3822, ""en"", ""ko""))"),"나이키 남성 클럽 플리스 풀오버 후디")</f>
        <v>나이키 남성 클럽 플리스 풀오버 후디</v>
      </c>
      <c r="F3822" s="1" t="str">
        <f>IFERROR(__xludf.DUMMYFUNCTION("CONCATENATE(GOOGLETRANSLATE(C3822, ""en"", ""ja""))"),"ナイキ メンズ クラブ フリース プルオーバー パーカー")</f>
        <v>ナイキ メンズ クラブ フリース プルオーバー パーカー</v>
      </c>
    </row>
    <row r="3823" ht="15.75" customHeight="1">
      <c r="A3823" s="1">
        <v>7144.0</v>
      </c>
      <c r="B3823" s="1" t="s">
        <v>15</v>
      </c>
      <c r="C3823" s="1" t="s">
        <v>3370</v>
      </c>
      <c r="D3823" s="1" t="str">
        <f>IFERROR(__xludf.DUMMYFUNCTION("CONCATENATE(GOOGLETRANSLATE(C3823, ""en"", ""zh-cn""))"),"耐克男士 Club 针织慢跑裤")</f>
        <v>耐克男士 Club 针织慢跑裤</v>
      </c>
      <c r="E3823" s="1" t="str">
        <f>IFERROR(__xludf.DUMMYFUNCTION("CONCATENATE(GOOGLETRANSLATE(C3823, ""en"", ""ko""))"),"나이키 남성 클럽 니트 조거")</f>
        <v>나이키 남성 클럽 니트 조거</v>
      </c>
      <c r="F3823" s="1" t="str">
        <f>IFERROR(__xludf.DUMMYFUNCTION("CONCATENATE(GOOGLETRANSLATE(C3823, ""en"", ""ja""))"),"ナイキ メンズ クラブ ニット ジョガー")</f>
        <v>ナイキ メンズ クラブ ニット ジョガー</v>
      </c>
    </row>
    <row r="3824" ht="15.75" customHeight="1">
      <c r="A3824" s="1">
        <v>7149.0</v>
      </c>
      <c r="B3824" s="1" t="s">
        <v>15</v>
      </c>
      <c r="C3824" s="1" t="s">
        <v>3371</v>
      </c>
      <c r="D3824" s="1" t="str">
        <f>IFERROR(__xludf.DUMMYFUNCTION("CONCATENATE(GOOGLETRANSLATE(C3824, ""en"", ""zh-cn""))"),"耐克女式 Zenvy 温和支撑高腰全长打底裤")</f>
        <v>耐克女式 Zenvy 温和支撑高腰全长打底裤</v>
      </c>
      <c r="E3824" s="1" t="str">
        <f>IFERROR(__xludf.DUMMYFUNCTION("CONCATENATE(GOOGLETRANSLATE(C3824, ""en"", ""ko""))"),"나이키 여성용 젠비 젠틀 서포트 하이 웨이스트 전장 레깅스")</f>
        <v>나이키 여성용 젠비 젠틀 서포트 하이 웨이스트 전장 레깅스</v>
      </c>
      <c r="F3824" s="1" t="str">
        <f>IFERROR(__xludf.DUMMYFUNCTION("CONCATENATE(GOOGLETRANSLATE(C3824, ""en"", ""ja""))"),"ナイキ ウィメンズ Zenvy ジェントルサポート ハイウエスト フルレングス レギンス")</f>
        <v>ナイキ ウィメンズ Zenvy ジェントルサポート ハイウエスト フルレングス レギンス</v>
      </c>
    </row>
    <row r="3825" ht="15.75" customHeight="1">
      <c r="A3825" s="1">
        <v>7151.0</v>
      </c>
      <c r="B3825" s="1" t="s">
        <v>15</v>
      </c>
      <c r="C3825" s="1" t="s">
        <v>3372</v>
      </c>
      <c r="D3825" s="1" t="str">
        <f>IFERROR(__xludf.DUMMYFUNCTION("CONCATENATE(GOOGLETRANSLATE(C3825, ""en"", ""zh-cn""))"),"耐克女式 Phoenix Fleece 超大连帽衫")</f>
        <v>耐克女式 Phoenix Fleece 超大连帽衫</v>
      </c>
      <c r="E3825" s="1" t="str">
        <f>IFERROR(__xludf.DUMMYFUNCTION("CONCATENATE(GOOGLETRANSLATE(C3825, ""en"", ""ko""))"),"나이키 여성용 피닉스 플리스 오버사이즈 후디")</f>
        <v>나이키 여성용 피닉스 플리스 오버사이즈 후디</v>
      </c>
      <c r="F3825" s="1" t="str">
        <f>IFERROR(__xludf.DUMMYFUNCTION("CONCATENATE(GOOGLETRANSLATE(C3825, ""en"", ""ja""))"),"ナイキ ウィメンズ フェニックス フリース オーバーオーバーサイズ パーカー")</f>
        <v>ナイキ ウィメンズ フェニックス フリース オーバーオーバーサイズ パーカー</v>
      </c>
    </row>
    <row r="3826" ht="15.75" customHeight="1">
      <c r="A3826" s="1">
        <v>7154.0</v>
      </c>
      <c r="B3826" s="1" t="s">
        <v>15</v>
      </c>
      <c r="C3826" s="1" t="s">
        <v>3373</v>
      </c>
      <c r="D3826" s="1" t="str">
        <f>IFERROR(__xludf.DUMMYFUNCTION("CONCATENATE(GOOGLETRANSLATE(C3826, ""en"", ""zh-cn""))"),"耐克女式 Windrunner 高腰梭织开口下摆长裤")</f>
        <v>耐克女式 Windrunner 高腰梭织开口下摆长裤</v>
      </c>
      <c r="E3826" s="1" t="str">
        <f>IFERROR(__xludf.DUMMYFUNCTION("CONCATENATE(GOOGLETRANSLATE(C3826, ""en"", ""ko""))"),"나이키 여성용 윈드러너 하이웨이스트 우븐 오픈 밑단 팬츠")</f>
        <v>나이키 여성용 윈드러너 하이웨이스트 우븐 오픈 밑단 팬츠</v>
      </c>
      <c r="F3826" s="1" t="str">
        <f>IFERROR(__xludf.DUMMYFUNCTION("CONCATENATE(GOOGLETRANSLATE(C3826, ""en"", ""ja""))"),"ナイキ レディース ウィンドランナー ハイウエスト ウーブン オープンヘム パンツ")</f>
        <v>ナイキ レディース ウィンドランナー ハイウエスト ウーブン オープンヘム パンツ</v>
      </c>
    </row>
    <row r="3827" ht="15.75" customHeight="1">
      <c r="A3827" s="1">
        <v>7163.0</v>
      </c>
      <c r="B3827" s="1" t="s">
        <v>15</v>
      </c>
      <c r="C3827" s="1" t="s">
        <v>3374</v>
      </c>
      <c r="D3827" s="1" t="str">
        <f>IFERROR(__xludf.DUMMYFUNCTION("CONCATENATE(GOOGLETRANSLATE(C3827, ""en"", ""zh-cn""))"),"耐克女式运动装经典高腰 7/8 打底裤")</f>
        <v>耐克女式运动装经典高腰 7/8 打底裤</v>
      </c>
      <c r="E3827" s="1" t="str">
        <f>IFERROR(__xludf.DUMMYFUNCTION("CONCATENATE(GOOGLETRANSLATE(C3827, ""en"", ""ko""))"),"나이키 여성용 스포츠웨어 클래식 하이웨이스트 7/8 레깅스")</f>
        <v>나이키 여성용 스포츠웨어 클래식 하이웨이스트 7/8 레깅스</v>
      </c>
      <c r="F3827" s="1" t="str">
        <f>IFERROR(__xludf.DUMMYFUNCTION("CONCATENATE(GOOGLETRANSLATE(C3827, ""en"", ""ja""))"),"ナイキ レディース スポーツウェア クラシック ハイウエスト 7/8 レギンス")</f>
        <v>ナイキ レディース スポーツウェア クラシック ハイウエスト 7/8 レギンス</v>
      </c>
    </row>
    <row r="3828" ht="15.75" customHeight="1">
      <c r="A3828" s="1">
        <v>7165.0</v>
      </c>
      <c r="B3828" s="1" t="s">
        <v>15</v>
      </c>
      <c r="C3828" s="1" t="s">
        <v>3375</v>
      </c>
      <c r="D3828" s="1" t="str">
        <f>IFERROR(__xludf.DUMMYFUNCTION("CONCATENATE(GOOGLETRANSLATE(C3828, ""en"", ""zh-cn""))"),"耐克男士 Sportswear Club 填充夹克")</f>
        <v>耐克男士 Sportswear Club 填充夹克</v>
      </c>
      <c r="E3828" s="1" t="str">
        <f>IFERROR(__xludf.DUMMYFUNCTION("CONCATENATE(GOOGLETRANSLATE(C3828, ""en"", ""ko""))"),"나이키 남성 스포츠웨어 클럽 퍼퍼 재킷")</f>
        <v>나이키 남성 스포츠웨어 클럽 퍼퍼 재킷</v>
      </c>
      <c r="F3828" s="1" t="str">
        <f>IFERROR(__xludf.DUMMYFUNCTION("CONCATENATE(GOOGLETRANSLATE(C3828, ""en"", ""ja""))"),"ナイキ メンズ スポーツウェア クラブ パファー ジャケット")</f>
        <v>ナイキ メンズ スポーツウェア クラブ パファー ジャケット</v>
      </c>
    </row>
    <row r="3829" ht="15.75" customHeight="1">
      <c r="A3829" s="1">
        <v>7173.0</v>
      </c>
      <c r="B3829" s="1" t="s">
        <v>15</v>
      </c>
      <c r="C3829" s="1" t="s">
        <v>3376</v>
      </c>
      <c r="D3829" s="1" t="str">
        <f>IFERROR(__xludf.DUMMYFUNCTION("CONCATENATE(GOOGLETRANSLATE(C3829, ""en"", ""zh-cn""))"),"Reebok 女式锻炼高腰打底裤")</f>
        <v>Reebok 女式锻炼高腰打底裤</v>
      </c>
      <c r="E3829" s="1" t="str">
        <f>IFERROR(__xludf.DUMMYFUNCTION("CONCATENATE(GOOGLETRANSLATE(C3829, ""en"", ""ko""))"),"Reebok 여성용 워크아웃 레디 하이라이즈 레깅스")</f>
        <v>Reebok 여성용 워크아웃 레디 하이라이즈 레깅스</v>
      </c>
      <c r="F3829" s="1" t="str">
        <f>IFERROR(__xludf.DUMMYFUNCTION("CONCATENATE(GOOGLETRANSLATE(C3829, ""en"", ""ja""))"),"リーボック レディース Work Out Ready ハイライズ レギンス")</f>
        <v>リーボック レディース Work Out Ready ハイライズ レギンス</v>
      </c>
    </row>
    <row r="3830" ht="15.75" customHeight="1">
      <c r="A3830" s="1">
        <v>7194.0</v>
      </c>
      <c r="B3830" s="1" t="s">
        <v>15</v>
      </c>
      <c r="C3830" s="1" t="s">
        <v>3377</v>
      </c>
      <c r="D3830" s="1" t="str">
        <f>IFERROR(__xludf.DUMMYFUNCTION("CONCATENATE(GOOGLETRANSLATE(C3830, ""en"", ""zh-cn""))"),"Reebok 男士 Outerverse Strength 长裤")</f>
        <v>Reebok 男士 Outerverse Strength 长裤</v>
      </c>
      <c r="E3830" s="1" t="str">
        <f>IFERROR(__xludf.DUMMYFUNCTION("CONCATENATE(GOOGLETRANSLATE(C3830, ""en"", ""ko""))"),"Reebok 남성용 아우터버스 스트렝스 팬츠")</f>
        <v>Reebok 남성용 아우터버스 스트렝스 팬츠</v>
      </c>
      <c r="F3830" s="1" t="str">
        <f>IFERROR(__xludf.DUMMYFUNCTION("CONCATENATE(GOOGLETRANSLATE(C3830, ""en"", ""ja""))"),"リーボック メンズ アウターバース ストレングス パンツ")</f>
        <v>リーボック メンズ アウターバース ストレングス パンツ</v>
      </c>
    </row>
    <row r="3831" ht="15.75" customHeight="1">
      <c r="A3831" s="1">
        <v>7201.0</v>
      </c>
      <c r="B3831" s="1" t="s">
        <v>15</v>
      </c>
      <c r="C3831" s="1" t="s">
        <v>3378</v>
      </c>
      <c r="D3831" s="1" t="str">
        <f>IFERROR(__xludf.DUMMYFUNCTION("CONCATENATE(GOOGLETRANSLATE(C3831, ""en"", ""zh-cn""))"),"Reebok 女式 Active Collective DreamBlend 中层运动衫")</f>
        <v>Reebok 女式 Active Collective DreamBlend 中层运动衫</v>
      </c>
      <c r="E3831" s="1" t="str">
        <f>IFERROR(__xludf.DUMMYFUNCTION("CONCATENATE(GOOGLETRANSLATE(C3831, ""en"", ""ko""))"),"Reebok 여성용 Active Collective DreamBlend 미드레이어 스웨트셔츠")</f>
        <v>Reebok 여성용 Active Collective DreamBlend 미드레이어 스웨트셔츠</v>
      </c>
      <c r="F3831" s="1" t="str">
        <f>IFERROR(__xludf.DUMMYFUNCTION("CONCATENATE(GOOGLETRANSLATE(C3831, ""en"", ""ja""))"),"Reebok レディース アクティブ コレクティブ ドリームブレンド ミッドレイヤー スウェットシャツ")</f>
        <v>Reebok レディース アクティブ コレクティブ ドリームブレンド ミッドレイヤー スウェットシャツ</v>
      </c>
    </row>
    <row r="3832" ht="15.75" customHeight="1">
      <c r="A3832" s="1">
        <v>7209.0</v>
      </c>
      <c r="B3832" s="1" t="s">
        <v>15</v>
      </c>
      <c r="C3832" s="1" t="s">
        <v>3379</v>
      </c>
      <c r="D3832" s="1" t="str">
        <f>IFERROR(__xludf.DUMMYFUNCTION("CONCATENATE(GOOGLETRANSLATE(C3832, ""en"", ""zh-cn""))"),"Reebok 男士训练科技 T 恤")</f>
        <v>Reebok 男士训练科技 T 恤</v>
      </c>
      <c r="E3832" s="1" t="str">
        <f>IFERROR(__xludf.DUMMYFUNCTION("CONCATENATE(GOOGLETRANSLATE(C3832, ""en"", ""ko""))"),"Reebok 남성 트레이닝 테크 티셔츠")</f>
        <v>Reebok 남성 트레이닝 테크 티셔츠</v>
      </c>
      <c r="F3832" s="1" t="str">
        <f>IFERROR(__xludf.DUMMYFUNCTION("CONCATENATE(GOOGLETRANSLATE(C3832, ""en"", ""ja""))"),"Reebok メンズ トレーニング テック T シャツ")</f>
        <v>Reebok メンズ トレーニング テック T シャツ</v>
      </c>
    </row>
    <row r="3833" ht="15.75" customHeight="1">
      <c r="A3833" s="1">
        <v>7213.0</v>
      </c>
      <c r="B3833" s="1" t="s">
        <v>15</v>
      </c>
      <c r="C3833" s="1" t="s">
        <v>1825</v>
      </c>
      <c r="D3833" s="1" t="str">
        <f>IFERROR(__xludf.DUMMYFUNCTION("CONCATENATE(GOOGLETRANSLATE(C3833, ""en"", ""zh-cn""))"),"1500 块木制拼图桌 - 6 个抽屉，拼图板 | 27” X 35” 便携式拼图板 - 便携式拼图桌 |适合成人和儿童")</f>
        <v>1500 块木制拼图桌 - 6 个抽屉，拼图板 | 27” X 35” 便携式拼图板 - 便携式拼图桌 |适合成人和儿童</v>
      </c>
      <c r="E3833" s="1" t="str">
        <f>IFERROR(__xludf.DUMMYFUNCTION("CONCATENATE(GOOGLETRANSLATE(C3833, ""en"", ""ko""))"),"1500피스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3833" s="1" t="str">
        <f>IFERROR(__xludf.DUMMYFUNCTION("CONCATENATE(GOOGLETRANSLATE(C3833, ""en"", ""ja""))"),"1500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3834" ht="15.75" customHeight="1">
      <c r="A3834" s="1">
        <v>7223.0</v>
      </c>
      <c r="B3834" s="1" t="s">
        <v>15</v>
      </c>
      <c r="C3834" s="1" t="s">
        <v>1826</v>
      </c>
      <c r="D3834" s="1" t="str">
        <f>IFERROR(__xludf.DUMMYFUNCTION("CONCATENATE(GOOGLETRANSLATE(C3834, ""en"", ""zh-cn""))"),"GAN 460 M 速度魔方， 4x4 磁性魔方 Gans 460M 拼图玩具（无贴纸）")</f>
        <v>GAN 460 M 速度魔方， 4x4 磁性魔方 Gans 460M 拼图玩具（无贴纸）</v>
      </c>
      <c r="E3834" s="1" t="str">
        <f>IFERROR(__xludf.DUMMYFUNCTION("CONCATENATE(GOOGLETRANSLATE(C3834, ""en"", ""ko""))"),"GAN 460 M 스피드 큐브, 4x4 마그네틱 마스터 큐브 Gans 460M 퍼즐 장난감(스티커 없음)")</f>
        <v>GAN 460 M 스피드 큐브, 4x4 마그네틱 마스터 큐브 Gans 460M 퍼즐 장난감(스티커 없음)</v>
      </c>
      <c r="F3834" s="1" t="str">
        <f>IFERROR(__xludf.DUMMYFUNCTION("CONCATENATE(GOOGLETRANSLATE(C3834, ""en"", ""ja""))"),"GAN 460 M スピード キューブ、4x4 磁気マスター キューブ Gans 460M パズルおもちゃ (ステッカーなし)")</f>
        <v>GAN 460 M スピード キューブ、4x4 磁気マスター キューブ Gans 460M パズルおもちゃ (ステッカーなし)</v>
      </c>
    </row>
    <row r="3835" ht="15.75" customHeight="1">
      <c r="A3835" s="1">
        <v>7227.0</v>
      </c>
      <c r="B3835" s="1" t="s">
        <v>15</v>
      </c>
      <c r="C3835" s="1" t="s">
        <v>1838</v>
      </c>
      <c r="D3835" s="1" t="str">
        <f>IFERROR(__xludf.DUMMYFUNCTION("CONCATENATE(GOOGLETRANSLATE(C3835, ""en"", ""zh-cn""))"),"Ravensburger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3835" s="1" t="str">
        <f>IFERROR(__xludf.DUMMYFUNCTION("CONCATENATE(GOOGLETRANSLATE(C3835, ""en"", ""ko""))"),"Ravensburger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3835" s="1" t="str">
        <f>IFERROR(__xludf.DUMMYFUNCTION("CONCATENATE(GOOGLETRANSLATE(C3835, ""en"", ""ja""))"),"Ravensburger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3836" ht="15.75" customHeight="1">
      <c r="A3836" s="1">
        <v>7228.0</v>
      </c>
      <c r="B3836" s="1" t="s">
        <v>15</v>
      </c>
      <c r="C3836" s="1" t="s">
        <v>2327</v>
      </c>
      <c r="D3836" s="1" t="str">
        <f>IFERROR(__xludf.DUMMYFUNCTION("CONCATENATE(GOOGLETRANSLATE(C3836, ""en"", ""zh-cn""))"),"GAN 356 i 3 无贴纸速度魔方，3x3 智能魔方 356 i3 甘斯磁力魔方智能跟踪计时运动步骤与 CubeStation 应用程序甘魔方拼图玩具（不含 GAN 机器人）")</f>
        <v>GAN 356 i 3 无贴纸速度魔方，3x3 智能魔方 356 i3 甘斯磁力魔方智能跟踪计时运动步骤与 CubeStation 应用程序甘魔方拼图玩具（不含 GAN 机器人）</v>
      </c>
      <c r="E3836" s="1" t="str">
        <f>IFERROR(__xludf.DUMMYFUNCTION("CONCATENATE(GOOGLETRANSLATE(C3836, ""en"", ""ko""))"),"GAN 356 i 3 스티커 없는 스피드 큐브, 3x3 스마트 큐브 356 i3 Gans 마그네틱 큐브 CubeStation 앱을 사용한 지능형 추적 타이밍 동작 단계 Gan 큐브 퍼즐 장난감(GAN 로봇은 포함되지 않음)")</f>
        <v>GAN 356 i 3 스티커 없는 스피드 큐브, 3x3 스마트 큐브 356 i3 Gans 마그네틱 큐브 CubeStation 앱을 사용한 지능형 추적 타이밍 동작 단계 Gan 큐브 퍼즐 장난감(GAN 로봇은 포함되지 않음)</v>
      </c>
      <c r="F3836" s="1" t="str">
        <f>IFERROR(__xludf.DUMMYFUNCTION("CONCATENATE(GOOGLETRANSLATE(C3836, ""en"", ""ja""))"),"GAN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f>
        <v>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v>
      </c>
    </row>
    <row r="3837" ht="15.75" customHeight="1">
      <c r="A3837" s="1">
        <v>7254.0</v>
      </c>
      <c r="B3837" s="1" t="s">
        <v>15</v>
      </c>
      <c r="C3837" s="1" t="s">
        <v>2792</v>
      </c>
      <c r="D3837" s="1" t="str">
        <f>IFERROR(__xludf.DUMMYFUNCTION("CONCATENATE(GOOGLETRANSLATE(C3837, ""en"", ""zh-cn""))"),"Sidi 男士 Ergo 5 Carbon Scape 骑行鞋")</f>
        <v>Sidi 男士 Ergo 5 Carbon Scape 骑行鞋</v>
      </c>
      <c r="E3837" s="1" t="str">
        <f>IFERROR(__xludf.DUMMYFUNCTION("CONCATENATE(GOOGLETRANSLATE(C3837, ""en"", ""ko""))"),"Sidi 남성용 Ergo 5 카본 스케이프 사이클링")</f>
        <v>Sidi 남성용 Ergo 5 카본 스케이프 사이클링</v>
      </c>
      <c r="F3837" s="1" t="str">
        <f>IFERROR(__xludf.DUMMYFUNCTION("CONCATENATE(GOOGLETRANSLATE(C3837, ""en"", ""ja""))"),"シディ メンズ エルゴ 5 カーボン スケープ サイクリング")</f>
        <v>シディ メンズ エルゴ 5 カーボン スケープ サイクリング</v>
      </c>
    </row>
    <row r="3838" ht="15.75" customHeight="1">
      <c r="A3838" s="1">
        <v>7267.0</v>
      </c>
      <c r="B3838" s="1" t="s">
        <v>15</v>
      </c>
      <c r="C3838" s="1" t="s">
        <v>3380</v>
      </c>
      <c r="D3838" s="1" t="str">
        <f>IFERROR(__xludf.DUMMYFUNCTION("CONCATENATE(GOOGLETRANSLATE(C3838, ""en"", ""zh-cn""))"),"Fluidmaster PerforMAX 通用马桶进水阀 400H-002-P10")</f>
        <v>Fluidmaster PerforMAX 通用马桶进水阀 400H-002-P10</v>
      </c>
      <c r="E3838" s="1" t="str">
        <f>IFERROR(__xludf.DUMMYFUNCTION("CONCATENATE(GOOGLETRANSLATE(C3838, ""en"", ""ko""))"),"Fluidmaster PerforMAX 범용 변기 채우기 밸브 400H-002-P10")</f>
        <v>Fluidmaster PerforMAX 범용 변기 채우기 밸브 400H-002-P10</v>
      </c>
      <c r="F3838" s="1" t="str">
        <f>IFERROR(__xludf.DUMMYFUNCTION("CONCATENATE(GOOGLETRANSLATE(C3838, ""en"", ""ja""))"),"Fluidmaster PerforMAX ユニバーサルトイレ充填バルブ 400H-002-P10")</f>
        <v>Fluidmaster PerforMAX ユニバーサルトイレ充填バルブ 400H-002-P10</v>
      </c>
    </row>
    <row r="3839" ht="15.75" customHeight="1">
      <c r="A3839" s="1">
        <v>7274.0</v>
      </c>
      <c r="B3839" s="1" t="s">
        <v>15</v>
      </c>
      <c r="C3839" s="1" t="s">
        <v>3381</v>
      </c>
      <c r="D3839" s="1" t="str">
        <f>IFERROR(__xludf.DUMMYFUNCTION("CONCATENATE(GOOGLETRANSLATE(C3839, ""en"", ""zh-cn""))"),"Fluidmaster 通用马桶进水阀 400A")</f>
        <v>Fluidmaster 通用马桶进水阀 400A</v>
      </c>
      <c r="E3839" s="1" t="str">
        <f>IFERROR(__xludf.DUMMYFUNCTION("CONCATENATE(GOOGLETRANSLATE(C3839, ""en"", ""ko""))"),"Fluidmaster Univerasl 변기 채우기 밸브 400A")</f>
        <v>Fluidmaster Univerasl 변기 채우기 밸브 400A</v>
      </c>
      <c r="F3839" s="1" t="str">
        <f>IFERROR(__xludf.DUMMYFUNCTION("CONCATENATE(GOOGLETRANSLATE(C3839, ""en"", ""ja""))"),"Fluidmaster Universl トイレ充填バルブ 400A")</f>
        <v>Fluidmaster Universl トイレ充填バルブ 400A</v>
      </c>
    </row>
    <row r="3840" ht="15.75" customHeight="1">
      <c r="A3840" s="1">
        <v>7275.0</v>
      </c>
      <c r="B3840" s="1" t="s">
        <v>15</v>
      </c>
      <c r="C3840" s="1" t="s">
        <v>3382</v>
      </c>
      <c r="D3840" s="1" t="str">
        <f>IFERROR(__xludf.DUMMYFUNCTION("CONCATENATE(GOOGLETRANSLATE(C3840, ""en"", ""zh-cn""))"),"Fluidmaster 防虹吸填充阀")</f>
        <v>Fluidmaster 防虹吸填充阀</v>
      </c>
      <c r="E3840" s="1" t="str">
        <f>IFERROR(__xludf.DUMMYFUNCTION("CONCATENATE(GOOGLETRANSLATE(C3840, ""en"", ""ko""))"),"Fluidmaster 사이펀 방지 충전 밸브")</f>
        <v>Fluidmaster 사이펀 방지 충전 밸브</v>
      </c>
      <c r="F3840" s="1" t="str">
        <f>IFERROR(__xludf.DUMMYFUNCTION("CONCATENATE(GOOGLETRANSLATE(C3840, ""en"", ""ja""))"),"Fluidmaster アンチサイフォン充填バルブ")</f>
        <v>Fluidmaster アンチサイフォン充填バルブ</v>
      </c>
    </row>
    <row r="3841" ht="15.75" customHeight="1">
      <c r="A3841" s="1">
        <v>7277.0</v>
      </c>
      <c r="B3841" s="1" t="s">
        <v>15</v>
      </c>
      <c r="C3841" s="1" t="s">
        <v>3383</v>
      </c>
      <c r="D3841" s="1" t="str">
        <f>IFERROR(__xludf.DUMMYFUNCTION("CONCATENATE(GOOGLETRANSLATE(C3841, ""en"", ""zh-cn""))"),"Fluidmaster Everything 马桶维修套件")</f>
        <v>Fluidmaster Everything 马桶维修套件</v>
      </c>
      <c r="E3841" s="1" t="str">
        <f>IFERROR(__xludf.DUMMYFUNCTION("CONCATENATE(GOOGLETRANSLATE(C3841, ""en"", ""ko""))"),"Fluidmaster Everything 변기 수리 키트")</f>
        <v>Fluidmaster Everything 변기 수리 키트</v>
      </c>
      <c r="F3841" s="1" t="str">
        <f>IFERROR(__xludf.DUMMYFUNCTION("CONCATENATE(GOOGLETRANSLATE(C3841, ""en"", ""ja""))"),"Fluidmaster Everything トイレ修理キット")</f>
        <v>Fluidmaster Everything トイレ修理キット</v>
      </c>
    </row>
    <row r="3842" ht="15.75" customHeight="1">
      <c r="A3842" s="1">
        <v>7284.0</v>
      </c>
      <c r="B3842" s="1" t="s">
        <v>15</v>
      </c>
      <c r="C3842" s="1" t="s">
        <v>3384</v>
      </c>
      <c r="D3842" s="1" t="str">
        <f>IFERROR(__xludf.DUMMYFUNCTION("CONCATENATE(GOOGLETRANSLATE(C3842, ""en"", ""zh-cn""))"),"Fluidmaster PRO45B 填充阀")</f>
        <v>Fluidmaster PRO45B 填充阀</v>
      </c>
      <c r="E3842" s="1" t="str">
        <f>IFERROR(__xludf.DUMMYFUNCTION("CONCATENATE(GOOGLETRANSLATE(C3842, ""en"", ""ko""))"),"Fluidmaster PRO45B 충전 밸브")</f>
        <v>Fluidmaster PRO45B 충전 밸브</v>
      </c>
      <c r="F3842" s="1" t="str">
        <f>IFERROR(__xludf.DUMMYFUNCTION("CONCATENATE(GOOGLETRANSLATE(C3842, ""en"", ""ja""))"),"Fluidmaster PRO45B 充填バルブ")</f>
        <v>Fluidmaster PRO45B 充填バルブ</v>
      </c>
    </row>
    <row r="3843" ht="15.75" customHeight="1">
      <c r="A3843" s="1">
        <v>7285.0</v>
      </c>
      <c r="B3843" s="1" t="s">
        <v>15</v>
      </c>
      <c r="C3843" s="1" t="s">
        <v>3385</v>
      </c>
      <c r="D3843" s="1" t="str">
        <f>IFERROR(__xludf.DUMMYFUNCTION("CONCATENATE(GOOGLETRANSLATE(C3843, ""en"", ""zh-cn""))"),"Fluidmaster PRO45-AU 底部插入式马桶阀")</f>
        <v>Fluidmaster PRO45-AU 底部插入式马桶阀</v>
      </c>
      <c r="E3843" s="1" t="str">
        <f>IFERROR(__xludf.DUMMYFUNCTION("CONCATENATE(GOOGLETRANSLATE(C3843, ""en"", ""ko""))"),"Fluidmaster PRO45-AU 하단 입구 변기 밸브")</f>
        <v>Fluidmaster PRO45-AU 하단 입구 변기 밸브</v>
      </c>
      <c r="F3843" s="1" t="str">
        <f>IFERROR(__xludf.DUMMYFUNCTION("CONCATENATE(GOOGLETRANSLATE(C3843, ""en"", ""ja""))"),"Fluidmaster PRO45-AU ボトムエントリートイレバルブ")</f>
        <v>Fluidmaster PRO45-AU ボトムエントリートイレバルブ</v>
      </c>
    </row>
    <row r="3844" ht="15.75" customHeight="1">
      <c r="A3844" s="1">
        <v>7290.0</v>
      </c>
      <c r="B3844" s="1" t="s">
        <v>15</v>
      </c>
      <c r="C3844" s="1" t="s">
        <v>3386</v>
      </c>
      <c r="D3844" s="1" t="str">
        <f>IFERROR(__xludf.DUMMYFUNCTION("CONCATENATE(GOOGLETRANSLATE(C3844, ""en"", ""zh-cn""))"),"Fluidmaster PerforMAX 2"" 橡胶通用节水马桶挡板")</f>
        <v>Fluidmaster PerforMAX 2" 橡胶通用节水马桶挡板</v>
      </c>
      <c r="E3844" s="1" t="str">
        <f>IFERROR(__xludf.DUMMYFUNCTION("CONCATENATE(GOOGLETRANSLATE(C3844, ""en"", ""ko""))"),"Fluidmaster PerforMAX 2"" 고무 범용 절수 변기 플래퍼")</f>
        <v>Fluidmaster PerforMAX 2" 고무 범용 절수 변기 플래퍼</v>
      </c>
      <c r="F3844" s="1" t="str">
        <f>IFERROR(__xludf.DUMMYFUNCTION("CONCATENATE(GOOGLETRANSLATE(C3844, ""en"", ""ja""))"),"Fluidmaster PerforMAX 2 インチ ゴム製ユニバーサル節水トイレフラッパー")</f>
        <v>Fluidmaster PerforMAX 2 インチ ゴム製ユニバーサル節水トイレフラッパー</v>
      </c>
    </row>
    <row r="3845" ht="15.75" customHeight="1">
      <c r="A3845" s="1">
        <v>7292.0</v>
      </c>
      <c r="B3845" s="1" t="s">
        <v>15</v>
      </c>
      <c r="C3845" s="1" t="s">
        <v>3387</v>
      </c>
      <c r="D3845" s="1" t="str">
        <f>IFERROR(__xludf.DUMMYFUNCTION("CONCATENATE(GOOGLETRANSLATE(C3845, ""en"", ""zh-cn""))"),"Fluidmaster PerforMAX 冲洗阀套件红色/黑色橡胶")</f>
        <v>Fluidmaster PerforMAX 冲洗阀套件红色/黑色橡胶</v>
      </c>
      <c r="E3845" s="1" t="str">
        <f>IFERROR(__xludf.DUMMYFUNCTION("CONCATENATE(GOOGLETRANSLATE(C3845, ""en"", ""ko""))"),"Fluidmaster PerforMAX 플러시 밸브 키트 빨간색/검은색 고무")</f>
        <v>Fluidmaster PerforMAX 플러시 밸브 키트 빨간색/검은색 고무</v>
      </c>
      <c r="F3845" s="1" t="str">
        <f>IFERROR(__xludf.DUMMYFUNCTION("CONCATENATE(GOOGLETRANSLATE(C3845, ""en"", ""ja""))"),"Fluidmaster PerforMAX フラッシュ バルブ キット レッド/ブラック ラバー")</f>
        <v>Fluidmaster PerforMAX フラッシュ バルブ キット レッド/ブラック ラバー</v>
      </c>
    </row>
    <row r="3846" ht="15.75" customHeight="1">
      <c r="A3846" s="1">
        <v>7295.0</v>
      </c>
      <c r="B3846" s="1" t="s">
        <v>15</v>
      </c>
      <c r="C3846" s="1" t="s">
        <v>3388</v>
      </c>
      <c r="D3846" s="1" t="str">
        <f>IFERROR(__xludf.DUMMYFUNCTION("CONCATENATE(GOOGLETRANSLATE(C3846, ""en"", ""zh-cn""))"),"Fluidmaster 点击密封编织不锈钢马桶连接器")</f>
        <v>Fluidmaster 点击密封编织不锈钢马桶连接器</v>
      </c>
      <c r="E3846" s="1" t="str">
        <f>IFERROR(__xludf.DUMMYFUNCTION("CONCATENATE(GOOGLETRANSLATE(C3846, ""en"", ""ko""))"),"Fluidmaster Click Seal 편조 스테인리스 스틸 변기 커넥터")</f>
        <v>Fluidmaster Click Seal 편조 스테인리스 스틸 변기 커넥터</v>
      </c>
      <c r="F3846" s="1" t="str">
        <f>IFERROR(__xludf.DUMMYFUNCTION("CONCATENATE(GOOGLETRANSLATE(C3846, ""en"", ""ja""))"),"Fluidmaster クリックシール編組ステンレス鋼トイレコネクタ")</f>
        <v>Fluidmaster クリックシール編組ステンレス鋼トイレコネクタ</v>
      </c>
    </row>
    <row r="3847" ht="15.75" customHeight="1">
      <c r="A3847" s="1">
        <v>7302.0</v>
      </c>
      <c r="B3847" s="1" t="s">
        <v>15</v>
      </c>
      <c r="C3847" s="1" t="s">
        <v>3389</v>
      </c>
      <c r="D3847" s="1" t="str">
        <f>IFERROR(__xludf.DUMMYFUNCTION("CONCATENATE(GOOGLETRANSLATE(C3847, ""en"", ""zh-cn""))"),"Homfa 独立式浴室储物地柜")</f>
        <v>Homfa 独立式浴室储物地柜</v>
      </c>
      <c r="E3847" s="1" t="str">
        <f>IFERROR(__xludf.DUMMYFUNCTION("CONCATENATE(GOOGLETRANSLATE(C3847, ""en"", ""ko""))"),"Homfa 독립형 욕실 보관 바닥 캐비닛")</f>
        <v>Homfa 독립형 욕실 보관 바닥 캐비닛</v>
      </c>
      <c r="F3847" s="1" t="str">
        <f>IFERROR(__xludf.DUMMYFUNCTION("CONCATENATE(GOOGLETRANSLATE(C3847, ""en"", ""ja""))"),"Homfa 自立式バスルーム収納フロアキャビネット")</f>
        <v>Homfa 自立式バスルーム収納フロアキャビネット</v>
      </c>
    </row>
    <row r="3848" ht="15.75" customHeight="1">
      <c r="A3848" s="1">
        <v>7316.0</v>
      </c>
      <c r="B3848" s="1" t="s">
        <v>15</v>
      </c>
      <c r="C3848" s="1" t="s">
        <v>3390</v>
      </c>
      <c r="D3848" s="1" t="str">
        <f>IFERROR(__xludf.DUMMYFUNCTION("CONCATENATE(GOOGLETRANSLATE(C3848, ""en"", ""zh-cn""))"),"Hampton Bay Hampton 组装式 30 x 34.5 x 21 英寸浴室梳妆台底柜 KVSB30-MO")</f>
        <v>Hampton Bay Hampton 组装式 30 x 34.5 x 21 英寸浴室梳妆台底柜 KVSB30-MO</v>
      </c>
      <c r="E3848" s="1" t="str">
        <f>IFERROR(__xludf.DUMMYFUNCTION("CONCATENATE(GOOGLETRANSLATE(C3848, ""en"", ""ko""))"),"Hampton Bay Hampton 조립식 30 x 34.5 x 21인치 욕실 세면대 베이스 캐비닛 KVSB30-MO")</f>
        <v>Hampton Bay Hampton 조립식 30 x 34.5 x 21인치 욕실 세면대 베이스 캐비닛 KVSB30-MO</v>
      </c>
      <c r="F3848" s="1" t="str">
        <f>IFERROR(__xludf.DUMMYFUNCTION("CONCATENATE(GOOGLETRANSLATE(C3848, ""en"", ""ja""))"),"ハンプトンベイ ハンプトン 組み立て済み 30 x 34.5 x 21 インチ バスルーム 洗面化粧台 ベース キャビネット KVSB30-MO")</f>
        <v>ハンプトンベイ ハンプトン 組み立て済み 30 x 34.5 x 21 インチ バスルーム 洗面化粧台 ベース キャビネット KVSB30-MO</v>
      </c>
    </row>
    <row r="3849" ht="15.75" customHeight="1">
      <c r="A3849" s="1">
        <v>7321.0</v>
      </c>
      <c r="B3849" s="1" t="s">
        <v>15</v>
      </c>
      <c r="C3849" s="1" t="s">
        <v>3391</v>
      </c>
      <c r="D3849" s="1" t="str">
        <f>IFERROR(__xludf.DUMMYFUNCTION("CONCATENATE(GOOGLETRANSLATE(C3849, ""en"", ""zh-cn""))"),"家居装饰系列 Ashburn 60 英寸宽 x 21.75 英寸深梳妆柜")</f>
        <v>家居装饰系列 Ashburn 60 英寸宽 x 21.75 英寸深梳妆柜</v>
      </c>
      <c r="E3849" s="1" t="str">
        <f>IFERROR(__xludf.DUMMYFUNCTION("CONCATENATE(GOOGLETRANSLATE(C3849, ""en"", ""ko""))"),"홈 데코레이터 컬렉션 Ashburn 60인치 W x 21.75인치 D 화장대 캐비닛")</f>
        <v>홈 데코레이터 컬렉션 Ashburn 60인치 W x 21.75인치 D 화장대 캐비닛</v>
      </c>
      <c r="F3849" s="1" t="str">
        <f>IFERROR(__xludf.DUMMYFUNCTION("CONCATENATE(GOOGLETRANSLATE(C3849, ""en"", ""ja""))"),"ホームデコレーターズコレクション Ashburn 幅 60 インチ x 奥行き 21.75 インチ 化粧台キャビネット")</f>
        <v>ホームデコレーターズコレクション Ashburn 幅 60 インチ x 奥行き 21.75 インチ 化粧台キャビネット</v>
      </c>
    </row>
    <row r="3850" ht="15.75" customHeight="1">
      <c r="A3850" s="1">
        <v>7326.0</v>
      </c>
      <c r="B3850" s="1" t="s">
        <v>15</v>
      </c>
      <c r="C3850" s="1" t="s">
        <v>3392</v>
      </c>
      <c r="D3850" s="1" t="str">
        <f>IFERROR(__xludf.DUMMYFUNCTION("CONCATENATE(GOOGLETRANSLATE(C3850, ""en"", ""zh-cn""))"),"Craft + 主 Ashburn 36 英寸宽 x 21.75 英寸深梳妆柜")</f>
        <v>Craft + 主 Ashburn 36 英寸宽 x 21.75 英寸深梳妆柜</v>
      </c>
      <c r="E3850" s="1" t="str">
        <f>IFERROR(__xludf.DUMMYFUNCTION("CONCATENATE(GOOGLETRANSLATE(C3850, ""en"", ""ko""))"),"Craft + 메인 Ashburn 36인치 W x 21.75인치 D 화장대 캐비닛")</f>
        <v>Craft + 메인 Ashburn 36인치 W x 21.75인치 D 화장대 캐비닛</v>
      </c>
      <c r="F3850" s="1" t="str">
        <f>IFERROR(__xludf.DUMMYFUNCTION("CONCATENATE(GOOGLETRANSLATE(C3850, ""en"", ""ja""))"),"Craft + Main Ashburn 幅 36 インチ x 奥行き 21.75 インチの化粧台キャビネット")</f>
        <v>Craft + Main Ashburn 幅 36 インチ x 奥行き 21.75 インチの化粧台キャビネット</v>
      </c>
    </row>
    <row r="3851" ht="15.75" customHeight="1">
      <c r="A3851" s="1">
        <v>7331.0</v>
      </c>
      <c r="B3851" s="1" t="s">
        <v>15</v>
      </c>
      <c r="C3851" s="1" t="s">
        <v>3393</v>
      </c>
      <c r="D3851" s="1" t="str">
        <f>IFERROR(__xludf.DUMMYFUNCTION("CONCATENATE(GOOGLETRANSLATE(C3851, ""en"", ""zh-cn""))"),"Fresca Oxford 60 英寸传统浴室柜")</f>
        <v>Fresca Oxford 60 英寸传统浴室柜</v>
      </c>
      <c r="E3851" s="1" t="str">
        <f>IFERROR(__xludf.DUMMYFUNCTION("CONCATENATE(GOOGLETRANSLATE(C3851, ""en"", ""ko""))"),"Fresca Oxford 60"" 전통 욕실 캐비닛")</f>
        <v>Fresca Oxford 60" 전통 욕실 캐비닛</v>
      </c>
      <c r="F3851" s="1" t="str">
        <f>IFERROR(__xludf.DUMMYFUNCTION("CONCATENATE(GOOGLETRANSLATE(C3851, ""en"", ""ja""))"),"Fresca オックスフォード 60 インチ トラディショナル バスルーム キャビネット")</f>
        <v>Fresca オックスフォード 60 インチ トラディショナル バスルーム キャビネット</v>
      </c>
    </row>
    <row r="3852" ht="15.75" customHeight="1">
      <c r="A3852" s="1">
        <v>7355.0</v>
      </c>
      <c r="B3852" s="1" t="s">
        <v>15</v>
      </c>
      <c r="C3852" s="1" t="s">
        <v>3394</v>
      </c>
      <c r="D3852" s="1" t="str">
        <f>IFERROR(__xludf.DUMMYFUNCTION("CONCATENATE(GOOGLETRANSLATE(C3852, ""en"", ""zh-cn""))"),"Ktaxon 马桶上方浴室储物柜")</f>
        <v>Ktaxon 马桶上方浴室储物柜</v>
      </c>
      <c r="E3852" s="1" t="str">
        <f>IFERROR(__xludf.DUMMYFUNCTION("CONCATENATE(GOOGLETRANSLATE(C3852, ""en"", ""ko""))"),"Ktaxon 화장실 욕실 보관 캐비닛 위")</f>
        <v>Ktaxon 화장실 욕실 보관 캐비닛 위</v>
      </c>
      <c r="F3852" s="1" t="str">
        <f>IFERROR(__xludf.DUMMYFUNCTION("CONCATENATE(GOOGLETRANSLATE(C3852, ""en"", ""ja""))"),"Ktaxon トイレの上のバスルーム収納キャビネット")</f>
        <v>Ktaxon トイレの上のバスルーム収納キャビネット</v>
      </c>
    </row>
    <row r="3853" ht="15.75" customHeight="1">
      <c r="A3853" s="1">
        <v>7361.0</v>
      </c>
      <c r="B3853" s="1" t="s">
        <v>15</v>
      </c>
      <c r="C3853" s="1" t="s">
        <v>3395</v>
      </c>
      <c r="D3853" s="1" t="str">
        <f>IFERROR(__xludf.DUMMYFUNCTION("CONCATENATE(GOOGLETRANSLATE(C3853, ""en"", ""zh-cn""))"),"Ktaxon 高脚浴室储物柜")</f>
        <v>Ktaxon 高脚浴室储物柜</v>
      </c>
      <c r="E3853" s="1" t="str">
        <f>IFERROR(__xludf.DUMMYFUNCTION("CONCATENATE(GOOGLETRANSLATE(C3853, ""en"", ""ko""))"),"Ktaxon 키가 큰 욕실 보관 캐비닛")</f>
        <v>Ktaxon 키가 큰 욕실 보관 캐비닛</v>
      </c>
      <c r="F3853" s="1" t="str">
        <f>IFERROR(__xludf.DUMMYFUNCTION("CONCATENATE(GOOGLETRANSLATE(C3853, ""en"", ""ja""))"),"Ktaxon トールバスルーム収納キャビネット")</f>
        <v>Ktaxon トールバスルーム収納キャビネット</v>
      </c>
    </row>
    <row r="3854" ht="15.75" customHeight="1">
      <c r="A3854" s="1">
        <v>7365.0</v>
      </c>
      <c r="B3854" s="1" t="s">
        <v>15</v>
      </c>
      <c r="C3854" s="1" t="s">
        <v>3396</v>
      </c>
      <c r="D3854" s="1" t="str">
        <f>IFERROR(__xludf.DUMMYFUNCTION("CONCATENATE(GOOGLETRANSLATE(C3854, ""en"", ""zh-cn""))"),"Ktaxon 64 英寸高储物柜")</f>
        <v>Ktaxon 64 英寸高储物柜</v>
      </c>
      <c r="E3854" s="1" t="str">
        <f>IFERROR(__xludf.DUMMYFUNCTION("CONCATENATE(GOOGLETRANSLATE(C3854, ""en"", ""ko""))"),"Ktaxon 64"" 높이의 스토리지 캐비닛")</f>
        <v>Ktaxon 64" 높이의 스토리지 캐비닛</v>
      </c>
      <c r="F3854" s="1" t="str">
        <f>IFERROR(__xludf.DUMMYFUNCTION("CONCATENATE(GOOGLETRANSLATE(C3854, ""en"", ""ja""))"),"Ktaxon 高さ 64 インチの収納キャビネット")</f>
        <v>Ktaxon 高さ 64 インチの収納キャビネット</v>
      </c>
    </row>
    <row r="3855" ht="15.75" customHeight="1">
      <c r="A3855" s="1">
        <v>7386.0</v>
      </c>
      <c r="B3855" s="1" t="s">
        <v>15</v>
      </c>
      <c r="C3855" s="1" t="s">
        <v>3397</v>
      </c>
      <c r="D3855" s="1" t="str">
        <f>IFERROR(__xludf.DUMMYFUNCTION("CONCATENATE(GOOGLETRANSLATE(C3855, ""en"", ""zh-cn""))"),"Brita Instant 强力台面滤水器")</f>
        <v>Brita Instant 强力台面滤水器</v>
      </c>
      <c r="E3855" s="1" t="str">
        <f>IFERROR(__xludf.DUMMYFUNCTION("CONCATENATE(GOOGLETRANSLATE(C3855, ""en"", ""ko""))"),"브리타 인스턴트 강력한 조리대 물 여과 장치")</f>
        <v>브리타 인스턴트 강력한 조리대 물 여과 장치</v>
      </c>
      <c r="F3855" s="1" t="str">
        <f>IFERROR(__xludf.DUMMYFUNCTION("CONCATENATE(GOOGLETRANSLATE(C3855, ""en"", ""ja""))"),"Brita インスタント強力カウンタートップ水ろ過装置")</f>
        <v>Brita インスタント強力カウンタートップ水ろ過装置</v>
      </c>
    </row>
    <row r="3856" ht="15.75" customHeight="1">
      <c r="A3856" s="1">
        <v>7392.0</v>
      </c>
      <c r="B3856" s="1" t="s">
        <v>15</v>
      </c>
      <c r="C3856" s="1" t="s">
        <v>3398</v>
      </c>
      <c r="D3856" s="1" t="str">
        <f>IFERROR(__xludf.DUMMYFUNCTION("CONCATENATE(GOOGLETRANSLATE(C3856, ""en"", ""zh-cn""))"),"Brita 基本水龙头滤水系统")</f>
        <v>Brita 基本水龙头滤水系统</v>
      </c>
      <c r="E3856" s="1" t="str">
        <f>IFERROR(__xludf.DUMMYFUNCTION("CONCATENATE(GOOGLETRANSLATE(C3856, ""en"", ""ko""))"),"브리타 기본 수전 정수 필터 시스템")</f>
        <v>브리타 기본 수전 정수 필터 시스템</v>
      </c>
      <c r="F3856" s="1" t="str">
        <f>IFERROR(__xludf.DUMMYFUNCTION("CONCATENATE(GOOGLETRANSLATE(C3856, ""en"", ""ja""))"),"Brita ベーシック蛇口水フィルターシステム")</f>
        <v>Brita ベーシック蛇口水フィルターシステム</v>
      </c>
    </row>
    <row r="3857" ht="15.75" customHeight="1">
      <c r="A3857" s="1">
        <v>7405.0</v>
      </c>
      <c r="B3857" s="1" t="s">
        <v>15</v>
      </c>
      <c r="C3857" s="1" t="s">
        <v>3399</v>
      </c>
      <c r="D3857" s="1" t="str">
        <f>IFERROR(__xludf.DUMMYFUNCTION("CONCATENATE(GOOGLETRANSLATE(C3857, ""en"", ""zh-cn""))"),"Brita Tahoe 大号滤水器水罐")</f>
        <v>Brita Tahoe 大号滤水器水罐</v>
      </c>
      <c r="E3857" s="1" t="str">
        <f>IFERROR(__xludf.DUMMYFUNCTION("CONCATENATE(GOOGLETRANSLATE(C3857, ""en"", ""ko""))"),"브리타 타호 대형 정수 필터 물 투수")</f>
        <v>브리타 타호 대형 정수 필터 물 투수</v>
      </c>
      <c r="F3857" s="1" t="str">
        <f>IFERROR(__xludf.DUMMYFUNCTION("CONCATENATE(GOOGLETRANSLATE(C3857, ""en"", ""ja""))"),"ブリタ タホ 大型浄水フィルター ウォーターピッチャー")</f>
        <v>ブリタ タホ 大型浄水フィルター ウォーターピッチャー</v>
      </c>
    </row>
    <row r="3858" ht="15.75" customHeight="1">
      <c r="A3858" s="1">
        <v>7409.0</v>
      </c>
      <c r="B3858" s="1" t="s">
        <v>15</v>
      </c>
      <c r="C3858" s="1" t="s">
        <v>3400</v>
      </c>
      <c r="D3858" s="1" t="str">
        <f>IFERROR(__xludf.DUMMYFUNCTION("CONCATENATE(GOOGLETRANSLATE(C3858, ""en"", ""zh-cn""))"),"Brita 基本水龙头安装水过滤系统")</f>
        <v>Brita 基本水龙头安装水过滤系统</v>
      </c>
      <c r="E3858" s="1" t="str">
        <f>IFERROR(__xludf.DUMMYFUNCTION("CONCATENATE(GOOGLETRANSLATE(C3858, ""en"", ""ko""))"),"브리타 기본 수전 장착 정수 시스템")</f>
        <v>브리타 기본 수전 장착 정수 시스템</v>
      </c>
      <c r="F3858" s="1" t="str">
        <f>IFERROR(__xludf.DUMMYFUNCTION("CONCATENATE(GOOGLETRANSLATE(C3858, ""en"", ""ja""))"),"Brita ベーシック蛇口マウント水ろ過システム")</f>
        <v>Brita ベーシック蛇口マウント水ろ過システム</v>
      </c>
    </row>
    <row r="3859" ht="15.75" customHeight="1">
      <c r="A3859" s="1">
        <v>7411.0</v>
      </c>
      <c r="B3859" s="1" t="s">
        <v>15</v>
      </c>
      <c r="C3859" s="1" t="s">
        <v>3401</v>
      </c>
      <c r="D3859" s="1" t="str">
        <f>IFERROR(__xludf.DUMMYFUNCTION("CONCATENATE(GOOGLETRANSLATE(C3859, ""en"", ""zh-cn""))"),"Brita Total 360 水过滤系统 BRDPFS")</f>
        <v>Brita Total 360 水过滤系统 BRDPFS</v>
      </c>
      <c r="E3859" s="1" t="str">
        <f>IFERROR(__xludf.DUMMYFUNCTION("CONCATENATE(GOOGLETRANSLATE(C3859, ""en"", ""ko""))"),"브리타 토탈 360 정수 시스템 BRDPFS")</f>
        <v>브리타 토탈 360 정수 시스템 BRDPFS</v>
      </c>
      <c r="F3859" s="1" t="str">
        <f>IFERROR(__xludf.DUMMYFUNCTION("CONCATENATE(GOOGLETRANSLATE(C3859, ""en"", ""ja""))"),"Brita Total 360 水ろ過システム BRDPFS")</f>
        <v>Brita Total 360 水ろ過システム BRDPFS</v>
      </c>
    </row>
    <row r="3860" ht="15.75" customHeight="1">
      <c r="A3860" s="1">
        <v>7412.0</v>
      </c>
      <c r="B3860" s="1" t="s">
        <v>15</v>
      </c>
      <c r="C3860" s="1" t="s">
        <v>3402</v>
      </c>
      <c r="D3860" s="1" t="str">
        <f>IFERROR(__xludf.DUMMYFUNCTION("CONCATENATE(GOOGLETRANSLATE(C3860, ""en"", ""zh-cn""))"),"Brita Metro 5 杯水过滤壶")</f>
        <v>Brita Metro 5 杯水过滤壶</v>
      </c>
      <c r="E3860" s="1" t="str">
        <f>IFERROR(__xludf.DUMMYFUNCTION("CONCATENATE(GOOGLETRANSLATE(C3860, ""en"", ""ko""))"),"브리타 메트로 5컵 정수 피처")</f>
        <v>브리타 메트로 5컵 정수 피처</v>
      </c>
      <c r="F3860" s="1" t="str">
        <f>IFERROR(__xludf.DUMMYFUNCTION("CONCATENATE(GOOGLETRANSLATE(C3860, ""en"", ""ja""))"),"Brita メトロ 5 カップ水濾過ピッチャー")</f>
        <v>Brita メトロ 5 カップ水濾過ピッチャー</v>
      </c>
    </row>
    <row r="3861" ht="15.75" customHeight="1">
      <c r="A3861" s="1">
        <v>7415.0</v>
      </c>
      <c r="B3861" s="1" t="s">
        <v>15</v>
      </c>
      <c r="C3861" s="1" t="s">
        <v>3403</v>
      </c>
      <c r="D3861" s="1" t="str">
        <f>IFERROR(__xludf.DUMMYFUNCTION("CONCATENATE(GOOGLETRANSLATE(C3861, ""en"", ""zh-cn""))"),"Brita 超大 Ultramax 27 杯黑色过滤饮水机，带 1 个精英过滤器")</f>
        <v>Brita 超大 Ultramax 27 杯黑色过滤饮水机，带 1 个精英过滤器</v>
      </c>
      <c r="E3861" s="1" t="str">
        <f>IFERROR(__xludf.DUMMYFUNCTION("CONCATENATE(GOOGLETRANSLATE(C3861, ""en"", ""ko""))"),"브리타 초대형 울트라맥스 27컵 블랙 필터 워터 디스펜서(엘리트 필터 1개 포함)")</f>
        <v>브리타 초대형 울트라맥스 27컵 블랙 필터 워터 디스펜서(엘리트 필터 1개 포함)</v>
      </c>
      <c r="F3861" s="1" t="str">
        <f>IFERROR(__xludf.DUMMYFUNCTION("CONCATENATE(GOOGLETRANSLATE(C3861, ""en"", ""ja""))"),"Brita 特大 ウルトラマックス 27 カップ ブラック フィルター付きウォーターディスペンサー エリートフィルター 1 個付き")</f>
        <v>Brita 特大 ウルトラマックス 27 カップ ブラック フィルター付きウォーターディスペンサー エリートフィルター 1 個付き</v>
      </c>
    </row>
    <row r="3862" ht="15.75" customHeight="1">
      <c r="A3862" s="1">
        <v>7419.0</v>
      </c>
      <c r="B3862" s="1" t="s">
        <v>15</v>
      </c>
      <c r="C3862" s="1" t="s">
        <v>3404</v>
      </c>
      <c r="D3862" s="1" t="str">
        <f>IFERROR(__xludf.DUMMYFUNCTION("CONCATENATE(GOOGLETRANSLATE(C3862, ""en"", ""zh-cn""))"),"Brita 完整水龙头过滤系统，带指示灯 (42201CT)")</f>
        <v>Brita 完整水龙头过滤系统，带指示灯 (42201CT)</v>
      </c>
      <c r="E3862" s="1" t="str">
        <f>IFERROR(__xludf.DUMMYFUNCTION("CONCATENATE(GOOGLETRANSLATE(C3862, ""en"", ""ko""))"),"브리타 완전한 수도꼭지 여과 시스템(표시등 포함)(42201CT)")</f>
        <v>브리타 완전한 수도꼭지 여과 시스템(표시등 포함)(42201CT)</v>
      </c>
      <c r="F3862" s="1" t="str">
        <f>IFERROR(__xludf.DUMMYFUNCTION("CONCATENATE(GOOGLETRANSLATE(C3862, ""en"", ""ja""))"),"Brita 完全水栓濾過システム ライトインジケーター付き (42201CT)")</f>
        <v>Brita 完全水栓濾過システム ライトインジケーター付き (42201CT)</v>
      </c>
    </row>
    <row r="3863" ht="15.75" customHeight="1">
      <c r="A3863" s="1">
        <v>7422.0</v>
      </c>
      <c r="B3863" s="1" t="s">
        <v>15</v>
      </c>
      <c r="C3863" s="1" t="s">
        <v>3405</v>
      </c>
      <c r="D3863" s="1" t="str">
        <f>IFERROR(__xludf.DUMMYFUNCTION("CONCATENATE(GOOGLETRANSLATE(C3863, ""en"", ""zh-cn""))"),"Pur Ultimate 铅罐替换过滤器 3 件装")</f>
        <v>Pur Ultimate 铅罐替换过滤器 3 件装</v>
      </c>
      <c r="E3863" s="1" t="str">
        <f>IFERROR(__xludf.DUMMYFUNCTION("CONCATENATE(GOOGLETRANSLATE(C3863, ""en"", ""ko""))"),"Pur 얼티밋 리드 투수 교체 필터 3팩")</f>
        <v>Pur 얼티밋 리드 투수 교체 필터 3팩</v>
      </c>
      <c r="F3863" s="1" t="str">
        <f>IFERROR(__xludf.DUMMYFUNCTION("CONCATENATE(GOOGLETRANSLATE(C3863, ""en"", ""ja""))"),"Pur Ultimate Lead Pitcher 交換フィルター 3 個パック")</f>
        <v>Pur Ultimate Lead Pitcher 交換フィルター 3 個パック</v>
      </c>
    </row>
    <row r="3864" ht="15.75" customHeight="1">
      <c r="A3864" s="1">
        <v>7426.0</v>
      </c>
      <c r="B3864" s="1" t="s">
        <v>15</v>
      </c>
      <c r="C3864" s="1" t="s">
        <v>3406</v>
      </c>
      <c r="D3864" s="1" t="str">
        <f>IFERROR(__xludf.DUMMYFUNCTION("CONCATENATE(GOOGLETRANSLATE(C3864, ""en"", ""zh-cn""))"),"PUR 终极 11 杯水壶")</f>
        <v>PUR 终极 11 杯水壶</v>
      </c>
      <c r="E3864" s="1" t="str">
        <f>IFERROR(__xludf.DUMMYFUNCTION("CONCATENATE(GOOGLETRANSLATE(C3864, ""en"", ""ko""))"),"PUR 얼티밋 11컵 피처")</f>
        <v>PUR 얼티밋 11컵 피처</v>
      </c>
      <c r="F3864" s="1" t="str">
        <f>IFERROR(__xludf.DUMMYFUNCTION("CONCATENATE(GOOGLETRANSLATE(C3864, ""en"", ""ja""))"),"PUR 究極の 11 カップ投手")</f>
        <v>PUR 究極の 11 カップ投手</v>
      </c>
    </row>
    <row r="3865" ht="15.75" customHeight="1">
      <c r="A3865" s="1">
        <v>7428.0</v>
      </c>
      <c r="B3865" s="1" t="s">
        <v>15</v>
      </c>
      <c r="C3865" s="1" t="s">
        <v>3407</v>
      </c>
      <c r="D3865" s="1" t="str">
        <f>IFERROR(__xludf.DUMMYFUNCTION("CONCATENATE(GOOGLETRANSLATE(C3865, ""en"", ""zh-cn""))"),"PUR Ultimate 30 杯分配器")</f>
        <v>PUR Ultimate 30 杯分配器</v>
      </c>
      <c r="E3865" s="1" t="str">
        <f>IFERROR(__xludf.DUMMYFUNCTION("CONCATENATE(GOOGLETRANSLATE(C3865, ""en"", ""ko""))"),"PUR Ultimate 30컵 디스펜서")</f>
        <v>PUR Ultimate 30컵 디스펜서</v>
      </c>
      <c r="F3865" s="1" t="str">
        <f>IFERROR(__xludf.DUMMYFUNCTION("CONCATENATE(GOOGLETRANSLATE(C3865, ""en"", ""ja""))"),"PUR アルティメット 30 カップ ディスペンサー")</f>
        <v>PUR アルティメット 30 カップ ディスペンサー</v>
      </c>
    </row>
    <row r="3866" ht="15.75" customHeight="1">
      <c r="A3866" s="1">
        <v>7458.0</v>
      </c>
      <c r="B3866" s="1" t="s">
        <v>15</v>
      </c>
      <c r="C3866" s="1" t="s">
        <v>3408</v>
      </c>
      <c r="D3866" s="1" t="str">
        <f>IFERROR(__xludf.DUMMYFUNCTION("CONCATENATE(GOOGLETRANSLATE(C3866, ""en"", ""zh-cn""))"),"PUR 7 杯水罐过滤系统 PPT700L")</f>
        <v>PUR 7 杯水罐过滤系统 PPT700L</v>
      </c>
      <c r="E3866" s="1" t="str">
        <f>IFERROR(__xludf.DUMMYFUNCTION("CONCATENATE(GOOGLETRANSLATE(C3866, ""en"", ""ko""))"),"PUR 7 컵 물 투수 여과 시스템 PPT700L")</f>
        <v>PUR 7 컵 물 투수 여과 시스템 PPT700L</v>
      </c>
      <c r="F3866" s="1" t="str">
        <f>IFERROR(__xludf.DUMMYFUNCTION("CONCATENATE(GOOGLETRANSLATE(C3866, ""en"", ""ja""))"),"PUR 7 カップウォーターピッチャー濾過システム PPT700L")</f>
        <v>PUR 7 カップウォーターピッチャー濾過システム PPT700L</v>
      </c>
    </row>
    <row r="3867" ht="15.75" customHeight="1">
      <c r="A3867" s="1">
        <v>7459.0</v>
      </c>
      <c r="B3867" s="1" t="s">
        <v>15</v>
      </c>
      <c r="C3867" s="1" t="s">
        <v>3409</v>
      </c>
      <c r="D3867" s="1" t="str">
        <f>IFERROR(__xludf.DUMMYFUNCTION("CONCATENATE(GOOGLETRANSLATE(C3867, ""en"", ""zh-cn""))"),"Pur 水龙头安装水替换过滤器 3 件装")</f>
        <v>Pur 水龙头安装水替换过滤器 3 件装</v>
      </c>
      <c r="E3867" s="1" t="str">
        <f>IFERROR(__xludf.DUMMYFUNCTION("CONCATENATE(GOOGLETRANSLATE(C3867, ""en"", ""ko""))"),"Pur 수도꼭지 장착형 물 교체 필터 3팩")</f>
        <v>Pur 수도꼭지 장착형 물 교체 필터 3팩</v>
      </c>
      <c r="F3867" s="1" t="str">
        <f>IFERROR(__xludf.DUMMYFUNCTION("CONCATENATE(GOOGLETRANSLATE(C3867, ""en"", ""ja""))"),"Pur 蛇口取付用水交換フィルター 3個パック")</f>
        <v>Pur 蛇口取付用水交換フィルター 3個パック</v>
      </c>
    </row>
    <row r="3868" ht="15.75" customHeight="1">
      <c r="A3868" s="1">
        <v>7474.0</v>
      </c>
      <c r="B3868" s="1" t="s">
        <v>15</v>
      </c>
      <c r="C3868" s="1" t="s">
        <v>3410</v>
      </c>
      <c r="D3868" s="1" t="str">
        <f>IFERROR(__xludf.DUMMYFUNCTION("CONCATENATE(GOOGLETRANSLATE(C3868, ""en"", ""zh-cn""))"),"Equate Beauty 最大强度斑点治疗凝胶")</f>
        <v>Equate Beauty 最大强度斑点治疗凝胶</v>
      </c>
      <c r="E3868" s="1" t="str">
        <f>IFERROR(__xludf.DUMMYFUNCTION("CONCATENATE(GOOGLETRANSLATE(C3868, ""en"", ""ko""))"),"Equate Beauty 맥시멈 스트렝스 스팟 트리트먼트 젤")</f>
        <v>Equate Beauty 맥시멈 스트렝스 스팟 트리트먼트 젤</v>
      </c>
      <c r="F3868" s="1" t="str">
        <f>IFERROR(__xludf.DUMMYFUNCTION("CONCATENATE(GOOGLETRANSLATE(C3868, ""en"", ""ja""))"),"エクエイト ビューティー マキシマム ストレングス スポット トリートメント ジェル")</f>
        <v>エクエイト ビューティー マキシマム ストレングス スポット トリートメント ジェル</v>
      </c>
    </row>
    <row r="3869" ht="15.75" customHeight="1">
      <c r="A3869" s="1">
        <v>7477.0</v>
      </c>
      <c r="B3869" s="1" t="s">
        <v>15</v>
      </c>
      <c r="C3869" s="1" t="s">
        <v>3411</v>
      </c>
      <c r="D3869" s="1" t="str">
        <f>IFERROR(__xludf.DUMMYFUNCTION("CONCATENATE(GOOGLETRANSLATE(C3869, ""en"", ""zh-cn""))"),"Equate 男士强效头发再生治疗")</f>
        <v>Equate 男士强效头发再生治疗</v>
      </c>
      <c r="E3869" s="1" t="str">
        <f>IFERROR(__xludf.DUMMYFUNCTION("CONCATENATE(GOOGLETRANSLATE(C3869, ""en"", ""ko""))"),"남성용 Equate Extra Strength 모발 재성장 트리트먼트")</f>
        <v>남성용 Equate Extra Strength 모발 재성장 트리트먼트</v>
      </c>
      <c r="F3869" s="1" t="str">
        <f>IFERROR(__xludf.DUMMYFUNCTION("CONCATENATE(GOOGLETRANSLATE(C3869, ""en"", ""ja""))"),"男性用エクストラストレングス発毛トリートメントと同等")</f>
        <v>男性用エクストラストレングス発毛トリートメントと同等</v>
      </c>
    </row>
    <row r="3870" ht="15.75" customHeight="1">
      <c r="A3870" s="1">
        <v>7484.0</v>
      </c>
      <c r="B3870" s="1" t="s">
        <v>15</v>
      </c>
      <c r="C3870" s="1" t="s">
        <v>3412</v>
      </c>
      <c r="D3870" s="1" t="str">
        <f>IFERROR(__xludf.DUMMYFUNCTION("CONCATENATE(GOOGLETRANSLATE(C3870, ""en"", ""zh-cn""))"),"2 件装 Equate 男士头发再生治疗（附 Rogaine）6 个月供应")</f>
        <v>2 件装 Equate 男士头发再生治疗（附 Rogaine）6 个月供应</v>
      </c>
      <c r="E3870" s="1" t="str">
        <f>IFERROR(__xludf.DUMMYFUNCTION("CONCATENATE(GOOGLETRANSLATE(C3870, ""en"", ""ko""))"),"Equate 모발 재성장 치료 남성용 2팩(Rogaine 제품) 6개월 공급")</f>
        <v>Equate 모발 재성장 치료 남성용 2팩(Rogaine 제품) 6개월 공급</v>
      </c>
      <c r="F3870" s="1" t="str">
        <f>IFERROR(__xludf.DUMMYFUNCTION("CONCATENATE(GOOGLETRANSLATE(C3870, ""en"", ""ja""))"),"2 パック Equate 発毛トリートメント メンズ (ロゲイン配合) 6 か月分")</f>
        <v>2 パック Equate 発毛トリートメント メンズ (ロゲイン配合) 6 か月分</v>
      </c>
    </row>
    <row r="3871" ht="15.75" customHeight="1">
      <c r="A3871" s="1">
        <v>7497.0</v>
      </c>
      <c r="B3871" s="1" t="s">
        <v>15</v>
      </c>
      <c r="C3871" s="1" t="s">
        <v>3413</v>
      </c>
      <c r="D3871" s="1" t="str">
        <f>IFERROR(__xludf.DUMMYFUNCTION("CONCATENATE(GOOGLETRANSLATE(C3871, ""en"", ""zh-cn""))"),"同等女性脱发和再生治疗")</f>
        <v>同等女性脱发和再生治疗</v>
      </c>
      <c r="E3871" s="1" t="str">
        <f>IFERROR(__xludf.DUMMYFUNCTION("CONCATENATE(GOOGLETRANSLATE(C3871, ""en"", ""ko""))"),"여성 탈모 및 재성장 치료 동일")</f>
        <v>여성 탈모 및 재성장 치료 동일</v>
      </c>
      <c r="F3871" s="1" t="str">
        <f>IFERROR(__xludf.DUMMYFUNCTION("CONCATENATE(GOOGLETRANSLATE(C3871, ""en"", ""ja""))"),"女性の脱毛と再生治療を同等に扱う")</f>
        <v>女性の脱毛と再生治療を同等に扱う</v>
      </c>
    </row>
    <row r="3872" ht="15.75" customHeight="1">
      <c r="A3872" s="1">
        <v>7500.0</v>
      </c>
      <c r="B3872" s="1" t="s">
        <v>15</v>
      </c>
      <c r="C3872" s="1" t="s">
        <v>3414</v>
      </c>
      <c r="D3872" s="1" t="str">
        <f>IFERROR(__xludf.DUMMYFUNCTION("CONCATENATE(GOOGLETRANSLATE(C3872, ""en"", ""zh-cn""))"),"Equate 强效止痒霜")</f>
        <v>Equate 强效止痒霜</v>
      </c>
      <c r="E3872" s="1" t="str">
        <f>IFERROR(__xludf.DUMMYFUNCTION("CONCATENATE(GOOGLETRANSLATE(C3872, ""en"", ""ko""))"),"Equate 엑스트라 스트렝스 가려움증 방지 크림")</f>
        <v>Equate 엑스트라 스트렝스 가려움증 방지 크림</v>
      </c>
      <c r="F3872" s="1" t="str">
        <f>IFERROR(__xludf.DUMMYFUNCTION("CONCATENATE(GOOGLETRANSLATE(C3872, ""en"", ""ja""))"),"エクエイト エクストラストレングス かゆみ止めクリーム")</f>
        <v>エクエイト エクストラストレングス かゆみ止めクリーム</v>
      </c>
    </row>
    <row r="3873" ht="15.75" customHeight="1">
      <c r="A3873" s="1">
        <v>7511.0</v>
      </c>
      <c r="B3873" s="1" t="s">
        <v>15</v>
      </c>
      <c r="C3873" s="1" t="s">
        <v>3415</v>
      </c>
      <c r="D3873" s="1" t="str">
        <f>IFERROR(__xludf.DUMMYFUNCTION("CONCATENATE(GOOGLETRANSLATE(C3873, ""en"", ""zh-cn""))"),"Hi Pro Pac 强效蛋白质护理，角蛋白防止毛躁头发，1.75 液量盎司（52 毫升）_140211")</f>
        <v>Hi Pro Pac 强效蛋白质护理，角蛋白防止毛躁头发，1.75 液量盎司（52 毫升）_140211</v>
      </c>
      <c r="E3873" s="1" t="str">
        <f>IFERROR(__xludf.DUMMYFUNCTION("CONCATENATE(GOOGLETRANSLATE(C3873, ""en"", ""ko""))"),"Hi Pro Pac 인텐스 프로틴 트리트먼트, 케라틴 단백질 곱슬거림 없는 모발, 1.75fl oz(52ml)_140211")</f>
        <v>Hi Pro Pac 인텐스 프로틴 트리트먼트, 케라틴 단백질 곱슬거림 없는 모발, 1.75fl oz(52ml)_140211</v>
      </c>
      <c r="F3873" s="1" t="str">
        <f>IFERROR(__xludf.DUMMYFUNCTION("CONCATENATE(GOOGLETRANSLATE(C3873, ""en"", ""ja""))"),"Hi Pro Pac インテンス プロテイン トリートメント、ケラチン プロテイン ノー縮毛ヘア、1.75 fl oz (52 ml)_140211")</f>
        <v>Hi Pro Pac インテンス プロテイン トリートメント、ケラチン プロテイン ノー縮毛ヘア、1.75 fl oz (52 ml)_140211</v>
      </c>
    </row>
    <row r="3874" ht="15.75" customHeight="1">
      <c r="A3874" s="1">
        <v>7524.0</v>
      </c>
      <c r="B3874" s="1" t="s">
        <v>15</v>
      </c>
      <c r="C3874" s="1" t="s">
        <v>3416</v>
      </c>
      <c r="D3874" s="1" t="str">
        <f>IFERROR(__xludf.DUMMYFUNCTION("CONCATENATE(GOOGLETRANSLATE(C3874, ""en"", ""zh-cn""))"),"Hi Pro Pac 发膜")</f>
        <v>Hi Pro Pac 发膜</v>
      </c>
      <c r="E3874" s="1" t="str">
        <f>IFERROR(__xludf.DUMMYFUNCTION("CONCATENATE(GOOGLETRANSLATE(C3874, ""en"", ""ko""))"),"하이프로팩 ​​헤어 마스크")</f>
        <v>하이프로팩 ​​헤어 마스크</v>
      </c>
      <c r="F3874" s="1" t="str">
        <f>IFERROR(__xludf.DUMMYFUNCTION("CONCATENATE(GOOGLETRANSLATE(C3874, ""en"", ""ja""))"),"ハイプロパックヘアマスク")</f>
        <v>ハイプロパックヘアマスク</v>
      </c>
    </row>
    <row r="3875" ht="15.75" customHeight="1">
      <c r="A3875" s="1">
        <v>7533.0</v>
      </c>
      <c r="B3875" s="1" t="s">
        <v>15</v>
      </c>
      <c r="C3875" s="1" t="s">
        <v>3417</v>
      </c>
      <c r="D3875" s="1" t="str">
        <f>IFERROR(__xludf.DUMMYFUNCTION("CONCATENATE(GOOGLETRANSLATE(C3875, ""en"", ""zh-cn""))"),"Hi-pro-pac Treat 极度受损 Hari 修复强效蛋白质管 8 盎司 6 件装")</f>
        <v>Hi-pro-pac Treat 极度受损 Hari 修复强效蛋白质管 8 盎司 6 件装</v>
      </c>
      <c r="E3875" s="1" t="str">
        <f>IFERROR(__xludf.DUMMYFUNCTION("CONCATENATE(GOOGLETRANSLATE(C3875, ""en"", ""ko""))"),"Hi-pro-pac 극도로 손상된 하리 복구 강화 단백질 튜브 8온스 6팩 치료")</f>
        <v>Hi-pro-pac 극도로 손상된 하리 복구 강화 단백질 튜브 8온스 6팩 치료</v>
      </c>
      <c r="F3875" s="1" t="str">
        <f>IFERROR(__xludf.DUMMYFUNCTION("CONCATENATE(GOOGLETRANSLATE(C3875, ""en"", ""ja""))"),"Hi-pro-pac トリート 極度にダメージを受けたハリ リペア インテンス プロテイン チューブ 8 オンス 6 パック")</f>
        <v>Hi-pro-pac トリート 極度にダメージを受けたハリ リペア インテンス プロテイン チューブ 8 オンス 6 パック</v>
      </c>
    </row>
    <row r="3876" ht="15.75" customHeight="1">
      <c r="A3876" s="1">
        <v>7536.0</v>
      </c>
      <c r="B3876" s="1" t="s">
        <v>15</v>
      </c>
      <c r="C3876" s="1" t="s">
        <v>3418</v>
      </c>
      <c r="D3876" s="1" t="str">
        <f>IFERROR(__xludf.DUMMYFUNCTION("CONCATENATE(GOOGLETRANSLATE(C3876, ""en"", ""zh-cn""))"),"X2 Hi Pro Pac 极度受损头发修复强效蛋白质护理")</f>
        <v>X2 Hi Pro Pac 极度受损头发修复强效蛋白质护理</v>
      </c>
      <c r="E3876" s="1" t="str">
        <f>IFERROR(__xludf.DUMMYFUNCTION("CONCATENATE(GOOGLETRANSLATE(C3876, ""en"", ""ko""))"),"X2 하이 프로 팩 극도로 손상된 헤어 리페어 인텐스 프로틴 트리트먼트")</f>
        <v>X2 하이 프로 팩 극도로 손상된 헤어 리페어 인텐스 프로틴 트리트먼트</v>
      </c>
      <c r="F3876" s="1" t="str">
        <f>IFERROR(__xludf.DUMMYFUNCTION("CONCATENATE(GOOGLETRANSLATE(C3876, ""en"", ""ja""))"),"X2 Hi Pro Pac 極度にダメージを受けた髪の修復インテンス プロテイン トリートメント")</f>
        <v>X2 Hi Pro Pac 極度にダメージを受けた髪の修復インテンス プロテイン トリートメント</v>
      </c>
    </row>
    <row r="3877" ht="15.75" customHeight="1">
      <c r="A3877" s="1">
        <v>7547.0</v>
      </c>
      <c r="B3877" s="1" t="s">
        <v>15</v>
      </c>
      <c r="C3877" s="1" t="s">
        <v>3419</v>
      </c>
      <c r="D3877" s="1" t="str">
        <f>IFERROR(__xludf.DUMMYFUNCTION("CONCATENATE(GOOGLETRANSLATE(C3877, ""en"", ""zh-cn""))"),"露得清 Hydro Boost 光彩增强剂")</f>
        <v>露得清 Hydro Boost 光彩增强剂</v>
      </c>
      <c r="E3877" s="1" t="str">
        <f>IFERROR(__xludf.DUMMYFUNCTION("CONCATENATE(GOOGLETRANSLATE(C3877, ""en"", ""ko""))"),"뉴트로지나 하이드로 부스트 글로우 부스터")</f>
        <v>뉴트로지나 하이드로 부스트 글로우 부스터</v>
      </c>
      <c r="F3877" s="1" t="str">
        <f>IFERROR(__xludf.DUMMYFUNCTION("CONCATENATE(GOOGLETRANSLATE(C3877, ""en"", ""ja""))"),"ニュートロジーナ ハイドロブースト グローブースター")</f>
        <v>ニュートロジーナ ハイドロブースト グローブースター</v>
      </c>
    </row>
    <row r="3878" ht="15.75" customHeight="1">
      <c r="A3878" s="1">
        <v>7549.0</v>
      </c>
      <c r="B3878" s="1" t="s">
        <v>15</v>
      </c>
      <c r="C3878" s="1" t="s">
        <v>2055</v>
      </c>
      <c r="D3878" s="1" t="str">
        <f>IFERROR(__xludf.DUMMYFUNCTION("CONCATENATE(GOOGLETRANSLATE(C3878, ""en"", ""zh-cn""))"),"露得清快速透明最大强度治疗垫")</f>
        <v>露得清快速透明最大强度治疗垫</v>
      </c>
      <c r="E3878" s="1" t="str">
        <f>IFERROR(__xludf.DUMMYFUNCTION("CONCATENATE(GOOGLETRANSLATE(C3878, ""en"", ""ko""))"),"뉴트로지나 래피드 클리어 맥시멈 스트렝스 트리트먼트 패드")</f>
        <v>뉴트로지나 래피드 클리어 맥시멈 스트렝스 트리트먼트 패드</v>
      </c>
      <c r="F3878" s="1" t="str">
        <f>IFERROR(__xludf.DUMMYFUNCTION("CONCATENATE(GOOGLETRANSLATE(C3878, ""en"", ""ja""))"),"ニュートロジーナ ラピッド クリア マキシマム ストレングス トリートメント パッド")</f>
        <v>ニュートロジーナ ラピッド クリア マキシマム ストレングス トリートメント パッド</v>
      </c>
    </row>
    <row r="3879" ht="15.75" customHeight="1">
      <c r="A3879" s="1">
        <v>7563.0</v>
      </c>
      <c r="B3879" s="1" t="s">
        <v>15</v>
      </c>
      <c r="C3879" s="1" t="s">
        <v>2531</v>
      </c>
      <c r="D3879" s="1" t="str">
        <f>IFERROR(__xludf.DUMMYFUNCTION("CONCATENATE(GOOGLETRANSLATE(C3879, ""en"", ""zh-cn""))"),"Johnson &amp; Johnson 痤疮治疗露得清 On the Spot 0.75 盎司奶油")</f>
        <v>Johnson &amp; Johnson 痤疮治疗露得清 On the Spot 0.75 盎司奶油</v>
      </c>
      <c r="E3879" s="1" t="str">
        <f>IFERROR(__xludf.DUMMYFUNCTION("CONCATENATE(GOOGLETRANSLATE(C3879, ""en"", ""ko""))"),"Johnson &amp; Johnson 여드름 치료 뉴트로지나 온 더 스팟 0.75 온스. 크림")</f>
        <v>Johnson &amp; Johnson 여드름 치료 뉴트로지나 온 더 스팟 0.75 온스. 크림</v>
      </c>
      <c r="F3879" s="1" t="str">
        <f>IFERROR(__xludf.DUMMYFUNCTION("CONCATENATE(GOOGLETRANSLATE(C3879, ""en"", ""ja""))"),"ジョンソン・エンド・ジョンソン アクネ トリートメント ニュートロジーナ オン ザ スポット 0.75 オンスクリーム")</f>
        <v>ジョンソン・エンド・ジョンソン アクネ トリートメント ニュートロジーナ オン ザ スポット 0.75 オンスクリーム</v>
      </c>
    </row>
    <row r="3880" ht="15.75" customHeight="1">
      <c r="A3880" s="1">
        <v>7572.0</v>
      </c>
      <c r="B3880" s="1" t="s">
        <v>15</v>
      </c>
      <c r="C3880" s="1" t="s">
        <v>3420</v>
      </c>
      <c r="D3880" s="1" t="str">
        <f>IFERROR(__xludf.DUMMYFUNCTION("CONCATENATE(GOOGLETRANSLATE(C3880, ""en"", ""zh-cn""))"),"Johnson &amp; Johnson Neutrogena On the Spot 痤疮治疗，管状，乳霜，无味，2.5% 浓度，0.75 盎司，1 件，#70501001790，#70501001790 EA")</f>
        <v>Johnson &amp; Johnson Neutrogena On the Spot 痤疮治疗，管状，乳霜，无味，2.5% 浓度，0.75 盎司，1 件，#70501001790，#70501001790 EA</v>
      </c>
      <c r="E3880" s="1" t="str">
        <f>IFERROR(__xludf.DUMMYFUNCTION("CONCATENATE(GOOGLETRANSLATE(C3880, ""en"", ""ko""))"),"Johnson &amp; Johnson 뉴트로지나 온더 스팟 여드름 치료, 튜브, 크림, 무향, 2.5% 강도, 0.75온스, 1개, #70501001790, #70501001790 EA")</f>
        <v>Johnson &amp; Johnson 뉴트로지나 온더 스팟 여드름 치료, 튜브, 크림, 무향, 2.5% 강도, 0.75온스, 1개, #70501001790, #70501001790 EA</v>
      </c>
      <c r="F3880" s="1" t="str">
        <f>IFERROR(__xludf.DUMMYFUNCTION("CONCATENATE(GOOGLETRANSLATE(C3880, ""en"", ""ja""))"),"Johnson &amp; Johnson ニュートロジーナ オン ザ スポット アクネ トリートメント、チューブ、クリーム、無香料、2.5% 強度、0.75 オンス、1 カウント、#70501001790、#70501001790 EA")</f>
        <v>Johnson &amp; Johnson ニュートロジーナ オン ザ スポット アクネ トリートメント、チューブ、クリーム、無香料、2.5% 強度、0.75 オンス、1 カウント、#70501001790、#70501001790 EA</v>
      </c>
    </row>
    <row r="3881" ht="15.75" customHeight="1">
      <c r="A3881" s="1">
        <v>7575.0</v>
      </c>
      <c r="B3881" s="1" t="s">
        <v>15</v>
      </c>
      <c r="C3881" s="1" t="s">
        <v>2053</v>
      </c>
      <c r="D3881" s="1" t="str">
        <f>IFERROR(__xludf.DUMMYFUNCTION("CONCATENATE(GOOGLETRANSLATE(C3881, ""en"", ""zh-cn""))"),"露得清三重修护保湿霜 SPF 25")</f>
        <v>露得清三重修护保湿霜 SPF 25</v>
      </c>
      <c r="E3881" s="1" t="str">
        <f>IFERROR(__xludf.DUMMYFUNCTION("CONCATENATE(GOOGLETRANSLATE(C3881, ""en"", ""ko""))"),"뉴트로지나 트리플 에이지 리페어 모이스처라이저 SPF 25")</f>
        <v>뉴트로지나 트리플 에이지 리페어 모이스처라이저 SPF 25</v>
      </c>
      <c r="F3881" s="1" t="str">
        <f>IFERROR(__xludf.DUMMYFUNCTION("CONCATENATE(GOOGLETRANSLATE(C3881, ""en"", ""ja""))"),"ニュートロジーナ トリプル エイジ リペア モイスチャライザー SPF 25")</f>
        <v>ニュートロジーナ トリプル エイジ リペア モイスチャライザー SPF 25</v>
      </c>
    </row>
    <row r="3882" ht="15.75" customHeight="1">
      <c r="A3882" s="1">
        <v>7580.0</v>
      </c>
      <c r="B3882" s="1" t="s">
        <v>15</v>
      </c>
      <c r="C3882" s="1" t="s">
        <v>3421</v>
      </c>
      <c r="D3882" s="1" t="str">
        <f>IFERROR(__xludf.DUMMYFUNCTION("CONCATENATE(GOOGLETRANSLATE(C3882, ""en"", ""zh-cn""))"),"Neutrogena Hydro Boost 保湿水凝胶面膜")</f>
        <v>Neutrogena Hydro Boost 保湿水凝胶面膜</v>
      </c>
      <c r="E3882" s="1" t="str">
        <f>IFERROR(__xludf.DUMMYFUNCTION("CONCATENATE(GOOGLETRANSLATE(C3882, ""en"", ""ko""))"),"뉴트로지나 하이드로 부스트 하이드레이팅 하이드로겔 마스크")</f>
        <v>뉴트로지나 하이드로 부스트 하이드레이팅 하이드로겔 마스크</v>
      </c>
      <c r="F3882" s="1" t="str">
        <f>IFERROR(__xludf.DUMMYFUNCTION("CONCATENATE(GOOGLETRANSLATE(C3882, ""en"", ""ja""))"),"ニュートロジーナ ハイドロ ブースト ハイドレーティング ハイドロゲル マスク")</f>
        <v>ニュートロジーナ ハイドロ ブースト ハイドレーティング ハイドロゲル マスク</v>
      </c>
    </row>
    <row r="3883" ht="15.75" customHeight="1">
      <c r="A3883" s="1">
        <v>7593.0</v>
      </c>
      <c r="B3883" s="1" t="s">
        <v>15</v>
      </c>
      <c r="C3883" s="1" t="s">
        <v>3421</v>
      </c>
      <c r="D3883" s="1" t="str">
        <f>IFERROR(__xludf.DUMMYFUNCTION("CONCATENATE(GOOGLETRANSLATE(C3883, ""en"", ""zh-cn""))"),"Neutrogena Hydro Boost 保湿水凝胶面膜")</f>
        <v>Neutrogena Hydro Boost 保湿水凝胶面膜</v>
      </c>
      <c r="E3883" s="1" t="str">
        <f>IFERROR(__xludf.DUMMYFUNCTION("CONCATENATE(GOOGLETRANSLATE(C3883, ""en"", ""ko""))"),"뉴트로지나 하이드로 부스트 하이드레이팅 하이드로겔 마스크")</f>
        <v>뉴트로지나 하이드로 부스트 하이드레이팅 하이드로겔 마스크</v>
      </c>
      <c r="F3883" s="1" t="str">
        <f>IFERROR(__xludf.DUMMYFUNCTION("CONCATENATE(GOOGLETRANSLATE(C3883, ""en"", ""ja""))"),"ニュートロジーナ ハイドロ ブースト ハイドレーティング ハイドロゲル マスク")</f>
        <v>ニュートロジーナ ハイドロ ブースト ハイドレーティング ハイドロゲル マスク</v>
      </c>
    </row>
    <row r="3884" ht="15.75" customHeight="1">
      <c r="A3884" s="1">
        <v>7613.0</v>
      </c>
      <c r="B3884" s="1" t="s">
        <v>15</v>
      </c>
      <c r="C3884" s="1" t="s">
        <v>3420</v>
      </c>
      <c r="D3884" s="1" t="str">
        <f>IFERROR(__xludf.DUMMYFUNCTION("CONCATENATE(GOOGLETRANSLATE(C3884, ""en"", ""zh-cn""))"),"Johnson &amp; Johnson Neutrogena On the Spot 痤疮治疗，管状，乳霜，无味，2.5% 浓度，0.75 盎司，1 件，#70501001790，#70501001790 EA")</f>
        <v>Johnson &amp; Johnson Neutrogena On the Spot 痤疮治疗，管状，乳霜，无味，2.5% 浓度，0.75 盎司，1 件，#70501001790，#70501001790 EA</v>
      </c>
      <c r="E3884" s="1" t="str">
        <f>IFERROR(__xludf.DUMMYFUNCTION("CONCATENATE(GOOGLETRANSLATE(C3884, ""en"", ""ko""))"),"Johnson &amp; Johnson 뉴트로지나 온더 스팟 여드름 치료, 튜브, 크림, 무향, 2.5% 강도, 0.75온스, 1개, #70501001790, #70501001790 EA")</f>
        <v>Johnson &amp; Johnson 뉴트로지나 온더 스팟 여드름 치료, 튜브, 크림, 무향, 2.5% 강도, 0.75온스, 1개, #70501001790, #70501001790 EA</v>
      </c>
      <c r="F3884" s="1" t="str">
        <f>IFERROR(__xludf.DUMMYFUNCTION("CONCATENATE(GOOGLETRANSLATE(C3884, ""en"", ""ja""))"),"Johnson &amp; Johnson ニュートロジーナ オン ザ スポット アクネ トリートメント、チューブ、クリーム、無香料、2.5% 強度、0.75 オンス、1 カウント、#70501001790、#70501001790 EA")</f>
        <v>Johnson &amp; Johnson ニュートロジーナ オン ザ スポット アクネ トリートメント、チューブ、クリーム、無香料、2.5% 強度、0.75 オンス、1 カウント、#70501001790、#70501001790 EA</v>
      </c>
    </row>
    <row r="3885" ht="15.75" customHeight="1">
      <c r="A3885" s="1">
        <v>7616.0</v>
      </c>
      <c r="B3885" s="1" t="s">
        <v>15</v>
      </c>
      <c r="C3885" s="1" t="s">
        <v>3419</v>
      </c>
      <c r="D3885" s="1" t="str">
        <f>IFERROR(__xludf.DUMMYFUNCTION("CONCATENATE(GOOGLETRANSLATE(C3885, ""en"", ""zh-cn""))"),"露得清 Hydro Boost 光彩增强剂")</f>
        <v>露得清 Hydro Boost 光彩增强剂</v>
      </c>
      <c r="E3885" s="1" t="str">
        <f>IFERROR(__xludf.DUMMYFUNCTION("CONCATENATE(GOOGLETRANSLATE(C3885, ""en"", ""ko""))"),"뉴트로지나 하이드로 부스트 글로우 부스터")</f>
        <v>뉴트로지나 하이드로 부스트 글로우 부스터</v>
      </c>
      <c r="F3885" s="1" t="str">
        <f>IFERROR(__xludf.DUMMYFUNCTION("CONCATENATE(GOOGLETRANSLATE(C3885, ""en"", ""ja""))"),"ニュートロジーナ ハイドロブースト グローブースター")</f>
        <v>ニュートロジーナ ハイドロブースト グローブースター</v>
      </c>
    </row>
    <row r="3886" ht="15.75" customHeight="1">
      <c r="A3886" s="1">
        <v>7618.0</v>
      </c>
      <c r="B3886" s="1" t="s">
        <v>15</v>
      </c>
      <c r="C3886" s="1" t="s">
        <v>3422</v>
      </c>
      <c r="D3886" s="1" t="str">
        <f>IFERROR(__xludf.DUMMYFUNCTION("CONCATENATE(GOOGLETRANSLATE(C3886, ""en"", ""zh-cn""))"),"露得清光疗痤疮斑治疗")</f>
        <v>露得清光疗痤疮斑治疗</v>
      </c>
      <c r="E3886" s="1" t="str">
        <f>IFERROR(__xludf.DUMMYFUNCTION("CONCATENATE(GOOGLETRANSLATE(C3886, ""en"", ""ko""))"),"뉴트로지나 라이트 테라피 여드름 스팟 트리트먼트")</f>
        <v>뉴트로지나 라이트 테라피 여드름 스팟 트리트먼트</v>
      </c>
      <c r="F3886" s="1" t="str">
        <f>IFERROR(__xludf.DUMMYFUNCTION("CONCATENATE(GOOGLETRANSLATE(C3886, ""en"", ""ja""))"),"ニュートロジーナ ライト セラピー アクネ スポット トリートメント")</f>
        <v>ニュートロジーナ ライト セラピー アクネ スポット トリートメント</v>
      </c>
    </row>
    <row r="3887" ht="15.75" customHeight="1">
      <c r="A3887" s="1">
        <v>7626.0</v>
      </c>
      <c r="B3887" s="1" t="s">
        <v>15</v>
      </c>
      <c r="C3887" s="1" t="s">
        <v>3423</v>
      </c>
      <c r="D3887" s="1" t="str">
        <f>IFERROR(__xludf.DUMMYFUNCTION("CONCATENATE(GOOGLETRANSLATE(C3887, ""en"", ""zh-cn""))"),"露得清 Hydro Boost 保湿晚面膜")</f>
        <v>露得清 Hydro Boost 保湿晚面膜</v>
      </c>
      <c r="E3887" s="1" t="str">
        <f>IFERROR(__xludf.DUMMYFUNCTION("CONCATENATE(GOOGLETRANSLATE(C3887, ""en"", ""ko""))"),"뉴트로지나 하이드로 부스트 모이스처라이징 나이트 마스크")</f>
        <v>뉴트로지나 하이드로 부스트 모이스처라이징 나이트 마스크</v>
      </c>
      <c r="F3887" s="1" t="str">
        <f>IFERROR(__xludf.DUMMYFUNCTION("CONCATENATE(GOOGLETRANSLATE(C3887, ""en"", ""ja""))"),"ニュートロジーナ ハイドロ ブースト モイスチャライジング ナイト マスク")</f>
        <v>ニュートロジーナ ハイドロ ブースト モイスチャライジング ナイト マスク</v>
      </c>
    </row>
    <row r="3888" ht="15.75" customHeight="1">
      <c r="A3888" s="1">
        <v>7632.0</v>
      </c>
      <c r="B3888" s="1" t="s">
        <v>15</v>
      </c>
      <c r="C3888" s="1" t="s">
        <v>3424</v>
      </c>
      <c r="D3888" s="1" t="str">
        <f>IFERROR(__xludf.DUMMYFUNCTION("CONCATENATE(GOOGLETRANSLATE(C3888, ""en"", ""zh-cn""))"),"露得清顽固痤疮面部护理")</f>
        <v>露得清顽固痤疮面部护理</v>
      </c>
      <c r="E3888" s="1" t="str">
        <f>IFERROR(__xludf.DUMMYFUNCTION("CONCATENATE(GOOGLETRANSLATE(C3888, ""en"", ""ko""))"),"뉴트로지나 완고한 여드름 페이셜 트리트먼트")</f>
        <v>뉴트로지나 완고한 여드름 페이셜 트리트먼트</v>
      </c>
      <c r="F3888" s="1" t="str">
        <f>IFERROR(__xludf.DUMMYFUNCTION("CONCATENATE(GOOGLETRANSLATE(C3888, ""en"", ""ja""))"),"ニュートロジーナ 頑固なニキビフェイシャルトリートメント")</f>
        <v>ニュートロジーナ 頑固なニキビフェイシャルトリートメント</v>
      </c>
    </row>
    <row r="3889" ht="15.75" customHeight="1">
      <c r="A3889" s="1">
        <v>7650.0</v>
      </c>
      <c r="B3889" s="1" t="s">
        <v>15</v>
      </c>
      <c r="C3889" s="1" t="s">
        <v>3425</v>
      </c>
      <c r="D3889" s="1" t="str">
        <f>IFERROR(__xludf.DUMMYFUNCTION("CONCATENATE(GOOGLETRANSLATE(C3889, ""en"", ""zh-cn""))"),"Arm &amp; Hammer 宠物用猫砂除臭剂，含活性小苏打 20 盎司（4 件装）")</f>
        <v>Arm &amp; Hammer 宠物用猫砂除臭剂，含活性小苏打 20 盎司（4 件装）</v>
      </c>
      <c r="E3889" s="1" t="str">
        <f>IFERROR(__xludf.DUMMYFUNCTION("CONCATENATE(GOOGLETRANSLATE(C3889, ""en"", ""ko""))"),"암 앤 해머 애완동물용 고양이 쓰레기 탈취제(활성 베이킹 소다 포함) 20온스(4팩)")</f>
        <v>암 앤 해머 애완동물용 고양이 쓰레기 탈취제(활성 베이킹 소다 포함) 20온스(4팩)</v>
      </c>
      <c r="F3889" s="1" t="str">
        <f>IFERROR(__xludf.DUMMYFUNCTION("CONCATENATE(GOOGLETRANSLATE(C3889, ""en"", ""ja""))"),"Arm &amp; Hammer For Pets 猫砂消臭剤 活性重曹入り 20オンス (4個パック)")</f>
        <v>Arm &amp; Hammer For Pets 猫砂消臭剤 活性重曹入り 20オンス (4個パック)</v>
      </c>
    </row>
    <row r="3890" ht="15.75" customHeight="1">
      <c r="A3890" s="1">
        <v>7668.0</v>
      </c>
      <c r="B3890" s="1" t="s">
        <v>15</v>
      </c>
      <c r="C3890" s="1" t="s">
        <v>3426</v>
      </c>
      <c r="D3890" s="1" t="str">
        <f>IFERROR(__xludf.DUMMYFUNCTION("CONCATENATE(GOOGLETRANSLATE(C3890, ""en"", ""zh-cn""))"),"Arm &amp; Hammer 永远新鲜结块薰衣草猫砂，MultiCat 18 磅，薰衣草新鲜度增加 20%，适合宠物使用，含精油")</f>
        <v>Arm &amp; Hammer 永远新鲜结块薰衣草猫砂，MultiCat 18 磅，薰衣草新鲜度增加 20%，适合宠物使用，含精油</v>
      </c>
      <c r="E3890" s="1" t="str">
        <f>IFERROR(__xludf.DUMMYFUNCTION("CONCATENATE(GOOGLETRANSLATE(C3890, ""en"", ""ko""))"),"Arm &amp; Hammer Forever 프레시 클럼핑 고양이 모래 라벤더, MultiCat 18lb, 라벤더 신선도 20% 증가, 애완동물 친화적인 에센셜 오일")</f>
        <v>Arm &amp; Hammer Forever 프레시 클럼핑 고양이 모래 라벤더, MultiCat 18lb, 라벤더 신선도 20% 증가, 애완동물 친화적인 에센셜 오일</v>
      </c>
      <c r="F3890" s="1" t="str">
        <f>IFERROR(__xludf.DUMMYFUNCTION("CONCATENATE(GOOGLETRANSLATE(C3890, ""en"", ""ja""))"),"アーム&amp;ハンマー フォーエバーフレッシュクランプ猫砂ラベンダー、マルチキャット18ポンド、ラベンダーの鮮度が20%向上、ペットに優しいエッセンシャルオイル配合")</f>
        <v>アーム&amp;ハンマー フォーエバーフレッシュクランプ猫砂ラベンダー、マルチキャット18ポンド、ラベンダーの鮮度が20%向上、ペットに優しいエッセンシャルオイル配合</v>
      </c>
    </row>
    <row r="3891" ht="15.75" customHeight="1">
      <c r="A3891" s="1">
        <v>7672.0</v>
      </c>
      <c r="B3891" s="1" t="s">
        <v>15</v>
      </c>
      <c r="C3891" s="1" t="s">
        <v>3427</v>
      </c>
      <c r="D3891" s="1" t="str">
        <f>IFERROR(__xludf.DUMMYFUNCTION("CONCATENATE(GOOGLETRANSLATE(C3891, ""en"", ""zh-cn""))"),"PetSafe ScatMat 猫狗室内电动训练垫，中号，30 英寸 x 16 英寸")</f>
        <v>PetSafe ScatMat 猫狗室内电动训练垫，中号，30 英寸 x 16 英寸</v>
      </c>
      <c r="E3891" s="1" t="str">
        <f>IFERROR(__xludf.DUMMYFUNCTION("CONCATENATE(GOOGLETRANSLATE(C3891, ""en"", ""ko""))"),"PetSafe ScatMat 실내 전기 트레이닝 매트(고양이 및 개용), 중형, 30"" x 16""")</f>
        <v>PetSafe ScatMat 실내 전기 트레이닝 매트(고양이 및 개용), 중형, 30" x 16"</v>
      </c>
      <c r="F3891" s="1" t="str">
        <f>IFERROR(__xludf.DUMMYFUNCTION("CONCATENATE(GOOGLETRANSLATE(C3891, ""en"", ""ja""))"),"PetSafe ScatMat 猫と犬用屋内電気トレーニングマット、M、30インチ x 16インチ")</f>
        <v>PetSafe ScatMat 猫と犬用屋内電気トレーニングマット、M、30インチ x 16インチ</v>
      </c>
    </row>
    <row r="3892" ht="15.75" customHeight="1">
      <c r="A3892" s="1">
        <v>7674.0</v>
      </c>
      <c r="B3892" s="1" t="s">
        <v>15</v>
      </c>
      <c r="C3892" s="1" t="s">
        <v>3428</v>
      </c>
      <c r="D3892" s="1" t="str">
        <f>IFERROR(__xludf.DUMMYFUNCTION("CONCATENATE(GOOGLETRANSLATE(C3892, ""en"", ""zh-cn""))"),"适用于猫狗饮水器的 PetSafe 泡沫过滤器，2 件装，适用于猫狗 Viva 宠物饮水器的替换过滤器 - PAC00-17960")</f>
        <v>适用于猫狗饮水器的 PetSafe 泡沫过滤器，2 件装，适用于猫狗 Viva 宠物饮水器的替换过滤器 - PAC00-17960</v>
      </c>
      <c r="E3892" s="1" t="str">
        <f>IFERROR(__xludf.DUMMYFUNCTION("CONCATENATE(GOOGLETRANSLATE(C3892, ""en"", ""ko""))"),"고양이와 강아지 분수용 PetSafe 폼 필터, 2팩, 고양이와 강아지용 Viva Pet 분수용 교체 필터 - PAC00-17960")</f>
        <v>고양이와 강아지 분수용 PetSafe 폼 필터, 2팩, 고양이와 강아지용 Viva Pet 분수용 교체 필터 - PAC00-17960</v>
      </c>
      <c r="F3892" s="1" t="str">
        <f>IFERROR(__xludf.DUMMYFUNCTION("CONCATENATE(GOOGLETRANSLATE(C3892, ""en"", ""ja""))"),"PetSafe 猫と犬のファウンテン用フォームフィルター、2 パック、猫と犬用の Viva Pet ウォーターファウンテン用交換フィルター - PAC00-17960")</f>
        <v>PetSafe 猫と犬のファウンテン用フォームフィルター、2 パック、猫と犬用の Viva Pet ウォーターファウンテン用交換フィルター - PAC00-17960</v>
      </c>
    </row>
    <row r="3893" ht="15.75" customHeight="1">
      <c r="A3893" s="1">
        <v>7683.0</v>
      </c>
      <c r="B3893" s="1" t="s">
        <v>15</v>
      </c>
      <c r="C3893" s="1" t="s">
        <v>3429</v>
      </c>
      <c r="D3893" s="1" t="str">
        <f>IFERROR(__xludf.DUMMYFUNCTION("CONCATENATE(GOOGLETRANSLATE(C3893, ""en"", ""zh-cn""))"),"PetSafe 健康宠物饮水站 - 小型，64 盎司容量 - 重力宠物饮水器、自动猫饮水器、狗饮水器、饮水机 - 包括可拆卸不锈钢碗")</f>
        <v>PetSafe 健康宠物饮水站 - 小型，64 盎司容量 - 重力宠物饮水器、自动猫饮水器、狗饮水器、饮水机 - 包括可拆卸不锈钢碗</v>
      </c>
      <c r="E3893" s="1" t="str">
        <f>IFERROR(__xludf.DUMMYFUNCTION("CONCATENATE(GOOGLETRANSLATE(C3893, ""en"", ""ko""))"),"PetSafe 건강한 애완동물 급수대 - 소형, 64온스 용량 - 중력 애완동물 분수, 자동 고양이 분수, 강아지 분수, 워터 디스펜서 - 탈착식 스테인레스 스틸 그릇 포함")</f>
        <v>PetSafe 건강한 애완동물 급수대 - 소형, 64온스 용량 - 중력 애완동물 분수, 자동 고양이 분수, 강아지 분수, 워터 디스펜서 - 탈착식 스테인레스 스틸 그릇 포함</v>
      </c>
      <c r="F3893" s="1" t="str">
        <f>IFERROR(__xludf.DUMMYFUNCTION("CONCATENATE(GOOGLETRANSLATE(C3893, ""en"", ""ja""))"),"PetSafe ヘルシー ペット ウォーター ステーション - 小型、容量 64 オンス - 重力式ペット給水器、自動猫給水器、犬給水器、ウォーターディスペンサー - 取り外し可能なステンレススチールボウル付属")</f>
        <v>PetSafe ヘルシー ペット ウォーター ステーション - 小型、容量 64 オンス - 重力式ペット給水器、自動猫給水器、犬給水器、ウォーターディスペンサー - 取り外し可能なステンレススチールボウル付属</v>
      </c>
    </row>
    <row r="3894" ht="15.75" customHeight="1">
      <c r="A3894" s="1">
        <v>7690.0</v>
      </c>
      <c r="B3894" s="1" t="s">
        <v>15</v>
      </c>
      <c r="C3894" s="1" t="s">
        <v>3430</v>
      </c>
      <c r="D3894" s="1" t="str">
        <f>IFERROR(__xludf.DUMMYFUNCTION("CONCATENATE(GOOGLETRANSLATE(C3894, ""en"", ""zh-cn""))"),"PetSafe ScoopFree Crystal Pro 自洁猫砂盆，自动猫砂盆，包括一次性水晶猫砂盆（灰色，无盖）")</f>
        <v>PetSafe ScoopFree Crystal Pro 自洁猫砂盆，自动猫砂盆，包括一次性水晶猫砂盆（灰色，无盖）</v>
      </c>
      <c r="E3894" s="1" t="str">
        <f>IFERROR(__xludf.DUMMYFUNCTION("CONCATENATE(GOOGLETRANSLATE(C3894, ""en"", ""ko""))"),"PetSafe ScoopFree Crystal Pro 자가 청소 쓰레기 상자, 자동 고양이 쓰레기 상자, 일회용 크리스탈 쓰레기 트레이 포함(회색, 덮개 없음)")</f>
        <v>PetSafe ScoopFree Crystal Pro 자가 청소 쓰레기 상자, 자동 고양이 쓰레기 상자, 일회용 크리스탈 쓰레기 트레이 포함(회색, 덮개 없음)</v>
      </c>
      <c r="F3894" s="1" t="str">
        <f>IFERROR(__xludf.DUMMYFUNCTION("CONCATENATE(GOOGLETRANSLATE(C3894, ""en"", ""ja""))"),"PetSafe ScoopFree クリスタル プロ セルフ クリーニング トイレ 自動猫トイレ 使い捨てクリスタル トイレ トレイ付き (グレー、カバーなし)")</f>
        <v>PetSafe ScoopFree クリスタル プロ セルフ クリーニング トイレ 自動猫トイレ 使い捨てクリスタル トイレ トレイ付き (グレー、カバーなし)</v>
      </c>
    </row>
    <row r="3895" ht="15.75" customHeight="1">
      <c r="A3895" s="1">
        <v>7709.0</v>
      </c>
      <c r="B3895" s="1" t="s">
        <v>15</v>
      </c>
      <c r="C3895" s="1" t="s">
        <v>3431</v>
      </c>
      <c r="D3895" s="1" t="str">
        <f>IFERROR(__xludf.DUMMYFUNCTION("CONCATENATE(GOOGLETRANSLATE(C3895, ""en"", ""zh-cn""))"),"MidWest Homes for Pets 金属丝网宠物安全门，压力安装狗门尺寸为 24 英寸高，可扩展至 27-41.5 英寸宽，天然木材和白色粉末涂层金属丝网")</f>
        <v>MidWest Homes for Pets 金属丝网宠物安全门，压力安装狗门尺寸为 24 英寸高，可扩展至 27-41.5 英寸宽，天然木材和白色粉末涂层金属丝网</v>
      </c>
      <c r="E3895" s="1" t="str">
        <f>IFERROR(__xludf.DUMMYFUNCTION("CONCATENATE(GOOGLETRANSLATE(C3895, ""en"", ""ko""))"),"애완 동물을 위한 MidWest 주택 철망 애완동물 안전 게이트, 압력 장착형 개 게이트는 높이 24인치, 너비 27-41.5인치까지 확장, 천연 목재 및 백색 분말 코팅 철망")</f>
        <v>애완 동물을 위한 MidWest 주택 철망 애완동물 안전 게이트, 압력 장착형 개 게이트는 높이 24인치, 너비 27-41.5인치까지 확장, 천연 목재 및 백색 분말 코팅 철망</v>
      </c>
      <c r="F3895" s="1" t="str">
        <f>IFERROR(__xludf.DUMMYFUNCTION("CONCATENATE(GOOGLETRANSLATE(C3895, ""en"", ""ja""))"),"MidWest Homes ペット用ワイヤーメッシュペットセーフティゲート、圧力取り付け式犬用ゲート、高さ24インチ、幅27～41.5インチまで拡張、天然木&amp;ホワイトパウダーコーティングワイヤーメッシュ")</f>
        <v>MidWest Homes ペット用ワイヤーメッシュペットセーフティゲート、圧力取り付け式犬用ゲート、高さ24インチ、幅27～41.5インチまで拡張、天然木&amp;ホワイトパウダーコーティングワイヤーメッシュ</v>
      </c>
    </row>
    <row r="3896" ht="15.75" customHeight="1">
      <c r="A3896" s="1">
        <v>7716.0</v>
      </c>
      <c r="B3896" s="1" t="s">
        <v>15</v>
      </c>
      <c r="C3896" s="1" t="s">
        <v>3432</v>
      </c>
      <c r="D3896" s="1" t="str">
        <f>IFERROR(__xludf.DUMMYFUNCTION("CONCATENATE(GOOGLETRANSLATE(C3896, ""en"", ""zh-cn""))"),"MidWest Homes for Pets 全新增强型双门 iCrate 狗笼，包括防漏盘、地板保护脚、分隔板和新专利功能")</f>
        <v>MidWest Homes for Pets 全新增强型双门 iCrate 狗笼，包括防漏盘、地板保护脚、分隔板和新专利功能</v>
      </c>
      <c r="E3896" s="1" t="str">
        <f>IFERROR(__xludf.DUMMYFUNCTION("CONCATENATE(GOOGLETRANSLATE(C3896, ""en"", ""ko""))"),"MidWest Homes for Pets 새롭게 강화된 이중 문 iCrate 개 상자, 누출 방지 팬, 바닥 보호 발, 칸막이 패널 및 새로운 특허 기능 포함")</f>
        <v>MidWest Homes for Pets 새롭게 강화된 이중 문 iCrate 개 상자, 누출 방지 팬, 바닥 보호 발, 칸막이 패널 및 새로운 특허 기능 포함</v>
      </c>
      <c r="F3896" s="1" t="str">
        <f>IFERROR(__xludf.DUMMYFUNCTION("CONCATENATE(GOOGLETRANSLATE(C3896, ""en"", ""ja""))"),"MidWest Homes for Pets 新しく強化された両開きドア iCrate 犬用クレート、漏れ防止パン、床保護脚、仕切りパネル、新しい特許取得済み機能が付属")</f>
        <v>MidWest Homes for Pets 新しく強化された両開きドア iCrate 犬用クレート、漏れ防止パン、床保護脚、仕切りパネル、新しい特許取得済み機能が付属</v>
      </c>
    </row>
    <row r="3897" ht="15.75" customHeight="1">
      <c r="A3897" s="1">
        <v>7726.0</v>
      </c>
      <c r="B3897" s="1" t="s">
        <v>15</v>
      </c>
      <c r="C3897" s="1" t="s">
        <v>3433</v>
      </c>
      <c r="D3897" s="1" t="str">
        <f>IFERROR(__xludf.DUMMYFUNCTION("CONCATENATE(GOOGLETRANSLATE(C3897, ""en"", ""zh-cn""))"),"PetSafe 永不生锈入墙式宠物门 - 伸缩框架 - 比金属绝缘更好，节能 - 内墙和外墙，防风雨，易于安装和清洁（白色 - 大号）")</f>
        <v>PetSafe 永不生锈入墙式宠物门 - 伸缩框架 - 比金属绝缘更好，节能 - 内墙和外墙，防风雨，易于安装和清洁（白色 - 大号）</v>
      </c>
      <c r="E3897" s="1" t="str">
        <f>IFERROR(__xludf.DUMMYFUNCTION("CONCATENATE(GOOGLETRANSLATE(C3897, ""en"", ""ko""))"),"PetSafe는 절대 녹슬지 않습니다. 벽 입구 애완동물용 도어 - 텔레스코핑 프레임 - 금속보다 단열 효과가 우수하고, 에너지 효율성 - 내부 및 외부 벽, 내후성, 설치 및 청소 용이(흰색 - 대형)")</f>
        <v>PetSafe는 절대 녹슬지 않습니다. 벽 입구 애완동물용 도어 - 텔레스코핑 프레임 - 금속보다 단열 효과가 우수하고, 에너지 효율성 - 내부 및 외부 벽, 내후성, 설치 및 청소 용이(흰색 - 대형)</v>
      </c>
      <c r="F3897" s="1" t="str">
        <f>IFERROR(__xludf.DUMMYFUNCTION("CONCATENATE(GOOGLETRANSLATE(C3897, ""en"", ""ja""))"),"PetSafe 錆びない壁エントリーペットドア - 伸縮式フレーム - 金属より優れた断熱性、エネルギー効率 - 内壁と外壁、耐候性、取り付けと掃除が簡単 (ホワイト - L)")</f>
        <v>PetSafe 錆びない壁エントリーペットドア - 伸縮式フレーム - 金属より優れた断熱性、エネルギー効率 - 内壁と外壁、耐候性、取り付けと掃除が簡単 (ホワイト - L)</v>
      </c>
    </row>
    <row r="3898" ht="15.75" customHeight="1">
      <c r="A3898" s="1">
        <v>7730.0</v>
      </c>
      <c r="B3898" s="1" t="s">
        <v>15</v>
      </c>
      <c r="C3898" s="1" t="s">
        <v>3434</v>
      </c>
      <c r="D3898" s="1" t="str">
        <f>IFERROR(__xludf.DUMMYFUNCTION("CONCATENATE(GOOGLETRANSLATE(C3898, ""en"", ""zh-cn""))"),"PetSafe Stay &amp; Play 无线狗项圈、无线狗围栏系统可充电防水接收项圈、2-3 小时快速充电、狗围栏、宠物电动围护")</f>
        <v>PetSafe Stay &amp; Play 无线狗项圈、无线狗围栏系统可充电防水接收项圈、2-3 小时快速充电、狗围栏、宠物电动围护</v>
      </c>
      <c r="E3898" s="1" t="str">
        <f>IFERROR(__xludf.DUMMYFUNCTION("CONCATENATE(GOOGLETRANSLATE(C3898, ""en"", ""ko""))"),"PetSafe Stay &amp; Play 무선 개 목걸이, 무선 개 울타리 시스템 충전식 및 방수 수신기 목줄, 2~3시간 내 빠른 충전, 개용 울타리, 애완동물용 전기 격납 장치")</f>
        <v>PetSafe Stay &amp; Play 무선 개 목걸이, 무선 개 울타리 시스템 충전식 및 방수 수신기 목줄, 2~3시간 내 빠른 충전, 개용 울타리, 애완동물용 전기 격납 장치</v>
      </c>
      <c r="F3898" s="1" t="str">
        <f>IFERROR(__xludf.DUMMYFUNCTION("CONCATENATE(GOOGLETRANSLATE(C3898, ""en"", ""ja""))"),"PetSafe ステイ&amp;プレイ ワイヤレス犬用首輪、ワイヤレス犬用フェンスシステム 充電式防水受信機首輪、2～3時間で急速充電、犬用フェンス、ペット用電気封じ込め")</f>
        <v>PetSafe ステイ&amp;プレイ ワイヤレス犬用首輪、ワイヤレス犬用フェンスシステム 充電式防水受信機首輪、2～3時間で急速充電、犬用フェンス、ペット用電気封じ込め</v>
      </c>
    </row>
    <row r="3899" ht="15.75" customHeight="1">
      <c r="A3899" s="1">
        <v>7732.0</v>
      </c>
      <c r="B3899" s="1" t="s">
        <v>15</v>
      </c>
      <c r="C3899" s="1" t="s">
        <v>3435</v>
      </c>
      <c r="D3899" s="1" t="str">
        <f>IFERROR(__xludf.DUMMYFUNCTION("CONCATENATE(GOOGLETRANSLATE(C3899, ""en"", ""zh-cn""))"),"PetSafe 豪华超轻宠物围栏接收器项圈电动狗遏制装置，地面狗围栏防水功能，低电量指示器，狗用宠物项圈项圈接收器")</f>
        <v>PetSafe 豪华超轻宠物围栏接收器项圈电动狗遏制装置，地面狗围栏防水功能，低电量指示器，狗用宠物项圈项圈接收器</v>
      </c>
      <c r="E3899" s="1" t="str">
        <f>IFERROR(__xludf.DUMMYFUNCTION("CONCATENATE(GOOGLETRANSLATE(C3899, ""en"", ""ko""))"),"PetSafe 디럭스 초경량 애완 동물 울타리 수신기 목줄 전기 개 봉쇄, 지상 개 울타리 방수 기능, 배터리 부족 표시기, 개 목걸이 수신기용 애완 동물 목줄")</f>
        <v>PetSafe 디럭스 초경량 애완 동물 울타리 수신기 목줄 전기 개 봉쇄, 지상 개 울타리 방수 기능, 배터리 부족 표시기, 개 목걸이 수신기용 애완 동물 목줄</v>
      </c>
      <c r="F3899" s="1" t="str">
        <f>IFERROR(__xludf.DUMMYFUNCTION("CONCATENATE(GOOGLETRANSLATE(C3899, ""en"", ""ja""))"),"PetSafe デラックス 超軽量ペットフェンスレシーバー首輪 電動犬用封じ込め、地上犬フェンス防水機能、電池残量低下インジケーター、犬用ペット首輪 首輪レシーバー")</f>
        <v>PetSafe デラックス 超軽量ペットフェンスレシーバー首輪 電動犬用封じ込め、地上犬フェンス防水機能、電池残量低下インジケーター、犬用ペット首輪 首輪レシーバー</v>
      </c>
    </row>
    <row r="3900" ht="15.75" customHeight="1">
      <c r="A3900" s="1">
        <v>7737.0</v>
      </c>
      <c r="B3900" s="1" t="s">
        <v>15</v>
      </c>
      <c r="C3900" s="1" t="s">
        <v>3436</v>
      </c>
      <c r="D3900" s="1" t="str">
        <f>IFERROR(__xludf.DUMMYFUNCTION("CONCATENATE(GOOGLETRANSLATE(C3900, ""en"", ""zh-cn""))"),"PetSafe Easy Walk 无拉力狗狗背带 - 帮助停止拉扯的终极背带 - 控制并教导更好的牵引绳礼仪 - 帮助防止宠物在散步时拉扯，中号，黑色/银色")</f>
        <v>PetSafe Easy Walk 无拉力狗狗背带 - 帮助停止拉扯的终极背带 - 控制并教导更好的牵引绳礼仪 - 帮助防止宠物在散步时拉扯，中号，黑色/银色</v>
      </c>
      <c r="E3900" s="1" t="str">
        <f>IFERROR(__xludf.DUMMYFUNCTION("CONCATENATE(GOOGLETRANSLATE(C3900, ""en"", ""ko""))"),"PetSafe Easy Walk 노풀 개 하네스 - 당기는 것을 멈추는 데 도움이 되는 최고의 하네스 - 통제력을 갖고 더 나은 가죽끈 매너 교육 - 산책 시 애완동물이 당기는 것을 방지하는 데 도움, 미디엄, 블랙/실버")</f>
        <v>PetSafe Easy Walk 노풀 개 하네스 - 당기는 것을 멈추는 데 도움이 되는 최고의 하네스 - 통제력을 갖고 더 나은 가죽끈 매너 교육 - 산책 시 애완동물이 당기는 것을 방지하는 데 도움, 미디엄, 블랙/실버</v>
      </c>
      <c r="F3900" s="1" t="str">
        <f>IFERROR(__xludf.DUMMYFUNCTION("CONCATENATE(GOOGLETRANSLATE(C3900, ""en"", ""ja""))"),"PetSafe イージーウォーク 引っ張らない犬用ハーネス - 引っ張りを止める究極のハーネス - コントロールを確立し、より良いリードマナーを教える - 散歩中のペットの引っ張り防止に役立ちます、M、ブラック/シルバー")</f>
        <v>PetSafe イージーウォーク 引っ張らない犬用ハーネス - 引っ張りを止める究極のハーネス - コントロールを確立し、より良いリードマナーを教える - 散歩中のペットの引っ張り防止に役立ちます、M、ブラック/シルバー</v>
      </c>
    </row>
    <row r="3901" ht="15.75" customHeight="1">
      <c r="A3901" s="1">
        <v>7748.0</v>
      </c>
      <c r="B3901" s="1" t="s">
        <v>15</v>
      </c>
      <c r="C3901" s="1" t="s">
        <v>3437</v>
      </c>
      <c r="D3901" s="1" t="str">
        <f>IFERROR(__xludf.DUMMYFUNCTION("CONCATENATE(GOOGLETRANSLATE(C3901, ""en"", ""zh-cn""))"),"Aqueon 55 加仑水族箱")</f>
        <v>Aqueon 55 加仑水族箱</v>
      </c>
      <c r="E3901" s="1" t="str">
        <f>IFERROR(__xludf.DUMMYFUNCTION("CONCATENATE(GOOGLETRANSLATE(C3901, ""en"", ""ko""))"),"Aqueon 55 갤런 수족관")</f>
        <v>Aqueon 55 갤런 수족관</v>
      </c>
      <c r="F3901" s="1" t="str">
        <f>IFERROR(__xludf.DUMMYFUNCTION("CONCATENATE(GOOGLETRANSLATE(C3901, ""en"", ""ja""))"),"アクアン 55 ガロン水族館")</f>
        <v>アクアン 55 ガロン水族館</v>
      </c>
    </row>
    <row r="3902" ht="15.75" customHeight="1">
      <c r="A3902" s="1">
        <v>7753.0</v>
      </c>
      <c r="B3902" s="1" t="s">
        <v>15</v>
      </c>
      <c r="C3902" s="1" t="s">
        <v>3438</v>
      </c>
      <c r="D3902" s="1" t="str">
        <f>IFERROR(__xludf.DUMMYFUNCTION("CONCATENATE(GOOGLETRANSLATE(C3902, ""en"", ""zh-cn""))"),"Aqueon 5.5 加仑水族箱")</f>
        <v>Aqueon 5.5 加仑水族箱</v>
      </c>
      <c r="E3902" s="1" t="str">
        <f>IFERROR(__xludf.DUMMYFUNCTION("CONCATENATE(GOOGLETRANSLATE(C3902, ""en"", ""ko""))"),"Aqueon 5.5 갤런 수족관")</f>
        <v>Aqueon 5.5 갤런 수족관</v>
      </c>
      <c r="F3902" s="1" t="str">
        <f>IFERROR(__xludf.DUMMYFUNCTION("CONCATENATE(GOOGLETRANSLATE(C3902, ""en"", ""ja""))"),"アクアオン 5.5 ガロン水族館")</f>
        <v>アクアオン 5.5 ガロン水族館</v>
      </c>
    </row>
    <row r="3903" ht="15.75" customHeight="1">
      <c r="A3903" s="1">
        <v>7770.0</v>
      </c>
      <c r="B3903" s="1" t="s">
        <v>15</v>
      </c>
      <c r="C3903" s="1" t="s">
        <v>3439</v>
      </c>
      <c r="D3903" s="1" t="str">
        <f>IFERROR(__xludf.DUMMYFUNCTION("CONCATENATE(GOOGLETRANSLATE(C3903, ""en"", ""zh-cn""))"),"Aqueon 无框矩形水族箱")</f>
        <v>Aqueon 无框矩形水族箱</v>
      </c>
      <c r="E3903" s="1" t="str">
        <f>IFERROR(__xludf.DUMMYFUNCTION("CONCATENATE(GOOGLETRANSLATE(C3903, ""en"", ""ko""))"),"Aqueon 무테 직사각형 수족관")</f>
        <v>Aqueon 무테 직사각형 수족관</v>
      </c>
      <c r="F3903" s="1" t="str">
        <f>IFERROR(__xludf.DUMMYFUNCTION("CONCATENATE(GOOGLETRANSLATE(C3903, ""en"", ""ja""))"),"アクアオン リムレスレクタングルアクアリウム")</f>
        <v>アクアオン リムレスレクタングルアクアリウム</v>
      </c>
    </row>
    <row r="3904" ht="15.75" customHeight="1">
      <c r="A3904" s="1">
        <v>7772.0</v>
      </c>
      <c r="B3904" s="1" t="s">
        <v>15</v>
      </c>
      <c r="C3904" s="1" t="s">
        <v>3440</v>
      </c>
      <c r="D3904" s="1" t="str">
        <f>IFERROR(__xludf.DUMMYFUNCTION("CONCATENATE(GOOGLETRANSLATE(C3904, ""en"", ""zh-cn""))"),"Aqueon QuietFlow LED Pro 电源滤波器")</f>
        <v>Aqueon QuietFlow LED Pro 电源滤波器</v>
      </c>
      <c r="E3904" s="1" t="str">
        <f>IFERROR(__xludf.DUMMYFUNCTION("CONCATENATE(GOOGLETRANSLATE(C3904, ""en"", ""ko""))"),"Aqueon QuietFlow LED Pro 전력 필터")</f>
        <v>Aqueon QuietFlow LED Pro 전력 필터</v>
      </c>
      <c r="F3904" s="1" t="str">
        <f>IFERROR(__xludf.DUMMYFUNCTION("CONCATENATE(GOOGLETRANSLATE(C3904, ""en"", ""ja""))"),"Aqueon QuietFlow LED Pro パワーフィルター")</f>
        <v>Aqueon QuietFlow LED Pro パワーフィルター</v>
      </c>
    </row>
    <row r="3905" ht="15.75" customHeight="1">
      <c r="A3905" s="1">
        <v>7777.0</v>
      </c>
      <c r="B3905" s="1" t="s">
        <v>15</v>
      </c>
      <c r="C3905" s="1" t="s">
        <v>3441</v>
      </c>
      <c r="D3905" s="1" t="str">
        <f>IFERROR(__xludf.DUMMYFUNCTION("CONCATENATE(GOOGLETRANSLATE(C3905, ""en"", ""zh-cn""))"),"Aqueon Betta Falls 3 节水族箱鱼缸")</f>
        <v>Aqueon Betta Falls 3 节水族箱鱼缸</v>
      </c>
      <c r="E3905" s="1" t="str">
        <f>IFERROR(__xludf.DUMMYFUNCTION("CONCATENATE(GOOGLETRANSLATE(C3905, ""en"", ""ko""))"),"Aqueon Betta Falls 3 섹션 수족관 수조")</f>
        <v>Aqueon Betta Falls 3 섹션 수족관 수조</v>
      </c>
      <c r="F3905" s="1" t="str">
        <f>IFERROR(__xludf.DUMMYFUNCTION("CONCATENATE(GOOGLETRANSLATE(C3905, ""en"", ""ja""))"),"アクアオン ベタ フォールズ 3 セクション水族館の水槽")</f>
        <v>アクアオン ベタ フォールズ 3 セクション水族館の水槽</v>
      </c>
    </row>
    <row r="3906" ht="15.75" customHeight="1">
      <c r="A3906" s="1">
        <v>7778.0</v>
      </c>
      <c r="B3906" s="1" t="s">
        <v>15</v>
      </c>
      <c r="C3906" s="1" t="s">
        <v>3442</v>
      </c>
      <c r="D3906" s="1" t="str">
        <f>IFERROR(__xludf.DUMMYFUNCTION("CONCATENATE(GOOGLETRANSLATE(C3906, ""en"", ""zh-cn""))"),"Aqueon 150 加仑水族箱 72x18x29")</f>
        <v>Aqueon 150 加仑水族箱 72x18x29</v>
      </c>
      <c r="E3906" s="1" t="str">
        <f>IFERROR(__xludf.DUMMYFUNCTION("CONCATENATE(GOOGLETRANSLATE(C3906, ""en"", ""ko""))"),"Aqueon 150갤런 수족관 72x18x29")</f>
        <v>Aqueon 150갤런 수족관 72x18x29</v>
      </c>
      <c r="F3906" s="1" t="str">
        <f>IFERROR(__xludf.DUMMYFUNCTION("CONCATENATE(GOOGLETRANSLATE(C3906, ""en"", ""ja""))"),"Aqueon 150 ガロン水族館 72x18x29")</f>
        <v>Aqueon 150 ガロン水族館 72x18x29</v>
      </c>
    </row>
    <row r="3907" ht="15.75" customHeight="1">
      <c r="A3907" s="1">
        <v>7787.0</v>
      </c>
      <c r="B3907" s="1" t="s">
        <v>15</v>
      </c>
      <c r="C3907" s="1" t="s">
        <v>3443</v>
      </c>
      <c r="D3907" s="1" t="str">
        <f>IFERROR(__xludf.DUMMYFUNCTION("CONCATENATE(GOOGLETRANSLATE(C3907, ""en"", ""zh-cn""))"),"Tetra 气泡 LED 水族箱套件 1 加仑，六角形，带变色光盘")</f>
        <v>Tetra 气泡 LED 水族箱套件 1 加仑，六角形，带变色光盘</v>
      </c>
      <c r="E3907" s="1" t="str">
        <f>IFERROR(__xludf.DUMMYFUNCTION("CONCATENATE(GOOGLETRANSLATE(C3907, ""en"", ""ko""))"),"테트라 버블링 LED 수족관 키트 1갤런, 육각형, 색상 변경 조명 디스크 포함")</f>
        <v>테트라 버블링 LED 수족관 키트 1갤런, 육각형, 색상 변경 조명 디스크 포함</v>
      </c>
      <c r="F3907" s="1" t="str">
        <f>IFERROR(__xludf.DUMMYFUNCTION("CONCATENATE(GOOGLETRANSLATE(C3907, ""en"", ""ja""))"),"Tetra バブリング LED アクアリウムキット 1 ガロン、六角形、色が変わるライトディスク付き")</f>
        <v>Tetra バブリング LED アクアリウムキット 1 ガロン、六角形、色が変わるライトディスク付き</v>
      </c>
    </row>
    <row r="3908" ht="15.75" customHeight="1">
      <c r="A3908" s="1">
        <v>7788.0</v>
      </c>
      <c r="B3908" s="1" t="s">
        <v>15</v>
      </c>
      <c r="C3908" s="1" t="s">
        <v>3444</v>
      </c>
      <c r="D3908" s="1" t="str">
        <f>IFERROR(__xludf.DUMMYFUNCTION("CONCATENATE(GOOGLETRANSLATE(C3908, ""en"", ""zh-cn""))"),"Tetra ColorFusion 水族箱 20 加仑鱼缸套件，包括 LED 照明和装饰")</f>
        <v>Tetra ColorFusion 水族箱 20 加仑鱼缸套件，包括 LED 照明和装饰</v>
      </c>
      <c r="E3908" s="1" t="str">
        <f>IFERROR(__xludf.DUMMYFUNCTION("CONCATENATE(GOOGLETRANSLATE(C3908, ""en"", ""ko""))"),"Tetra ColorFusion 수족관 20갤런 수조 키트, LED 조명 및 장식 포함")</f>
        <v>Tetra ColorFusion 수족관 20갤런 수조 키트, LED 조명 및 장식 포함</v>
      </c>
      <c r="F3908" s="1" t="str">
        <f>IFERROR(__xludf.DUMMYFUNCTION("CONCATENATE(GOOGLETRANSLATE(C3908, ""en"", ""ja""))"),"Tetra ColorFusion 水族館 20 ガロン水槽キット、LED 照明と装飾付き")</f>
        <v>Tetra ColorFusion 水族館 20 ガロン水槽キット、LED 照明と装飾付き</v>
      </c>
    </row>
    <row r="3909" ht="15.75" customHeight="1">
      <c r="A3909" s="1">
        <v>7791.0</v>
      </c>
      <c r="B3909" s="1" t="s">
        <v>15</v>
      </c>
      <c r="C3909" s="1" t="s">
        <v>3445</v>
      </c>
      <c r="D3909" s="1" t="str">
        <f>IFERROR(__xludf.DUMMYFUNCTION("CONCATENATE(GOOGLETRANSLATE(C3909, ""en"", ""zh-cn""))"),"Tetra EasyStrips 6 合 1 水族箱测试条，水质测试 100 片（1 片装）")</f>
        <v>Tetra EasyStrips 6 合 1 水族箱测试条，水质测试 100 片（1 片装）</v>
      </c>
      <c r="E3909" s="1" t="str">
        <f>IFERROR(__xludf.DUMMYFUNCTION("CONCATENATE(GOOGLETRANSLATE(C3909, ""en"", ""ko""))"),"Tetra EasyStrips 6-In-1 수족관 테스트 스트립, 수질 테스트 100개(1팩)")</f>
        <v>Tetra EasyStrips 6-In-1 수족관 테스트 스트립, 수질 테스트 100개(1팩)</v>
      </c>
      <c r="F3909" s="1" t="str">
        <f>IFERROR(__xludf.DUMMYFUNCTION("CONCATENATE(GOOGLETRANSLATE(C3909, ""en"", ""ja""))"),"Tetra EasyStrips 6-In-1 水族館テストストリップ、水質検査 100 カウント (1 パック)")</f>
        <v>Tetra EasyStrips 6-In-1 水族館テストストリップ、水質検査 100 カウント (1 パック)</v>
      </c>
    </row>
    <row r="3910" ht="15.75" customHeight="1">
      <c r="A3910" s="1">
        <v>7794.0</v>
      </c>
      <c r="B3910" s="1" t="s">
        <v>15</v>
      </c>
      <c r="C3910" s="1" t="s">
        <v>3446</v>
      </c>
      <c r="D3910" s="1" t="str">
        <f>IFERROR(__xludf.DUMMYFUNCTION("CONCATENATE(GOOGLETRANSLATE(C3910, ""en"", ""zh-cn""))"),"Tetra Whisper 滤芯 4 支，超小，用于水族箱过滤 (AQ-78052)，白色")</f>
        <v>Tetra Whisper 滤芯 4 支，超小，用于水族箱过滤 (AQ-78052)，白色</v>
      </c>
      <c r="E3910" s="1" t="str">
        <f>IFERROR(__xludf.DUMMYFUNCTION("CONCATENATE(GOOGLETRANSLATE(C3910, ""en"", ""ko""))"),"테트라 위스퍼 필터 카트리지 4개, 초소형, 수족관 여과용(AQ-78052), 흰색")</f>
        <v>테트라 위스퍼 필터 카트리지 4개, 초소형, 수족관 여과용(AQ-78052), 흰색</v>
      </c>
      <c r="F3910" s="1" t="str">
        <f>IFERROR(__xludf.DUMMYFUNCTION("CONCATENATE(GOOGLETRANSLATE(C3910, ""en"", ""ja""))"),"テトラ ウィスパーフィルターカートリッジ 4本入 特小 水槽濾過用 (AQ-78052) ホワイト")</f>
        <v>テトラ ウィスパーフィルターカートリッジ 4本入 特小 水槽濾過用 (AQ-78052) ホワイト</v>
      </c>
    </row>
    <row r="3911" ht="15.75" customHeight="1">
      <c r="A3911" s="1">
        <v>7797.0</v>
      </c>
      <c r="B3911" s="1" t="s">
        <v>15</v>
      </c>
      <c r="C3911" s="1" t="s">
        <v>3447</v>
      </c>
      <c r="D3911" s="1" t="str">
        <f>IFERROR(__xludf.DUMMYFUNCTION("CONCATENATE(GOOGLETRANSLATE(C3911, ""en"", ""zh-cn""))"),"Tetra 16172 AquaSafe 鱼缸水质调节剂，8.45 液量盎司")</f>
        <v>Tetra 16172 AquaSafe 鱼缸水质调节剂，8.45 液量盎司</v>
      </c>
      <c r="E3911" s="1" t="str">
        <f>IFERROR(__xludf.DUMMYFUNCTION("CONCATENATE(GOOGLETRANSLATE(C3911, ""en"", ""ko""))"),"Tetra 16172 AquaSafe 어항 워터 컨디셔너, 8.45 fl oz")</f>
        <v>Tetra 16172 AquaSafe 어항 워터 컨디셔너, 8.45 fl oz</v>
      </c>
      <c r="F3911" s="1" t="str">
        <f>IFERROR(__xludf.DUMMYFUNCTION("CONCATENATE(GOOGLETRANSLATE(C3911, ""en"", ""ja""))"),"Tetra 16172 AquaSafe 水槽用水調整器、8.45 液量オンス")</f>
        <v>Tetra 16172 AquaSafe 水槽用水調整器、8.45 液量オンス</v>
      </c>
    </row>
    <row r="3912" ht="15.75" customHeight="1">
      <c r="A3912" s="1">
        <v>7804.0</v>
      </c>
      <c r="B3912" s="1" t="s">
        <v>15</v>
      </c>
      <c r="C3912" s="1" t="s">
        <v>3448</v>
      </c>
      <c r="D3912" s="1" t="str">
        <f>IFERROR(__xludf.DUMMYFUNCTION("CONCATENATE(GOOGLETRANSLATE(C3912, ""en"", ""zh-cn""))"),"适用于水族箱的 Tetra Whisper 生物袋过滤器滤芯 - 未组装")</f>
        <v>适用于水族箱的 Tetra Whisper 生物袋过滤器滤芯 - 未组装</v>
      </c>
      <c r="E3912" s="1" t="str">
        <f>IFERROR(__xludf.DUMMYFUNCTION("CONCATENATE(GOOGLETRANSLATE(C3912, ""en"", ""ko""))"),"수족관용 Tetra Whisper 바이오백 필터 카트리지 - 미조립")</f>
        <v>수족관용 Tetra Whisper 바이오백 필터 카트리지 - 미조립</v>
      </c>
      <c r="F3912" s="1" t="str">
        <f>IFERROR(__xludf.DUMMYFUNCTION("CONCATENATE(GOOGLETRANSLATE(C3912, ""en"", ""ja""))"),"Tetra Whisper 水族館用バイオバッグ フィルター カートリッジ - 未組み立て")</f>
        <v>Tetra Whisper 水族館用バイオバッグ フィルター カートリッジ - 未組み立て</v>
      </c>
    </row>
    <row r="3913" ht="15.75" customHeight="1">
      <c r="A3913" s="1">
        <v>7817.0</v>
      </c>
      <c r="B3913" s="1" t="s">
        <v>15</v>
      </c>
      <c r="C3913" s="1" t="s">
        <v>3449</v>
      </c>
      <c r="D3913" s="1" t="str">
        <f>IFERROR(__xludf.DUMMYFUNCTION("CONCATENATE(GOOGLETRANSLATE(C3913, ""en"", ""zh-cn""))"),"Correll 矩形活动桌白色")</f>
        <v>Correll 矩形活动桌白色</v>
      </c>
      <c r="E3913" s="1" t="str">
        <f>IFERROR(__xludf.DUMMYFUNCTION("CONCATENATE(GOOGLETRANSLATE(C3913, ""en"", ""ko""))"),"Correll 직사각형 활동 테이블 화이트")</f>
        <v>Correll 직사각형 활동 테이블 화이트</v>
      </c>
      <c r="F3913" s="1" t="str">
        <f>IFERROR(__xludf.DUMMYFUNCTION("CONCATENATE(GOOGLETRANSLATE(C3913, ""en"", ""ja""))"),"Correll レクタングル アクティビティ テーブル ホワイト")</f>
        <v>Correll レクタングル アクティビティ テーブル ホワイト</v>
      </c>
    </row>
    <row r="3914" ht="15.75" customHeight="1">
      <c r="A3914" s="1">
        <v>7818.0</v>
      </c>
      <c r="B3914" s="1" t="s">
        <v>15</v>
      </c>
      <c r="C3914" s="1" t="s">
        <v>3450</v>
      </c>
      <c r="D3914" s="1" t="str">
        <f>IFERROR(__xludf.DUMMYFUNCTION("CONCATENATE(GOOGLETRANSLATE(C3914, ""en"", ""zh-cn""))"),"Crate &amp; Kids 婴儿木制活动桌")</f>
        <v>Crate &amp; Kids 婴儿木制活动桌</v>
      </c>
      <c r="E3914" s="1" t="str">
        <f>IFERROR(__xludf.DUMMYFUNCTION("CONCATENATE(GOOGLETRANSLATE(C3914, ""en"", ""ko""))"),"상자 및 어린이 아기 나무 활동 테이블")</f>
        <v>상자 및 어린이 아기 나무 활동 테이블</v>
      </c>
      <c r="F3914" s="1" t="str">
        <f>IFERROR(__xludf.DUMMYFUNCTION("CONCATENATE(GOOGLETRANSLATE(C3914, ""en"", ""ja""))"),"クレート＆キッズベビー木製アクティビティテーブル")</f>
        <v>クレート＆キッズベビー木製アクティビティテーブル</v>
      </c>
    </row>
    <row r="3915" ht="15.75" customHeight="1">
      <c r="A3915" s="1">
        <v>7831.0</v>
      </c>
      <c r="B3915" s="1" t="s">
        <v>15</v>
      </c>
      <c r="C3915" s="1" t="s">
        <v>3451</v>
      </c>
      <c r="D3915" s="1" t="str">
        <f>IFERROR(__xludf.DUMMYFUNCTION("CONCATENATE(GOOGLETRANSLATE(C3915, ""en"", ""zh-cn""))"),"Jonti-Craft Berries KYDZ 活动桌 - 圆形")</f>
        <v>Jonti-Craft Berries KYDZ 活动桌 - 圆形</v>
      </c>
      <c r="E3915" s="1" t="str">
        <f>IFERROR(__xludf.DUMMYFUNCTION("CONCATENATE(GOOGLETRANSLATE(C3915, ""en"", ""ko""))"),"Jonti-Craft Berries KYDZ 활동 테이블 - 라운드")</f>
        <v>Jonti-Craft Berries KYDZ 활동 테이블 - 라운드</v>
      </c>
      <c r="F3915" s="1" t="str">
        <f>IFERROR(__xludf.DUMMYFUNCTION("CONCATENATE(GOOGLETRANSLATE(C3915, ""en"", ""ja""))"),"Jonti-Craft Berries KYDZ アクティビティ テーブル - ラウンド")</f>
        <v>Jonti-Craft Berries KYDZ アクティビティ テーブル - ラウンド</v>
      </c>
    </row>
    <row r="3916" ht="15.75" customHeight="1">
      <c r="A3916" s="1">
        <v>7835.0</v>
      </c>
      <c r="B3916" s="1" t="s">
        <v>15</v>
      </c>
      <c r="C3916" s="1" t="s">
        <v>3452</v>
      </c>
      <c r="D3916" s="1" t="str">
        <f>IFERROR(__xludf.DUMMYFUNCTION("CONCATENATE(GOOGLETRANSLATE(C3916, ""en"", ""zh-cn""))"),"Wonder &amp; Wise 很棒的活动桌")</f>
        <v>Wonder &amp; Wise 很棒的活动桌</v>
      </c>
      <c r="E3916" s="1" t="str">
        <f>IFERROR(__xludf.DUMMYFUNCTION("CONCATENATE(GOOGLETRANSLATE(C3916, ""en"", ""ko""))"),"Wonder &amp; Wise Awesome 활동 표")</f>
        <v>Wonder &amp; Wise Awesome 활동 표</v>
      </c>
      <c r="F3916" s="1" t="str">
        <f>IFERROR(__xludf.DUMMYFUNCTION("CONCATENATE(GOOGLETRANSLATE(C3916, ""en"", ""ja""))"),"Wonder &amp; Wise 素晴らしいアクティビティ テーブル")</f>
        <v>Wonder &amp; Wise 素晴らしいアクティビティ テーブル</v>
      </c>
    </row>
    <row r="3917" ht="15.75" customHeight="1">
      <c r="A3917" s="1">
        <v>7836.0</v>
      </c>
      <c r="B3917" s="1" t="s">
        <v>15</v>
      </c>
      <c r="C3917" s="1" t="s">
        <v>3453</v>
      </c>
      <c r="D3917" s="1" t="str">
        <f>IFERROR(__xludf.DUMMYFUNCTION("CONCATENATE(GOOGLETRANSLATE(C3917, ""en"", ""zh-cn""))"),"Dolu 3 合 1 活动桌 沙子、水和创意")</f>
        <v>Dolu 3 合 1 活动桌 沙子、水和创意</v>
      </c>
      <c r="E3917" s="1" t="str">
        <f>IFERROR(__xludf.DUMMYFUNCTION("CONCATENATE(GOOGLETRANSLATE(C3917, ""en"", ""ko""))"),"Dolu 3-In-1 활동 테이블 모래, 물 및 창의성")</f>
        <v>Dolu 3-In-1 활동 테이블 모래, 물 및 창의성</v>
      </c>
      <c r="F3917" s="1" t="str">
        <f>IFERROR(__xludf.DUMMYFUNCTION("CONCATENATE(GOOGLETRANSLATE(C3917, ""en"", ""ja""))"),"Dolu 3-In-1 アクティビティ テーブル 砂、水、創造性")</f>
        <v>Dolu 3-In-1 アクティビティ テーブル 砂、水、創造性</v>
      </c>
    </row>
    <row r="3918" ht="15.75" customHeight="1">
      <c r="A3918" s="1">
        <v>7839.0</v>
      </c>
      <c r="B3918" s="1" t="s">
        <v>15</v>
      </c>
      <c r="C3918" s="1" t="s">
        <v>3454</v>
      </c>
      <c r="D3918" s="1" t="str">
        <f>IFERROR(__xludf.DUMMYFUNCTION("CONCATENATE(GOOGLETRANSLATE(C3918, ""en"", ""zh-cn""))"),"迪士尼冰雪奇缘活动桌")</f>
        <v>迪士尼冰雪奇缘活动桌</v>
      </c>
      <c r="E3918" s="1" t="str">
        <f>IFERROR(__xludf.DUMMYFUNCTION("CONCATENATE(GOOGLETRANSLATE(C3918, ""en"", ""ko""))"),"디즈니 겨울왕국 활동표")</f>
        <v>디즈니 겨울왕국 활동표</v>
      </c>
      <c r="F3918" s="1" t="str">
        <f>IFERROR(__xludf.DUMMYFUNCTION("CONCATENATE(GOOGLETRANSLATE(C3918, ""en"", ""ja""))"),"ディズニー アナと雪の女王 アクティビティテーブル")</f>
        <v>ディズニー アナと雪の女王 アクティビティテーブル</v>
      </c>
    </row>
    <row r="3919" ht="15.75" customHeight="1">
      <c r="A3919" s="1">
        <v>7842.0</v>
      </c>
      <c r="B3919" s="1" t="s">
        <v>15</v>
      </c>
      <c r="C3919" s="1" t="s">
        <v>3455</v>
      </c>
      <c r="D3919" s="1" t="str">
        <f>IFERROR(__xludf.DUMMYFUNCTION("CONCATENATE(GOOGLETRANSLATE(C3919, ""en"", ""zh-cn""))"),"#1595 KYDZ 活动桌 - 矩形 - 24"" X 48""、15""- 24"" Ht 雀斑灰色，海军蓝装饰")</f>
        <v>#1595 KYDZ 活动桌 - 矩形 - 24" X 48"、15"- 24" Ht 雀斑灰色，海军蓝装饰</v>
      </c>
      <c r="E3919" s="1" t="str">
        <f>IFERROR(__xludf.DUMMYFUNCTION("CONCATENATE(GOOGLETRANSLATE(C3919, ""en"", ""ko""))"),"#1595 KYDZ 활동 테이블 - 직사각형 - 24"" X 48"", 15""- 24"" Ht 주근깨 회색, 네이비 트림")</f>
        <v>#1595 KYDZ 활동 테이블 - 직사각형 - 24" X 48", 15"- 24" Ht 주근깨 회색, 네이비 트림</v>
      </c>
      <c r="F3919" s="1" t="str">
        <f>IFERROR(__xludf.DUMMYFUNCTION("CONCATENATE(GOOGLETRANSLATE(C3919, ""en"", ""ja""))"),"#1595 KYDZ アクティビティテーブル - 長方形 - 24インチ X 48インチ、高さ15インチ～24インチ、そばかすのあるグレー、ネイビートリム")</f>
        <v>#1595 KYDZ アクティビティテーブル - 長方形 - 24インチ X 48インチ、高さ15インチ～24インチ、そばかすのあるグレー、ネイビートリム</v>
      </c>
    </row>
    <row r="3920" ht="15.75" customHeight="1">
      <c r="A3920" s="1">
        <v>7845.0</v>
      </c>
      <c r="B3920" s="1" t="s">
        <v>15</v>
      </c>
      <c r="C3920" s="1" t="s">
        <v>3456</v>
      </c>
      <c r="D3920" s="1" t="str">
        <f>IFERROR(__xludf.DUMMYFUNCTION("CONCATENATE(GOOGLETRANSLATE(C3920, ""en"", ""zh-cn""))"),"Bird in Hand 大网格学前班顶部活动桌")</f>
        <v>Bird in Hand 大网格学前班顶部活动桌</v>
      </c>
      <c r="E3920" s="1" t="str">
        <f>IFERROR(__xludf.DUMMYFUNCTION("CONCATENATE(GOOGLETRANSLATE(C3920, ""en"", ""ko""))"),"손에 새 대형 그리드 유치원 최고 활동 테이블")</f>
        <v>손에 새 대형 그리드 유치원 최고 활동 테이블</v>
      </c>
      <c r="F3920" s="1" t="str">
        <f>IFERROR(__xludf.DUMMYFUNCTION("CONCATENATE(GOOGLETRANSLATE(C3920, ""en"", ""ja""))"),"Bird in Hand ラージ グリッド プリスクール トップ アクティビティ テーブル")</f>
        <v>Bird in Hand ラージ グリッド プリスクール トップ アクティビティ テーブル</v>
      </c>
    </row>
    <row r="3921" ht="15.75" customHeight="1">
      <c r="A3921" s="1">
        <v>7866.0</v>
      </c>
      <c r="B3921" s="1" t="s">
        <v>15</v>
      </c>
      <c r="C3921" s="1" t="s">
        <v>3457</v>
      </c>
      <c r="D3921" s="1" t="str">
        <f>IFERROR(__xludf.DUMMYFUNCTION("CONCATENATE(GOOGLETRANSLATE(C3921, ""en"", ""zh-cn""))"),"CORE 12 人直壁小屋帐篷")</f>
        <v>CORE 12 人直壁小屋帐篷</v>
      </c>
      <c r="E3921" s="1" t="str">
        <f>IFERROR(__xludf.DUMMYFUNCTION("CONCATENATE(GOOGLETRANSLATE(C3921, ""en"", ""ko""))"),"CORE 12인용 직선형 벽 캐빈 텐트")</f>
        <v>CORE 12인용 직선형 벽 캐빈 텐트</v>
      </c>
      <c r="F3921" s="1" t="str">
        <f>IFERROR(__xludf.DUMMYFUNCTION("CONCATENATE(GOOGLETRANSLATE(C3921, ""en"", ""ja""))"),"CORE 12人用ストレートウォールキャビンテント")</f>
        <v>CORE 12人用ストレートウォールキャビンテント</v>
      </c>
    </row>
    <row r="3922" ht="15.75" customHeight="1">
      <c r="A3922" s="1">
        <v>7871.0</v>
      </c>
      <c r="B3922" s="1" t="s">
        <v>15</v>
      </c>
      <c r="C3922" s="1" t="s">
        <v>3458</v>
      </c>
      <c r="D3922" s="1" t="str">
        <f>IFERROR(__xludf.DUMMYFUNCTION("CONCATENATE(GOOGLETRANSLATE(C3922, ""en"", ""zh-cn""))"),"导向装置高级卡车帐篷")</f>
        <v>导向装置高级卡车帐篷</v>
      </c>
      <c r="E3922" s="1" t="str">
        <f>IFERROR(__xludf.DUMMYFUNCTION("CONCATENATE(GOOGLETRANSLATE(C3922, ""en"", ""ko""))"),"가이드 기어 프리미엄 트럭 텐트")</f>
        <v>가이드 기어 프리미엄 트럭 텐트</v>
      </c>
      <c r="F3922" s="1" t="str">
        <f>IFERROR(__xludf.DUMMYFUNCTION("CONCATENATE(GOOGLETRANSLATE(C3922, ""en"", ""ja""))"),"ガイドギア プレミアムトラックテント")</f>
        <v>ガイドギア プレミアムトラックテント</v>
      </c>
    </row>
    <row r="3923" ht="15.75" customHeight="1">
      <c r="A3923" s="1">
        <v>7886.0</v>
      </c>
      <c r="B3923" s="1" t="s">
        <v>15</v>
      </c>
      <c r="C3923" s="1" t="s">
        <v>3459</v>
      </c>
      <c r="D3923" s="1" t="str">
        <f>IFERROR(__xludf.DUMMYFUNCTION("CONCATENATE(GOOGLETRANSLATE(C3923, ""en"", ""zh-cn""))"),"Life Intents Stella 观星帐篷")</f>
        <v>Life Intents Stella 观星帐篷</v>
      </c>
      <c r="E3923" s="1" t="str">
        <f>IFERROR(__xludf.DUMMYFUNCTION("CONCATENATE(GOOGLETRANSLATE(C3923, ""en"", ""ko""))"),"생활 의도 스텔라 스타게이징 텐트")</f>
        <v>생활 의도 스텔라 스타게이징 텐트</v>
      </c>
      <c r="F3923" s="1" t="str">
        <f>IFERROR(__xludf.DUMMYFUNCTION("CONCATENATE(GOOGLETRANSLATE(C3923, ""en"", ""ja""))"),"Life Intents ステラ スターゲイジング テント")</f>
        <v>Life Intents ステラ スターゲイジング テント</v>
      </c>
    </row>
    <row r="3924" ht="15.75" customHeight="1">
      <c r="A3924" s="1">
        <v>7892.0</v>
      </c>
      <c r="B3924" s="1" t="s">
        <v>15</v>
      </c>
      <c r="C3924" s="1" t="s">
        <v>3460</v>
      </c>
      <c r="D3924" s="1" t="str">
        <f>IFERROR(__xludf.DUMMYFUNCTION("CONCATENATE(GOOGLETRANSLATE(C3924, ""en"", ""zh-cn""))"),"Ozark Trail 10 人即时小屋帐篷")</f>
        <v>Ozark Trail 10 人即时小屋帐篷</v>
      </c>
      <c r="E3924" s="1" t="str">
        <f>IFERROR(__xludf.DUMMYFUNCTION("CONCATENATE(GOOGLETRANSLATE(C3924, ""en"", ""ko""))"),"Ozark Trail 10인용 인스턴트 캐빈 텐트")</f>
        <v>Ozark Trail 10인용 인스턴트 캐빈 텐트</v>
      </c>
      <c r="F3924" s="1" t="str">
        <f>IFERROR(__xludf.DUMMYFUNCTION("CONCATENATE(GOOGLETRANSLATE(C3924, ""en"", ""ja""))"),"オザーク トレイル 10 人用インスタント キャビン テント")</f>
        <v>オザーク トレイル 10 人用インスタント キャビン テント</v>
      </c>
    </row>
    <row r="3925" ht="15.75" customHeight="1">
      <c r="A3925" s="1">
        <v>7938.0</v>
      </c>
      <c r="B3925" s="1" t="s">
        <v>15</v>
      </c>
      <c r="C3925" s="1" t="s">
        <v>3461</v>
      </c>
      <c r="D3925" s="1" t="str">
        <f>IFERROR(__xludf.DUMMYFUNCTION("CONCATENATE(GOOGLETRANSLATE(C3925, ""en"", ""zh-cn""))"),"AutoDrive 重型通用全天候橡胶汽车脚垫")</f>
        <v>AutoDrive 重型通用全天候橡胶汽车脚垫</v>
      </c>
      <c r="E3925" s="1" t="str">
        <f>IFERROR(__xludf.DUMMYFUNCTION("CONCATENATE(GOOGLETRANSLATE(C3925, ""en"", ""ko""))"),"AutoDrive 헤비듀티 범용 전천후 고무 자동차 바닥 매트")</f>
        <v>AutoDrive 헤비듀티 범용 전천후 고무 자동차 바닥 매트</v>
      </c>
      <c r="F3925" s="1" t="str">
        <f>IFERROR(__xludf.DUMMYFUNCTION("CONCATENATE(GOOGLETRANSLATE(C3925, ""en"", ""ja""))"),"AutoDrive 高耐久ユニバーサル全天候型ゴム製カーフロアマット")</f>
        <v>AutoDrive 高耐久ユニバーサル全天候型ゴム製カーフロアマット</v>
      </c>
    </row>
    <row r="3926" ht="15.75" customHeight="1">
      <c r="A3926" s="1">
        <v>7940.0</v>
      </c>
      <c r="B3926" s="1" t="s">
        <v>15</v>
      </c>
      <c r="C3926" s="1" t="s">
        <v>3462</v>
      </c>
      <c r="D3926" s="1" t="str">
        <f>IFERROR(__xludf.DUMMYFUNCTION("CONCATENATE(GOOGLETRANSLATE(C3926, ""en"", ""zh-cn""))"),"Auto Drive 毛皮闪光方向盘套")</f>
        <v>Auto Drive 毛皮闪光方向盘套</v>
      </c>
      <c r="E3926" s="1" t="str">
        <f>IFERROR(__xludf.DUMMYFUNCTION("CONCATENATE(GOOGLETRANSLATE(C3926, ""en"", ""ko""))"),"자동 드라이브 모피 블링 스티어링 휠 커버")</f>
        <v>자동 드라이브 모피 블링 스티어링 휠 커버</v>
      </c>
      <c r="F3926" s="1" t="str">
        <f>IFERROR(__xludf.DUMMYFUNCTION("CONCATENATE(GOOGLETRANSLATE(C3926, ""en"", ""ja""))"),"オートドライブファーブリングステアリングホイールカバー")</f>
        <v>オートドライブファーブリングステアリングホイールカバー</v>
      </c>
    </row>
    <row r="3927" ht="15.75" customHeight="1">
      <c r="A3927" s="1">
        <v>7951.0</v>
      </c>
      <c r="B3927" s="1" t="s">
        <v>15</v>
      </c>
      <c r="C3927" s="1" t="s">
        <v>3463</v>
      </c>
      <c r="D3927" s="1" t="str">
        <f>IFERROR(__xludf.DUMMYFUNCTION("CONCATENATE(GOOGLETRANSLATE(C3927, ""en"", ""zh-cn""))"),"SCT 汽车收纳盒和移动办公室套装")</f>
        <v>SCT 汽车收纳盒和移动办公室套装</v>
      </c>
      <c r="E3927" s="1" t="str">
        <f>IFERROR(__xludf.DUMMYFUNCTION("CONCATENATE(GOOGLETRANSLATE(C3927, ""en"", ""ko""))"),"SCT 자동차 정리함 및 모바일 오피스 번들")</f>
        <v>SCT 자동차 정리함 및 모바일 오피스 번들</v>
      </c>
      <c r="F3927" s="1" t="str">
        <f>IFERROR(__xludf.DUMMYFUNCTION("CONCATENATE(GOOGLETRANSLATE(C3927, ""en"", ""ja""))"),"SCT カー オーガナイザーとモバイル オフィス バンドル")</f>
        <v>SCT カー オーガナイザーとモバイル オフィス バンドル</v>
      </c>
    </row>
    <row r="3928" ht="15.75" customHeight="1">
      <c r="A3928" s="1">
        <v>7963.0</v>
      </c>
      <c r="B3928" s="1" t="s">
        <v>15</v>
      </c>
      <c r="C3928" s="1" t="s">
        <v>3464</v>
      </c>
      <c r="D3928" s="1" t="str">
        <f>IFERROR(__xludf.DUMMYFUNCTION("CONCATENATE(GOOGLETRANSLATE(C3928, ""en"", ""zh-cn""))"),"CAR PASS 34 件女士闪亮汽车配件套装，皮革汽车座套方向盘套 15 英寸，USB 充电器手机支架闪亮水钻")</f>
        <v>CAR PASS 34 件女士闪亮汽车配件套装，皮革汽车座套方向盘套 15 英寸，USB 充电器手机支架闪亮水钻</v>
      </c>
      <c r="E3928" s="1" t="str">
        <f>IFERROR(__xludf.DUMMYFUNCTION("CONCATENATE(GOOGLETRANSLATE(C3928, ""en"", ""ko""))"),"CAR PASS 34 PCS 블링 자동차 액세서리 여성용 세트, 가죽 카시트 커버 스티어링 휠 커버 15'', USB 충전기 전화 홀더 빛나는 라인 석")</f>
        <v>CAR PASS 34 PCS 블링 자동차 액세서리 여성용 세트, 가죽 카시트 커버 스티어링 휠 커버 15'', USB 충전기 전화 홀더 빛나는 라인 석</v>
      </c>
      <c r="F3928" s="1" t="str">
        <f>IFERROR(__xludf.DUMMYFUNCTION("CONCATENATE(GOOGLETRANSLATE(C3928, ""en"", ""ja""))"),"カーパス 34 個 キラキラカーアクセサリーセット 女性用 レザーカーシートカバー ステアリングホイールカバー 15インチ USB充電器電話ホルダー 輝くラインストーン")</f>
        <v>カーパス 34 個 キラキラカーアクセサリーセット 女性用 レザーカーシートカバー ステアリングホイールカバー 15インチ USB充電器電話ホルダー 輝くラインストーン</v>
      </c>
    </row>
    <row r="3929" ht="15.75" customHeight="1">
      <c r="A3929" s="1">
        <v>7977.0</v>
      </c>
      <c r="B3929" s="1" t="s">
        <v>15</v>
      </c>
      <c r="C3929" s="1" t="s">
        <v>3465</v>
      </c>
      <c r="D3929" s="1" t="str">
        <f>IFERROR(__xludf.DUMMYFUNCTION("CONCATENATE(GOOGLETRANSLATE(C3929, ""en"", ""zh-cn""))"),"Armor All 2 合 1 磁铁手机支架")</f>
        <v>Armor All 2 合 1 磁铁手机支架</v>
      </c>
      <c r="E3929" s="1" t="str">
        <f>IFERROR(__xludf.DUMMYFUNCTION("CONCATENATE(GOOGLETRANSLATE(C3929, ""en"", ""ko""))"),"Armor All 2 in 1 자석 휴대폰 마운트")</f>
        <v>Armor All 2 in 1 자석 휴대폰 마운트</v>
      </c>
      <c r="F3929" s="1" t="str">
        <f>IFERROR(__xludf.DUMMYFUNCTION("CONCATENATE(GOOGLETRANSLATE(C3929, ""en"", ""ja""))"),"Armor All 2 in 1 マグネット電話マウント")</f>
        <v>Armor All 2 in 1 マグネット電話マウント</v>
      </c>
    </row>
    <row r="3930" ht="15.75" customHeight="1">
      <c r="A3930" s="1">
        <v>7979.0</v>
      </c>
      <c r="B3930" s="1" t="s">
        <v>15</v>
      </c>
      <c r="C3930" s="1" t="s">
        <v>3466</v>
      </c>
      <c r="D3930" s="1" t="str">
        <f>IFERROR(__xludf.DUMMYFUNCTION("CONCATENATE(GOOGLETRANSLATE(C3930, ""en"", ""zh-cn""))"),"Armor 全车护理套件")</f>
        <v>Armor 全车护理套件</v>
      </c>
      <c r="E3930" s="1" t="str">
        <f>IFERROR(__xludf.DUMMYFUNCTION("CONCATENATE(GOOGLETRANSLATE(C3930, ""en"", ""ko""))"),"Armor 모든 자동차 관리 키트")</f>
        <v>Armor 모든 자동차 관리 키트</v>
      </c>
      <c r="F3930" s="1" t="str">
        <f>IFERROR(__xludf.DUMMYFUNCTION("CONCATENATE(GOOGLETRANSLATE(C3930, ""en"", ""ja""))"),"アーマーオールカーケアキット")</f>
        <v>アーマーオールカーケアキット</v>
      </c>
    </row>
    <row r="3931" ht="15.75" customHeight="1">
      <c r="A3931" s="1">
        <v>7980.0</v>
      </c>
      <c r="B3931" s="1" t="s">
        <v>15</v>
      </c>
      <c r="C3931" s="1" t="s">
        <v>3467</v>
      </c>
      <c r="D3931" s="1" t="str">
        <f>IFERROR(__xludf.DUMMYFUNCTION("CONCATENATE(GOOGLETRANSLATE(C3931, ""en"", ""zh-cn""))"),"Armour All Premier 汽车护理套件")</f>
        <v>Armour All Premier 汽车护理套件</v>
      </c>
      <c r="E3931" s="1" t="str">
        <f>IFERROR(__xludf.DUMMYFUNCTION("CONCATENATE(GOOGLETRANSLATE(C3931, ""en"", ""ko""))"),"Armor All 프리미어 자동차 관리 키트")</f>
        <v>Armor All 프리미어 자동차 관리 키트</v>
      </c>
      <c r="F3931" s="1" t="str">
        <f>IFERROR(__xludf.DUMMYFUNCTION("CONCATENATE(GOOGLETRANSLATE(C3931, ""en"", ""ja""))"),"アーマー オール プレミア カーケア キット")</f>
        <v>アーマー オール プレミア カーケア キット</v>
      </c>
    </row>
    <row r="3932" ht="15.75" customHeight="1">
      <c r="A3932" s="1">
        <v>8005.0</v>
      </c>
      <c r="B3932" s="1" t="s">
        <v>15</v>
      </c>
      <c r="C3932" s="1" t="s">
        <v>3468</v>
      </c>
      <c r="D3932" s="1" t="str">
        <f>IFERROR(__xludf.DUMMYFUNCTION("CONCATENATE(GOOGLETRANSLATE(C3932, ""en"", ""zh-cn""))"),"Armor All AA12V2 0903 汽车 VAC 紧凑型 橙色")</f>
        <v>Armor All AA12V2 0903 汽车 VAC 紧凑型 橙色</v>
      </c>
      <c r="E3932" s="1" t="str">
        <f>IFERROR(__xludf.DUMMYFUNCTION("CONCATENATE(GOOGLETRANSLATE(C3932, ""en"", ""ko""))"),"Armor All AA12V2 0903 자동차 VAC 컴팩트 오렌지")</f>
        <v>Armor All AA12V2 0903 자동차 VAC 컴팩트 오렌지</v>
      </c>
      <c r="F3932" s="1" t="str">
        <f>IFERROR(__xludf.DUMMYFUNCTION("CONCATENATE(GOOGLETRANSLATE(C3932, ""en"", ""ja""))"),"アーマーオール AA12V2 0903 カーVAC コンパクト オレンジ")</f>
        <v>アーマーオール AA12V2 0903 カーVAC コンパクト オレンジ</v>
      </c>
    </row>
    <row r="3933" ht="15.75" customHeight="1">
      <c r="A3933" s="1">
        <v>8007.0</v>
      </c>
      <c r="B3933" s="1" t="s">
        <v>15</v>
      </c>
      <c r="C3933" s="1" t="s">
        <v>3469</v>
      </c>
      <c r="D3933" s="1" t="str">
        <f>IFERROR(__xludf.DUMMYFUNCTION("CONCATENATE(GOOGLETRANSLATE(C3933, ""en"", ""zh-cn""))"),"佳得乐橙味解渴剂")</f>
        <v>佳得乐橙味解渴剂</v>
      </c>
      <c r="E3933" s="1" t="str">
        <f>IFERROR(__xludf.DUMMYFUNCTION("CONCATENATE(GOOGLETRANSLATE(C3933, ""en"", ""ko""))"),"게토레이 오렌지 갈증 해소제")</f>
        <v>게토레이 오렌지 갈증 해소제</v>
      </c>
      <c r="F3933" s="1" t="str">
        <f>IFERROR(__xludf.DUMMYFUNCTION("CONCATENATE(GOOGLETRANSLATE(C3933, ""en"", ""ja""))"),"ゲータレード オレンジ サースト クエンチャー")</f>
        <v>ゲータレード オレンジ サースト クエンチャー</v>
      </c>
    </row>
    <row r="3934" ht="15.75" customHeight="1">
      <c r="A3934" s="1">
        <v>8026.0</v>
      </c>
      <c r="B3934" s="1" t="s">
        <v>15</v>
      </c>
      <c r="C3934" s="1" t="s">
        <v>3470</v>
      </c>
      <c r="D3934" s="1" t="str">
        <f>IFERROR(__xludf.DUMMYFUNCTION("CONCATENATE(GOOGLETRANSLATE(C3934, ""en"", ""zh-cn""))"),"佳得乐 G Fit 西瓜草莓电解质饮料 16.9 盎司瓶装")</f>
        <v>佳得乐 G Fit 西瓜草莓电解质饮料 16.9 盎司瓶装</v>
      </c>
      <c r="E3934" s="1" t="str">
        <f>IFERROR(__xludf.DUMMYFUNCTION("CONCATENATE(GOOGLETRANSLATE(C3934, ""en"", ""ko""))"),"게토레이 G 핏 수박 딸기 전해질 음료 16.9온스 병")</f>
        <v>게토레이 G 핏 수박 딸기 전해질 음료 16.9온스 병</v>
      </c>
      <c r="F3934" s="1" t="str">
        <f>IFERROR(__xludf.DUMMYFUNCTION("CONCATENATE(GOOGLETRANSLATE(C3934, ""en"", ""ja""))"),"ゲータレード G フィット スイカ ストロベリー電解質飲料 16.9 オンス ボトル")</f>
        <v>ゲータレード G フィット スイカ ストロベリー電解質飲料 16.9 オンス ボトル</v>
      </c>
    </row>
    <row r="3935" ht="15.75" customHeight="1">
      <c r="A3935" s="1">
        <v>8038.0</v>
      </c>
      <c r="B3935" s="1" t="s">
        <v>15</v>
      </c>
      <c r="C3935" s="1" t="s">
        <v>3471</v>
      </c>
      <c r="D3935" s="1" t="str">
        <f>IFERROR(__xludf.DUMMYFUNCTION("CONCATENATE(GOOGLETRANSLATE(C3935, ""en"", ""zh-cn""))"),"佳得乐饮料，佳得乐，柠檬 QUA32868")</f>
        <v>佳得乐饮料，佳得乐，柠檬 QUA32868</v>
      </c>
      <c r="E3935" s="1" t="str">
        <f>IFERROR(__xludf.DUMMYFUNCTION("CONCATENATE(GOOGLETRANSLATE(C3935, ""en"", ""ko""))"),"게토레이 음료, 게토레이, 레몬 QUA32868")</f>
        <v>게토레이 음료, 게토레이, 레몬 QUA32868</v>
      </c>
      <c r="F3935" s="1" t="str">
        <f>IFERROR(__xludf.DUMMYFUNCTION("CONCATENATE(GOOGLETRANSLATE(C3935, ""en"", ""ja""))"),"ゲータレードビバレッジ、ゲータレード、レモン QUA32868")</f>
        <v>ゲータレードビバレッジ、ゲータレード、レモン QUA32868</v>
      </c>
    </row>
    <row r="3936" ht="15.75" customHeight="1">
      <c r="A3936" s="1">
        <v>8056.0</v>
      </c>
      <c r="B3936" s="1" t="s">
        <v>15</v>
      </c>
      <c r="C3936" s="1" t="s">
        <v>2127</v>
      </c>
      <c r="D3936" s="1" t="str">
        <f>IFERROR(__xludf.DUMMYFUNCTION("CONCATENATE(GOOGLETRANSLATE(C3936, ""en"", ""zh-cn""))"),"宴会原味炸鸡，29 盎司 - 每箱 12 块。")</f>
        <v>宴会原味炸鸡，29 盎司 - 每箱 12 块。</v>
      </c>
      <c r="E3936" s="1" t="str">
        <f>IFERROR(__xludf.DUMMYFUNCTION("CONCATENATE(GOOGLETRANSLATE(C3936, ""en"", ""ko""))"),"연회 오리지널 프라이드 치킨, 29온스 - 케이스당 12개.")</f>
        <v>연회 오리지널 프라이드 치킨, 29온스 - 케이스당 12개.</v>
      </c>
      <c r="F3936" s="1" t="str">
        <f>IFERROR(__xludf.DUMMYFUNCTION("CONCATENATE(GOOGLETRANSLATE(C3936, ""en"", ""ja""))"),"バンケット オリジナル フライド チキン、29 オンス -- 1 ケース 12 個。")</f>
        <v>バンケット オリジナル フライド チキン、29 オンス -- 1 ケース 12 個。</v>
      </c>
    </row>
    <row r="3937" ht="15.75" customHeight="1">
      <c r="A3937" s="1">
        <v>8062.0</v>
      </c>
      <c r="B3937" s="1" t="s">
        <v>15</v>
      </c>
      <c r="C3937" s="1" t="s">
        <v>3472</v>
      </c>
      <c r="D3937" s="1" t="str">
        <f>IFERROR(__xludf.DUMMYFUNCTION("CONCATENATE(GOOGLETRANSLATE(C3937, ""en"", ""zh-cn""))"),"家庭宴会索尔兹伯里牛排和棕色肉汁")</f>
        <v>家庭宴会索尔兹伯里牛排和棕色肉汁</v>
      </c>
      <c r="E3937" s="1" t="str">
        <f>IFERROR(__xludf.DUMMYFUNCTION("CONCATENATE(GOOGLETRANSLATE(C3937, ""en"", ""ko""))"),"연회 가족용 솔즈베리 스테이크 &amp; 브라운 그레이비")</f>
        <v>연회 가족용 솔즈베리 스테이크 &amp; 브라운 그레이비</v>
      </c>
      <c r="F3937" s="1" t="str">
        <f>IFERROR(__xludf.DUMMYFUNCTION("CONCATENATE(GOOGLETRANSLATE(C3937, ""en"", ""ja""))"),"バンケット ファミリーサイズ ソールズベリー ステーキ &amp; ブラウン グレービー")</f>
        <v>バンケット ファミリーサイズ ソールズベリー ステーキ &amp; ブラウン グレービー</v>
      </c>
    </row>
    <row r="3938" ht="15.75" customHeight="1">
      <c r="A3938" s="1">
        <v>8071.0</v>
      </c>
      <c r="B3938" s="1" t="s">
        <v>15</v>
      </c>
      <c r="C3938" s="1" t="s">
        <v>3473</v>
      </c>
      <c r="D3938" s="1" t="str">
        <f>IFERROR(__xludf.DUMMYFUNCTION("CONCATENATE(GOOGLETRANSLATE(C3938, ""en"", ""zh-cn""))"),"宴会辣鸡翅，11 盎司 - 每箱 12 个。")</f>
        <v>宴会辣鸡翅，11 盎司 - 每箱 12 个。</v>
      </c>
      <c r="E3938" s="1" t="str">
        <f>IFERROR(__xludf.DUMMYFUNCTION("CONCATENATE(GOOGLETRANSLATE(C3938, ""en"", ""ko""))"),"연회용 핫 앤 스파이시 윙, 11온스 - 케이스당 12개.")</f>
        <v>연회용 핫 앤 스파이시 윙, 11온스 - 케이스당 12개.</v>
      </c>
      <c r="F3938" s="1" t="str">
        <f>IFERROR(__xludf.DUMMYFUNCTION("CONCATENATE(GOOGLETRANSLATE(C3938, ""en"", ""ja""))"),"バンケット ホット アンド スパイシー ウィング、11 オンス -- 1 ケースあたり 12 個。")</f>
        <v>バンケット ホット アンド スパイシー ウィング、11 オンス -- 1 ケースあたり 12 個。</v>
      </c>
    </row>
    <row r="3939" ht="15.75" customHeight="1">
      <c r="A3939" s="1">
        <v>8074.0</v>
      </c>
      <c r="B3939" s="1" t="s">
        <v>15</v>
      </c>
      <c r="C3939" s="1" t="s">
        <v>3474</v>
      </c>
      <c r="D3939" s="1" t="str">
        <f>IFERROR(__xludf.DUMMYFUNCTION("CONCATENATE(GOOGLETRANSLATE(C3939, ""en"", ""zh-cn""))"),"宴会大餐培根切达干酪馅饼")</f>
        <v>宴会大餐培根切达干酪馅饼</v>
      </c>
      <c r="E3939" s="1" t="str">
        <f>IFERROR(__xludf.DUMMYFUNCTION("CONCATENATE(GOOGLETRANSLATE(C3939, ""en"", ""ko""))"),"연회 메가밀 베이컨 체다 패티")</f>
        <v>연회 메가밀 베이컨 체다 패티</v>
      </c>
      <c r="F3939" s="1" t="str">
        <f>IFERROR(__xludf.DUMMYFUNCTION("CONCATENATE(GOOGLETRANSLATE(C3939, ""en"", ""ja""))"),"宴会メガミール ベーコンチェダーパティ")</f>
        <v>宴会メガミール ベーコンチェダーパティ</v>
      </c>
    </row>
    <row r="3940" ht="15.75" customHeight="1">
      <c r="A3940" s="1">
        <v>8091.0</v>
      </c>
      <c r="B3940" s="1" t="s">
        <v>15</v>
      </c>
      <c r="C3940" s="1" t="s">
        <v>3475</v>
      </c>
      <c r="D3940" s="1" t="str">
        <f>IFERROR(__xludf.DUMMYFUNCTION("CONCATENATE(GOOGLETRANSLATE(C3940, ""en"", ""zh-cn""))"),"宴会肉饼餐")</f>
        <v>宴会肉饼餐</v>
      </c>
      <c r="E3940" s="1" t="str">
        <f>IFERROR(__xludf.DUMMYFUNCTION("CONCATENATE(GOOGLETRANSLATE(C3940, ""en"", ""ko""))"),"연회용 미트로프 식사")</f>
        <v>연회용 미트로프 식사</v>
      </c>
      <c r="F3940" s="1" t="str">
        <f>IFERROR(__xludf.DUMMYFUNCTION("CONCATENATE(GOOGLETRANSLATE(C3940, ""en"", ""ja""))"),"宴会ミートローフ膳")</f>
        <v>宴会ミートローフ膳</v>
      </c>
    </row>
    <row r="3941" ht="15.75" customHeight="1">
      <c r="A3941" s="1">
        <v>8093.0</v>
      </c>
      <c r="B3941" s="1" t="s">
        <v>15</v>
      </c>
      <c r="C3941" s="1" t="s">
        <v>3476</v>
      </c>
      <c r="D3941" s="1" t="str">
        <f>IFERROR(__xludf.DUMMYFUNCTION("CONCATENATE(GOOGLETRANSLATE(C3941, ""en"", ""zh-cn""))"),"宴会大肉原味脆皮鸡家常土豆泥冷冻餐")</f>
        <v>宴会大肉原味脆皮鸡家常土豆泥冷冻餐</v>
      </c>
      <c r="E3941" s="1" t="str">
        <f>IFERROR(__xludf.DUMMYFUNCTION("CONCATENATE(GOOGLETRANSLATE(C3941, ""en"", ""ko""))"),"연회 메가 미트 오리지널 크리스피 치킨 홈스타일 으깬 감자 냉동 식사")</f>
        <v>연회 메가 미트 오리지널 크리스피 치킨 홈스타일 으깬 감자 냉동 식사</v>
      </c>
      <c r="F3941" s="1" t="str">
        <f>IFERROR(__xludf.DUMMYFUNCTION("CONCATENATE(GOOGLETRANSLATE(C3941, ""en"", ""ja""))"),"バンケットメガミート オリジナルクリスピーチキン ホームスタイルマッシュポテト 冷凍ミール")</f>
        <v>バンケットメガミート オリジナルクリスピーチキン ホームスタイルマッシュポテト 冷凍ミール</v>
      </c>
    </row>
    <row r="3942" ht="15.75" customHeight="1">
      <c r="A3942" s="1">
        <v>8099.0</v>
      </c>
      <c r="B3942" s="1" t="s">
        <v>15</v>
      </c>
      <c r="C3942" s="1" t="s">
        <v>3477</v>
      </c>
      <c r="D3942" s="1" t="str">
        <f>IFERROR(__xludf.DUMMYFUNCTION("CONCATENATE(GOOGLETRANSLATE(C3942, ""en"", ""zh-cn""))"),"宴会大餐索尔兹伯里牛排")</f>
        <v>宴会大餐索尔兹伯里牛排</v>
      </c>
      <c r="E3942" s="1" t="str">
        <f>IFERROR(__xludf.DUMMYFUNCTION("CONCATENATE(GOOGLETRANSLATE(C3942, ""en"", ""ko""))"),"연회 메가밀 솔즈베리 스테이크")</f>
        <v>연회 메가밀 솔즈베리 스테이크</v>
      </c>
      <c r="F3942" s="1" t="str">
        <f>IFERROR(__xludf.DUMMYFUNCTION("CONCATENATE(GOOGLETRANSLATE(C3942, ""en"", ""ja""))"),"宴会メガミール ソールズベリーステーキ")</f>
        <v>宴会メガミール ソールズベリーステーキ</v>
      </c>
    </row>
    <row r="3943" ht="15.75" customHeight="1">
      <c r="A3943" s="1">
        <v>8102.0</v>
      </c>
      <c r="B3943" s="1" t="s">
        <v>15</v>
      </c>
      <c r="C3943" s="1" t="s">
        <v>3478</v>
      </c>
      <c r="D3943" s="1" t="str">
        <f>IFERROR(__xludf.DUMMYFUNCTION("CONCATENATE(GOOGLETRANSLATE(C3943, ""en"", ""zh-cn""))"),"宴会大碗乡村炸鸡")</f>
        <v>宴会大碗乡村炸鸡</v>
      </c>
      <c r="E3943" s="1" t="str">
        <f>IFERROR(__xludf.DUMMYFUNCTION("CONCATENATE(GOOGLETRANSLATE(C3943, ""en"", ""ko""))"),"연회 메가볼 컨트리 프라이드치킨")</f>
        <v>연회 메가볼 컨트리 프라이드치킨</v>
      </c>
      <c r="F3943" s="1" t="str">
        <f>IFERROR(__xludf.DUMMYFUNCTION("CONCATENATE(GOOGLETRANSLATE(C3943, ""en"", ""ja""))"),"宴会メガ丼 カントリーフライドチキン")</f>
        <v>宴会メガ丼 カントリーフライドチキン</v>
      </c>
    </row>
    <row r="3944" ht="15.75" customHeight="1">
      <c r="A3944" s="1">
        <v>8113.0</v>
      </c>
      <c r="B3944" s="1" t="s">
        <v>15</v>
      </c>
      <c r="C3944" s="1" t="s">
        <v>3479</v>
      </c>
      <c r="D3944" s="1" t="str">
        <f>IFERROR(__xludf.DUMMYFUNCTION("CONCATENATE(GOOGLETRANSLATE(C3944, ""en"", ""zh-cn""))"),"肉店法式猪肉架餐")</f>
        <v>肉店法式猪肉架餐</v>
      </c>
      <c r="E3944" s="1" t="str">
        <f>IFERROR(__xludf.DUMMYFUNCTION("CONCATENATE(GOOGLETRANSLATE(C3944, ""en"", ""ko""))"),"정육점 프렌치 포크 랙 식사")</f>
        <v>정육점 프렌치 포크 랙 식사</v>
      </c>
      <c r="F3944" s="1" t="str">
        <f>IFERROR(__xludf.DUMMYFUNCTION("CONCATENATE(GOOGLETRANSLATE(C3944, ""en"", ""ja""))"),"精肉店のフランス風ポークラックミール")</f>
        <v>精肉店のフランス風ポークラックミール</v>
      </c>
    </row>
    <row r="3945" ht="15.75" customHeight="1">
      <c r="A3945" s="1">
        <v>8115.0</v>
      </c>
      <c r="B3945" s="1" t="s">
        <v>15</v>
      </c>
      <c r="C3945" s="1" t="s">
        <v>3480</v>
      </c>
      <c r="D3945" s="1" t="str">
        <f>IFERROR(__xludf.DUMMYFUNCTION("CONCATENATE(GOOGLETRANSLATE(C3945, ""en"", ""zh-cn""))"),"Beck &amp; Bulow 海鲜精选盒")</f>
        <v>Beck &amp; Bulow 海鲜精选盒</v>
      </c>
      <c r="E3945" s="1" t="str">
        <f>IFERROR(__xludf.DUMMYFUNCTION("CONCATENATE(GOOGLETRANSLATE(C3945, ""en"", ""ko""))"),"Beck &amp; Bulow 해산물 선택 상자")</f>
        <v>Beck &amp; Bulow 해산물 선택 상자</v>
      </c>
      <c r="F3945" s="1" t="str">
        <f>IFERROR(__xludf.DUMMYFUNCTION("CONCATENATE(GOOGLETRANSLATE(C3945, ""en"", ""ja""))"),"ベック＆ビューロー シーフードセレクションボックス")</f>
        <v>ベック＆ビューロー シーフードセレクションボックス</v>
      </c>
    </row>
    <row r="3946" ht="15.75" customHeight="1">
      <c r="A3946" s="1">
        <v>8120.0</v>
      </c>
      <c r="B3946" s="1" t="s">
        <v>15</v>
      </c>
      <c r="C3946" s="1" t="s">
        <v>2583</v>
      </c>
      <c r="D3946" s="1" t="str">
        <f>IFERROR(__xludf.DUMMYFUNCTION("CONCATENATE(GOOGLETRANSLATE(C3946, ""en"", ""zh-cn""))"),"宴会超大原味脆皮鸡柳")</f>
        <v>宴会超大原味脆皮鸡柳</v>
      </c>
      <c r="E3946" s="1" t="str">
        <f>IFERROR(__xludf.DUMMYFUNCTION("CONCATENATE(GOOGLETRANSLATE(C3946, ""en"", ""ko""))"),"연회 메가 오리지널 크리스피 치킨 필레")</f>
        <v>연회 메가 오리지널 크리스피 치킨 필레</v>
      </c>
      <c r="F3946" s="1" t="str">
        <f>IFERROR(__xludf.DUMMYFUNCTION("CONCATENATE(GOOGLETRANSLATE(C3946, ""en"", ""ja""))"),"バンケットメガオリジナルクリスピーチキンフィレ")</f>
        <v>バンケットメガオリジナルクリスピーチキンフィレ</v>
      </c>
    </row>
    <row r="3947" ht="15.75" customHeight="1">
      <c r="A3947" s="1">
        <v>8123.0</v>
      </c>
      <c r="B3947" s="1" t="s">
        <v>15</v>
      </c>
      <c r="C3947" s="1" t="s">
        <v>3481</v>
      </c>
      <c r="D3947" s="1" t="str">
        <f>IFERROR(__xludf.DUMMYFUNCTION("CONCATENATE(GOOGLETRANSLATE(C3947, ""en"", ""zh-cn""))"),"富尔顿鱼市新鲜去壳东海岸牡蛎")</f>
        <v>富尔顿鱼市新鲜去壳东海岸牡蛎</v>
      </c>
      <c r="E3947" s="1" t="str">
        <f>IFERROR(__xludf.DUMMYFUNCTION("CONCATENATE(GOOGLETRANSLATE(C3947, ""en"", ""ko""))"),"Fulton Fish Market 신선한 껍질을 벗긴 이스트 코스트 굴")</f>
        <v>Fulton Fish Market 신선한 껍질을 벗긴 이스트 코스트 굴</v>
      </c>
      <c r="F3947" s="1" t="str">
        <f>IFERROR(__xludf.DUMMYFUNCTION("CONCATENATE(GOOGLETRANSLATE(C3947, ""en"", ""ja""))"),"フルトン魚市場の新鮮な殻付きイーストコーストオイスター")</f>
        <v>フルトン魚市場の新鮮な殻付きイーストコーストオイスター</v>
      </c>
    </row>
    <row r="3948" ht="15.75" customHeight="1">
      <c r="A3948" s="1">
        <v>8125.0</v>
      </c>
      <c r="B3948" s="1" t="s">
        <v>15</v>
      </c>
      <c r="C3948" s="1" t="s">
        <v>3482</v>
      </c>
      <c r="D3948" s="1" t="str">
        <f>IFERROR(__xludf.DUMMYFUNCTION("CONCATENATE(GOOGLETRANSLATE(C3948, ""en"", ""zh-cn""))"),"海螺肉（每磅）预蒸/煮熟（预先冷冻）|新鲜龙虾公司")</f>
        <v>海螺肉（每磅）预蒸/煮熟（预先冷冻）|新鲜龙虾公司</v>
      </c>
      <c r="E3948" s="1" t="str">
        <f>IFERROR(__xludf.DUMMYFUNCTION("CONCATENATE(GOOGLETRANSLATE(C3948, ""en"", ""ko""))"),"골뱅이 고기(파운드당) 미리 찐/조리된 것(이전에 냉동) | 신선한 랍스터 회사")</f>
        <v>골뱅이 고기(파운드당) 미리 찐/조리된 것(이전에 냉동) | 신선한 랍스터 회사</v>
      </c>
      <c r="F3948" s="1" t="str">
        <f>IFERROR(__xludf.DUMMYFUNCTION("CONCATENATE(GOOGLETRANSLATE(C3948, ""en"", ""ja""))"),"ツブ肉 (ポンドあたり) 蒸し/調理済み (冷凍済み) |フレッシュロブスターカンパニー")</f>
        <v>ツブ肉 (ポンドあたり) 蒸し/調理済み (冷凍済み) |フレッシュロブスターカンパニー</v>
      </c>
    </row>
    <row r="3949" ht="15.75" customHeight="1">
      <c r="A3949" s="1">
        <v>8133.0</v>
      </c>
      <c r="B3949" s="1" t="s">
        <v>15</v>
      </c>
      <c r="C3949" s="1" t="s">
        <v>3483</v>
      </c>
      <c r="D3949" s="1" t="str">
        <f>IFERROR(__xludf.DUMMYFUNCTION("CONCATENATE(GOOGLETRANSLATE(C3949, ""en"", ""zh-cn""))"),"水之星海鲜拼盘")</f>
        <v>水之星海鲜拼盘</v>
      </c>
      <c r="E3949" s="1" t="str">
        <f>IFERROR(__xludf.DUMMYFUNCTION("CONCATENATE(GOOGLETRANSLATE(C3949, ""en"", ""ko""))"),"아쿠아스타 씨푸드 메들리")</f>
        <v>아쿠아스타 씨푸드 메들리</v>
      </c>
      <c r="F3949" s="1" t="str">
        <f>IFERROR(__xludf.DUMMYFUNCTION("CONCATENATE(GOOGLETRANSLATE(C3949, ""en"", ""ja""))"),"アクアスターシーフードメドレー")</f>
        <v>アクアスターシーフードメドレー</v>
      </c>
    </row>
    <row r="3950" ht="15.75" customHeight="1">
      <c r="A3950" s="1">
        <v>8134.0</v>
      </c>
      <c r="B3950" s="1" t="s">
        <v>15</v>
      </c>
      <c r="C3950" s="1" t="s">
        <v>3484</v>
      </c>
      <c r="D3950" s="1" t="str">
        <f>IFERROR(__xludf.DUMMYFUNCTION("CONCATENATE(GOOGLETRANSLATE(C3950, ""en"", ""zh-cn""))"),"超值咸牛肉哈希")</f>
        <v>超值咸牛肉哈希</v>
      </c>
      <c r="E3950" s="1" t="str">
        <f>IFERROR(__xludf.DUMMYFUNCTION("CONCATENATE(GOOGLETRANSLATE(C3950, ""en"", ""ko""))"),"훌륭한 가치의 콘비프 해시")</f>
        <v>훌륭한 가치의 콘비프 해시</v>
      </c>
      <c r="F3950" s="1" t="str">
        <f>IFERROR(__xludf.DUMMYFUNCTION("CONCATENATE(GOOGLETRANSLATE(C3950, ""en"", ""ja""))"),"お得なコンビーフハッシュ")</f>
        <v>お得なコンビーフハッシュ</v>
      </c>
    </row>
    <row r="3951" ht="15.75" customHeight="1">
      <c r="A3951" s="1">
        <v>8136.0</v>
      </c>
      <c r="B3951" s="1" t="s">
        <v>15</v>
      </c>
      <c r="C3951" s="1" t="s">
        <v>3485</v>
      </c>
      <c r="D3951" s="1" t="str">
        <f>IFERROR(__xludf.DUMMYFUNCTION("CONCATENATE(GOOGLETRANSLATE(C3951, ""en"", ""zh-cn""))"),"软壳蟹|生鲜市场")</f>
        <v>软壳蟹|生鲜市场</v>
      </c>
      <c r="E3951" s="1" t="str">
        <f>IFERROR(__xludf.DUMMYFUNCTION("CONCATENATE(GOOGLETRANSLATE(C3951, ""en"", ""ko""))"),"소프트 쉘 크랩 | 신선한 시장")</f>
        <v>소프트 쉘 크랩 | 신선한 시장</v>
      </c>
      <c r="F3951" s="1" t="str">
        <f>IFERROR(__xludf.DUMMYFUNCTION("CONCATENATE(GOOGLETRANSLATE(C3951, ""en"", ""ja""))"),"ソフトシェルクラブ |フレッシュマーケット")</f>
        <v>ソフトシェルクラブ |フレッシュマーケット</v>
      </c>
    </row>
    <row r="3952" ht="15.75" customHeight="1">
      <c r="A3952" s="1">
        <v>8138.0</v>
      </c>
      <c r="B3952" s="1" t="s">
        <v>15</v>
      </c>
      <c r="C3952" s="1" t="s">
        <v>3486</v>
      </c>
      <c r="D3952" s="1" t="str">
        <f>IFERROR(__xludf.DUMMYFUNCTION("CONCATENATE(GOOGLETRANSLATE(C3952, ""en"", ""zh-cn""))"),"超值优质白鸡带苹果木味 - 2.6 盎司袋装 X2")</f>
        <v>超值优质白鸡带苹果木味 - 2.6 盎司袋装 X2</v>
      </c>
      <c r="E3952" s="1" t="str">
        <f>IFERROR(__xludf.DUMMYFUNCTION("CONCATENATE(GOOGLETRANSLATE(C3952, ""en"", ""ko""))"),"가성비 좋은 프리미엄 화이트 치킨 애플우드 향 함유 - 2.6온스 파우치 X2")</f>
        <v>가성비 좋은 프리미엄 화이트 치킨 애플우드 향 함유 - 2.6온스 파우치 X2</v>
      </c>
      <c r="F3952" s="1" t="str">
        <f>IFERROR(__xludf.DUMMYFUNCTION("CONCATENATE(GOOGLETRANSLATE(C3952, ""en"", ""ja""))"),"お買い得なプレミアム ホワイト チキン W/アップルウッド フレーバー - 2.6 オンス ポーチ X2")</f>
        <v>お買い得なプレミアム ホワイト チキン W/アップルウッド フレーバー - 2.6 オンス ポーチ X2</v>
      </c>
    </row>
    <row r="3953" ht="15.75" customHeight="1">
      <c r="A3953" s="1">
        <v>8139.0</v>
      </c>
      <c r="B3953" s="1" t="s">
        <v>15</v>
      </c>
      <c r="C3953" s="1" t="s">
        <v>3487</v>
      </c>
      <c r="D3953" s="1" t="str">
        <f>IFERROR(__xludf.DUMMYFUNCTION("CONCATENATE(GOOGLETRANSLATE(C3953, ""en"", ""zh-cn""))"),"超值 100% 纯牛肉汉堡 3 磅 13 克拉 - 13 克拉装")</f>
        <v>超值 100% 纯牛肉汉堡 3 磅 13 克拉 - 13 克拉装</v>
      </c>
      <c r="E3953" s="1" t="str">
        <f>IFERROR(__xludf.DUMMYFUNCTION("CONCATENATE(GOOGLETRANSLATE(C3953, ""en"", ""ko""))"),"훌륭한 가치 100% 순수 쇠고기 버거 3파운드 13ct - 13ct 케이스")</f>
        <v>훌륭한 가치 100% 순수 쇠고기 버거 3파운드 13ct - 13ct 케이스</v>
      </c>
      <c r="F3953" s="1" t="str">
        <f>IFERROR(__xludf.DUMMYFUNCTION("CONCATENATE(GOOGLETRANSLATE(C3953, ""en"", ""ja""))"),"お買い得な 100% ピュア ビーフ バーガー 3ポンド 13ct - 13ct ケース")</f>
        <v>お買い得な 100% ピュア ビーフ バーガー 3ポンド 13ct - 13ct ケース</v>
      </c>
    </row>
    <row r="3954" ht="15.75" customHeight="1">
      <c r="A3954" s="1">
        <v>8143.0</v>
      </c>
      <c r="B3954" s="1" t="s">
        <v>15</v>
      </c>
      <c r="C3954" s="1" t="s">
        <v>3488</v>
      </c>
      <c r="D3954" s="1" t="str">
        <f>IFERROR(__xludf.DUMMYFUNCTION("CONCATENATE(GOOGLETRANSLATE(C3954, ""en"", ""zh-cn""))"),"富尔顿最好的美国红鲷鱼部分")</f>
        <v>富尔顿最好的美国红鲷鱼部分</v>
      </c>
      <c r="E3954" s="1" t="str">
        <f>IFERROR(__xludf.DUMMYFUNCTION("CONCATENATE(GOOGLETRANSLATE(C3954, ""en"", ""ko""))"),"풀턴 최고의 미국산 붉은 도미 부분")</f>
        <v>풀턴 최고의 미국산 붉은 도미 부분</v>
      </c>
      <c r="F3954" s="1" t="str">
        <f>IFERROR(__xludf.DUMMYFUNCTION("CONCATENATE(GOOGLETRANSLATE(C3954, ""en"", ""ja""))"),"フルトンの最高級アメリカ産真鯛のポーション")</f>
        <v>フルトンの最高級アメリカ産真鯛のポーション</v>
      </c>
    </row>
    <row r="3955" ht="15.75" customHeight="1">
      <c r="A3955" s="1">
        <v>8155.0</v>
      </c>
      <c r="B3955" s="1" t="s">
        <v>15</v>
      </c>
      <c r="C3955" s="1" t="s">
        <v>3489</v>
      </c>
      <c r="D3955" s="1" t="str">
        <f>IFERROR(__xludf.DUMMYFUNCTION("CONCATENATE(GOOGLETRANSLATE(C3955, ""en"", ""zh-cn""))"),"新鲜墨鱼 1.6-1.8 磅")</f>
        <v>新鲜墨鱼 1.6-1.8 磅</v>
      </c>
      <c r="E3955" s="1" t="str">
        <f>IFERROR(__xludf.DUMMYFUNCTION("CONCATENATE(GOOGLETRANSLATE(C3955, ""en"", ""ko""))"),"신선한 오징어 1.6-1.8 lbs")</f>
        <v>신선한 오징어 1.6-1.8 lbs</v>
      </c>
      <c r="F3955" s="1" t="str">
        <f>IFERROR(__xludf.DUMMYFUNCTION("CONCATENATE(GOOGLETRANSLATE(C3955, ""en"", ""ja""))"),"新鮮なイカ 1.6～1.8ポンド")</f>
        <v>新鮮なイカ 1.6～1.8ポンド</v>
      </c>
    </row>
    <row r="3956" ht="15.75" customHeight="1">
      <c r="A3956" s="1">
        <v>8156.0</v>
      </c>
      <c r="B3956" s="1" t="s">
        <v>15</v>
      </c>
      <c r="C3956" s="1" t="s">
        <v>3490</v>
      </c>
      <c r="D3956" s="1" t="str">
        <f>IFERROR(__xludf.DUMMYFUNCTION("CONCATENATE(GOOGLETRANSLATE(C3956, ""en"", ""zh-cn""))"),"Korramenu 鱼排包（~1.25 磅）")</f>
        <v>Korramenu 鱼排包（~1.25 磅）</v>
      </c>
      <c r="E3956" s="1" t="str">
        <f>IFERROR(__xludf.DUMMYFUNCTION("CONCATENATE(GOOGLETRANSLATE(C3956, ""en"", ""ko""))"),"코라메뉴 생선 스테이크 팩(~1.25lb)")</f>
        <v>코라메뉴 생선 스테이크 팩(~1.25lb)</v>
      </c>
      <c r="F3956" s="1" t="str">
        <f>IFERROR(__xludf.DUMMYFUNCTION("CONCATENATE(GOOGLETRANSLATE(C3956, ""en"", ""ja""))"),"Koramenu フィッシュ ステーキ パック (~1.25 ポンド)")</f>
        <v>Koramenu フィッシュ ステーキ パック (~1.25 ポンド)</v>
      </c>
    </row>
    <row r="3957" ht="15.75" customHeight="1">
      <c r="A3957" s="1">
        <v>8166.0</v>
      </c>
      <c r="B3957" s="1" t="s">
        <v>15</v>
      </c>
      <c r="C3957" s="1" t="s">
        <v>3491</v>
      </c>
      <c r="D3957" s="1" t="str">
        <f>IFERROR(__xludf.DUMMYFUNCTION("CONCATENATE(GOOGLETRANSLATE(C3957, ""en"", ""zh-cn""))"),"整条黑线鳕优质去皮去骨")</f>
        <v>整条黑线鳕优质去皮去骨</v>
      </c>
      <c r="E3957" s="1" t="str">
        <f>IFERROR(__xludf.DUMMYFUNCTION("CONCATENATE(GOOGLETRANSLATE(C3957, ""en"", ""ko""))"),"Wholey Haddock 프리미엄 스킨리스 &amp; 본리스")</f>
        <v>Wholey Haddock 프리미엄 스킨리스 &amp; 본리스</v>
      </c>
      <c r="F3957" s="1" t="str">
        <f>IFERROR(__xludf.DUMMYFUNCTION("CONCATENATE(GOOGLETRANSLATE(C3957, ""en"", ""ja""))"),"丸ごとハドック プレミアム 皮なし＆骨なし")</f>
        <v>丸ごとハドック プレミアム 皮なし＆骨なし</v>
      </c>
    </row>
    <row r="3958" ht="15.75" customHeight="1">
      <c r="A3958" s="1">
        <v>8174.0</v>
      </c>
      <c r="B3958" s="1" t="s">
        <v>15</v>
      </c>
      <c r="C3958" s="1" t="s">
        <v>3492</v>
      </c>
      <c r="D3958" s="1" t="str">
        <f>IFERROR(__xludf.DUMMYFUNCTION("CONCATENATE(GOOGLETRANSLATE(C3958, ""en"", ""zh-cn""))"),"Dowinx LS-6650 PU 皮革游戏椅")</f>
        <v>Dowinx LS-6650 PU 皮革游戏椅</v>
      </c>
      <c r="E3958" s="1" t="str">
        <f>IFERROR(__xludf.DUMMYFUNCTION("CONCATENATE(GOOGLETRANSLATE(C3958, ""en"", ""ko""))"),"Dowinx LS-6650 PU 가죽 게임 의자")</f>
        <v>Dowinx LS-6650 PU 가죽 게임 의자</v>
      </c>
      <c r="F3958" s="1" t="str">
        <f>IFERROR(__xludf.DUMMYFUNCTION("CONCATENATE(GOOGLETRANSLATE(C3958, ""en"", ""ja""))"),"Dowinx LS-6650 PU レザー ゲーミング チェア")</f>
        <v>Dowinx LS-6650 PU レザー ゲーミング チェア</v>
      </c>
    </row>
    <row r="3959" ht="15.75" customHeight="1">
      <c r="A3959" s="1">
        <v>8177.0</v>
      </c>
      <c r="B3959" s="1" t="s">
        <v>15</v>
      </c>
      <c r="C3959" s="1" t="s">
        <v>3493</v>
      </c>
      <c r="D3959" s="1" t="str">
        <f>IFERROR(__xludf.DUMMYFUNCTION("CONCATENATE(GOOGLETRANSLATE(C3959, ""en"", ""zh-cn""))"),"Dowinx 织物游戏椅，带袋装弹簧和按摩支撑 6657K")</f>
        <v>Dowinx 织物游戏椅，带袋装弹簧和按摩支撑 6657K</v>
      </c>
      <c r="E3959" s="1" t="str">
        <f>IFERROR(__xludf.DUMMYFUNCTION("CONCATENATE(GOOGLETRANSLATE(C3959, ""en"", ""ko""))"),"포켓 스프링 및 마사지 지원 기능이 있는 Dowinx 패브릭 게이밍 의자 6657K")</f>
        <v>포켓 스프링 및 마사지 지원 기능이 있는 Dowinx 패브릭 게이밍 의자 6657K</v>
      </c>
      <c r="F3959" s="1" t="str">
        <f>IFERROR(__xludf.DUMMYFUNCTION("CONCATENATE(GOOGLETRANSLATE(C3959, ""en"", ""ja""))"),"Dowinx ファブリック ゲーミング チェア ポケット スプリング &amp; マッサージ サポート付き 6657K")</f>
        <v>Dowinx ファブリック ゲーミング チェア ポケット スプリング &amp; マッサージ サポート付き 6657K</v>
      </c>
    </row>
    <row r="3960" ht="15.75" customHeight="1">
      <c r="A3960" s="1">
        <v>8187.0</v>
      </c>
      <c r="B3960" s="1" t="s">
        <v>15</v>
      </c>
      <c r="C3960" s="1" t="s">
        <v>3494</v>
      </c>
      <c r="D3960" s="1" t="str">
        <f>IFERROR(__xludf.DUMMYFUNCTION("CONCATENATE(GOOGLETRANSLATE(C3960, ""en"", ""zh-cn""))"),"Dowinx 6659 游戏椅透气面料带袋装弹簧坐垫")</f>
        <v>Dowinx 6659 游戏椅透气面料带袋装弹簧坐垫</v>
      </c>
      <c r="E3960" s="1" t="str">
        <f>IFERROR(__xludf.DUMMYFUNCTION("CONCATENATE(GOOGLETRANSLATE(C3960, ""en"", ""ko""))"),"포켓 스프링 쿠션이 포함된 Dowinx 6659 게임용 의자 통기성 직물")</f>
        <v>포켓 스프링 쿠션이 포함된 Dowinx 6659 게임용 의자 통기성 직물</v>
      </c>
      <c r="F3960" s="1" t="str">
        <f>IFERROR(__xludf.DUMMYFUNCTION("CONCATENATE(GOOGLETRANSLATE(C3960, ""en"", ""ja""))"),"Dowinx 6659 ゲーミングチェア通気性のある生地、ポケットスプリングクッション付き")</f>
        <v>Dowinx 6659 ゲーミングチェア通気性のある生地、ポケットスプリングクッション付き</v>
      </c>
    </row>
    <row r="3961" ht="15.75" customHeight="1">
      <c r="A3961" s="1">
        <v>8189.0</v>
      </c>
      <c r="B3961" s="1" t="s">
        <v>15</v>
      </c>
      <c r="C3961" s="1" t="s">
        <v>3495</v>
      </c>
      <c r="D3961" s="1" t="str">
        <f>IFERROR(__xludf.DUMMYFUNCTION("CONCATENATE(GOOGLETRANSLATE(C3961, ""en"", ""zh-cn""))"),"Dowinx 织物游戏椅")</f>
        <v>Dowinx 织物游戏椅</v>
      </c>
      <c r="E3961" s="1" t="str">
        <f>IFERROR(__xludf.DUMMYFUNCTION("CONCATENATE(GOOGLETRANSLATE(C3961, ""en"", ""ko""))"),"Dowinx 패브릭 게이밍 의자")</f>
        <v>Dowinx 패브릭 게이밍 의자</v>
      </c>
      <c r="F3961" s="1" t="str">
        <f>IFERROR(__xludf.DUMMYFUNCTION("CONCATENATE(GOOGLETRANSLATE(C3961, ""en"", ""ja""))"),"Dowinx ファブリック ゲーミング チェア")</f>
        <v>Dowinx ファブリック ゲーミング チェア</v>
      </c>
    </row>
    <row r="3962" ht="15.75" customHeight="1">
      <c r="A3962" s="1">
        <v>8227.0</v>
      </c>
      <c r="B3962" s="1" t="s">
        <v>15</v>
      </c>
      <c r="C3962" s="1" t="s">
        <v>3496</v>
      </c>
      <c r="D3962" s="1" t="str">
        <f>IFERROR(__xludf.DUMMYFUNCTION("CONCATENATE(GOOGLETRANSLATE(C3962, ""en"", ""zh-cn""))"),"Fitkicks 男士运动鞋")</f>
        <v>Fitkicks 男士运动鞋</v>
      </c>
      <c r="E3962" s="1" t="str">
        <f>IFERROR(__xludf.DUMMYFUNCTION("CONCATENATE(GOOGLETRANSLATE(C3962, ""en"", ""ko""))"),"Fitkicks 남성 액티브 신발")</f>
        <v>Fitkicks 남성 액티브 신발</v>
      </c>
      <c r="F3962" s="1" t="str">
        <f>IFERROR(__xludf.DUMMYFUNCTION("CONCATENATE(GOOGLETRANSLATE(C3962, ""en"", ""ja""))"),"Fitkicks メンズ アクティブ フットウェア")</f>
        <v>Fitkicks メンズ アクティブ フットウェア</v>
      </c>
    </row>
    <row r="3963" ht="15.75" customHeight="1">
      <c r="A3963" s="1">
        <v>8243.0</v>
      </c>
      <c r="B3963" s="1" t="s">
        <v>15</v>
      </c>
      <c r="C3963" s="1" t="s">
        <v>3497</v>
      </c>
      <c r="D3963" s="1" t="str">
        <f>IFERROR(__xludf.DUMMYFUNCTION("CONCATENATE(GOOGLETRANSLATE(C3963, ""en"", ""zh-cn""))"),"整个健身房")</f>
        <v>整个健身房</v>
      </c>
      <c r="E3963" s="1" t="str">
        <f>IFERROR(__xludf.DUMMYFUNCTION("CONCATENATE(GOOGLETRANSLATE(C3963, ""en"", ""ko""))"),"체육관 전체")</f>
        <v>체육관 전체</v>
      </c>
      <c r="F3963" s="1" t="str">
        <f>IFERROR(__xludf.DUMMYFUNCTION("CONCATENATE(GOOGLETRANSLATE(C3963, ""en"", ""ja""))"),"ジム全体")</f>
        <v>ジム全体</v>
      </c>
    </row>
    <row r="3964" ht="15.75" customHeight="1">
      <c r="A3964" s="1">
        <v>8252.0</v>
      </c>
      <c r="B3964" s="1" t="s">
        <v>15</v>
      </c>
      <c r="C3964" s="1" t="s">
        <v>3498</v>
      </c>
      <c r="D3964" s="1" t="str">
        <f>IFERROR(__xludf.DUMMYFUNCTION("CONCATENATE(GOOGLETRANSLATE(C3964, ""en"", ""zh-cn""))"),"Fitvids Lx760 多功能全套家用健身系统锻炼站")</f>
        <v>Fitvids Lx760 多功能全套家用健身系统锻炼站</v>
      </c>
      <c r="E3964" s="1" t="str">
        <f>IFERROR(__xludf.DUMMYFUNCTION("CONCATENATE(GOOGLETRANSLATE(C3964, ""en"", ""ko""))"),"Fitvids Lx760 다기능 풀 홈 체육관 시스템 운동 스테이션")</f>
        <v>Fitvids Lx760 다기능 풀 홈 체육관 시스템 운동 스테이션</v>
      </c>
      <c r="F3964" s="1" t="str">
        <f>IFERROR(__xludf.DUMMYFUNCTION("CONCATENATE(GOOGLETRANSLATE(C3964, ""en"", ""ja""))"),"Fitvids Lx760 多機能フルホームジムシステムワークアウトステーション")</f>
        <v>Fitvids Lx760 多機能フルホームジムシステムワークアウトステーション</v>
      </c>
    </row>
    <row r="3965" ht="15.75" customHeight="1">
      <c r="A3965" s="1">
        <v>8259.0</v>
      </c>
      <c r="B3965" s="1" t="s">
        <v>15</v>
      </c>
      <c r="C3965" s="1" t="s">
        <v>3499</v>
      </c>
      <c r="D3965" s="1" t="str">
        <f>IFERROR(__xludf.DUMMYFUNCTION("CONCATENATE(GOOGLETRANSLATE(C3965, ""en"", ""zh-cn""))"),"Fitvids 橡胶包裹六角哑铃")</f>
        <v>Fitvids 橡胶包裹六角哑铃</v>
      </c>
      <c r="E3965" s="1" t="str">
        <f>IFERROR(__xludf.DUMMYFUNCTION("CONCATENATE(GOOGLETRANSLATE(C3965, ""en"", ""ko""))"),"Fitvids 고무 포장형 육각 덤벨")</f>
        <v>Fitvids 고무 포장형 육각 덤벨</v>
      </c>
      <c r="F3965" s="1" t="str">
        <f>IFERROR(__xludf.DUMMYFUNCTION("CONCATENATE(GOOGLETRANSLATE(C3965, ""en"", ""ja""))"),"Fitvids ゴムケース入り六角ダンベル")</f>
        <v>Fitvids ゴムケース入り六角ダンベル</v>
      </c>
    </row>
    <row r="3966" ht="15.75" customHeight="1">
      <c r="A3966" s="1">
        <v>8263.0</v>
      </c>
      <c r="B3966" s="1" t="s">
        <v>15</v>
      </c>
      <c r="C3966" s="1" t="s">
        <v>3500</v>
      </c>
      <c r="D3966" s="1" t="str">
        <f>IFERROR(__xludf.DUMMYFUNCTION("CONCATENATE(GOOGLETRANSLATE(C3966, ""en"", ""zh-cn""))"),"Fitvids 氯丁橡胶哑铃套装带架")</f>
        <v>Fitvids 氯丁橡胶哑铃套装带架</v>
      </c>
      <c r="E3966" s="1" t="str">
        <f>IFERROR(__xludf.DUMMYFUNCTION("CONCATENATE(GOOGLETRANSLATE(C3966, ""en"", ""ko""))"),"Fitvids 네오프렌 덤벨 세트(랙 포함)")</f>
        <v>Fitvids 네오프렌 덤벨 세트(랙 포함)</v>
      </c>
      <c r="F3966" s="1" t="str">
        <f>IFERROR(__xludf.DUMMYFUNCTION("CONCATENATE(GOOGLETRANSLATE(C3966, ""en"", ""ja""))"),"Fitvids ネオプレン ダンベル セット ラック付き")</f>
        <v>Fitvids ネオプレン ダンベル セット ラック付き</v>
      </c>
    </row>
    <row r="3967" ht="15.75" customHeight="1">
      <c r="A3967" s="1">
        <v>8285.0</v>
      </c>
      <c r="B3967" s="1" t="s">
        <v>15</v>
      </c>
      <c r="C3967" s="1" t="s">
        <v>3501</v>
      </c>
      <c r="D3967" s="1" t="str">
        <f>IFERROR(__xludf.DUMMYFUNCTION("CONCATENATE(GOOGLETRANSLATE(C3967, ""en"", ""zh-cn""))"),"Vital Apparel Refine 高腰健身打底裤")</f>
        <v>Vital Apparel Refine 高腰健身打底裤</v>
      </c>
      <c r="E3967" s="1" t="str">
        <f>IFERROR(__xludf.DUMMYFUNCTION("CONCATENATE(GOOGLETRANSLATE(C3967, ""en"", ""ko""))"),"Vital Apparel Refine 하이 웨이스트 워크아웃 레깅스")</f>
        <v>Vital Apparel Refine 하이 웨이스트 워크아웃 레깅스</v>
      </c>
      <c r="F3967" s="1" t="str">
        <f>IFERROR(__xludf.DUMMYFUNCTION("CONCATENATE(GOOGLETRANSLATE(C3967, ""en"", ""ja""))"),"Vital Apparel Refine ハイウエスト ワークアウト レギンス")</f>
        <v>Vital Apparel Refine ハイウエスト ワークアウト レギンス</v>
      </c>
    </row>
    <row r="3968" ht="15.75" customHeight="1">
      <c r="A3968" s="1">
        <v>8286.0</v>
      </c>
      <c r="B3968" s="1" t="s">
        <v>15</v>
      </c>
      <c r="C3968" s="1" t="s">
        <v>3502</v>
      </c>
      <c r="D3968" s="1" t="str">
        <f>IFERROR(__xludf.DUMMYFUNCTION("CONCATENATE(GOOGLETRANSLATE(C3968, ""en"", ""zh-cn""))"),"Gymshark Adapt Fleck 无缝打底裤")</f>
        <v>Gymshark Adapt Fleck 无缝打底裤</v>
      </c>
      <c r="E3968" s="1" t="str">
        <f>IFERROR(__xludf.DUMMYFUNCTION("CONCATENATE(GOOGLETRANSLATE(C3968, ""en"", ""ko""))"),"Gymshark Adapt Fleck 심리스 레깅스")</f>
        <v>Gymshark Adapt Fleck 심리스 레깅스</v>
      </c>
      <c r="F3968" s="1" t="str">
        <f>IFERROR(__xludf.DUMMYFUNCTION("CONCATENATE(GOOGLETRANSLATE(C3968, ""en"", ""ja""))"),"Gymshark アダプト フレック シームレス レギンス")</f>
        <v>Gymshark アダプト フレック シームレス レギンス</v>
      </c>
    </row>
    <row r="3969" ht="15.75" customHeight="1">
      <c r="A3969" s="1">
        <v>8290.0</v>
      </c>
      <c r="B3969" s="1" t="s">
        <v>15</v>
      </c>
      <c r="C3969" s="1" t="s">
        <v>3503</v>
      </c>
      <c r="D3969" s="1" t="str">
        <f>IFERROR(__xludf.DUMMYFUNCTION("CONCATENATE(GOOGLETRANSLATE(C3969, ""en"", ""zh-cn""))"),"山核桃树种子")</f>
        <v>山核桃树种子</v>
      </c>
      <c r="E3969" s="1" t="str">
        <f>IFERROR(__xludf.DUMMYFUNCTION("CONCATENATE(GOOGLETRANSLATE(C3969, ""en"", ""ko""))"),"피칸 나무 씨앗")</f>
        <v>피칸 나무 씨앗</v>
      </c>
      <c r="F3969" s="1" t="str">
        <f>IFERROR(__xludf.DUMMYFUNCTION("CONCATENATE(GOOGLETRANSLATE(C3969, ""en"", ""ja""))"),"ピーカンの木の種")</f>
        <v>ピーカンの木の種</v>
      </c>
    </row>
    <row r="3970" ht="15.75" customHeight="1">
      <c r="A3970" s="1">
        <v>8291.0</v>
      </c>
      <c r="B3970" s="1" t="s">
        <v>15</v>
      </c>
      <c r="C3970" s="1" t="s">
        <v>3504</v>
      </c>
      <c r="D3970" s="1" t="str">
        <f>IFERROR(__xludf.DUMMYFUNCTION("CONCATENATE(GOOGLETRANSLATE(C3970, ""en"", ""zh-cn""))"),"松树农场 Nutsie 经典种子原木")</f>
        <v>松树农场 Nutsie 经典种子原木</v>
      </c>
      <c r="E3970" s="1" t="str">
        <f>IFERROR(__xludf.DUMMYFUNCTION("CONCATENATE(GOOGLETRANSLATE(C3970, ""en"", ""ko""))"),"소나무 농장 Nutsie 클래식 씨앗 로그")</f>
        <v>소나무 농장 Nutsie 클래식 씨앗 로그</v>
      </c>
      <c r="F3970" s="1" t="str">
        <f>IFERROR(__xludf.DUMMYFUNCTION("CONCATENATE(GOOGLETRANSLATE(C3970, ""en"", ""ja""))"),"パイン ツリー ファームズ ナッツィー クラシック シード ログ")</f>
        <v>パイン ツリー ファームズ ナッツィー クラシック シード ログ</v>
      </c>
    </row>
    <row r="3971" ht="15.75" customHeight="1">
      <c r="A3971" s="1">
        <v>8293.0</v>
      </c>
      <c r="B3971" s="1" t="s">
        <v>15</v>
      </c>
      <c r="C3971" s="1" t="s">
        <v>3505</v>
      </c>
      <c r="D3971" s="1" t="str">
        <f>IFERROR(__xludf.DUMMYFUNCTION("CONCATENATE(GOOGLETRANSLATE(C3971, ""en"", ""zh-cn""))"),"Fast-Growing-Trees.com 科罗拉多蓝云杉树")</f>
        <v>Fast-Growing-Trees.com 科罗拉多蓝云杉树</v>
      </c>
      <c r="E3971" s="1" t="str">
        <f>IFERROR(__xludf.DUMMYFUNCTION("CONCATENATE(GOOGLETRANSLATE(C3971, ""en"", ""ko""))"),"Fast-Growing-Trees.com 콜로라도 블루 가문비나무")</f>
        <v>Fast-Growing-Trees.com 콜로라도 블루 가문비나무</v>
      </c>
      <c r="F3971" s="1" t="str">
        <f>IFERROR(__xludf.DUMMYFUNCTION("CONCATENATE(GOOGLETRANSLATE(C3971, ""en"", ""ja""))"),"Fast-Growing-Trees.com コロラド州ブルースプルースの木")</f>
        <v>Fast-Growing-Trees.com コロラド州ブルースプルースの木</v>
      </c>
    </row>
    <row r="3972" ht="15.75" customHeight="1">
      <c r="A3972" s="1">
        <v>8312.0</v>
      </c>
      <c r="B3972" s="1" t="s">
        <v>15</v>
      </c>
      <c r="C3972" s="1" t="s">
        <v>3506</v>
      </c>
      <c r="D3972" s="1" t="str">
        <f>IFERROR(__xludf.DUMMYFUNCTION("CONCATENATE(GOOGLETRANSLATE(C3972, ""en"", ""zh-cn""))"),"CZ 谷物青苹果树植物种子")</f>
        <v>CZ 谷物青苹果树植物种子</v>
      </c>
      <c r="E3972" s="1" t="str">
        <f>IFERROR(__xludf.DUMMYFUNCTION("CONCATENATE(GOOGLETRANSLATE(C3972, ""en"", ""ko""))"),"CZ 곡물 녹색 사과 나무 식물 씨앗")</f>
        <v>CZ 곡물 녹색 사과 나무 식물 씨앗</v>
      </c>
      <c r="F3972" s="1" t="str">
        <f>IFERROR(__xludf.DUMMYFUNCTION("CONCATENATE(GOOGLETRANSLATE(C3972, ""en"", ""ja""))"),"CZ グレイン グリーン アップル ツリー プラント シード")</f>
        <v>CZ グレイン グリーン アップル ツリー プラント シード</v>
      </c>
    </row>
    <row r="3973" ht="15.75" customHeight="1">
      <c r="A3973" s="1">
        <v>8316.0</v>
      </c>
      <c r="B3973" s="1" t="s">
        <v>15</v>
      </c>
      <c r="C3973" s="1" t="s">
        <v>3507</v>
      </c>
      <c r="D3973" s="1" t="str">
        <f>IFERROR(__xludf.DUMMYFUNCTION("CONCATENATE(GOOGLETRANSLATE(C3973, ""en"", ""zh-cn""))"),"Jonsteen Company 白皮松树种子种植套件")</f>
        <v>Jonsteen Company 白皮松树种子种植套件</v>
      </c>
      <c r="E3973" s="1" t="str">
        <f>IFERROR(__xludf.DUMMYFUNCTION("CONCATENATE(GOOGLETRANSLATE(C3973, ""en"", ""ko""))"),"Jonsteen Company Whitebark 소나무 씨앗 성장 키트")</f>
        <v>Jonsteen Company Whitebark 소나무 씨앗 성장 키트</v>
      </c>
      <c r="F3973" s="1" t="str">
        <f>IFERROR(__xludf.DUMMYFUNCTION("CONCATENATE(GOOGLETRANSLATE(C3973, ""en"", ""ja""))"),"The Jonsteen Company ホワイトバークパインツリー種子成長キット")</f>
        <v>The Jonsteen Company ホワイトバークパインツリー種子成長キット</v>
      </c>
    </row>
    <row r="3974" ht="15.75" customHeight="1">
      <c r="A3974" s="1">
        <v>8323.0</v>
      </c>
      <c r="B3974" s="1" t="s">
        <v>15</v>
      </c>
      <c r="C3974" s="1" t="s">
        <v>3508</v>
      </c>
      <c r="D3974" s="1" t="str">
        <f>IFERROR(__xludf.DUMMYFUNCTION("CONCATENATE(GOOGLETRANSLATE(C3974, ""en"", ""zh-cn""))"),"野火黑胶树绽放更明亮")</f>
        <v>野火黑胶树绽放更明亮</v>
      </c>
      <c r="E3974" s="1" t="str">
        <f>IFERROR(__xludf.DUMMYFUNCTION("CONCATENATE(GOOGLETRANSLATE(C3974, ""en"", ""ko""))"),"더 밝게 피어나는 산불 검은 고무나무")</f>
        <v>더 밝게 피어나는 산불 검은 고무나무</v>
      </c>
      <c r="F3974" s="1" t="str">
        <f>IFERROR(__xludf.DUMMYFUNCTION("CONCATENATE(GOOGLETRANSLATE(C3974, ""en"", ""ja""))"),"明るく咲く野火のブラックガムの木")</f>
        <v>明るく咲く野火のブラックガムの木</v>
      </c>
    </row>
    <row r="3975" ht="15.75" customHeight="1">
      <c r="A3975" s="1">
        <v>3137.0</v>
      </c>
      <c r="B3975" s="1" t="s">
        <v>381</v>
      </c>
      <c r="C3975" s="1" t="s">
        <v>3509</v>
      </c>
      <c r="D3975" s="1" t="str">
        <f>IFERROR(__xludf.DUMMYFUNCTION("CONCATENATE(GOOGLETRANSLATE(C3975, ""en"", ""zh-cn""))"),"蓝色热遮蔽胶带耐高温聚酰亚胺粘合剂部分蓝色贴纸加热床保护纸适用于 3D 打印机")</f>
        <v>蓝色热遮蔽胶带耐高温聚酰亚胺粘合剂部分蓝色贴纸加热床保护纸适用于 3D 打印机</v>
      </c>
      <c r="E3975" s="1" t="str">
        <f>IFERROR(__xludf.DUMMYFUNCTION("CONCATENATE(GOOGLETRANSLATE(C3975, ""en"", ""ko""))"),"파란색 열 마스킹 테이프 내성 고온 폴리이 미드 접착 부품 파란색 스티커 가열 침대 3D 프린터 용 종이 보호")</f>
        <v>파란색 열 마스킹 테이프 내성 고온 폴리이 미드 접착 부품 파란색 스티커 가열 침대 3D 프린터 용 종이 보호</v>
      </c>
      <c r="F3975" s="1" t="str">
        <f>IFERROR(__xludf.DUMMYFUNCTION("CONCATENATE(GOOGLETRANSLATE(C3975, ""en"", ""ja""))"),"ブルーヒートマスキングテープ耐性高温ポリイミド接着部ブルーステッカー加熱ベッド保護紙3Dプリンター用")</f>
        <v>ブルーヒートマスキングテープ耐性高温ポリイミド接着部ブルーステッカー加熱ベッド保護紙3Dプリンター用</v>
      </c>
    </row>
    <row r="3976" ht="15.75" customHeight="1">
      <c r="A3976" s="1">
        <v>3139.0</v>
      </c>
      <c r="B3976" s="1" t="s">
        <v>381</v>
      </c>
      <c r="C3976" s="1" t="s">
        <v>3510</v>
      </c>
      <c r="D3976" s="1" t="str">
        <f>IFERROR(__xludf.DUMMYFUNCTION("CONCATENATE(GOOGLETRANSLATE(C3976, ""en"", ""zh-cn""))"),"MECOOL KP2 1080P 投影仪 600ANSI 流明 Linux 操作系统 4.19 Netflix 认证 1+8GB 自动对焦垂直梯形校正智能家庭影院")</f>
        <v>MECOOL KP2 1080P 投影仪 600ANSI 流明 Linux 操作系统 4.19 Netflix 认证 1+8GB 自动对焦垂直梯形校正智能家庭影院</v>
      </c>
      <c r="E3976" s="1" t="str">
        <f>IFERROR(__xludf.DUMMYFUNCTION("CONCATENATE(GOOGLETRANSLATE(C3976, ""en"", ""ko""))"),"MECOOL KP2 1080P 프로젝터 600ANSI 루멘 Linux OS 4.19 Netflix 인증 1+8GB 자동 초점 수직 키스톤 보정 스마트 홈 시어터")</f>
        <v>MECOOL KP2 1080P 프로젝터 600ANSI 루멘 Linux OS 4.19 Netflix 인증 1+8GB 자동 초점 수직 키스톤 보정 스마트 홈 시어터</v>
      </c>
      <c r="F3976" s="1" t="str">
        <f>IFERROR(__xludf.DUMMYFUNCTION("CONCATENATE(GOOGLETRANSLATE(C3976, ""en"", ""ja""))"),"MECOOL KP2 1080P プロジェクター 600ANSI ルーメン Linux OS 4.19 Netflix 認定 1+8GB オートフォーカス 垂直台形補正 スマートホームシアター")</f>
        <v>MECOOL KP2 1080P プロジェクター 600ANSI ルーメン Linux OS 4.19 Netflix 認定 1+8GB オートフォーカス 垂直台形補正 スマートホームシアター</v>
      </c>
    </row>
    <row r="3977" ht="15.75" customHeight="1">
      <c r="A3977" s="1">
        <v>3141.0</v>
      </c>
      <c r="B3977" s="1" t="s">
        <v>381</v>
      </c>
      <c r="C3977" s="1" t="s">
        <v>3511</v>
      </c>
      <c r="D3977" s="1" t="str">
        <f>IFERROR(__xludf.DUMMYFUNCTION("CONCATENATE(GOOGLETRANSLATE(C3977, ""en"", ""zh-cn""))"),"6 合 1 Steam Deck 扩展坞电视底座合金支架底座 4K@60Hz/PD100W/RJ45/USB3.0 适用于 Steam Deck 控制台的 USB-C 集线器")</f>
        <v>6 合 1 Steam Deck 扩展坞电视底座合金支架底座 4K@60Hz/PD100W/RJ45/USB3.0 适用于 Steam Deck 控制台的 USB-C 集线器</v>
      </c>
      <c r="E3977" s="1" t="str">
        <f>IFERROR(__xludf.DUMMYFUNCTION("CONCATENATE(GOOGLETRANSLATE(C3977, ""en"", ""ko""))"),"6 in 1 스팀 데크 도킹 스테이션 TV 베이스 스탠드 합금 홀더 도크 4K@60Hz/PD100W/RJ45/USB3.0 스팀 데크 콘솔용 USB-C 허브")</f>
        <v>6 in 1 스팀 데크 도킹 스테이션 TV 베이스 스탠드 합금 홀더 도크 4K@60Hz/PD100W/RJ45/USB3.0 스팀 데크 콘솔용 USB-C 허브</v>
      </c>
      <c r="F3977" s="1" t="str">
        <f>IFERROR(__xludf.DUMMYFUNCTION("CONCATENATE(GOOGLETRANSLATE(C3977, ""en"", ""ja""))"),"6 in 1 スチームデッキドッキングステーション TV ベーススタンド合金ホルダードック 4K@60Hz/PD100W/RJ45/USB3.0 USB-C ハブスチームデッキコンソール用")</f>
        <v>6 in 1 スチームデッキドッキングステーション TV ベーススタンド合金ホルダードック 4K@60Hz/PD100W/RJ45/USB3.0 USB-C ハブスチームデッキコンソール用</v>
      </c>
    </row>
    <row r="3978" ht="15.75" customHeight="1">
      <c r="A3978" s="1">
        <v>3145.0</v>
      </c>
      <c r="B3978" s="1" t="s">
        <v>381</v>
      </c>
      <c r="C3978" s="1" t="s">
        <v>3512</v>
      </c>
      <c r="D3978" s="1" t="str">
        <f>IFERROR(__xludf.DUMMYFUNCTION("CONCATENATE(GOOGLETRANSLATE(C3978, ""en"", ""zh-cn""))"),"Eaget T1 Class10 高速 TF 存储卡 32GB 64GB 128GB Micro SD 卡闪存卡智能卡适用于手机摄像头行车记录仪")</f>
        <v>Eaget T1 Class10 高速 TF 存储卡 32GB 64GB 128GB Micro SD 卡闪存卡智能卡适用于手机摄像头行车记录仪</v>
      </c>
      <c r="E3978" s="1" t="str">
        <f>IFERROR(__xludf.DUMMYFUNCTION("CONCATENATE(GOOGLETRANSLATE(C3978, ""en"", ""ko""))"),"Eaget T1 Class10 고속 TF 메모리 카드 32GB 64GB 128GB 마이크로 SD 카드 플래시 카드 스마트 카드 전화 카메라 운전 레코더")</f>
        <v>Eaget T1 Class10 고속 TF 메모리 카드 32GB 64GB 128GB 마이크로 SD 카드 플래시 카드 스마트 카드 전화 카메라 운전 레코더</v>
      </c>
      <c r="F3978" s="1" t="str">
        <f>IFERROR(__xludf.DUMMYFUNCTION("CONCATENATE(GOOGLETRANSLATE(C3978, ""en"", ""ja""))"),"Eaget T1 Class10 高速 TF メモリカード 32 ギガバイト 64 ギガバイト 128 ギガバイトのマイクロ SD カードフラッシュカードスマートカード電話カメラドライブレコーダー用")</f>
        <v>Eaget T1 Class10 高速 TF メモリカード 32 ギガバイト 64 ギガバイト 128 ギガバイトのマイクロ SD カードフラッシュカードスマートカード電話カメラドライブレコーダー用</v>
      </c>
    </row>
    <row r="3979" ht="15.75" customHeight="1">
      <c r="A3979" s="1">
        <v>3146.0</v>
      </c>
      <c r="B3979" s="1" t="s">
        <v>381</v>
      </c>
      <c r="C3979" s="1" t="s">
        <v>3513</v>
      </c>
      <c r="D3979" s="1" t="str">
        <f>IFERROR(__xludf.DUMMYFUNCTION("CONCATENATE(GOOGLETRANSLATE(C3979, ""en"", ""zh-cn""))"),"3D 联锁拼图游戏玩具拼图玩具竹子小尺寸成人儿童智商脑筋急转弯孔明锁")</f>
        <v>3D 联锁拼图游戏玩具拼图玩具竹子小尺寸成人儿童智商脑筋急转弯孔明锁</v>
      </c>
      <c r="E3979" s="1" t="str">
        <f>IFERROR(__xludf.DUMMYFUNCTION("CONCATENATE(GOOGLETRANSLATE(C3979, ""en"", ""ko""))"),"3D 연동 퍼즐 게임 장난감 지그 소 퍼즐 장난감 대나무 성인을위한 작은 크기 어린이 IQ 두뇌 티저 Kong Ming Lock")</f>
        <v>3D 연동 퍼즐 게임 장난감 지그 소 퍼즐 장난감 대나무 성인을위한 작은 크기 어린이 IQ 두뇌 티저 Kong Ming Lock</v>
      </c>
      <c r="F3979" s="1" t="str">
        <f>IFERROR(__xludf.DUMMYFUNCTION("CONCATENATE(GOOGLETRANSLATE(C3979, ""en"", ""ja""))"),"3D 連動パズルゲームおもちゃジグソーパズルおもちゃ竹小型サイズ大人子供のための IQ 頭の体操孔明ロック")</f>
        <v>3D 連動パズルゲームおもちゃジグソーパズルおもちゃ竹小型サイズ大人子供のための IQ 頭の体操孔明ロック</v>
      </c>
    </row>
    <row r="3980" ht="15.75" customHeight="1">
      <c r="A3980" s="1">
        <v>3153.0</v>
      </c>
      <c r="B3980" s="1" t="s">
        <v>381</v>
      </c>
      <c r="C3980" s="1" t="s">
        <v>3514</v>
      </c>
      <c r="D3980" s="1" t="str">
        <f>IFERROR(__xludf.DUMMYFUNCTION("CONCATENATE(GOOGLETRANSLATE(C3980, ""en"", ""zh-cn""))"),"便携式 USB LED 紫外线消毒盒多功能用于面膜奶嘴耳机 USB 连接器")</f>
        <v>便携式 USB LED 紫外线消毒盒多功能用于面膜奶嘴耳机 USB 连接器</v>
      </c>
      <c r="E3980" s="1" t="str">
        <f>IFERROR(__xludf.DUMMYFUNCTION("CONCATENATE(GOOGLETRANSLATE(C3980, ""en"", ""ko""))"),"마스크 젖꼭지 헤드셋 USB 커넥터에 다기능 휴대용 USB LED UV 살균 상자")</f>
        <v>마스크 젖꼭지 헤드셋 USB 커넥터에 다기능 휴대용 USB LED UV 살균 상자</v>
      </c>
      <c r="F3980" s="1" t="str">
        <f>IFERROR(__xludf.DUMMYFUNCTION("CONCATENATE(GOOGLETRANSLATE(C3980, ""en"", ""ja""))"),"ポータブル USB LED UV 滅菌ボックス多機能マスクおしゃぶりヘッドセット USB コネクタ")</f>
        <v>ポータブル USB LED UV 滅菌ボックス多機能マスクおしゃぶりヘッドセット USB コネクタ</v>
      </c>
    </row>
    <row r="3981" ht="15.75" customHeight="1">
      <c r="A3981" s="1">
        <v>3163.0</v>
      </c>
      <c r="B3981" s="1" t="s">
        <v>381</v>
      </c>
      <c r="C3981" s="1" t="s">
        <v>3515</v>
      </c>
      <c r="D3981" s="1" t="str">
        <f>IFERROR(__xludf.DUMMYFUNCTION("CONCATENATE(GOOGLETRANSLATE(C3981, ""en"", ""zh-cn""))"),"3D 打印机 Lab X1 硅胶盖保护高温耐磨可拆卸适用于 Lab X1 Carbon X1 P1P 热端挤出机")</f>
        <v>3D 打印机 Lab X1 硅胶盖保护高温耐磨可拆卸适用于 Lab X1 Carbon X1 P1P 热端挤出机</v>
      </c>
      <c r="E3981" s="1" t="str">
        <f>IFERROR(__xludf.DUMMYFUNCTION("CONCATENATE(GOOGLETRANSLATE(C3981, ""en"", ""ko""))"),"3D 프린터 Lab X1 실리콘 커버 보호 Lab X1 Carbon X1 P1P 핫 엔드 압출기 용 고온 내마모성 탈착 가능")</f>
        <v>3D 프린터 Lab X1 실리콘 커버 보호 Lab X1 Carbon X1 P1P 핫 엔드 압출기 용 고온 내마모성 탈착 가능</v>
      </c>
      <c r="F3981" s="1" t="str">
        <f>IFERROR(__xludf.DUMMYFUNCTION("CONCATENATE(GOOGLETRANSLATE(C3981, ""en"", ""ja""))"),"3D プリンタ Lab X1 シリコンカバー保護高温耐摩耗性取り外し可能 Lab X1 カーボン X1 P1P Hotend 押出機用")</f>
        <v>3D プリンタ Lab X1 シリコンカバー保護高温耐摩耗性取り外し可能 Lab X1 カーボン X1 P1P Hotend 押出機用</v>
      </c>
    </row>
    <row r="3982" ht="15.75" customHeight="1">
      <c r="A3982" s="1">
        <v>3164.0</v>
      </c>
      <c r="B3982" s="1" t="s">
        <v>381</v>
      </c>
      <c r="C3982" s="1" t="s">
        <v>3516</v>
      </c>
      <c r="D3982" s="1" t="str">
        <f>IFERROR(__xludf.DUMMYFUNCTION("CONCATENATE(GOOGLETRANSLATE(C3982, ""en"", ""zh-cn""))"),"5 件装 MK8/V6//火山黄铜喷嘴 PTFE 涂层喷嘴克隆 CHT MK8 V6 喷嘴适用于 CR10 Ender3 SWX1 3d 打印机热端挤出机")</f>
        <v>5 件装 MK8/V6//火山黄铜喷嘴 PTFE 涂层喷嘴克隆 CHT MK8 V6 喷嘴适用于 CR10 Ender3 SWX1 3d 打印机热端挤出机</v>
      </c>
      <c r="E3982" s="1" t="str">
        <f>IFERROR(__xludf.DUMMYFUNCTION("CONCATENATE(GOOGLETRANSLATE(C3982, ""en"", ""ko""))"),"5PCS MK8/V6//화산 황동 노즐 PTFE 코팅 노즐 클론 CHT MK8 V6 노즐 CR10 Ender3 SWX1 3d 프린터 핫 엔드 압출기")</f>
        <v>5PCS MK8/V6//화산 황동 노즐 PTFE 코팅 노즐 클론 CHT MK8 V6 노즐 CR10 Ender3 SWX1 3d 프린터 핫 엔드 압출기</v>
      </c>
      <c r="F3982" s="1" t="str">
        <f>IFERROR(__xludf.DUMMYFUNCTION("CONCATENATE(GOOGLETRANSLATE(C3982, ""en"", ""ja""))"),"5 個 MK8/V6//火山真鍮ノズル PTFE コーティングノズルクローン CHT MK8 V6 ノズル CR10 Ender3 SWX1 3d プリンタ Hotend 押出機")</f>
        <v>5 個 MK8/V6//火山真鍮ノズル PTFE コーティングノズルクローン CHT MK8 V6 ノズル CR10 Ender3 SWX1 3d プリンタ Hotend 押出機</v>
      </c>
    </row>
    <row r="3983" ht="15.75" customHeight="1">
      <c r="A3983" s="1">
        <v>3209.0</v>
      </c>
      <c r="B3983" s="1" t="s">
        <v>15</v>
      </c>
      <c r="C3983" s="1" t="s">
        <v>3517</v>
      </c>
      <c r="D3983" s="1" t="str">
        <f>IFERROR(__xludf.DUMMYFUNCTION("CONCATENATE(GOOGLETRANSLATE(C3983, ""en"", ""zh-cn""))"),"ACME Picardy II 沙发带 7 个枕头 - - 织物和古董珍珠")</f>
        <v>ACME Picardy II 沙发带 7 个枕头 - - 织物和古董珍珠</v>
      </c>
      <c r="E3983" s="1" t="str">
        <f>IFERROR(__xludf.DUMMYFUNCTION("CONCATENATE(GOOGLETRANSLATE(C3983, ""en"", ""ko""))"),"ACME 피카르디 II 소파 및 베개 7개 - - 패브릭 및 앤티크 진주")</f>
        <v>ACME 피카르디 II 소파 및 베개 7개 - - 패브릭 및 앤티크 진주</v>
      </c>
      <c r="F3983" s="1" t="str">
        <f>IFERROR(__xludf.DUMMYFUNCTION("CONCATENATE(GOOGLETRANSLATE(C3983, ""en"", ""ja""))"),"ACME Picardy II ソファ 枕 7 個付き - - ファブリック &amp; アンティーク パール")</f>
        <v>ACME Picardy II ソファ 枕 7 個付き - - ファブリック &amp; アンティーク パール</v>
      </c>
    </row>
    <row r="3984" ht="15.75" customHeight="1">
      <c r="A3984" s="1">
        <v>3210.0</v>
      </c>
      <c r="B3984" s="1" t="s">
        <v>15</v>
      </c>
      <c r="C3984" s="1" t="s">
        <v>3518</v>
      </c>
      <c r="D3984" s="1" t="str">
        <f>IFERROR(__xludf.DUMMYFUNCTION("CONCATENATE(GOOGLETRANSLATE(C3984, ""en"", ""zh-cn""))"),"POLY &amp; BARK 纳帕皮革沙发 – 右向组合皮革沙发 – 簇绒靠背全粒面皮革沙发，座椅表面配有羽毛羽绒顶饰 – 纯苯胺意大利皮革 – 干邑棕褐色")</f>
        <v>POLY &amp; BARK 纳帕皮革沙发 – 右向组合皮革沙发 – 簇绒靠背全粒面皮革沙发，座椅表面配有羽毛羽绒顶饰 – 纯苯胺意大利皮革 – 干邑棕褐色</v>
      </c>
      <c r="E3984" s="1" t="str">
        <f>IFERROR(__xludf.DUMMYFUNCTION("CONCATENATE(GOOGLETRANSLATE(C3984, ""en"", ""ko""))"),"POLY &amp; BARK 나파 가죽 소파 – 오른쪽을 향한 단면 가죽 소파 – 좌석 표면에 깃털 다운 토퍼가 있는 터프티드 백 풀 그레인 가죽 소파 – 순수 아닐린 이탈리아 가죽 – 코냑 탄")</f>
        <v>POLY &amp; BARK 나파 가죽 소파 – 오른쪽을 향한 단면 가죽 소파 – 좌석 표면에 깃털 다운 토퍼가 있는 터프티드 백 풀 그레인 가죽 소파 – 순수 아닐린 이탈리아 가죽 – 코냑 탄</v>
      </c>
      <c r="F3984" s="1" t="str">
        <f>IFERROR(__xludf.DUMMYFUNCTION("CONCATENATE(GOOGLETRANSLATE(C3984, ""en"", ""ja""))"),"POLY &amp; BARK ナパレザーソファ – 右向きセクショナルレザーソファ – 房状バックフルグレインレザーソファ、座面にフェザーダウントッパー付き – ピュアアニリンイタリアンレザー – コニャックタン")</f>
        <v>POLY &amp; BARK ナパレザーソファ – 右向きセクショナルレザーソファ – 房状バックフルグレインレザーソファ、座面にフェザーダウントッパー付き – ピュアアニリンイタリアンレザー – コニャックタン</v>
      </c>
    </row>
    <row r="3985" ht="15.75" customHeight="1">
      <c r="A3985" s="1">
        <v>3228.0</v>
      </c>
      <c r="B3985" s="1" t="s">
        <v>15</v>
      </c>
      <c r="C3985" s="1" t="s">
        <v>3519</v>
      </c>
      <c r="D3985" s="1" t="str">
        <f>IFERROR(__xludf.DUMMYFUNCTION("CONCATENATE(GOOGLETRANSLATE(C3985, ""en"", ""zh-cn""))"),"Jura E8 自动咖啡机 15270，64 盎司，钢琴黑")</f>
        <v>Jura E8 自动咖啡机 15270，64 盎司，钢琴黑</v>
      </c>
      <c r="E3985" s="1" t="str">
        <f>IFERROR(__xludf.DUMMYFUNCTION("CONCATENATE(GOOGLETRANSLATE(C3985, ""en"", ""ko""))"),"Jura E8 자동 커피 머신 15270,64온스, 피아노 블랙")</f>
        <v>Jura E8 자동 커피 머신 15270,64온스, 피아노 블랙</v>
      </c>
      <c r="F3985" s="1" t="str">
        <f>IFERROR(__xludf.DUMMYFUNCTION("CONCATENATE(GOOGLETRANSLATE(C3985, ""en"", ""ja""))"),"Jura E8 自動コーヒーマシン 15270、64 オンス、ピアノブラック")</f>
        <v>Jura E8 自動コーヒーマシン 15270、64 オンス、ピアノブラック</v>
      </c>
    </row>
    <row r="3986" ht="15.75" customHeight="1">
      <c r="A3986" s="1">
        <v>3234.0</v>
      </c>
      <c r="B3986" s="1" t="s">
        <v>15</v>
      </c>
      <c r="C3986" s="1" t="s">
        <v>3520</v>
      </c>
      <c r="D3986" s="1" t="str">
        <f>IFERROR(__xludf.DUMMYFUNCTION("CONCATENATE(GOOGLETRANSLATE(C3986, ""en"", ""zh-cn""))"),"Jura S8 自动咖啡机 64 盎司，月光银")</f>
        <v>Jura S8 自动咖啡机 64 盎司，月光银</v>
      </c>
      <c r="E3986" s="1" t="str">
        <f>IFERROR(__xludf.DUMMYFUNCTION("CONCATENATE(GOOGLETRANSLATE(C3986, ""en"", ""ko""))"),"Jura S8 자동 커피 머신 64온스, 문라이트 실버")</f>
        <v>Jura S8 자동 커피 머신 64온스, 문라이트 실버</v>
      </c>
      <c r="F3986" s="1" t="str">
        <f>IFERROR(__xludf.DUMMYFUNCTION("CONCATENATE(GOOGLETRANSLATE(C3986, ""en"", ""ja""))"),"Jura S8 自動コーヒーマシン 64 オンス、ムーンライトシルバー")</f>
        <v>Jura S8 自動コーヒーマシン 64 オンス、ムーンライトシルバー</v>
      </c>
    </row>
    <row r="3987" ht="15.75" customHeight="1">
      <c r="A3987" s="1">
        <v>3245.0</v>
      </c>
      <c r="B3987" s="1" t="s">
        <v>15</v>
      </c>
      <c r="C3987" s="1" t="s">
        <v>3521</v>
      </c>
      <c r="D3987" s="1" t="str">
        <f>IFERROR(__xludf.DUMMYFUNCTION("CONCATENATE(GOOGLETRANSLATE(C3987, ""en"", ""zh-cn""))"),"集装箱家具 Direct Lotus 中世纪现代天鹅绒软垫客厅卷臂、椅子、双人沙发和沙发，灰色")</f>
        <v>集装箱家具 Direct Lotus 中世纪现代天鹅绒软垫客厅卷臂、椅子、双人沙发和沙发，灰色</v>
      </c>
      <c r="E3987" s="1" t="str">
        <f>IFERROR(__xludf.DUMMYFUNCTION("CONCATENATE(GOOGLETRANSLATE(C3987, ""en"", ""ko""))"),"컨테이너 가구 다이렉트 로터스 미드 센츄리 모던 벨벳 덮개를 씌운 거실 롤 팔, 의자, 2인용 의자 및 소파, 그레이")</f>
        <v>컨테이너 가구 다이렉트 로터스 미드 센츄리 모던 벨벳 덮개를 씌운 거실 롤 팔, 의자, 2인용 의자 및 소파, 그레이</v>
      </c>
      <c r="F3987" s="1" t="str">
        <f>IFERROR(__xludf.DUMMYFUNCTION("CONCATENATE(GOOGLETRANSLATE(C3987, ""en"", ""ja""))"),"コンテナ家具ダイレクトロータスミッドセンチュリーモダンベルベット布張りリビングルームロールアーム、椅子、二人掛けソファ、グレー")</f>
        <v>コンテナ家具ダイレクトロータスミッドセンチュリーモダンベルベット布張りリビングルームロールアーム、椅子、二人掛けソファ、グレー</v>
      </c>
    </row>
    <row r="3988" ht="15.75" customHeight="1">
      <c r="A3988" s="1">
        <v>3249.0</v>
      </c>
      <c r="B3988" s="1" t="s">
        <v>15</v>
      </c>
      <c r="C3988" s="1" t="s">
        <v>3522</v>
      </c>
      <c r="D3988" s="1" t="str">
        <f>IFERROR(__xludf.DUMMYFUNCTION("CONCATENATE(GOOGLETRANSLATE(C3988, ""en"", ""zh-cn""))"),"ACME 切姆斯福德厨具和自助餐 - - 古董灰褐色")</f>
        <v>ACME 切姆斯福德厨具和自助餐 - - 古董灰褐色</v>
      </c>
      <c r="E3988" s="1" t="str">
        <f>IFERROR(__xludf.DUMMYFUNCTION("CONCATENATE(GOOGLETRANSLATE(C3988, ""en"", ""ko""))"),"ACME 첼름스포드 허치 &amp; 뷔페 - - 앤틱 토프")</f>
        <v>ACME 첼름스포드 허치 &amp; 뷔페 - - 앤틱 토프</v>
      </c>
      <c r="F3988" s="1" t="str">
        <f>IFERROR(__xludf.DUMMYFUNCTION("CONCATENATE(GOOGLETRANSLATE(C3988, ""en"", ""ja""))"),"ACME チェルムスフォード ハッチ &amp; ビュッフェ - - アンティーク トープ")</f>
        <v>ACME チェルムスフォード ハッチ &amp; ビュッフェ - - アンティーク トープ</v>
      </c>
    </row>
    <row r="3989" ht="15.75" customHeight="1">
      <c r="A3989" s="1">
        <v>3272.0</v>
      </c>
      <c r="B3989" s="1" t="s">
        <v>15</v>
      </c>
      <c r="C3989" s="1" t="s">
        <v>3523</v>
      </c>
      <c r="D3989" s="1" t="str">
        <f>IFERROR(__xludf.DUMMYFUNCTION("CONCATENATE(GOOGLETRANSLATE(C3989, ""en"", ""zh-cn""))"),"ACME Chantelle 东方特大号床 - - 玫瑰金 PU 和珍珠白")</f>
        <v>ACME Chantelle 东方特大号床 - - 玫瑰金 PU 和珍珠白</v>
      </c>
      <c r="E3989" s="1" t="str">
        <f>IFERROR(__xludf.DUMMYFUNCTION("CONCATENATE(GOOGLETRANSLATE(C3989, ""en"", ""ko""))"),"ACME Chantelle 이스턴 킹 베드 - - 로즈 골드 PU 및 펄 화이트")</f>
        <v>ACME Chantelle 이스턴 킹 베드 - - 로즈 골드 PU 및 펄 화이트</v>
      </c>
      <c r="F3989" s="1" t="str">
        <f>IFERROR(__xludf.DUMMYFUNCTION("CONCATENATE(GOOGLETRANSLATE(C3989, ""en"", ""ja""))"),"ACME シャンテル イースタン キング ベッド - - ローズゴールド PU &amp; パール ホワイト")</f>
        <v>ACME シャンテル イースタン キング ベッド - - ローズゴールド PU &amp; パール ホワイト</v>
      </c>
    </row>
    <row r="3990" ht="15.75" customHeight="1">
      <c r="A3990" s="1">
        <v>3308.0</v>
      </c>
      <c r="B3990" s="1" t="s">
        <v>15</v>
      </c>
      <c r="C3990" s="1" t="s">
        <v>3524</v>
      </c>
      <c r="D3990" s="1" t="str">
        <f>IFERROR(__xludf.DUMMYFUNCTION("CONCATENATE(GOOGLETRANSLATE(C3990, ""en"", ""zh-cn""))"),"Meridian 家具 Lola 系列 现代 |现代天鹅绒软垫沙发，带金色黑色腿和槽形簇绒设计，85 宽 x 35 深 x 33.5 高，橄榄色")</f>
        <v>Meridian 家具 Lola 系列 现代 |现代天鹅绒软垫沙发，带金色黑色腿和槽形簇绒设计，85 宽 x 35 深 x 33.5 高，橄榄色</v>
      </c>
      <c r="E3990" s="1" t="str">
        <f>IFERROR(__xludf.DUMMYFUNCTION("CONCATENATE(GOOGLETRANSLATE(C3990, ""en"", ""ko""))"),"자오선 가구 롤라 컬렉션 현대 | 골드 팁 블랙 다리와 채널 터프티드 디자인을 갖춘 현대적인 벨벳 커버 소파, 85 W x 35 D x 33.5 H, 올리브")</f>
        <v>자오선 가구 롤라 컬렉션 현대 | 골드 팁 블랙 다리와 채널 터프티드 디자인을 갖춘 현대적인 벨벳 커버 소파, 85 W x 35 D x 33.5 H, 올리브</v>
      </c>
      <c r="F3990" s="1" t="str">
        <f>IFERROR(__xludf.DUMMYFUNCTION("CONCATENATE(GOOGLETRANSLATE(C3990, ""en"", ""ja""))"),"メリディアン家具 Lola コレクション モダン |現代的なベルベット布張りのソファ、ゴールド先端の黒い脚とチャンネルタフテッドデザイン、幅85 x 奥行き35 x 高さ33.5、オリーブ")</f>
        <v>メリディアン家具 Lola コレクション モダン |現代的なベルベット布張りのソファ、ゴールド先端の黒い脚とチャンネルタフテッドデザイン、幅85 x 奥行き35 x 高さ33.5、オリーブ</v>
      </c>
    </row>
    <row r="3991" ht="15.75" customHeight="1">
      <c r="A3991" s="1">
        <v>3319.0</v>
      </c>
      <c r="B3991" s="1" t="s">
        <v>15</v>
      </c>
      <c r="C3991" s="1" t="s">
        <v>3525</v>
      </c>
      <c r="D3991" s="1" t="str">
        <f>IFERROR(__xludf.DUMMYFUNCTION("CONCATENATE(GOOGLETRANSLATE(C3991, ""en"", ""zh-cn""))"),"Acme Furniture 德累斯顿电视柜，复古骨白色")</f>
        <v>Acme Furniture 德累斯顿电视柜，复古骨白色</v>
      </c>
      <c r="E3991" s="1" t="str">
        <f>IFERROR(__xludf.DUMMYFUNCTION("CONCATENATE(GOOGLETRANSLATE(C3991, ""en"", ""ko""))"),"Acme 가구 드레스덴 TV 콘솔, 빈티지 본 화이트")</f>
        <v>Acme 가구 드레스덴 TV 콘솔, 빈티지 본 화이트</v>
      </c>
      <c r="F3991" s="1" t="str">
        <f>IFERROR(__xludf.DUMMYFUNCTION("CONCATENATE(GOOGLETRANSLATE(C3991, ""en"", ""ja""))"),"Acme Furniture ドレスデン TV コンソール、ヴィンテージ ボーン ホワイト")</f>
        <v>Acme Furniture ドレスデン TV コンソール、ヴィンテージ ボーン ホワイト</v>
      </c>
    </row>
    <row r="3992" ht="15.75" customHeight="1">
      <c r="A3992" s="1">
        <v>3320.0</v>
      </c>
      <c r="B3992" s="1" t="s">
        <v>15</v>
      </c>
      <c r="C3992" s="1" t="s">
        <v>3526</v>
      </c>
      <c r="D3992" s="1" t="str">
        <f>IFERROR(__xludf.DUMMYFUNCTION("CONCATENATE(GOOGLETRANSLATE(C3992, ""en"", ""zh-cn""))"),"ACME家具Kacela服务器，香槟")</f>
        <v>ACME家具Kacela服务器，香槟</v>
      </c>
      <c r="E3992" s="1" t="str">
        <f>IFERROR(__xludf.DUMMYFUNCTION("CONCATENATE(GOOGLETRANSLATE(C3992, ""en"", ""ko""))"),"ACME 가구 카셀라 서버, 샴페인")</f>
        <v>ACME 가구 카셀라 서버, 샴페인</v>
      </c>
      <c r="F3992" s="1" t="str">
        <f>IFERROR(__xludf.DUMMYFUNCTION("CONCATENATE(GOOGLETRANSLATE(C3992, ""en"", ""ja""))"),"ACME Furniture Kacela サーバー、シャンパン")</f>
        <v>ACME Furniture Kacela サーバー、シャンパン</v>
      </c>
    </row>
    <row r="3993" ht="15.75" customHeight="1">
      <c r="A3993" s="1">
        <v>3322.0</v>
      </c>
      <c r="B3993" s="1" t="s">
        <v>15</v>
      </c>
      <c r="C3993" s="1" t="s">
        <v>3527</v>
      </c>
      <c r="D3993" s="1" t="str">
        <f>IFERROR(__xludf.DUMMYFUNCTION("CONCATENATE(GOOGLETRANSLATE(C3993, ""en"", ""zh-cn""))"),"Breville BES880BSS Barista Touch 浓缩咖啡机拉丝不锈钢 + 制造商保修 + 迷你敲门盒")</f>
        <v>Breville BES880BSS Barista Touch 浓缩咖啡机拉丝不锈钢 + 制造商保修 + 迷你敲门盒</v>
      </c>
      <c r="E3993" s="1" t="str">
        <f>IFERROR(__xludf.DUMMYFUNCTION("CONCATENATE(GOOGLETRANSLATE(C3993, ""en"", ""ko""))"),"브레빌 BES880BSS 바리스타 터치 에스프레소 머신 브러시드 스테인레스 스틸 + 제조업체 보증 + 녹박스 미니")</f>
        <v>브레빌 BES880BSS 바리스타 터치 에스프레소 머신 브러시드 스테인레스 스틸 + 제조업체 보증 + 녹박스 미니</v>
      </c>
      <c r="F3993" s="1" t="str">
        <f>IFERROR(__xludf.DUMMYFUNCTION("CONCATENATE(GOOGLETRANSLATE(C3993, ""en"", ""ja""))"),"Breville BES880BSS バリスタタッチ エスプレッソマシン ブラッシュステンレススチール + メーカー保証 + ノックボックス ミニ")</f>
        <v>Breville BES880BSS バリスタタッチ エスプレッソマシン ブラッシュステンレススチール + メーカー保証 + ノックボックス ミニ</v>
      </c>
    </row>
    <row r="3994" ht="15.75" customHeight="1">
      <c r="A3994" s="1">
        <v>3334.0</v>
      </c>
      <c r="B3994" s="1" t="s">
        <v>15</v>
      </c>
      <c r="C3994" s="1" t="s">
        <v>3528</v>
      </c>
      <c r="D3994" s="1" t="str">
        <f>IFERROR(__xludf.DUMMYFUNCTION("CONCATENATE(GOOGLETRANSLATE(C3994, ""en"", ""zh-cn""))"),"Jura Cappresso 北欧白 ENA 4 Full")</f>
        <v>Jura Cappresso 北欧白 ENA 4 Full</v>
      </c>
      <c r="E3994" s="1" t="str">
        <f>IFERROR(__xludf.DUMMYFUNCTION("CONCATENATE(GOOGLETRANSLATE(C3994, ""en"", ""ko""))"),"Jura Capresso 노르딕 화이트 ENA 4 풀")</f>
        <v>Jura Capresso 노르딕 화이트 ENA 4 풀</v>
      </c>
      <c r="F3994" s="1" t="str">
        <f>IFERROR(__xludf.DUMMYFUNCTION("CONCATENATE(GOOGLETRANSLATE(C3994, ""en"", ""ja""))"),"ジュラ カプリッソ ノルディック ホワイト ENA 4 フル")</f>
        <v>ジュラ カプリッソ ノルディック ホワイト ENA 4 フル</v>
      </c>
    </row>
    <row r="3995" ht="15.75" customHeight="1">
      <c r="A3995" s="1">
        <v>3338.0</v>
      </c>
      <c r="B3995" s="1" t="s">
        <v>15</v>
      </c>
      <c r="C3995" s="1" t="s">
        <v>3529</v>
      </c>
      <c r="D3995" s="1" t="str">
        <f>IFERROR(__xludf.DUMMYFUNCTION("CONCATENATE(GOOGLETRANSLATE(C3995, ""en"", ""zh-cn""))"),"Ashley Bladen 签名设计仿皮全沙发床，灰色")</f>
        <v>Ashley Bladen 签名设计仿皮全沙发床，灰色</v>
      </c>
      <c r="E3995" s="1" t="str">
        <f>IFERROR(__xludf.DUMMYFUNCTION("CONCATENATE(GOOGLETRANSLATE(C3995, ""en"", ""ko""))"),"Ashley Bladen의 시그니처 디자인 인조 가죽 풀 소파 슬리퍼, 그레이")</f>
        <v>Ashley Bladen의 시그니처 디자인 인조 가죽 풀 소파 슬리퍼, 그레이</v>
      </c>
      <c r="F3995" s="1" t="str">
        <f>IFERROR(__xludf.DUMMYFUNCTION("CONCATENATE(GOOGLETRANSLATE(C3995, ""en"", ""ja""))"),"Ashley Bladen による署名デザイン フェイクレザー フルソファ スリーパー、グレー")</f>
        <v>Ashley Bladen による署名デザイン フェイクレザー フルソファ スリーパー、グレー</v>
      </c>
    </row>
    <row r="3996" ht="15.75" customHeight="1">
      <c r="A3996" s="1">
        <v>3346.0</v>
      </c>
      <c r="B3996" s="1" t="s">
        <v>15</v>
      </c>
      <c r="C3996" s="1" t="s">
        <v>3530</v>
      </c>
      <c r="D3996" s="1" t="str">
        <f>IFERROR(__xludf.DUMMYFUNCTION("CONCATENATE(GOOGLETRANSLATE(C3996, ""en"", ""zh-cn""))"),"Merax L 形组合沙发床，带储物脚凳和客厅躺椅，小公寓双人沙发，米色_亚麻")</f>
        <v>Merax L 形组合沙发床，带储物脚凳和客厅躺椅，小公寓双人沙发，米色_亚麻</v>
      </c>
      <c r="E3996" s="1" t="str">
        <f>IFERROR(__xludf.DUMMYFUNCTION("CONCATENATE(GOOGLETRANSLATE(C3996, ""en"", ""ko""))"),"메락스 L자형 단면 소파 소파 슬리퍼 침대(거실용 수납 오토만 및 긴 의자 포함), 소형 아파트 러브 시트, Beige_Linen")</f>
        <v>메락스 L자형 단면 소파 소파 슬리퍼 침대(거실용 수납 오토만 및 긴 의자 포함), 소형 아파트 러브 시트, Beige_Linen</v>
      </c>
      <c r="F3996" s="1" t="str">
        <f>IFERROR(__xludf.DUMMYFUNCTION("CONCATENATE(GOOGLETRANSLATE(C3996, ""en"", ""ja""))"),"Merax L 字型セクショナルソファカウチスリーパーベッド、収納オットマンと長椅子付き、リビングルーム用、小さなアパート用ラブシート、ベージュ_リネン")</f>
        <v>Merax L 字型セクショナルソファカウチスリーパーベッド、収納オットマンと長椅子付き、リビングルーム用、小さなアパート用ラブシート、ベージュ_リネン</v>
      </c>
    </row>
    <row r="3997" ht="15.75" customHeight="1">
      <c r="A3997" s="1">
        <v>3347.0</v>
      </c>
      <c r="B3997" s="1" t="s">
        <v>15</v>
      </c>
      <c r="C3997" s="1" t="s">
        <v>3531</v>
      </c>
      <c r="D3997" s="1" t="str">
        <f>IFERROR(__xludf.DUMMYFUNCTION("CONCATENATE(GOOGLETRANSLATE(C3997, ""en"", ""zh-cn""))"),"灰色 Poundex 仿亚麻布艺沙发")</f>
        <v>灰色 Poundex 仿亚麻布艺沙发</v>
      </c>
      <c r="E3997" s="1" t="str">
        <f>IFERROR(__xludf.DUMMYFUNCTION("CONCATENATE(GOOGLETRANSLATE(C3997, ""en"", ""ko""))"),"그레이 색상의 Poundex 린넨 같은 패브릭 소파")</f>
        <v>그레이 색상의 Poundex 린넨 같은 패브릭 소파</v>
      </c>
      <c r="F3997" s="1" t="str">
        <f>IFERROR(__xludf.DUMMYFUNCTION("CONCATENATE(GOOGLETRANSLATE(C3997, ""en"", ""ja""))"),"Poundex リネンライクファブリックソファ、グレー")</f>
        <v>Poundex リネンライクファブリックソファ、グレー</v>
      </c>
    </row>
    <row r="3998" ht="15.75" customHeight="1">
      <c r="A3998" s="1">
        <v>3370.0</v>
      </c>
      <c r="B3998" s="1" t="s">
        <v>15</v>
      </c>
      <c r="C3998" s="1" t="s">
        <v>3532</v>
      </c>
      <c r="D3998" s="1" t="str">
        <f>IFERROR(__xludf.DUMMYFUNCTION("CONCATENATE(GOOGLETRANSLATE(C3998, ""en"", ""zh-cn""))"),"Casa Andrea Milano LLC 现代大型天鹅绒布艺组合沙发 L 形沙发，带超宽躺椅，板岩")</f>
        <v>Casa Andrea Milano LLC 现代大型天鹅绒布艺组合沙发 L 形沙发，带超宽躺椅，板岩</v>
      </c>
      <c r="E3998" s="1" t="str">
        <f>IFERROR(__xludf.DUMMYFUNCTION("CONCATENATE(GOOGLETRANSLATE(C3998, ""en"", ""ko""))"),"Casa Andrea Milano LLC 현대적인 대형 벨벳 패브릭 단면 소파 L자형 소파(매우 넓은 긴 의자 라운지, 슬레이트 포함)")</f>
        <v>Casa Andrea Milano LLC 현대적인 대형 벨벳 패브릭 단면 소파 L자형 소파(매우 넓은 긴 의자 라운지, 슬레이트 포함)</v>
      </c>
      <c r="F3998" s="1" t="str">
        <f>IFERROR(__xludf.DUMMYFUNCTION("CONCATENATE(GOOGLETRANSLATE(C3998, ""en"", ""ja""))"),"Casa Andrea Milano LLC モダンな大型ベルベット生地セクショナルソファ L 字型ソファ、エクストラワイド長椅子付き、スレート")</f>
        <v>Casa Andrea Milano LLC モダンな大型ベルベット生地セクショナルソファ L 字型ソファ、エクストラワイド長椅子付き、スレート</v>
      </c>
    </row>
    <row r="3999" ht="15.75" customHeight="1">
      <c r="A3999" s="1">
        <v>3374.0</v>
      </c>
      <c r="B3999" s="1" t="s">
        <v>15</v>
      </c>
      <c r="C3999" s="1" t="s">
        <v>3533</v>
      </c>
      <c r="D3999" s="1" t="str">
        <f>IFERROR(__xludf.DUMMYFUNCTION("CONCATENATE(GOOGLETRANSLATE(C3999, ""en"", ""zh-cn""))"),"BALUS 双面组合沙发床，带储物躺椅，83 英寸 L 形组合沙发，天鹅绒软垫拉出式沙发床沙发，适用于客厅、办公室和小型公寓（深灰色）")</f>
        <v>BALUS 双面组合沙发床，带储物躺椅，83 英寸 L 形组合沙发，天鹅绒软垫拉出式沙发床沙发，适用于客厅、办公室和小型公寓（深灰色）</v>
      </c>
      <c r="E3999" s="1" t="str">
        <f>IFERROR(__xludf.DUMMYFUNCTION("CONCATENATE(GOOGLETRANSLATE(C3999, ""en"", ""ko""))"),"BALUS 수납 의자가 있는 양면형 단면 슬리퍼 소파, 83인치 L자형 단면 소파 소파, 거실용 벨벳 겉천을 씌운 풀아웃 소파 베드 소파, 사무실 및 소형 아파트(진한 회색)")</f>
        <v>BALUS 수납 의자가 있는 양면형 단면 슬리퍼 소파, 83인치 L자형 단면 소파 소파, 거실용 벨벳 겉천을 씌운 풀아웃 소파 베드 소파, 사무실 및 소형 아파트(진한 회색)</v>
      </c>
      <c r="F3999" s="1" t="str">
        <f>IFERROR(__xludf.DUMMYFUNCTION("CONCATENATE(GOOGLETRANSLATE(C3999, ""en"", ""ja""))"),"BALUS リバーシブルセクショナルスリーパーソファ 収納長椅子付き、83インチ L字型セクショナルソファカウチ、ベルベット布張りの引き出し式ソファベッドカウチ、リビングルーム、オフィス、小規模アパート用 (ダークグレー)")</f>
        <v>BALUS リバーシブルセクショナルスリーパーソファ 収納長椅子付き、83インチ L字型セクショナルソファカウチ、ベルベット布張りの引き出し式ソファベッドカウチ、リビングルーム、オフィス、小規模アパート用 (ダークグレー)</v>
      </c>
    </row>
    <row r="4000" ht="15.75" customHeight="1">
      <c r="A4000" s="1">
        <v>3383.0</v>
      </c>
      <c r="B4000" s="1" t="s">
        <v>15</v>
      </c>
      <c r="C4000" s="1" t="s">
        <v>1791</v>
      </c>
      <c r="D4000" s="1" t="str">
        <f>IFERROR(__xludf.DUMMYFUNCTION("CONCATENATE(GOOGLETRANSLATE(C4000, ""en"", ""zh-cn""))"),"Belffin 敞篷组合沙发布艺沙发带躺椅双面转角沙发家具 L 形 4 座沙发蓝灰色")</f>
        <v>Belffin 敞篷组合沙发布艺沙发带躺椅双面转角沙发家具 L 形 4 座沙发蓝灰色</v>
      </c>
      <c r="E4000" s="1" t="str">
        <f>IFERROR(__xludf.DUMMYFUNCTION("CONCATENATE(GOOGLETRANSLATE(C4000, ""en"", ""ko""))"),"Belffin 컨버터블 단면 소파 패브릭 소파(의자 포함) 가역 코너 소파 가구 L자형 4인용 소파 청회색")</f>
        <v>Belffin 컨버터블 단면 소파 패브릭 소파(의자 포함) 가역 코너 소파 가구 L자형 4인용 소파 청회색</v>
      </c>
      <c r="F4000" s="1" t="str">
        <f>IFERROR(__xludf.DUMMYFUNCTION("CONCATENATE(GOOGLETRANSLATE(C4000, ""en"", ""ja""))"),"Belffin コンバーチブルセクショナルソファ ファブリックソファ 長椅子付き リバーシブルコーナーソファ家具 L字型 4人掛けソファ ブルーイッシュグレー")</f>
        <v>Belffin コンバーチブルセクショナルソファ ファブリックソファ 長椅子付き リバーシブルコーナーソファ家具 L字型 4人掛けソファ ブルーイッシュグレー</v>
      </c>
    </row>
    <row r="4001" ht="15.75" customHeight="1">
      <c r="A4001" s="1">
        <v>3388.0</v>
      </c>
      <c r="B4001" s="1" t="s">
        <v>15</v>
      </c>
      <c r="C4001" s="1" t="s">
        <v>3534</v>
      </c>
      <c r="D4001" s="1" t="str">
        <f>IFERROR(__xludf.DUMMYFUNCTION("CONCATENATE(GOOGLETRANSLATE(C4001, ""en"", ""zh-cn""))"),"亚马逊品牌 – Stone &amp; Beam Blaine 现代软垫客厅特色椅子，32.3W，海军蓝")</f>
        <v>亚马逊品牌 – Stone &amp; Beam Blaine 现代软垫客厅特色椅子，32.3W，海军蓝</v>
      </c>
      <c r="E4001" s="1" t="str">
        <f>IFERROR(__xludf.DUMMYFUNCTION("CONCATENATE(GOOGLETRANSLATE(C4001, ""en"", ""ko""))"),"Amazon 브랜드 – Stone &amp; Beam Blaine 모던한 덮개를 씌운 거실용 악센트 의자, 32.3W, 네이비 블루")</f>
        <v>Amazon 브랜드 – Stone &amp; Beam Blaine 모던한 덮개를 씌운 거실용 악센트 의자, 32.3W, 네이비 블루</v>
      </c>
      <c r="F4001" s="1" t="str">
        <f>IFERROR(__xludf.DUMMYFUNCTION("CONCATENATE(GOOGLETRANSLATE(C4001, ""en"", ""ja""))"),"Amazon ブランド – Stone &amp; Beam Blaine モダン布張りリビングルームアクセントチェア、32.3W、ネイビーブルー")</f>
        <v>Amazon ブランド – Stone &amp; Beam Blaine モダン布張りリビングルームアクセントチェア、32.3W、ネイビーブルー</v>
      </c>
    </row>
    <row r="4002" ht="15.75" customHeight="1">
      <c r="A4002" s="1">
        <v>3391.0</v>
      </c>
      <c r="B4002" s="1" t="s">
        <v>15</v>
      </c>
      <c r="C4002" s="1" t="s">
        <v>3535</v>
      </c>
      <c r="D4002" s="1" t="str">
        <f>IFERROR(__xludf.DUMMYFUNCTION("CONCATENATE(GOOGLETRANSLATE(C4002, ""en"", ""zh-cn""))"),"飞利浦 3200 系列全自动浓缩咖啡机 - 经典奶泡机，4 种咖啡品种，直观触摸显示屏，黑色，(EP3221/44)")</f>
        <v>飞利浦 3200 系列全自动浓缩咖啡机 - 经典奶泡机，4 种咖啡品种，直观触摸显示屏，黑色，(EP3221/44)</v>
      </c>
      <c r="E4002" s="1" t="str">
        <f>IFERROR(__xludf.DUMMYFUNCTION("CONCATENATE(GOOGLETRANSLATE(C4002, ""en"", ""ko""))"),"PHILIPS 3200 시리즈 전자동 에스프레소 머신 - 클래식 우유 거품기, 4가지 커피 품종, 직관적인 터치 디스플레이, 블랙, (EP3221/44)")</f>
        <v>PHILIPS 3200 시리즈 전자동 에스프레소 머신 - 클래식 우유 거품기, 4가지 커피 품종, 직관적인 터치 디스플레이, 블랙, (EP3221/44)</v>
      </c>
      <c r="F4002" s="1" t="str">
        <f>IFERROR(__xludf.DUMMYFUNCTION("CONCATENATE(GOOGLETRANSLATE(C4002, ""en"", ""ja""))"),"PHILIPS 3200 シリーズ全自動エスプレッソマシン - クラシックミルク泡立て器、4種類のコーヒー、直感的なタッチディスプレイ、ブラック、(EP3221/44)")</f>
        <v>PHILIPS 3200 シリーズ全自動エスプレッソマシン - クラシックミルク泡立て器、4種類のコーヒー、直感的なタッチディスプレイ、ブラック、(EP3221/44)</v>
      </c>
    </row>
    <row r="4003" ht="15.75" customHeight="1">
      <c r="A4003" s="1">
        <v>3394.0</v>
      </c>
      <c r="B4003" s="1" t="s">
        <v>15</v>
      </c>
      <c r="C4003" s="1" t="s">
        <v>3192</v>
      </c>
      <c r="D4003" s="1" t="str">
        <f>IFERROR(__xludf.DUMMYFUNCTION("CONCATENATE(GOOGLETRANSLATE(C4003, ""en"", ""zh-cn""))"),"Lyromix 3 合 1 客厅沙发床，全尺寸可转换双人沙发床，天鹅绒拉出沙发，带 2 个枕头和可拆卸储物袋，黑色")</f>
        <v>Lyromix 3 合 1 客厅沙发床，全尺寸可转换双人沙发床，天鹅绒拉出沙发，带 2 个枕头和可拆卸储物袋，黑色</v>
      </c>
      <c r="E4003" s="1" t="str">
        <f>IFERROR(__xludf.DUMMYFUNCTION("CONCATENATE(GOOGLETRANSLATE(C4003, ""en"", ""ko""))"),"거실용 Lyromix 3 in 1 소파 베드, 컨버터블 러브시트 슬리퍼 풀 사이즈, 벨벳 풀아웃 소파, 베개 2개 및 분리형 수납 가방, 블랙")</f>
        <v>거실용 Lyromix 3 in 1 소파 베드, 컨버터블 러브시트 슬리퍼 풀 사이즈, 벨벳 풀아웃 소파, 베개 2개 및 분리형 수납 가방, 블랙</v>
      </c>
      <c r="F4003" s="1" t="str">
        <f>IFERROR(__xludf.DUMMYFUNCTION("CONCATENATE(GOOGLETRANSLATE(C4003, ""en"", ""ja""))"),"Lyromix 3 in 1 ソファベッド リビングルーム用 コンバーチブル 二人掛けスリーパー フルサイズ ベルベット引き出し式ソファ 枕2個&amp;取り外し可能な収納バッグ付き ブラック")</f>
        <v>Lyromix 3 in 1 ソファベッド リビングルーム用 コンバーチブル 二人掛けスリーパー フルサイズ ベルベット引き出し式ソファ 枕2個&amp;取り外し可能な収納バッグ付き ブラック</v>
      </c>
    </row>
    <row r="4004" ht="15.75" customHeight="1">
      <c r="A4004" s="1">
        <v>3398.0</v>
      </c>
      <c r="B4004" s="1" t="s">
        <v>15</v>
      </c>
      <c r="C4004" s="1" t="s">
        <v>2277</v>
      </c>
      <c r="D4004" s="1" t="str">
        <f>IFERROR(__xludf.DUMMYFUNCTION("CONCATENATE(GOOGLETRANSLATE(C4004, ""en"", ""zh-cn""))"),"全新经典家具 Glam Emma 天鹅绒三座切斯特菲尔德风格沙发，适合小空间，带水晶纽扣簇绒，黑色")</f>
        <v>全新经典家具 Glam Emma 天鹅绒三座切斯特菲尔德风格沙发，适合小空间，带水晶纽扣簇绒，黑色</v>
      </c>
      <c r="E4004" s="1" t="str">
        <f>IFERROR(__xludf.DUMMYFUNCTION("CONCATENATE(GOOGLETRANSLATE(C4004, ""en"", ""ko""))"),"작은 공간을 위한 새로운 클래식 가구 글램 엠마 벨벳 3인용 체스터필드 스타일 소파, 크리스탈 버튼 장식, 블랙")</f>
        <v>작은 공간을 위한 새로운 클래식 가구 글램 엠마 벨벳 3인용 체스터필드 스타일 소파, 크리스탈 버튼 장식, 블랙</v>
      </c>
      <c r="F4004" s="1" t="str">
        <f>IFERROR(__xludf.DUMMYFUNCTION("CONCATENATE(GOOGLETRANSLATE(C4004, ""en"", ""ja""))"),"ニュークラシック家具 Glam Emma ベルベット 3 人掛けチェスターフィールドスタイルソファ、小さなスペース用、クリスタルボタン房付き、ブラック")</f>
        <v>ニュークラシック家具 Glam Emma ベルベット 3 人掛けチェスターフィールドスタイルソファ、小さなスペース用、クリスタルボタン房付き、ブラック</v>
      </c>
    </row>
    <row r="4005" ht="15.75" customHeight="1">
      <c r="A4005" s="1">
        <v>3403.0</v>
      </c>
      <c r="B4005" s="1" t="s">
        <v>15</v>
      </c>
      <c r="C4005" s="1" t="s">
        <v>2279</v>
      </c>
      <c r="D4005" s="1" t="str">
        <f>IFERROR(__xludf.DUMMYFUNCTION("CONCATENATE(GOOGLETRANSLATE(C4005, ""en"", ""zh-cn""))"),"Nolany 敞篷组合沙发 L 形沙发沙发，带储物 双面组合沙发，适合小空间，深灰色")</f>
        <v>Nolany 敞篷组合沙发 L 形沙发沙发，带储物 双面组合沙发，适合小空间，深灰色</v>
      </c>
      <c r="E4005" s="1" t="str">
        <f>IFERROR(__xludf.DUMMYFUNCTION("CONCATENATE(GOOGLETRANSLATE(C4005, ""en"", ""ko""))"),"Nolany 컨버터블 단면 소파 작은 공간, 짙은 회색을 위한 보관용 양면 단면 소파가 있는 L 모양의 소파 소파")</f>
        <v>Nolany 컨버터블 단면 소파 작은 공간, 짙은 회색을 위한 보관용 양면 단면 소파가 있는 L 모양의 소파 소파</v>
      </c>
      <c r="F4005" s="1" t="str">
        <f>IFERROR(__xludf.DUMMYFUNCTION("CONCATENATE(GOOGLETRANSLATE(C4005, ""en"", ""ja""))"),"Nolany コンバーチブルセクショナルソファ L 字型ソファ カウチ 収納付き リバーシブルセクショナルソファ 狭いスペース用 ダークグレー")</f>
        <v>Nolany コンバーチブルセクショナルソファ L 字型ソファ カウチ 収納付き リバーシブルセクショナルソファ 狭いスペース用 ダークグレー</v>
      </c>
    </row>
    <row r="4006" ht="15.75" customHeight="1">
      <c r="A4006" s="1">
        <v>3407.0</v>
      </c>
      <c r="B4006" s="1" t="s">
        <v>15</v>
      </c>
      <c r="C4006" s="1" t="s">
        <v>1794</v>
      </c>
      <c r="D4006" s="1" t="str">
        <f>IFERROR(__xludf.DUMMYFUNCTION("CONCATENATE(GOOGLETRANSLATE(C4006, ""en"", ""zh-cn""))"),"HONBAY 敞篷组合沙发，带奥斯曼现代 L 形组合沙发，仿皮沙发，带双面躺椅，黑色")</f>
        <v>HONBAY 敞篷组合沙发，带奥斯曼现代 L 形组合沙发，仿皮沙发，带双面躺椅，黑色</v>
      </c>
      <c r="E4006" s="1" t="str">
        <f>IFERROR(__xludf.DUMMYFUNCTION("CONCATENATE(GOOGLETRANSLATE(C4006, ""en"", ""ko""))"),"HONBAY 컨버터블 단면 소파, 오스만 모던 L 모양 단면 소파 인조 가죽 소파, 양면 의자, 블랙")</f>
        <v>HONBAY 컨버터블 단면 소파, 오스만 모던 L 모양 단면 소파 인조 가죽 소파, 양면 의자, 블랙</v>
      </c>
      <c r="F4006" s="1" t="str">
        <f>IFERROR(__xludf.DUMMYFUNCTION("CONCATENATE(GOOGLETRANSLATE(C4006, ""en"", ""ja""))"),"HONBAY コンバーチブル セクショナル ソファ オットマン付き モダン L 字型 セクショナル カウチ フェイクレザー カウチ リバーシブル 長椅子付き ブラック")</f>
        <v>HONBAY コンバーチブル セクショナル ソファ オットマン付き モダン L 字型 セクショナル カウチ フェイクレザー カウチ リバーシブル 長椅子付き ブラック</v>
      </c>
    </row>
    <row r="4007" ht="15.75" customHeight="1">
      <c r="A4007" s="1">
        <v>3411.0</v>
      </c>
      <c r="B4007" s="1" t="s">
        <v>15</v>
      </c>
      <c r="C4007" s="1" t="s">
        <v>1795</v>
      </c>
      <c r="D4007" s="1" t="str">
        <f>IFERROR(__xludf.DUMMYFUNCTION("CONCATENATE(GOOGLETRANSLATE(C4007, ""en"", ""zh-cn""))"),"Edenbrook Archer 软垫沙发 – 客厅沙发 - 木炭软垫沙发 - 客厅家具 - 小沙发 - 三个座位 - 直臂现代沙发")</f>
        <v>Edenbrook Archer 软垫沙发 – 客厅沙发 - 木炭软垫沙发 - 客厅家具 - 小沙发 - 三个座位 - 直臂现代沙发</v>
      </c>
      <c r="E4007" s="1" t="str">
        <f>IFERROR(__xludf.DUMMYFUNCTION("CONCATENATE(GOOGLETRANSLATE(C4007, ""en"", ""ko""))"),"Edenbrook Archer 덮개를 씌운 소파 – 거실용 소파 - 차콜 덮개를 씌운 소파 - 거실 가구 - 작은 소파 - 3인용 - 스트레이트 암 모던 소파")</f>
        <v>Edenbrook Archer 덮개를 씌운 소파 – 거실용 소파 - 차콜 덮개를 씌운 소파 - 거실 가구 - 작은 소파 - 3인용 - 스트레이트 암 모던 소파</v>
      </c>
      <c r="F4007" s="1" t="str">
        <f>IFERROR(__xludf.DUMMYFUNCTION("CONCATENATE(GOOGLETRANSLATE(C4007, ""en"", ""ja""))"),"エデンブルック アーチャー 布張りカウチ – リビングルーム用カウチ – チャコール布張りカウチ – リビングルーム用家具 – 小さなカウチ – 3人掛け – ストレートアームモダンカウチ")</f>
        <v>エデンブルック アーチャー 布張りカウチ – リビングルーム用カウチ – チャコール布張りカウチ – リビングルーム用家具 – 小さなカウチ – 3人掛け – ストレートアームモダンカウチ</v>
      </c>
    </row>
    <row r="4008" ht="15.75" customHeight="1">
      <c r="A4008" s="1">
        <v>3429.0</v>
      </c>
      <c r="B4008" s="1" t="s">
        <v>15</v>
      </c>
      <c r="C4008" s="1" t="s">
        <v>3536</v>
      </c>
      <c r="D4008" s="1" t="str">
        <f>IFERROR(__xludf.DUMMYFUNCTION("CONCATENATE(GOOGLETRANSLATE(C4008, ""en"", ""zh-cn""))"),"PaPaJet 沙发床，带储物躺椅的沙发床 - 2 合 1 客厅拉出沙发床，带拉出床的组合沙发灰色")</f>
        <v>PaPaJet 沙发床，带储物躺椅的沙发床 - 2 合 1 客厅拉出沙发床，带拉出床的组合沙发灰色</v>
      </c>
      <c r="E4008" s="1" t="str">
        <f>IFERROR(__xludf.DUMMYFUNCTION("CONCATENATE(GOOGLETRANSLATE(C4008, ""en"", ""ko""))"),"PaPaJet 슬리퍼 소파, 수납용 의자가 있는 소파 베드-거실용 풀아웃 소파 베드 1개, 풀아웃 침대가 있는 단면 소파 그레이")</f>
        <v>PaPaJet 슬리퍼 소파, 수납용 의자가 있는 소파 베드-거실용 풀아웃 소파 베드 1개, 풀아웃 침대가 있는 단면 소파 그레이</v>
      </c>
      <c r="F4008" s="1" t="str">
        <f>IFERROR(__xludf.DUMMYFUNCTION("CONCATENATE(GOOGLETRANSLATE(C4008, ""en"", ""ja""))"),"PaPaJet スリーパーソファ、収納長椅子付きソファベッド、リビングルーム用 2 in 1 引き出し式カウチベッド、引き出し式ベッド付きセクショナルソファ グレー")</f>
        <v>PaPaJet スリーパーソファ、収納長椅子付きソファベッド、リビングルーム用 2 in 1 引き出し式カウチベッド、引き出し式ベッド付きセクショナルソファ グレー</v>
      </c>
    </row>
    <row r="4009" ht="15.75" customHeight="1">
      <c r="A4009" s="1">
        <v>3440.0</v>
      </c>
      <c r="B4009" s="1" t="s">
        <v>15</v>
      </c>
      <c r="C4009" s="1" t="s">
        <v>3537</v>
      </c>
      <c r="D4009" s="1" t="str">
        <f>IFERROR(__xludf.DUMMYFUNCTION("CONCATENATE(GOOGLETRANSLATE(C4009, ""en"", ""zh-cn""))"),"Breville Combi Wave 三合一微波炉、空气炸锅和烤面包机，拉丝不锈钢，BMO870BSS1BUC1")</f>
        <v>Breville Combi Wave 三合一微波炉、空气炸锅和烤面包机，拉丝不锈钢，BMO870BSS1BUC1</v>
      </c>
      <c r="E4009" s="1" t="str">
        <f>IFERROR(__xludf.DUMMYFUNCTION("CONCATENATE(GOOGLETRANSLATE(C4009, ""en"", ""ko""))"),"브레빌 콤비 웨이브 3-in-1 전자레인지, 에어프라이어, 토스터 오븐, 브러시드 스테인레스 스틸, BMO870BSS1BUC1")</f>
        <v>브레빌 콤비 웨이브 3-in-1 전자레인지, 에어프라이어, 토스터 오븐, 브러시드 스테인레스 스틸, BMO870BSS1BUC1</v>
      </c>
      <c r="F4009" s="1" t="str">
        <f>IFERROR(__xludf.DUMMYFUNCTION("CONCATENATE(GOOGLETRANSLATE(C4009, ""en"", ""ja""))"),"Breville Combi Wave 3-in-1 電子レンジ、エアフライヤー、オーブントースター、つや消しステンレススチール、BMO870BSS1BUC1")</f>
        <v>Breville Combi Wave 3-in-1 電子レンジ、エアフライヤー、オーブントースター、つや消しステンレススチール、BMO870BSS1BUC1</v>
      </c>
    </row>
    <row r="4010" ht="15.75" customHeight="1">
      <c r="A4010" s="1">
        <v>3448.0</v>
      </c>
      <c r="B4010" s="1" t="s">
        <v>15</v>
      </c>
      <c r="C4010" s="1" t="s">
        <v>3538</v>
      </c>
      <c r="D4010" s="1" t="str">
        <f>IFERROR(__xludf.DUMMYFUNCTION("CONCATENATE(GOOGLETRANSLATE(C4010, ""en"", ""zh-cn""))"),"Janoray 农舍餐椅 4 件套，带木制圆形皮革软垫靠背和座椅，适用于餐厅厨房 - 棕色")</f>
        <v>Janoray 农舍餐椅 4 件套，带木制圆形皮革软垫靠背和座椅，适用于餐厅厨房 - 棕色</v>
      </c>
      <c r="E4010" s="1" t="str">
        <f>IFERROR(__xludf.DUMMYFUNCTION("CONCATENATE(GOOGLETRANSLATE(C4010, ""en"", ""ko""))"),"Janoray 농가 식당 의자 4개 세트, 나무 둥근 가죽 덮개를 씌운 등받이와 다이닝 룸 주방용 좌석 - 브라운")</f>
        <v>Janoray 농가 식당 의자 4개 세트, 나무 둥근 가죽 덮개를 씌운 등받이와 다이닝 룸 주방용 좌석 - 브라운</v>
      </c>
      <c r="F4010" s="1" t="str">
        <f>IFERROR(__xludf.DUMMYFUNCTION("CONCATENATE(GOOGLETRANSLATE(C4010, ""en"", ""ja""))"),"Janoray ファームハウス ダイニングチェア 4 脚セット 木製ラウンドレザー張りの背もたれと座面付き ダイニングルーム キッチン用 - ブラウン")</f>
        <v>Janoray ファームハウス ダイニングチェア 4 脚セット 木製ラウンドレザー張りの背もたれと座面付き ダイニングルーム キッチン用 - ブラウン</v>
      </c>
    </row>
    <row r="4011" ht="15.75" customHeight="1">
      <c r="A4011" s="1">
        <v>3458.0</v>
      </c>
      <c r="B4011" s="1" t="s">
        <v>15</v>
      </c>
      <c r="C4011" s="1" t="s">
        <v>3193</v>
      </c>
      <c r="D4011" s="1" t="str">
        <f>IFERROR(__xludf.DUMMYFUNCTION("CONCATENATE(GOOGLETRANSLATE(C4011, ""en"", ""zh-cn""))"),"Ashley Darcy 签名设计休闲毛绒沙发，棕色")</f>
        <v>Ashley Darcy 签名设计休闲毛绒沙发，棕色</v>
      </c>
      <c r="E4011" s="1" t="str">
        <f>IFERROR(__xludf.DUMMYFUNCTION("CONCATENATE(GOOGLETRANSLATE(C4011, ""en"", ""ko""))"),"Ashley Darcy의 시그니처 디자인 캐주얼 플러시 소파, 브라운")</f>
        <v>Ashley Darcy의 시그니처 디자인 캐주얼 플러시 소파, 브라운</v>
      </c>
      <c r="F4011" s="1" t="str">
        <f>IFERROR(__xludf.DUMMYFUNCTION("CONCATENATE(GOOGLETRANSLATE(C4011, ""en"", ""ja""))"),"アシュリー・ダーシーによるサインデザイン カジュアルプラッシュソファ、ブラウン")</f>
        <v>アシュリー・ダーシーによるサインデザイン カジュアルプラッシュソファ、ブラウン</v>
      </c>
    </row>
    <row r="4012" ht="15.75" customHeight="1">
      <c r="A4012" s="1">
        <v>3466.0</v>
      </c>
      <c r="B4012" s="1" t="s">
        <v>15</v>
      </c>
      <c r="C4012" s="1" t="s">
        <v>1799</v>
      </c>
      <c r="D4012" s="1" t="str">
        <f>IFERROR(__xludf.DUMMYFUNCTION("CONCATENATE(GOOGLETRANSLATE(C4012, ""en"", ""zh-cn""))"),"Lilola Home Lucca 浅灰色亚麻双面沙发组合沙发带储物躺椅")</f>
        <v>Lilola Home Lucca 浅灰色亚麻双面沙发组合沙发带储物躺椅</v>
      </c>
      <c r="E4012" s="1" t="str">
        <f>IFERROR(__xludf.DUMMYFUNCTION("CONCATENATE(GOOGLETRANSLATE(C4012, ""en"", ""ko""))"),"Lilola 홈 루카 라이트 그레이 리넨 양면 슬리퍼 단면 소파(수납용 의자 포함)")</f>
        <v>Lilola 홈 루카 라이트 그레이 리넨 양면 슬리퍼 단면 소파(수납용 의자 포함)</v>
      </c>
      <c r="F4012" s="1" t="str">
        <f>IFERROR(__xludf.DUMMYFUNCTION("CONCATENATE(GOOGLETRANSLATE(C4012, ""en"", ""ja""))"),"リロラ ホーム ルッカ ライトグレー リネン リバーシブル スリーパー セクショナル ソファ 収納長椅子付き")</f>
        <v>リロラ ホーム ルッカ ライトグレー リネン リバーシブル スリーパー セクショナル ソファ 収納長椅子付き</v>
      </c>
    </row>
    <row r="4013" ht="15.75" customHeight="1">
      <c r="A4013" s="1">
        <v>3486.0</v>
      </c>
      <c r="B4013" s="1" t="s">
        <v>15</v>
      </c>
      <c r="C4013" s="1" t="s">
        <v>3539</v>
      </c>
      <c r="D4013" s="1" t="str">
        <f>IFERROR(__xludf.DUMMYFUNCTION("CONCATENATE(GOOGLETRANSLATE(C4013, ""en"", ""zh-cn""))"),"HP ProLiant ML30 Gen10 塔式服务器，Intel Xeon E-2124 四核 3.3GHz 8MB，32GB DDR4 RAM，8TB 存储，RAID，iLO 5")</f>
        <v>HP ProLiant ML30 Gen10 塔式服务器，Intel Xeon E-2124 四核 3.3GHz 8MB，32GB DDR4 RAM，8TB 存储，RAID，iLO 5</v>
      </c>
      <c r="E4013" s="1" t="str">
        <f>IFERROR(__xludf.DUMMYFUNCTION("CONCATENATE(GOOGLETRANSLATE(C4013, ""en"", ""ko""))"),"HP ProLiant ML30 Gen10 타워 서버, Intel Xeon E-2124 쿼드 코어 3.3GHz 8MB, 32GB DDR4 RAM, 8TB 스토리지, RAID, iLO 5")</f>
        <v>HP ProLiant ML30 Gen10 타워 서버, Intel Xeon E-2124 쿼드 코어 3.3GHz 8MB, 32GB DDR4 RAM, 8TB 스토리지, RAID, iLO 5</v>
      </c>
      <c r="F4013" s="1" t="str">
        <f>IFERROR(__xludf.DUMMYFUNCTION("CONCATENATE(GOOGLETRANSLATE(C4013, ""en"", ""ja""))"),"HP ProLiant ML30 Gen10 タワー サーバー、Intel Xeon E-2124 クアッドコア 3.3GHz 8MB、32GB DDR4 RAM、8TB ストレージ、RAID、iLO 5")</f>
        <v>HP ProLiant ML30 Gen10 タワー サーバー、Intel Xeon E-2124 クアッドコア 3.3GHz 8MB、32GB DDR4 RAM、8TB ストレージ、RAID、iLO 5</v>
      </c>
    </row>
    <row r="4014" ht="15.75" customHeight="1">
      <c r="A4014" s="1">
        <v>3492.0</v>
      </c>
      <c r="B4014" s="1" t="s">
        <v>15</v>
      </c>
      <c r="C4014" s="1" t="s">
        <v>3540</v>
      </c>
      <c r="D4014" s="1" t="str">
        <f>IFERROR(__xludf.DUMMYFUNCTION("CONCATENATE(GOOGLETRANSLATE(C4014, ""en"", ""zh-cn""))"),"Pemberly Row 80 农舍过渡木质家庭酒吧单元橱柜套装，带高脚杯架，餐厅厨房酒柜，烟叶材质")</f>
        <v>Pemberly Row 80 农舍过渡木质家庭酒吧单元橱柜套装，带高脚杯架，餐厅厨房酒柜，烟叶材质</v>
      </c>
      <c r="E4014" s="1" t="str">
        <f>IFERROR(__xludf.DUMMYFUNCTION("CONCATENATE(GOOGLETRANSLATE(C4014, ""en"", ""ko""))"),"Pemberly Row 80 농가 과도기 목재 홈 바 유닛 캐비닛 세트, 스템웨어 랙 포함, 다이닝 룸 주방용 와인 보관함, 담배 잎 포함")</f>
        <v>Pemberly Row 80 농가 과도기 목재 홈 바 유닛 캐비닛 세트, 스템웨어 랙 포함, 다이닝 룸 주방용 와인 보관함, 담배 잎 포함</v>
      </c>
      <c r="F4014" s="1" t="str">
        <f>IFERROR(__xludf.DUMMYFUNCTION("CONCATENATE(GOOGLETRANSLATE(C4014, ""en"", ""ja""))"),"Pemberly Row 80 ファームハウス トランジショナルウッド ホームバーユニットキャビネットセット ステムウェアラック付き ダイニングルームキッチン用ワインストレージ タバコリーフ")</f>
        <v>Pemberly Row 80 ファームハウス トランジショナルウッド ホームバーユニットキャビネットセット ステムウェアラック付き ダイニングルームキッチン用ワインストレージ タバコリーフ</v>
      </c>
    </row>
    <row r="4015" ht="15.75" customHeight="1">
      <c r="A4015" s="1">
        <v>3498.0</v>
      </c>
      <c r="B4015" s="1" t="s">
        <v>15</v>
      </c>
      <c r="C4015" s="1" t="s">
        <v>3541</v>
      </c>
      <c r="D4015" s="1" t="str">
        <f>IFERROR(__xludf.DUMMYFUNCTION("CONCATENATE(GOOGLETRANSLATE(C4015, ""en"", ""zh-cn""))"),"戴尔 XPS 13 9310 笔记本电脑 - 13.4 英寸 OLED 3.5K (3456x2160) 触摸屏显示屏，英特尔酷睿 i7-1185G7，32GB LPDDR4x RAM，1TB 固态硬盘，英特尔 Iris Xe 显卡，1 年高级支持 Windows 11 Home - 银色")</f>
        <v>戴尔 XPS 13 9310 笔记本电脑 - 13.4 英寸 OLED 3.5K (3456x2160) 触摸屏显示屏，英特尔酷睿 i7-1185G7，32GB LPDDR4x RAM，1TB 固态硬盘，英特尔 Iris Xe 显卡，1 年高级支持 Windows 11 Home - 银色</v>
      </c>
      <c r="E4015" s="1" t="str">
        <f>IFERROR(__xludf.DUMMYFUNCTION("CONCATENATE(GOOGLETRANSLATE(C4015, ""en"", ""ko""))"),"Dell XPS 13 9310 노트북 - 13.4인치 OLED 3.5K(3456x2160) 터치스크린 디스플레이, Intel Core i7-1185G7, 32GB LPDDR4x RAM, 1TB SSD, Intel Iris Xe 그래픽, 1년 프리미엄 지원 Windows 11 Home - 실버")</f>
        <v>Dell XPS 13 9310 노트북 - 13.4인치 OLED 3.5K(3456x2160) 터치스크린 디스플레이, Intel Core i7-1185G7, 32GB LPDDR4x RAM, 1TB SSD, Intel Iris Xe 그래픽, 1년 프리미엄 지원 Windows 11 Home - 실버</v>
      </c>
      <c r="F4015" s="1" t="str">
        <f>IFERROR(__xludf.DUMMYFUNCTION("CONCATENATE(GOOGLETRANSLATE(C4015, ""en"", ""ja""))"),"Dell XPS 13 9310 ラップトップ - 13.4 インチ OLED 3.5K (3456x2160) タッチスクリーン ディスプレイ、Intel Core i7-1185G7、32GB LPDDR4x RAM、1TB SSD、Intel Iris Xe グラフィックス、1 年間のプレミアム サポート Windows 11 Home - シルバー")</f>
        <v>Dell XPS 13 9310 ラップトップ - 13.4 インチ OLED 3.5K (3456x2160) タッチスクリーン ディスプレイ、Intel Core i7-1185G7、32GB LPDDR4x RAM、1TB SSD、Intel Iris Xe グラフィックス、1 年間のプレミアム サポート Windows 11 Home - シルバー</v>
      </c>
    </row>
    <row r="4016" ht="15.75" customHeight="1">
      <c r="A4016" s="1">
        <v>3511.0</v>
      </c>
      <c r="B4016" s="1" t="s">
        <v>15</v>
      </c>
      <c r="C4016" s="1" t="s">
        <v>3542</v>
      </c>
      <c r="D4016" s="1" t="str">
        <f>IFERROR(__xludf.DUMMYFUNCTION("CONCATENATE(GOOGLETRANSLATE(C4016, ""en"", ""zh-cn""))"),"戴尔 XPS 8940 游戏塔式电脑 - Intel i7-11700 - 32GB RAM，512GB NVMe SSD + 1TB HDD - Nvidia Geforce RTX 3060 Ti 8GB 4K，DisplayPort，HDMI，DVD，AX Wi-Fi，蓝牙，SD 卡 - Windows 10 Pro（更新版）")</f>
        <v>戴尔 XPS 8940 游戏塔式电脑 - Intel i7-11700 - 32GB RAM，512GB NVMe SSD + 1TB HDD - Nvidia Geforce RTX 3060 Ti 8GB 4K，DisplayPort，HDMI，DVD，AX Wi-Fi，蓝牙，SD 卡 - Windows 10 Pro（更新版）</v>
      </c>
      <c r="E4016" s="1" t="str">
        <f>IFERROR(__xludf.DUMMYFUNCTION("CONCATENATE(GOOGLETRANSLATE(C4016, ""en"", ""ko""))"),"Dell XPS 8940 게이밍 타워 PC - Intel i7-11700 - 32GB RAM, 512GB NVMe SSD + 1TB HDD - Nvidia Geforce RTX 3060 Ti 8GB 4K, DisplayPort, HDMI, DVD, AX Wi-Fi, Bluetooth, SD 카드 - Windows 10 Pro(갱신)")</f>
        <v>Dell XPS 8940 게이밍 타워 PC - Intel i7-11700 - 32GB RAM, 512GB NVMe SSD + 1TB HDD - Nvidia Geforce RTX 3060 Ti 8GB 4K, DisplayPort, HDMI, DVD, AX Wi-Fi, Bluetooth, SD 카드 - Windows 10 Pro(갱신)</v>
      </c>
      <c r="F4016" s="1" t="str">
        <f>IFERROR(__xludf.DUMMYFUNCTION("CONCATENATE(GOOGLETRANSLATE(C4016, ""en"", ""ja""))"),"Dell XPS 8940 ゲーミング タワー PC - Intel i7-11700 - 32GB RAM、512GB NVMe SSD + 1TB HDD - Nvidia Geforce RTX 3060 Ti 8GB 4K、DisplayPort、HDMI、DVD、AX Wi-Fi、Bluetooth、SD カード - Windows 10 Pro (更新済み)")</f>
        <v>Dell XPS 8940 ゲーミング タワー PC - Intel i7-11700 - 32GB RAM、512GB NVMe SSD + 1TB HDD - Nvidia Geforce RTX 3060 Ti 8GB 4K、DisplayPort、HDMI、DVD、AX Wi-Fi、Bluetooth、SD カード - Windows 10 Pro (更新済み)</v>
      </c>
    </row>
    <row r="4017" ht="15.75" customHeight="1">
      <c r="A4017" s="1">
        <v>3513.0</v>
      </c>
      <c r="B4017" s="1" t="s">
        <v>15</v>
      </c>
      <c r="C4017" s="1" t="s">
        <v>3543</v>
      </c>
      <c r="D4017" s="1" t="str">
        <f>IFERROR(__xludf.DUMMYFUNCTION("CONCATENATE(GOOGLETRANSLATE(C4017, ""en"", ""zh-cn""))"),"HP 2022 Victus 15.6 144Hz FHD IPS 游戏笔记本电脑，英特尔酷睿 i7-11800H 处理器，64GB RAM，2TB PCIe SSD，背光键盘，NVIDIA GeForce RTX 3050Ti 显卡，Windows 11，黑色，32GB USB 卡")</f>
        <v>HP 2022 Victus 15.6 144Hz FHD IPS 游戏笔记本电脑，英特尔酷睿 i7-11800H 处理器，64GB RAM，2TB PCIe SSD，背光键盘，NVIDIA GeForce RTX 3050Ti 显卡，Windows 11，黑色，32GB USB 卡</v>
      </c>
      <c r="E4017" s="1" t="str">
        <f>IFERROR(__xludf.DUMMYFUNCTION("CONCATENATE(GOOGLETRANSLATE(C4017, ""en"", ""ko""))"),"HP 2022 Victus 15.6 144Hz FHD IPS 게이밍 노트북, Intel Core i7-11800H 프로세서, 64GB RAM, 2TB PCIe SSD, 백라이트 키보드, NVIDIA GeForce RTX 3050Ti 그래픽, Windows 11, 블랙, 32GB USB 카드")</f>
        <v>HP 2022 Victus 15.6 144Hz FHD IPS 게이밍 노트북, Intel Core i7-11800H 프로세서, 64GB RAM, 2TB PCIe SSD, 백라이트 키보드, NVIDIA GeForce RTX 3050Ti 그래픽, Windows 11, 블랙, 32GB USB 카드</v>
      </c>
      <c r="F4017" s="1" t="str">
        <f>IFERROR(__xludf.DUMMYFUNCTION("CONCATENATE(GOOGLETRANSLATE(C4017, ""en"", ""ja""))"),"HP 2022 Victus 15.6 144Hz FHD IPS ゲーミング ラップトップ、Intel Core i7-11800H プロセッサー、64GB RAM、2TB PCIe SSD、バックライト付きキーボード、NVIDIA GeForce RTX 3050Ti グラフィックス、Windows 11、ブラック、32GB USB カード")</f>
        <v>HP 2022 Victus 15.6 144Hz FHD IPS ゲーミング ラップトップ、Intel Core i7-11800H プロセッサー、64GB RAM、2TB PCIe SSD、バックライト付きキーボード、NVIDIA GeForce RTX 3050Ti グラフィックス、Windows 11、ブラック、32GB USB カード</v>
      </c>
    </row>
    <row r="4018" ht="15.75" customHeight="1">
      <c r="A4018" s="1">
        <v>3514.0</v>
      </c>
      <c r="B4018" s="1" t="s">
        <v>15</v>
      </c>
      <c r="C4018" s="1" t="s">
        <v>3544</v>
      </c>
      <c r="D4018" s="1" t="str">
        <f>IFERROR(__xludf.DUMMYFUNCTION("CONCATENATE(GOOGLETRANSLATE(C4018, ""en"", ""zh-cn""))"),"HP Envy 商务笔记本电脑，17.3英寸全高清触摸屏，英特尔酷睿 i7-1260P 处理器，32GB RAM，2TB SSD，红外摄像头，背光键盘，Wi-Fi 6，HDMI，Windows 11 Pro，银色")</f>
        <v>HP Envy 商务笔记本电脑，17.3英寸全高清触摸屏，英特尔酷睿 i7-1260P 处理器，32GB RAM，2TB SSD，红外摄像头，背光键盘，Wi-Fi 6，HDMI，Windows 11 Pro，银色</v>
      </c>
      <c r="E4018" s="1" t="str">
        <f>IFERROR(__xludf.DUMMYFUNCTION("CONCATENATE(GOOGLETRANSLATE(C4018, ""en"", ""ko""))"),"HP Envy 비즈니스 노트북, 17.3 FHD 터치스크린, Intel Core i7-1260P 프로세서, 32GB RAM, 2TB SSD, IR 카메라, 백라이트 키보드, Wi-Fi 6, HDMI, Windows 11 Pro, 실버")</f>
        <v>HP Envy 비즈니스 노트북, 17.3 FHD 터치스크린, Intel Core i7-1260P 프로세서, 32GB RAM, 2TB SSD, IR 카메라, 백라이트 키보드, Wi-Fi 6, HDMI, Windows 11 Pro, 실버</v>
      </c>
      <c r="F4018" s="1" t="str">
        <f>IFERROR(__xludf.DUMMYFUNCTION("CONCATENATE(GOOGLETRANSLATE(C4018, ""en"", ""ja""))"),"HP Envy ビジネス ラップトップ、17.3 FHD タッチスクリーン、Intel Core i7-1260P プロセッサー、32GB RAM、2TB SSD、IR カメラ、バックライト付きキーボード、Wi-Fi 6、HDMI、Windows 11 Pro、シルバー")</f>
        <v>HP Envy ビジネス ラップトップ、17.3 FHD タッチスクリーン、Intel Core i7-1260P プロセッサー、32GB RAM、2TB SSD、IR カメラ、バックライト付きキーボード、Wi-Fi 6、HDMI、Windows 11 Pro、シルバー</v>
      </c>
    </row>
    <row r="4019" ht="15.75" customHeight="1">
      <c r="A4019" s="1">
        <v>3526.0</v>
      </c>
      <c r="B4019" s="1" t="s">
        <v>15</v>
      </c>
      <c r="C4019" s="1" t="s">
        <v>3545</v>
      </c>
      <c r="D4019" s="1" t="str">
        <f>IFERROR(__xludf.DUMMYFUNCTION("CONCATENATE(GOOGLETRANSLATE(C4019, ""en"", ""zh-cn""))"),"华硕 ROG Strix G15 游戏笔记本电脑 2023 最新，15.6 IPS 144Hz 显示屏，NVIDIA GeForce RTX 3060，AMD Ryzen 7 4800H（8 核），16GB RAM，1TB SSD，背光键盘，Windows 11 Home，捆绑 Cefesfy")</f>
        <v>华硕 ROG Strix G15 游戏笔记本电脑 2023 最新，15.6 IPS 144Hz 显示屏，NVIDIA GeForce RTX 3060，AMD Ryzen 7 4800H（8 核），16GB RAM，1TB SSD，背光键盘，Windows 11 Home，捆绑 Cefesfy</v>
      </c>
      <c r="E4019" s="1" t="str">
        <f>IFERROR(__xludf.DUMMYFUNCTION("CONCATENATE(GOOGLETRANSLATE(C4019, ""en"", ""ko""))"),"ASUS ROG Strix G15 게이밍 노트북 2023 최신, 15.6 IPS 144Hz 디스플레이, NVIDIA GeForce RTX 3060, AMD Ryzen 7 4800H(8코어), 16GB RAM, 1TB SSD, 백라이트 키보드, Windows 11 Home, Cefesfy 번들")</f>
        <v>ASUS ROG Strix G15 게이밍 노트북 2023 최신, 15.6 IPS 144Hz 디스플레이, NVIDIA GeForce RTX 3060, AMD Ryzen 7 4800H(8코어), 16GB RAM, 1TB SSD, 백라이트 키보드, Windows 11 Home, Cefesfy 번들</v>
      </c>
      <c r="F4019" s="1" t="str">
        <f>IFERROR(__xludf.DUMMYFUNCTION("CONCATENATE(GOOGLETRANSLATE(C4019, ""en"", ""ja""))"),"ASUS ROG Strix G15 ゲーミング ラップトップ 2023 最新、15.6 IPS 144Hz ディスプレイ、NVIDIA GeForce RTX 3060、AMD Ryzen 7 4800H (8 コア)、16GB RAM、1TB SSD、バックライト付きキーボード、Windows 11 Home、Cefesfy バンドル")</f>
        <v>ASUS ROG Strix G15 ゲーミング ラップトップ 2023 最新、15.6 IPS 144Hz ディスプレイ、NVIDIA GeForce RTX 3060、AMD Ryzen 7 4800H (8 コア)、16GB RAM、1TB SSD、バックライト付きキーボード、Windows 11 Home、Cefesfy バンドル</v>
      </c>
    </row>
    <row r="4020" ht="15.75" customHeight="1">
      <c r="A4020" s="1">
        <v>3539.0</v>
      </c>
      <c r="B4020" s="1" t="s">
        <v>15</v>
      </c>
      <c r="C4020" s="1" t="s">
        <v>3546</v>
      </c>
      <c r="D4020" s="1" t="str">
        <f>IFERROR(__xludf.DUMMYFUNCTION("CONCATENATE(GOOGLETRANSLATE(C4020, ""en"", ""zh-cn""))"),"戴尔 Latitude 5000 系列 5420 商务笔记本电脑，14 英寸全高清触摸屏，英特尔酷睿 i5-1145G7 处理器，32GB RAM，512GB SSD，网络摄像头，HDMI，RJ45，多媒体读卡器，背光 KB，Wi-Fi 6，Windows 11 Pro")</f>
        <v>戴尔 Latitude 5000 系列 5420 商务笔记本电脑，14 英寸全高清触摸屏，英特尔酷睿 i5-1145G7 处理器，32GB RAM，512GB SSD，网络摄像头，HDMI，RJ45，多媒体读卡器，背光 KB，Wi-Fi 6，Windows 11 Pro</v>
      </c>
      <c r="E4020" s="1" t="str">
        <f>IFERROR(__xludf.DUMMYFUNCTION("CONCATENATE(GOOGLETRANSLATE(C4020, ""en"", ""ko""))"),"Dell Latitude 5000 시리즈 5420 비즈니스 노트북, FHD 터치스크린 14개, Intel Core i5-1145G7 프로세서, 32GB RAM, 512GB SSD, 웹캠, HDMI, RJ45, 미디어 카드 리더기, 백라이트 KB, Wi-Fi 6, Windows 11 Pro")</f>
        <v>Dell Latitude 5000 시리즈 5420 비즈니스 노트북, FHD 터치스크린 14개, Intel Core i5-1145G7 프로세서, 32GB RAM, 512GB SSD, 웹캠, HDMI, RJ45, 미디어 카드 리더기, 백라이트 KB, Wi-Fi 6, Windows 11 Pro</v>
      </c>
      <c r="F4020" s="1" t="str">
        <f>IFERROR(__xludf.DUMMYFUNCTION("CONCATENATE(GOOGLETRANSLATE(C4020, ""en"", ""ja""))"),"Dell Latitude 5000 シリーズ 5420 ビジネス ノートパソコン、14 FHD タッチスクリーン、Intel Core i5-1145G7 プロセッサー、32GB RAM、512GB SSD、ウェブカメラ、HDMI、RJ45、メディア カード リーダー、バックライト付き KB、Wi-Fi 6、Windows 11 Pro")</f>
        <v>Dell Latitude 5000 シリーズ 5420 ビジネス ノートパソコン、14 FHD タッチスクリーン、Intel Core i5-1145G7 プロセッサー、32GB RAM、512GB SSD、ウェブカメラ、HDMI、RJ45、メディア カード リーダー、バックライト付き KB、Wi-Fi 6、Windows 11 Pro</v>
      </c>
    </row>
    <row r="4021" ht="15.75" customHeight="1">
      <c r="A4021" s="1">
        <v>3560.0</v>
      </c>
      <c r="B4021" s="1" t="s">
        <v>15</v>
      </c>
      <c r="C4021" s="1" t="s">
        <v>3547</v>
      </c>
      <c r="D4021" s="1" t="str">
        <f>IFERROR(__xludf.DUMMYFUNCTION("CONCATENATE(GOOGLETRANSLATE(C4021, ""en"", ""zh-cn""))"),"Lenovo ThinkBook 15 Gen 4 15.6 FHD 触摸屏（第 12 代英特尔 10 核 i7-1255U，16GB RAM，512GB PCIe SSD，窄边框 IPS）商务笔记本电脑，背光 KB，指纹识别，Thunderbolt 4，Win 11 Pro")</f>
        <v>Lenovo ThinkBook 15 Gen 4 15.6 FHD 触摸屏（第 12 代英特尔 10 核 i7-1255U，16GB RAM，512GB PCIe SSD，窄边框 IPS）商务笔记本电脑，背光 KB，指纹识别，Thunderbolt 4，Win 11 Pro</v>
      </c>
      <c r="E4021" s="1" t="str">
        <f>IFERROR(__xludf.DUMMYFUNCTION("CONCATENATE(GOOGLETRANSLATE(C4021, ""en"", ""ko""))"),"Lenovo ThinkBook 15 Gen 4 15.6 FHD 터치스크린(12세대 Intel 10코어 i7-1255U, 16GB RAM, 512GB PCIe SSD, Narrow Bezel IPS) 비즈니스 노트북, 백라이트 KB, 지문 인식, Thunderbolt 4, Win 11 Pro")</f>
        <v>Lenovo ThinkBook 15 Gen 4 15.6 FHD 터치스크린(12세대 Intel 10코어 i7-1255U, 16GB RAM, 512GB PCIe SSD, Narrow Bezel IPS) 비즈니스 노트북, 백라이트 KB, 지문 인식, Thunderbolt 4, Win 11 Pro</v>
      </c>
      <c r="F4021" s="1" t="str">
        <f>IFERROR(__xludf.DUMMYFUNCTION("CONCATENATE(GOOGLETRANSLATE(C4021, ""en"", ""ja""))"),"Lenovo ThinkBook 15 Gen 4 15.6 FHD タッチスクリーン (第 12 世代 Intel 10 コア i7-1255U、16GB RAM、512GB PCIe SSD、ナローベゼル IPS) ビジネス ノートパソコン、バックライト付き KB、指紋認証、Thunderbolt 4、Win 11 Pro")</f>
        <v>Lenovo ThinkBook 15 Gen 4 15.6 FHD タッチスクリーン (第 12 世代 Intel 10 コア i7-1255U、16GB RAM、512GB PCIe SSD、ナローベゼル IPS) ビジネス ノートパソコン、バックライト付き KB、指紋認証、Thunderbolt 4、Win 11 Pro</v>
      </c>
    </row>
    <row r="4022" ht="15.75" customHeight="1">
      <c r="A4022" s="1">
        <v>3587.0</v>
      </c>
      <c r="B4022" s="1" t="s">
        <v>15</v>
      </c>
      <c r="C4022" s="1" t="s">
        <v>3548</v>
      </c>
      <c r="D4022" s="1" t="str">
        <f>IFERROR(__xludf.DUMMYFUNCTION("CONCATENATE(GOOGLETRANSLATE(C4022, ""en"", ""zh-cn""))"),"宏碁 Aspire XC-1760 (i512R8512G03) 台式机，配备第 12 代英特尔酷睿处理器和 8GB RAM")</f>
        <v>宏碁 Aspire XC-1760 (i512R8512G03) 台式机，配备第 12 代英特尔酷睿处理器和 8GB RAM</v>
      </c>
      <c r="E4022" s="1" t="str">
        <f>IFERROR(__xludf.DUMMYFUNCTION("CONCATENATE(GOOGLETRANSLATE(C4022, ""en"", ""ko""))"),"12세대 Intel Core 프로세서 및 8GB RAM을 탑재한 Acer Aspire XC-1760(i512R8512G03) 데스크탑")</f>
        <v>12세대 Intel Core 프로세서 및 8GB RAM을 탑재한 Acer Aspire XC-1760(i512R8512G03) 데스크탑</v>
      </c>
      <c r="F4022" s="1" t="str">
        <f>IFERROR(__xludf.DUMMYFUNCTION("CONCATENATE(GOOGLETRANSLATE(C4022, ""en"", ""ja""))"),"第 12 世代 Intel Core プロセッサーと 8GB RAM を搭載した Acer Aspire XC-1760 (i512R8512G03) デスクトップ")</f>
        <v>第 12 世代 Intel Core プロセッサーと 8GB RAM を搭載した Acer Aspire XC-1760 (i512R8512G03) デスクトップ</v>
      </c>
    </row>
    <row r="4023" ht="15.75" customHeight="1">
      <c r="A4023" s="1">
        <v>3593.0</v>
      </c>
      <c r="B4023" s="1" t="s">
        <v>15</v>
      </c>
      <c r="C4023" s="1" t="s">
        <v>3549</v>
      </c>
      <c r="D4023" s="1" t="str">
        <f>IFERROR(__xludf.DUMMYFUNCTION("CONCATENATE(GOOGLETRANSLATE(C4023, ""en"", ""zh-cn""))"),"2020 Apple iPad Pro（12.9 英寸，Wi-Fi，256GB）- 深空灰色（续订）")</f>
        <v>2020 Apple iPad Pro（12.9 英寸，Wi-Fi，256GB）- 深空灰色（续订）</v>
      </c>
      <c r="E4023" s="1" t="str">
        <f>IFERROR(__xludf.DUMMYFUNCTION("CONCATENATE(GOOGLETRANSLATE(C4023, ""en"", ""ko""))"),"2020 애플 아이패드 프로(12.9인치, Wi-Fi, 256GB) - 스페이스 그레이(리뉴얼)")</f>
        <v>2020 애플 아이패드 프로(12.9인치, Wi-Fi, 256GB) - 스페이스 그레이(리뉴얼)</v>
      </c>
      <c r="F4023" s="1" t="str">
        <f>IFERROR(__xludf.DUMMYFUNCTION("CONCATENATE(GOOGLETRANSLATE(C4023, ""en"", ""ja""))"),"2020 Apple iPad Pro (12.9 インチ、Wi-Fi、256GB) - スペース グレイ (リニューアル)")</f>
        <v>2020 Apple iPad Pro (12.9 インチ、Wi-Fi、256GB) - スペース グレイ (リニューアル)</v>
      </c>
    </row>
    <row r="4024" ht="15.75" customHeight="1">
      <c r="A4024" s="1">
        <v>3607.0</v>
      </c>
      <c r="B4024" s="1" t="s">
        <v>15</v>
      </c>
      <c r="C4024" s="1" t="s">
        <v>3550</v>
      </c>
      <c r="D4024" s="1" t="str">
        <f>IFERROR(__xludf.DUMMYFUNCTION("CONCATENATE(GOOGLETRANSLATE(C4024, ""en"", ""zh-cn""))"),"CableCreation Mini HDMI 转 HDMI 电缆 0.5 英尺，100 包 Mini-HDMI 公头转 HDMI 母头适配器，支持 4K 60Hz，3D，适用于相机、摄像机、显卡、笔记本电脑、平板电脑、高清电视、投影仪，黑色")</f>
        <v>CableCreation Mini HDMI 转 HDMI 电缆 0.5 英尺，100 包 Mini-HDMI 公头转 HDMI 母头适配器，支持 4K 60Hz，3D，适用于相机、摄像机、显卡、笔记本电脑、平板电脑、高清电视、投影仪，黑色</v>
      </c>
      <c r="E4024" s="1" t="str">
        <f>IFERROR(__xludf.DUMMYFUNCTION("CONCATENATE(GOOGLETRANSLATE(C4024, ""en"", ""ko""))"),"CableCreation 미니 HDMI - HDMI 케이블 0.5피트, 100팩 미니 HDMI 수 - HDMI 암 어댑터, 4K 60Hz, 3D 지원, 카메라, 캠코더, 그래픽 카드, 노트북, 태블릿, HDTV, 프로젝터, 블랙")</f>
        <v>CableCreation 미니 HDMI - HDMI 케이블 0.5피트, 100팩 미니 HDMI 수 - HDMI 암 어댑터, 4K 60Hz, 3D 지원, 카메라, 캠코더, 그래픽 카드, 노트북, 태블릿, HDTV, 프로젝터, 블랙</v>
      </c>
      <c r="F4024" s="1" t="str">
        <f>IFERROR(__xludf.DUMMYFUNCTION("CONCATENATE(GOOGLETRANSLATE(C4024, ""en"", ""ja""))"),"CableCreation ミニ HDMI - HDMI ケーブル 0.5 フィート、100 パック Mini-HDMI オス - HDMI メス アダプター、4K 60Hz、3D 対応、カメラ、ビデオカメラ、グラフィックス カード、ラップトップ、タブレット、HDTV、プロジェクター用、ブラック")</f>
        <v>CableCreation ミニ HDMI - HDMI ケーブル 0.5 フィート、100 パック Mini-HDMI オス - HDMI メス アダプター、4K 60Hz、3D 対応、カメラ、ビデオカメラ、グラフィックス カード、ラップトップ、タブレット、HDTV、プロジェクター用、ブラック</v>
      </c>
    </row>
    <row r="4025" ht="15.75" customHeight="1">
      <c r="A4025" s="1">
        <v>3613.0</v>
      </c>
      <c r="B4025" s="1" t="s">
        <v>15</v>
      </c>
      <c r="C4025" s="1" t="s">
        <v>3551</v>
      </c>
      <c r="D4025" s="1" t="str">
        <f>IFERROR(__xludf.DUMMYFUNCTION("CONCATENATE(GOOGLETRANSLATE(C4025, ""en"", ""zh-cn""))"),"Lenovo IdeaCentre AIO 3i - 2022 - 一体化台式机 - 27 FHD 触摸显示屏 - 5MP 摄像头 - Windows 11 Home - 8GB 内存 - 512GB 存储 - Intel Core i5-1240P - 黑色 - 包括鼠标和键盘")</f>
        <v>Lenovo IdeaCentre AIO 3i - 2022 - 一体化台式机 - 27 FHD 触摸显示屏 - 5MP 摄像头 - Windows 11 Home - 8GB 内存 - 512GB 存储 - Intel Core i5-1240P - 黑色 - 包括鼠标和键盘</v>
      </c>
      <c r="E4025" s="1" t="str">
        <f>IFERROR(__xludf.DUMMYFUNCTION("CONCATENATE(GOOGLETRANSLATE(C4025, ""en"", ""ko""))"),"Lenovo IdeaCentre AIO 3i - 2022 - 올인원 데스크탑 - 27 FHD 터치 디스플레이 - 5MP 카메라 - Windows 11 Home - 8GB 메모리 - 512GB 스토리지 - Intel Core i5-1240P - 블랙 - 마우스 및 키보드 포함")</f>
        <v>Lenovo IdeaCentre AIO 3i - 2022 - 올인원 데스크탑 - 27 FHD 터치 디스플레이 - 5MP 카메라 - Windows 11 Home - 8GB 메모리 - 512GB 스토리지 - Intel Core i5-1240P - 블랙 - 마우스 및 키보드 포함</v>
      </c>
      <c r="F4025" s="1" t="str">
        <f>IFERROR(__xludf.DUMMYFUNCTION("CONCATENATE(GOOGLETRANSLATE(C4025, ""en"", ""ja""))"),"Lenovo IdeaCentre AIO 3i - 2022 - オールインワン デスクトップ - 27 FHD タッチ ディスプレイ - 5MP カメラ - Windows 11 Home - 8GB メモリ - 512GB ストレージ - Intel Core i5-1240P - ブラック - マウスとキーボード付属")</f>
        <v>Lenovo IdeaCentre AIO 3i - 2022 - オールインワン デスクトップ - 27 FHD タッチ ディスプレイ - 5MP カメラ - Windows 11 Home - 8GB メモリ - 512GB ストレージ - Intel Core i5-1240P - ブラック - マウスとキーボード付属</v>
      </c>
    </row>
    <row r="4026" ht="15.75" customHeight="1">
      <c r="A4026" s="1">
        <v>3616.0</v>
      </c>
      <c r="B4026" s="1" t="s">
        <v>15</v>
      </c>
      <c r="C4026" s="1" t="s">
        <v>3552</v>
      </c>
      <c r="D4026" s="1" t="str">
        <f>IFERROR(__xludf.DUMMYFUNCTION("CONCATENATE(GOOGLETRANSLATE(C4026, ""en"", ""zh-cn""))"),"HP Pavilion 15 笔记本电脑，第 12 代英特尔酷睿 i7-1255U 处理器，16 GB RAM，512 GB SSD，15.6 全高清显示屏，Windows 11 Pro，指纹识别器，Wi-Fi 和蓝牙，高清网络摄像头 (15-eg2025nr 2022)")</f>
        <v>HP Pavilion 15 笔记本电脑，第 12 代英特尔酷睿 i7-1255U 处理器，16 GB RAM，512 GB SSD，15.6 全高清显示屏，Windows 11 Pro，指纹识别器，Wi-Fi 和蓝牙，高清网络摄像头 (15-eg2025nr 2022)</v>
      </c>
      <c r="E4026" s="1" t="str">
        <f>IFERROR(__xludf.DUMMYFUNCTION("CONCATENATE(GOOGLETRANSLATE(C4026, ""en"", ""ko""))"),"HP Pavilion 15 노트북, 12세대 Intel Core i7-1255U 프로세서, 16GB RAM, 512GB SSD, 15.6 풀 HD 디스플레이, Windows 11 Pro, 지문 인식기, Wi-Fi 및 Bluetooth, HD 웹캠(15-eg2025nr 2022)")</f>
        <v>HP Pavilion 15 노트북, 12세대 Intel Core i7-1255U 프로세서, 16GB RAM, 512GB SSD, 15.6 풀 HD 디스플레이, Windows 11 Pro, 지문 인식기, Wi-Fi 및 Bluetooth, HD 웹캠(15-eg2025nr 2022)</v>
      </c>
      <c r="F4026" s="1" t="str">
        <f>IFERROR(__xludf.DUMMYFUNCTION("CONCATENATE(GOOGLETRANSLATE(C4026, ""en"", ""ja""))"),"HP Pavilion 15 ラップトップ、第 12 世代インテル Core i7-1255U プロセッサー、16 GB RAM、512 GB SSD、15.6 フル HD ディスプレイ、Windows 11 Pro、指紋リーダー、Wi-Fi および Bluetooth、HD ウェブカメラ (15-eg2025nr 2022)")</f>
        <v>HP Pavilion 15 ラップトップ、第 12 世代インテル Core i7-1255U プロセッサー、16 GB RAM、512 GB SSD、15.6 フル HD ディスプレイ、Windows 11 Pro、指紋リーダー、Wi-Fi および Bluetooth、HD ウェブカメラ (15-eg2025nr 2022)</v>
      </c>
    </row>
    <row r="4027" ht="15.75" customHeight="1">
      <c r="A4027" s="1">
        <v>3617.0</v>
      </c>
      <c r="B4027" s="1" t="s">
        <v>15</v>
      </c>
      <c r="C4027" s="1" t="s">
        <v>3553</v>
      </c>
      <c r="D4027" s="1" t="str">
        <f>IFERROR(__xludf.DUMMYFUNCTION("CONCATENATE(GOOGLETRANSLATE(C4027, ""en"", ""zh-cn""))"),"HP Envy x360 二合一笔记本电脑，15.6 FHD 触摸屏，AMD Ryzen 5 5625U 处理器，32GB RAM，1TB SSD，网络摄像头，背光键盘，HDMI，Wi-Fi 6，Windows 11 Home，含手写笔")</f>
        <v>HP Envy x360 二合一笔记本电脑，15.6 FHD 触摸屏，AMD Ryzen 5 5625U 处理器，32GB RAM，1TB SSD，网络摄像头，背光键盘，HDMI，Wi-Fi 6，Windows 11 Home，含手写笔</v>
      </c>
      <c r="E4027" s="1" t="str">
        <f>IFERROR(__xludf.DUMMYFUNCTION("CONCATENATE(GOOGLETRANSLATE(C4027, ""en"", ""ko""))"),"HP Envy x360 2-in-1 노트북, 15.6 FHD 터치스크린, AMD Ryzen 5 5625U 프로세서, 32GB RAM, 1TB SSD, 웹캠, 백라이트 키보드, HDMI, Wi-Fi 6, Windows 11 Home, 스타일러스 펜 포함")</f>
        <v>HP Envy x360 2-in-1 노트북, 15.6 FHD 터치스크린, AMD Ryzen 5 5625U 프로세서, 32GB RAM, 1TB SSD, 웹캠, 백라이트 키보드, HDMI, Wi-Fi 6, Windows 11 Home, 스타일러스 펜 포함</v>
      </c>
      <c r="F4027" s="1" t="str">
        <f>IFERROR(__xludf.DUMMYFUNCTION("CONCATENATE(GOOGLETRANSLATE(C4027, ""en"", ""ja""))"),"HP Envy x360 2-in-1 ラップトップ、15.6 FHD タッチスクリーン、AMD Ryzen 5 5625U プロセッサー、32GB RAM、1TB SSD、ウェブカメラ、バックライト付きキーボード、HDMI、Wi-Fi 6、Windows 11 Home、スタイラス ペン付属")</f>
        <v>HP Envy x360 2-in-1 ラップトップ、15.6 FHD タッチスクリーン、AMD Ryzen 5 5625U プロセッサー、32GB RAM、1TB SSD、ウェブカメラ、バックライト付きキーボード、HDMI、Wi-Fi 6、Windows 11 Home、スタイラス ペン付属</v>
      </c>
    </row>
    <row r="4028" ht="15.75" customHeight="1">
      <c r="A4028" s="1">
        <v>3626.0</v>
      </c>
      <c r="B4028" s="1" t="s">
        <v>15</v>
      </c>
      <c r="C4028" s="1" t="s">
        <v>3554</v>
      </c>
      <c r="D4028" s="1" t="str">
        <f>IFERROR(__xludf.DUMMYFUNCTION("CONCATENATE(GOOGLETRANSLATE(C4028, ""en"", ""zh-cn""))"),"戴尔 Inspiron 灵越 3910 台式电脑塔式电脑 - 第 12 代英特尔酷睿 i5-12400，16GB DDR4 RAM，256GB SSD + 1TB HDD，英特尔 UHD 显卡 730，WiFi 6，HDMI，蓝牙，USB-C，Windows 11 Home - 蓝色")</f>
        <v>戴尔 Inspiron 灵越 3910 台式电脑塔式电脑 - 第 12 代英特尔酷睿 i5-12400，16GB DDR4 RAM，256GB SSD + 1TB HDD，英特尔 UHD 显卡 730，WiFi 6，HDMI，蓝牙，USB-C，Windows 11 Home - 蓝色</v>
      </c>
      <c r="E4028" s="1" t="str">
        <f>IFERROR(__xludf.DUMMYFUNCTION("CONCATENATE(GOOGLETRANSLATE(C4028, ""en"", ""ko""))"),"Dell Inspiron 3910 데스크탑 컴퓨터 타워 - 12세대 Intel Core i5-12400, 16GB DDR4 RAM, 256GB SSD + 1TB HDD, Intel UHD 그래픽 730, WiFi 6, HDMI, Bluetooth, USB-C, Windows 11 Home - 블루")</f>
        <v>Dell Inspiron 3910 데스크탑 컴퓨터 타워 - 12세대 Intel Core i5-12400, 16GB DDR4 RAM, 256GB SSD + 1TB HDD, Intel UHD 그래픽 730, WiFi 6, HDMI, Bluetooth, USB-C, Windows 11 Home - 블루</v>
      </c>
      <c r="F4028" s="1" t="str">
        <f>IFERROR(__xludf.DUMMYFUNCTION("CONCATENATE(GOOGLETRANSLATE(C4028, ""en"", ""ja""))"),"Dell Inspiron 3910 デスクトップ コンピューター タワー - 第 12 世代インテル Core i5-12400、16GB DDR4 RAM、256GB SSD + 1TB HDD、インテル UHD グラフィックス 730、WiFi 6、HDMI、Bluetooth、USB-C、Windows 11 Home - ブルー")</f>
        <v>Dell Inspiron 3910 デスクトップ コンピューター タワー - 第 12 世代インテル Core i5-12400、16GB DDR4 RAM、256GB SSD + 1TB HDD、インテル UHD グラフィックス 730、WiFi 6、HDMI、Bluetooth、USB-C、Windows 11 Home - ブルー</v>
      </c>
    </row>
    <row r="4029" ht="15.75" customHeight="1">
      <c r="A4029" s="1">
        <v>3639.0</v>
      </c>
      <c r="B4029" s="1" t="s">
        <v>15</v>
      </c>
      <c r="C4029" s="1" t="s">
        <v>3555</v>
      </c>
      <c r="D4029" s="1" t="str">
        <f>IFERROR(__xludf.DUMMYFUNCTION("CONCATENATE(GOOGLETRANSLATE(C4029, ""en"", ""zh-cn""))"),"戴尔 Inspiron 灵越 24 英寸一体机，Windows 11 Home，AMD Ryzen 5 5625U，AMD Radeon 显卡，8GB DDR4 RAM，256GB SSD，FHD (1920 x 1080)，MediaTek Wi-Fi 6，Infinity Display，5415 - 黑色")</f>
        <v>戴尔 Inspiron 灵越 24 英寸一体机，Windows 11 Home，AMD Ryzen 5 5625U，AMD Radeon 显卡，8GB DDR4 RAM，256GB SSD，FHD (1920 x 1080)，MediaTek Wi-Fi 6，Infinity Display，5415 - 黑色</v>
      </c>
      <c r="E4029" s="1" t="str">
        <f>IFERROR(__xludf.DUMMYFUNCTION("CONCATENATE(GOOGLETRANSLATE(C4029, ""en"", ""ko""))"),"Dell Inspiron 24인치 올인원 컴퓨터, Windows 11 Home, AMD Ryzen 5 5625U, AMD Radeon 그래픽, 8GB DDR4 RAM, 256GB SSD, FHD(1920 x 1080), MediaTek Wi-Fi 6, Infinity 디스플레이, 5415 - 블랙")</f>
        <v>Dell Inspiron 24인치 올인원 컴퓨터, Windows 11 Home, AMD Ryzen 5 5625U, AMD Radeon 그래픽, 8GB DDR4 RAM, 256GB SSD, FHD(1920 x 1080), MediaTek Wi-Fi 6, Infinity 디스플레이, 5415 - 블랙</v>
      </c>
      <c r="F4029" s="1" t="str">
        <f>IFERROR(__xludf.DUMMYFUNCTION("CONCATENATE(GOOGLETRANSLATE(C4029, ""en"", ""ja""))"),"Dell Inspiron 24 インチ オールインワン コンピューター、Windows 11 Home、AMD Ryzen 5 5625U、AMD Radeon グラフィックス、8GB DDR4 RAM、256GB SSD、FHD (1920 x 1080)、MediaTek Wi-Fi 6、Infinity Display、5415 - ブラック")</f>
        <v>Dell Inspiron 24 インチ オールインワン コンピューター、Windows 11 Home、AMD Ryzen 5 5625U、AMD Radeon グラフィックス、8GB DDR4 RAM、256GB SSD、FHD (1920 x 1080)、MediaTek Wi-Fi 6、Infinity Display、5415 - ブラック</v>
      </c>
    </row>
    <row r="4030" ht="15.75" customHeight="1">
      <c r="A4030" s="1">
        <v>3654.0</v>
      </c>
      <c r="B4030" s="1" t="s">
        <v>15</v>
      </c>
      <c r="C4030" s="1" t="s">
        <v>3556</v>
      </c>
      <c r="D4030" s="1" t="str">
        <f>IFERROR(__xludf.DUMMYFUNCTION("CONCATENATE(GOOGLETRANSLATE(C4030, ""en"", ""zh-cn""))"),"华硕 PN51 准系统迷你电脑 / AMD Ryzen 7 5700U / 5 5500U NUC 适用于办公媒体研究 Win 10 Pro NUC")</f>
        <v>华硕 PN51 准系统迷你电脑 / AMD Ryzen 7 5700U / 5 5500U NUC 适用于办公媒体研究 Win 10 Pro NUC</v>
      </c>
      <c r="E4030" s="1" t="str">
        <f>IFERROR(__xludf.DUMMYFUNCTION("CONCATENATE(GOOGLETRANSLATE(C4030, ""en"", ""ko""))"),"ASUS PN51 베어본 미니 PC / AMD Ryzen 7 5700U / 5 5500U NUC Office 미디어 연구용 Win 10 Pro NUC")</f>
        <v>ASUS PN51 베어본 미니 PC / AMD Ryzen 7 5700U / 5 5500U NUC Office 미디어 연구용 Win 10 Pro NUC</v>
      </c>
      <c r="F4030" s="1" t="str">
        <f>IFERROR(__xludf.DUMMYFUNCTION("CONCATENATE(GOOGLETRANSLATE(C4030, ""en"", ""ja""))"),"ASUS PN51 ベアボーン ミニ PC / AMD Ryzen 7 5700U / 5 5500U NUC for Office Media Study Win 10 Pro NUC")</f>
        <v>ASUS PN51 ベアボーン ミニ PC / AMD Ryzen 7 5700U / 5 5500U NUC for Office Media Study Win 10 Pro NUC</v>
      </c>
    </row>
    <row r="4031" ht="15.75" customHeight="1">
      <c r="A4031" s="1">
        <v>3669.0</v>
      </c>
      <c r="B4031" s="1" t="s">
        <v>15</v>
      </c>
      <c r="C4031" s="1" t="s">
        <v>3557</v>
      </c>
      <c r="D4031" s="1" t="str">
        <f>IFERROR(__xludf.DUMMYFUNCTION("CONCATENATE(GOOGLETRANSLATE(C4031, ""en"", ""zh-cn""))"),"(ALLSTARS : 我们回来了/迷你电脑促销) ASUS PN51 / PN51-S1-B Ryzen7 5700U / PN51-S1-B-B7216MD 准系统​​ (无 RAM 无 SSD) (AMD Ryzen 7 5700U / Intel WiFi 6 / BT5.0 / 2.5G LAN / HDMI+DP / USB3.2 Type-C x")</f>
        <v>(ALLSTARS : 我们回来了/迷你电脑促销) ASUS PN51 / PN51-S1-B Ryzen7 5700U / PN51-S1-B-B7216MD 准系统​​ (无 RAM 无 SSD) (AMD Ryzen 7 5700U / Intel WiFi 6 / BT5.0 / 2.5G LAN / HDMI+DP / USB3.2 Type-C x</v>
      </c>
      <c r="E4031" s="1" t="str">
        <f>IFERROR(__xludf.DUMMYFUNCTION("CONCATENATE(GOOGLETRANSLATE(C4031, ""en"", ""ko""))"),"(ALLSTARS : We are Back/ 미니 PC 프로모션) ASUS PN51 / PN51-S1-B Ryzen7 5700U / PN51-S1-B-B7216MD Barebone (RAM 없음 SSD 없음) (AMD Ryzen 7 5700U / Intel WiFi 6 / BT5.0 / 2.5G LAN / HDMI+DP / USB3.2 Type-C x")</f>
        <v>(ALLSTARS : We are Back/ 미니 PC 프로모션) ASUS PN51 / PN51-S1-B Ryzen7 5700U / PN51-S1-B-B7216MD Barebone (RAM 없음 SSD 없음) (AMD Ryzen 7 5700U / Intel WiFi 6 / BT5.0 / 2.5G LAN / HDMI+DP / USB3.2 Type-C x</v>
      </c>
      <c r="F4031" s="1" t="str">
        <f>IFERROR(__xludf.DUMMYFUNCTION("CONCATENATE(GOOGLETRANSLATE(C4031, ""en"", ""ja""))"),"(ALLSTARS : We are Back/ ミニ PC プロモーション) ASUS PN51 / PN51-S1-B Ryzen7 5700U / PN51-S1-B-B7216MD ベアボーン (RAM なし SSD なし) (AMD Ryzen 7 5700U / Intel WiFi 6 / BT5.0 / 2.5G LAN / HDMI+DP / USB3.2 Type-C x")</f>
        <v>(ALLSTARS : We are Back/ ミニ PC プロモーション) ASUS PN51 / PN51-S1-B Ryzen7 5700U / PN51-S1-B-B7216MD ベアボーン (RAM なし SSD なし) (AMD Ryzen 7 5700U / Intel WiFi 6 / BT5.0 / 2.5G LAN / HDMI+DP / USB3.2 Type-C x</v>
      </c>
    </row>
    <row r="4032" ht="15.75" customHeight="1">
      <c r="A4032" s="1">
        <v>3670.0</v>
      </c>
      <c r="B4032" s="1" t="s">
        <v>15</v>
      </c>
      <c r="C4032" s="1" t="s">
        <v>3558</v>
      </c>
      <c r="D4032" s="1" t="str">
        <f>IFERROR(__xludf.DUMMYFUNCTION("CONCATENATE(GOOGLETRANSLATE(C4032, ""en"", ""zh-cn""))"),"索尼 CFexpress A 型存储卡 320GB")</f>
        <v>索尼 CFexpress A 型存储卡 320GB</v>
      </c>
      <c r="E4032" s="1" t="str">
        <f>IFERROR(__xludf.DUMMYFUNCTION("CONCATENATE(GOOGLETRANSLATE(C4032, ""en"", ""ko""))"),"소니 CFexpress Type A 메모리 카드 320GB")</f>
        <v>소니 CFexpress Type A 메모리 카드 320GB</v>
      </c>
      <c r="F4032" s="1" t="str">
        <f>IFERROR(__xludf.DUMMYFUNCTION("CONCATENATE(GOOGLETRANSLATE(C4032, ""en"", ""ja""))"),"ソニー CFexpress タイプ A メモリーカード 320GB")</f>
        <v>ソニー CFexpress タイプ A メモリーカード 320GB</v>
      </c>
    </row>
    <row r="4033" ht="15.75" customHeight="1">
      <c r="A4033" s="1">
        <v>3679.0</v>
      </c>
      <c r="B4033" s="1" t="s">
        <v>15</v>
      </c>
      <c r="C4033" s="1" t="s">
        <v>3559</v>
      </c>
      <c r="D4033" s="1" t="str">
        <f>IFERROR(__xludf.DUMMYFUNCTION("CONCATENATE(GOOGLETRANSLATE(C4033, ""en"", ""zh-cn""))"),"HP 15 笔记本电脑，第 11 代英特尔酷睿 i5-1135G7 处理器，16GB RAM，512B SSD，15.6 英寸全高清 (1920 x 1080) 显示屏，HDMI，802.11ac，蓝牙，Windows 10 Home，电池寿命长，随附配件")</f>
        <v>HP 15 笔记本电脑，第 11 代英特尔酷睿 i5-1135G7 处理器，16GB RAM，512B SSD，15.6 英寸全高清 (1920 x 1080) 显示屏，HDMI，802.11ac，蓝牙，Windows 10 Home，电池寿命长，随附配件</v>
      </c>
      <c r="E4033" s="1" t="str">
        <f>IFERROR(__xludf.DUMMYFUNCTION("CONCATENATE(GOOGLETRANSLATE(C4033, ""en"", ""ko""))"),"HP 15 노트북, 11세대 Intel Core i5-1135G7 프로세서, 16GB RAM, 512B SSD, 15.6인치 풀 HD(1920 x 1080) 디스플레이, HDMI, 802.11ac, Bluetooth, Windows 10 Home, 긴 배터리 수명, 액세서리 포함")</f>
        <v>HP 15 노트북, 11세대 Intel Core i5-1135G7 프로세서, 16GB RAM, 512B SSD, 15.6인치 풀 HD(1920 x 1080) 디스플레이, HDMI, 802.11ac, Bluetooth, Windows 10 Home, 긴 배터리 수명, 액세서리 포함</v>
      </c>
      <c r="F4033" s="1" t="str">
        <f>IFERROR(__xludf.DUMMYFUNCTION("CONCATENATE(GOOGLETRANSLATE(C4033, ""en"", ""ja""))"),"HP 15 ラップトップ、第 11 世代インテル Core i5-1135G7 プロセッサー、16GB RAM、512B SSD、15.6 インチ フル HD (1920 x 1080) ディスプレイ、HDMI、802.11ac、Bluetooth、Windows 10 Home、長いバッテリー寿命、アクセサリ付属")</f>
        <v>HP 15 ラップトップ、第 11 世代インテル Core i5-1135G7 プロセッサー、16GB RAM、512B SSD、15.6 インチ フル HD (1920 x 1080) ディスプレイ、HDMI、802.11ac、Bluetooth、Windows 10 Home、長いバッテリー寿命、アクセサリ付属</v>
      </c>
    </row>
    <row r="4034" ht="15.75" customHeight="1">
      <c r="A4034" s="1">
        <v>3685.0</v>
      </c>
      <c r="B4034" s="1" t="s">
        <v>15</v>
      </c>
      <c r="C4034" s="1" t="s">
        <v>3560</v>
      </c>
      <c r="D4034" s="1" t="str">
        <f>IFERROR(__xludf.DUMMYFUNCTION("CONCATENATE(GOOGLETRANSLATE(C4034, ""en"", ""zh-cn""))"),"Lenovo Flex 5 笔记本电脑，14.0 FHD 触摸屏，AMD Ryzen 5 5500U，16GB RAM，512GB 存储，AMD Radeon 显卡，Windows 11 Home，石墨灰")</f>
        <v>Lenovo Flex 5 笔记本电脑，14.0 FHD 触摸屏，AMD Ryzen 5 5500U，16GB RAM，512GB 存储，AMD Radeon 显卡，Windows 11 Home，石墨灰</v>
      </c>
      <c r="E4034" s="1" t="str">
        <f>IFERROR(__xludf.DUMMYFUNCTION("CONCATENATE(GOOGLETRANSLATE(C4034, ""en"", ""ko""))"),"Lenovo Flex 5 노트북, 14.0 FHD 터치 디스플레이, AMD Ryzen 5 5500U, 16GB RAM, 512GB 스토리지, AMD Radeon 그래픽, Windows 11 Home, 그래파이트 그레이")</f>
        <v>Lenovo Flex 5 노트북, 14.0 FHD 터치 디스플레이, AMD Ryzen 5 5500U, 16GB RAM, 512GB 스토리지, AMD Radeon 그래픽, Windows 11 Home, 그래파이트 그레이</v>
      </c>
      <c r="F4034" s="1" t="str">
        <f>IFERROR(__xludf.DUMMYFUNCTION("CONCATENATE(GOOGLETRANSLATE(C4034, ""en"", ""ja""))"),"Lenovo Flex 5 ラップトップ、14.0 FHD タッチ ディスプレイ、AMD Ryzen 5 5500U、16GB RAM、512GB ストレージ、AMD Radeon グラフィックス、Windows 11 Home、グラファイト グレー")</f>
        <v>Lenovo Flex 5 ラップトップ、14.0 FHD タッチ ディスプレイ、AMD Ryzen 5 5500U、16GB RAM、512GB ストレージ、AMD Radeon グラフィックス、Windows 11 Home、グラファイト グレー</v>
      </c>
    </row>
    <row r="4035" ht="15.75" customHeight="1">
      <c r="A4035" s="1">
        <v>3706.0</v>
      </c>
      <c r="B4035" s="1" t="s">
        <v>15</v>
      </c>
      <c r="C4035" s="1" t="s">
        <v>3561</v>
      </c>
      <c r="D4035" s="1" t="str">
        <f>IFERROR(__xludf.DUMMYFUNCTION("CONCATENATE(GOOGLETRANSLATE(C4035, ""en"", ""zh-cn""))"),"Ergotron – HX 双显示器臂，VESA 桌面安装 – 适用于 2 个显示器，最大 32 英寸，每个显示器 5 至 17.5 磅 – 哑光黑色")</f>
        <v>Ergotron – HX 双显示器臂，VESA 桌面安装 – 适用于 2 个显示器，最大 32 英寸，每个显示器 5 至 17.5 磅 – 哑光黑色</v>
      </c>
      <c r="E4035" s="1" t="str">
        <f>IFERROR(__xludf.DUMMYFUNCTION("CONCATENATE(GOOGLETRANSLATE(C4035, ""en"", ""ko""))"),"Ergotron – HX 듀얼 모니터 암, VESA 데스크 마운트 – 최대 32인치 모니터 2대용, 각각 5~17.5파운드 – 무광 검정색")</f>
        <v>Ergotron – HX 듀얼 모니터 암, VESA 데스크 마운트 – 최대 32인치 모니터 2대용, 각각 5~17.5파운드 – 무광 검정색</v>
      </c>
      <c r="F4035" s="1" t="str">
        <f>IFERROR(__xludf.DUMMYFUNCTION("CONCATENATE(GOOGLETRANSLATE(C4035, ""en"", ""ja""))"),"Ergotron – HX デュアル モニター アーム、VESA デスク マウント – 最大 32 インチのモニター 2 台用、各 5 ～ 17.5 ポンド – マット ブラック")</f>
        <v>Ergotron – HX デュアル モニター アーム、VESA デスク マウント – 最大 32 インチのモニター 2 台用、各 5 ～ 17.5 ポンド – マット ブラック</v>
      </c>
    </row>
    <row r="4036" ht="15.75" customHeight="1">
      <c r="A4036" s="1">
        <v>3708.0</v>
      </c>
      <c r="B4036" s="1" t="s">
        <v>15</v>
      </c>
      <c r="C4036" s="1" t="s">
        <v>3562</v>
      </c>
      <c r="D4036" s="1" t="str">
        <f>IFERROR(__xludf.DUMMYFUNCTION("CONCATENATE(GOOGLETRANSLATE(C4036, ""en"", ""zh-cn""))"),"2022 最新戴尔 Inspiron 灵越 15.6 FHD 触摸屏笔记本电脑，英特尔第 10 代酷睿 i5-1035G1（高达 3.60GHz，击败 i7-8550U），16GB 内存，512GB PCIe SSD，英特尔 UHD 显卡，WiFi，网络摄像头，HDMI，Win11 S")</f>
        <v>2022 最新戴尔 Inspiron 灵越 15.6 FHD 触摸屏笔记本电脑，英特尔第 10 代酷睿 i5-1035G1（高达 3.60GHz，击败 i7-8550U），16GB 内存，512GB PCIe SSD，英特尔 UHD 显卡，WiFi，网络摄像头，HDMI，Win11 S</v>
      </c>
      <c r="E4036" s="1" t="str">
        <f>IFERROR(__xludf.DUMMYFUNCTION("CONCATENATE(GOOGLETRANSLATE(C4036, ""en"", ""ko""))"),"2022 최신 Dell Inspiron 15.6 FHD 터치스크린 노트북, Intel 10세대 Core i5-1035G1(최대 3.60GHz, Beat i7-8550U), 16GB 메모리, 512GB PCIe SSD, Intel UHD 그래픽, WiFi, 웹캠, HDMI, Win11 S")</f>
        <v>2022 최신 Dell Inspiron 15.6 FHD 터치스크린 노트북, Intel 10세대 Core i5-1035G1(최대 3.60GHz, Beat i7-8550U), 16GB 메모리, 512GB PCIe SSD, Intel UHD 그래픽, WiFi, 웹캠, HDMI, Win11 S</v>
      </c>
      <c r="F4036" s="1" t="str">
        <f>IFERROR(__xludf.DUMMYFUNCTION("CONCATENATE(GOOGLETRANSLATE(C4036, ""en"", ""ja""))"),"2022年最新のDell Inspiron 15.6 FHDタッチスクリーンノートパソコン、Intel第10世代Core i5-1035G1(最大3.60GHz、Beat i7-8550U)、16GBメモリ、512GB PCIe SSD、Intel UHDグラフィックス、WiFi、ウェブカメラ、HDMI、Win11 S")</f>
        <v>2022年最新のDell Inspiron 15.6 FHDタッチスクリーンノートパソコン、Intel第10世代Core i5-1035G1(最大3.60GHz、Beat i7-8550U)、16GBメモリ、512GB PCIe SSD、Intel UHDグラフィックス、WiFi、ウェブカメラ、HDMI、Win11 S</v>
      </c>
    </row>
    <row r="4037" ht="15.75" customHeight="1">
      <c r="A4037" s="1">
        <v>3716.0</v>
      </c>
      <c r="B4037" s="1" t="s">
        <v>15</v>
      </c>
      <c r="C4037" s="1" t="s">
        <v>3563</v>
      </c>
      <c r="D4037" s="1" t="str">
        <f>IFERROR(__xludf.DUMMYFUNCTION("CONCATENATE(GOOGLETRANSLATE(C4037, ""en"", ""zh-cn""))"),"HP Color LaserJet Pro M283fdw 无线一体式激光打印机，远程移动打印，扫描和复印，双面打印，与 Alexa 配合使用 (7KW75A)")</f>
        <v>HP Color LaserJet Pro M283fdw 无线一体式激光打印机，远程移动打印，扫描和复印，双面打印，与 Alexa 配合使用 (7KW75A)</v>
      </c>
      <c r="E4037" s="1" t="str">
        <f>IFERROR(__xludf.DUMMYFUNCTION("CONCATENATE(GOOGLETRANSLATE(C4037, ""en"", ""ko""))"),"HP 컬러 레이저젯 프로 M283fdw 무선 올인원 레이저 프린터, 원격 모바일 인쇄, 스캔 및 복사, 양면 인쇄, Alexa와 작동(7KW75A)")</f>
        <v>HP 컬러 레이저젯 프로 M283fdw 무선 올인원 레이저 프린터, 원격 모바일 인쇄, 스캔 및 복사, 양면 인쇄, Alexa와 작동(7KW75A)</v>
      </c>
      <c r="F4037" s="1" t="str">
        <f>IFERROR(__xludf.DUMMYFUNCTION("CONCATENATE(GOOGLETRANSLATE(C4037, ""en"", ""ja""))"),"HP Color LaserJet Pro M283fdw ワイヤレス オールインワン レーザー プリンター、リモート モバイル プリント、スキャン &amp; コピー、両面印刷、Alexa と連携 (7KW75A)")</f>
        <v>HP Color LaserJet Pro M283fdw ワイヤレス オールインワン レーザー プリンター、リモート モバイル プリント、スキャン &amp; コピー、両面印刷、Alexa と連携 (7KW75A)</v>
      </c>
    </row>
    <row r="4038" ht="15.75" customHeight="1">
      <c r="A4038" s="1">
        <v>3722.0</v>
      </c>
      <c r="B4038" s="1" t="s">
        <v>15</v>
      </c>
      <c r="C4038" s="1" t="s">
        <v>3564</v>
      </c>
      <c r="D4038" s="1" t="str">
        <f>IFERROR(__xludf.DUMMYFUNCTION("CONCATENATE(GOOGLETRANSLATE(C4038, ""en"", ""zh-cn""))"),"戴尔 Inspiron 灵越 3891 紧凑型塔式台式机 - Intel Core i5-11400，12GB DDR4 RAM，1TB HDD，Intel UHD Graphics 730（带共享显存），Windows 10 Home - 黑色（最新型号）（更新）")</f>
        <v>戴尔 Inspiron 灵越 3891 紧凑型塔式台式机 - Intel Core i5-11400，12GB DDR4 RAM，1TB HDD，Intel UHD Graphics 730（带共享显存），Windows 10 Home - 黑色（最新型号）（更新）</v>
      </c>
      <c r="E4038" s="1" t="str">
        <f>IFERROR(__xludf.DUMMYFUNCTION("CONCATENATE(GOOGLETRANSLATE(C4038, ""en"", ""ko""))"),"Dell Inspiron 3891 컴팩트 타워 데스크탑 - Intel Core i5-11400, 12GB DDR4 RAM, 1TB HDD, Intel UHD 그래픽 730(공유 그래픽 메모리 포함), Windows 10 Home - 블랙(최신 모델)(리뉴얼)")</f>
        <v>Dell Inspiron 3891 컴팩트 타워 데스크탑 - Intel Core i5-11400, 12GB DDR4 RAM, 1TB HDD, Intel UHD 그래픽 730(공유 그래픽 메모리 포함), Windows 10 Home - 블랙(최신 모델)(리뉴얼)</v>
      </c>
      <c r="F4038" s="1" t="str">
        <f>IFERROR(__xludf.DUMMYFUNCTION("CONCATENATE(GOOGLETRANSLATE(C4038, ""en"", ""ja""))"),"Dell Inspiron 3891 コンパクト タワー デスクトップ - Intel Core i5-11400、12GB DDR4 RAM、1TB HDD、Intel UHD Graphics 730 (共有グラフィックス メモリ付き)、Windows 10 Home - ブラック (最新モデル) (リニューアル)")</f>
        <v>Dell Inspiron 3891 コンパクト タワー デスクトップ - Intel Core i5-11400、12GB DDR4 RAM、1TB HDD、Intel UHD Graphics 730 (共有グラフィックス メモリ付き)、Windows 10 Home - ブラック (最新モデル) (リニューアル)</v>
      </c>
    </row>
    <row r="4039" ht="15.75" customHeight="1">
      <c r="A4039" s="1">
        <v>3729.0</v>
      </c>
      <c r="B4039" s="1" t="s">
        <v>15</v>
      </c>
      <c r="C4039" s="1" t="s">
        <v>3565</v>
      </c>
      <c r="D4039" s="1" t="str">
        <f>IFERROR(__xludf.DUMMYFUNCTION("CONCATENATE(GOOGLETRANSLATE(C4039, ""en"", ""zh-cn""))"),"HP 17 英寸笔记本电脑，第 11 代英特尔酷睿 i5-1135G7，Iris Xe 显卡，8 GB RAM，256 GB SSD，Windows 11 Home（17-cn0025nr，自然银）")</f>
        <v>HP 17 英寸笔记本电脑，第 11 代英特尔酷睿 i5-1135G7，Iris Xe 显卡，8 GB RAM，256 GB SSD，Windows 11 Home（17-cn0025nr，自然银）</v>
      </c>
      <c r="E4039" s="1" t="str">
        <f>IFERROR(__xludf.DUMMYFUNCTION("CONCATENATE(GOOGLETRANSLATE(C4039, ""en"", ""ko""))"),"HP 17인치 노트북, 11세대 Intel Core i5-1135G7, Iris Xe 그래픽, 8GB RAM, 256GB SSD, Windows 11 Home(17-cn0025nr, 천연 실버)")</f>
        <v>HP 17인치 노트북, 11세대 Intel Core i5-1135G7, Iris Xe 그래픽, 8GB RAM, 256GB SSD, Windows 11 Home(17-cn0025nr, 천연 실버)</v>
      </c>
      <c r="F4039" s="1" t="str">
        <f>IFERROR(__xludf.DUMMYFUNCTION("CONCATENATE(GOOGLETRANSLATE(C4039, ""en"", ""ja""))"),"HP 17 インチ ラップトップ、第 11 世代インテル Core i5-1135G7、Iris Xe グラフィックス、8 GB RAM、256 GB SSD、Windows 11 Home (17-cn0025nr、ナチュラルシルバー)")</f>
        <v>HP 17 インチ ラップトップ、第 11 世代インテル Core i5-1135G7、Iris Xe グラフィックス、8 GB RAM、256 GB SSD、Windows 11 Home (17-cn0025nr、ナチュラルシルバー)</v>
      </c>
    </row>
    <row r="4040" ht="15.75" customHeight="1">
      <c r="A4040" s="1">
        <v>3742.0</v>
      </c>
      <c r="B4040" s="1" t="s">
        <v>15</v>
      </c>
      <c r="C4040" s="1" t="s">
        <v>3566</v>
      </c>
      <c r="D4040" s="1" t="str">
        <f>IFERROR(__xludf.DUMMYFUNCTION("CONCATENATE(GOOGLETRANSLATE(C4040, ""en"", ""zh-cn""))"),"Night Owl 8 通道蓝牙视频家庭安全摄像头系统，配备 (4) 个带音频的有线 IP 4K 高清室内/室外聚光灯摄像头和 2TB 硬盘（最多可扩展 12 个摄像头）")</f>
        <v>Night Owl 8 通道蓝牙视频家庭安全摄像头系统，配备 (4) 个带音频的有线 IP 4K 高清室内/室外聚光灯摄像头和 2TB 硬盘（最多可扩展 12 个摄像头）</v>
      </c>
      <c r="E4040" s="1" t="str">
        <f>IFERROR(__xludf.DUMMYFUNCTION("CONCATENATE(GOOGLETRANSLATE(C4040, ""en"", ""ko""))"),"Night Owl 8채널 Bluetooth 비디오 홈 보안 카메라 시스템(4) 유선 IP 4K HD 실내/실외 스포트라이트 카메라(오디오 및 2TB 하드 드라이브 포함)(최대 12개 카메라로 확장 가능)")</f>
        <v>Night Owl 8채널 Bluetooth 비디오 홈 보안 카메라 시스템(4) 유선 IP 4K HD 실내/실외 스포트라이트 카메라(오디오 및 2TB 하드 드라이브 포함)(최대 12개 카메라로 확장 가능)</v>
      </c>
      <c r="F4040" s="1" t="str">
        <f>IFERROR(__xludf.DUMMYFUNCTION("CONCATENATE(GOOGLETRANSLATE(C4040, ""en"", ""ja""))"),"Night Owl 8 チャンネル Bluetooth ビデオ ホームセキュリティ カメラ システム (4 台の有線 IP 4K HD 屋内/屋外スポットライト カメラ、オーディオおよび 2TB ハードドライブ付き) (最大 12 台のカメラまで拡張可能)")</f>
        <v>Night Owl 8 チャンネル Bluetooth ビデオ ホームセキュリティ カメラ システム (4 台の有線 IP 4K HD 屋内/屋外スポットライト カメラ、オーディオおよび 2TB ハードドライブ付き) (最大 12 台のカメラまで拡張可能)</v>
      </c>
    </row>
    <row r="4041" ht="15.75" customHeight="1">
      <c r="A4041" s="1">
        <v>3761.0</v>
      </c>
      <c r="B4041" s="1" t="s">
        <v>15</v>
      </c>
      <c r="C4041" s="1" t="s">
        <v>3567</v>
      </c>
      <c r="D4041" s="1" t="str">
        <f>IFERROR(__xludf.DUMMYFUNCTION("CONCATENATE(GOOGLETRANSLATE(C4041, ""en"", ""zh-cn""))"),"戴尔 Inspiron 灵越 15 3525 轻薄学生笔记本电脑 - 15.6 英寸 FHD (1920 x 1080) 120Hz 显示屏，AMD Ryzen 5 5625U，8GB DDR4 RAM，256GB SSD，AMD Radeon 显卡，USB-C，HDMI，Windows 11 Home - 黑色")</f>
        <v>戴尔 Inspiron 灵越 15 3525 轻薄学生笔记本电脑 - 15.6 英寸 FHD (1920 x 1080) 120Hz 显示屏，AMD Ryzen 5 5625U，8GB DDR4 RAM，256GB SSD，AMD Radeon 显卡，USB-C，HDMI，Windows 11 Home - 黑色</v>
      </c>
      <c r="E4041" s="1" t="str">
        <f>IFERROR(__xludf.DUMMYFUNCTION("CONCATENATE(GOOGLETRANSLATE(C4041, ""en"", ""ko""))"),"Dell Inspiron 15 3525 경량 학생용 노트북 - 15.6인치 FHD(1920 x 1080) 120Hz 디스플레이, AMD Ryzen 5 5625U, 8GB DDR4 RAM, 256GB SSD, AMD Radeon 그래픽, USB-C, HDMI, Windows 11 Home - 블랙")</f>
        <v>Dell Inspiron 15 3525 경량 학생용 노트북 - 15.6인치 FHD(1920 x 1080) 120Hz 디스플레이, AMD Ryzen 5 5625U, 8GB DDR4 RAM, 256GB SSD, AMD Radeon 그래픽, USB-C, HDMI, Windows 11 Home - 블랙</v>
      </c>
      <c r="F4041" s="1" t="str">
        <f>IFERROR(__xludf.DUMMYFUNCTION("CONCATENATE(GOOGLETRANSLATE(C4041, ""en"", ""ja""))"),"Dell Inspiron 15 3525 軽量学生ノートパソコン - 15.6 インチ FHD (1920 x 1080) 120Hz ディスプレイ、AMD Ryzen 5 5625U、8GB DDR4 RAM、256GB SSD、AMD Radeon グラフィックス、USB-C、HDMI、Windows 11 Home - ブラック")</f>
        <v>Dell Inspiron 15 3525 軽量学生ノートパソコン - 15.6 インチ FHD (1920 x 1080) 120Hz ディスプレイ、AMD Ryzen 5 5625U、8GB DDR4 RAM、256GB SSD、AMD Radeon グラフィックス、USB-C、HDMI、Windows 11 Home - ブラック</v>
      </c>
    </row>
    <row r="4042" ht="15.75" customHeight="1">
      <c r="A4042" s="1">
        <v>3790.0</v>
      </c>
      <c r="B4042" s="1" t="s">
        <v>15</v>
      </c>
      <c r="C4042" s="1" t="s">
        <v>3568</v>
      </c>
      <c r="D4042" s="1" t="str">
        <f>IFERROR(__xludf.DUMMYFUNCTION("CONCATENATE(GOOGLETRANSLATE(C4042, ""en"", ""zh-cn""))"),"OTVOC 笔记本电脑 15.6 英寸 Windows 11，VocBook 15，Intel Celeron N5100，16GB RAM，512GB PCIE NvMe SSD，4TB 扩展，15.6 FHD IPS，2.0MP，2.4G+5G WiFi，蓝牙 5.0，Type-C，HDMI，RJ45，HDD，银色")</f>
        <v>OTVOC 笔记本电脑 15.6 英寸 Windows 11，VocBook 15，Intel Celeron N5100，16GB RAM，512GB PCIE NvMe SSD，4TB 扩展，15.6 FHD IPS，2.0MP，2.4G+5G WiFi，蓝牙 5.0，Type-C，HDMI，RJ45，HDD，银色</v>
      </c>
      <c r="E4042" s="1" t="str">
        <f>IFERROR(__xludf.DUMMYFUNCTION("CONCATENATE(GOOGLETRANSLATE(C4042, ""en"", ""ko""))"),"OTVOC 노트북 15.6인치 Windows 11, VocBook 15, Intel Celeron N5100, 16GB RAM, 512GB PCIE NvMe SSD, 4TB 확장, 15.6 FHD IPS, 2.0MP, 2.4G+5G WiFi, Bluetooth 5.0, Type-C, HDMI, RJ45, HDD, 실버")</f>
        <v>OTVOC 노트북 15.6인치 Windows 11, VocBook 15, Intel Celeron N5100, 16GB RAM, 512GB PCIE NvMe SSD, 4TB 확장, 15.6 FHD IPS, 2.0MP, 2.4G+5G WiFi, Bluetooth 5.0, Type-C, HDMI, RJ45, HDD, 실버</v>
      </c>
      <c r="F4042" s="1" t="str">
        <f>IFERROR(__xludf.DUMMYFUNCTION("CONCATENATE(GOOGLETRANSLATE(C4042, ""en"", ""ja""))"),"OTVOC ノートパソコン 15.6 インチ Windows 11、VocBook 15、Intel Celeron N5100、16GB RAM、512GB PCIE NvMe SSD、4TB 拡張、1​​5.6 FHD IPS、2.0MP、2.4G+5G WiFi、Bluetooth 5.0、Type-C、HDMI、RJ45、HDD、シルバー")</f>
        <v>OTVOC ノートパソコン 15.6 インチ Windows 11、VocBook 15、Intel Celeron N5100、16GB RAM、512GB PCIE NvMe SSD、4TB 拡張、1​​5.6 FHD IPS、2.0MP、2.4G+5G WiFi、Bluetooth 5.0、Type-C、HDMI、RJ45、HDD、シルバー</v>
      </c>
    </row>
    <row r="4043" ht="15.75" customHeight="1">
      <c r="A4043" s="1">
        <v>3802.0</v>
      </c>
      <c r="B4043" s="1" t="s">
        <v>15</v>
      </c>
      <c r="C4043" s="1" t="s">
        <v>3569</v>
      </c>
      <c r="D4043" s="1" t="str">
        <f>IFERROR(__xludf.DUMMYFUNCTION("CONCATENATE(GOOGLETRANSLATE(C4043, ""en"", ""zh-cn""))"),"系统机架 - 服务器机架 - 壁挂式机架 - 网络锁柜 - 电子 - 安全 - 音频 - 视频 - AV 设备 - 数据机架 - 支腿/电源板/架子/风扇 - 24 英寸深系统机架… (18U)")</f>
        <v>系统机架 - 服务器机架 - 壁挂式机架 - 网络锁柜 - 电子 - 安全 - 音频 - 视频 - AV 设备 - 数据机架 - 支腿/电源板/架子/风扇 - 24 英寸深系统机架… (18U)</v>
      </c>
      <c r="E4043" s="1" t="str">
        <f>IFERROR(__xludf.DUMMYFUNCTION("CONCATENATE(GOOGLETRANSLATE(C4043, ""en"", ""ko""))"),"Sysracks - 서버 랙 - 벽 장착형 랙 - 네트워크용 잠금 캐비닛 - 전자 제품 - 보안 - 오디오 - 비디오 - AV 장비 - 데이터 랙 - 다리/전원 스트립/선반/팬 - 24인치 깊이 Sysracks… (18U)")</f>
        <v>Sysracks - 서버 랙 - 벽 장착형 랙 - 네트워크용 잠금 캐비닛 - 전자 제품 - 보안 - 오디오 - 비디오 - AV 장비 - 데이터 랙 - 다리/전원 스트립/선반/팬 - 24인치 깊이 Sysracks… (18U)</v>
      </c>
      <c r="F4043" s="1" t="str">
        <f>IFERROR(__xludf.DUMMYFUNCTION("CONCATENATE(GOOGLETRANSLATE(C4043, ""en"", ""ja""))"),"Sysracks - サーバーラック - ウォールマウントラック - ネットワーク用ロッキングキャビネット - 電子機器 - セキュリティ - オーディオ - ビデオ - AV機器 - データラック - 脚/電源タップ/棚/ファン - 深さ24インチのSysracks… (18U)")</f>
        <v>Sysracks - サーバーラック - ウォールマウントラック - ネットワーク用ロッキングキャビネット - 電子機器 - セキュリティ - オーディオ - ビデオ - AV機器 - データラック - 脚/電源タップ/棚/ファン - 深さ24インチのSysracks… (18U)</v>
      </c>
    </row>
    <row r="4044" ht="15.75" customHeight="1">
      <c r="A4044" s="1">
        <v>3879.0</v>
      </c>
      <c r="B4044" s="1" t="s">
        <v>15</v>
      </c>
      <c r="C4044" s="1" t="s">
        <v>3210</v>
      </c>
      <c r="D4044" s="1" t="str">
        <f>IFERROR(__xludf.DUMMYFUNCTION("CONCATENATE(GOOGLETRANSLATE(C4044, ""en"", ""zh-cn""))"),"Apple iPhone 14 Pro Max，256GB，深空黑色 - 解锁（续订）")</f>
        <v>Apple iPhone 14 Pro Max，256GB，深空黑色 - 解锁（续订）</v>
      </c>
      <c r="E4044" s="1" t="str">
        <f>IFERROR(__xludf.DUMMYFUNCTION("CONCATENATE(GOOGLETRANSLATE(C4044, ""en"", ""ko""))"),"Apple iPhone 14 Pro Max, 256GB, 스페이스 블랙 - 공기계(리뉴얼)")</f>
        <v>Apple iPhone 14 Pro Max, 256GB, 스페이스 블랙 - 공기계(리뉴얼)</v>
      </c>
      <c r="F4044" s="1" t="str">
        <f>IFERROR(__xludf.DUMMYFUNCTION("CONCATENATE(GOOGLETRANSLATE(C4044, ""en"", ""ja""))"),"Apple iPhone 14 Pro Max、256GB、スペース ブラック - ロック解除済み (更新済み)")</f>
        <v>Apple iPhone 14 Pro Max、256GB、スペース ブラック - ロック解除済み (更新済み)</v>
      </c>
    </row>
    <row r="4045" ht="15.75" customHeight="1">
      <c r="A4045" s="1">
        <v>3887.0</v>
      </c>
      <c r="B4045" s="1" t="s">
        <v>15</v>
      </c>
      <c r="C4045" s="1" t="s">
        <v>3223</v>
      </c>
      <c r="D4045" s="1" t="str">
        <f>IFERROR(__xludf.DUMMYFUNCTION("CONCATENATE(GOOGLETRANSLATE(C4045, ""en"", ""zh-cn""))"),"REDMAGIC 8 Pro 智能手机 5G，120Hz 游戏手机，6.8 全面屏，屏下摄像头，6000mAh Android 手机，Snapdragon 8 Gen 2，12+256GB，65W 充电器，双卡，美国解锁手机黑色")</f>
        <v>REDMAGIC 8 Pro 智能手机 5G，120Hz 游戏手机，6.8 全面屏，屏下摄像头，6000mAh Android 手机，Snapdragon 8 Gen 2，12+256GB，65W 充电器，双卡，美国解锁手机黑色</v>
      </c>
      <c r="E4045" s="1" t="str">
        <f>IFERROR(__xludf.DUMMYFUNCTION("CONCATENATE(GOOGLETRANSLATE(C4045, ""en"", ""ko""))"),"REDMAGIC 8 Pro 스마트폰 5G, 120Hz 게이밍 폰, 6.8 전체 화면, 언더 디스플레이 카메라, 6000mAh 안드로이드 폰, Snapdragon 8 Gen 2, 12+256GB, 65W 충전기, 듀얼 심, 미국 공기계 휴대폰 블랙")</f>
        <v>REDMAGIC 8 Pro 스마트폰 5G, 120Hz 게이밍 폰, 6.8 전체 화면, 언더 디스플레이 카메라, 6000mAh 안드로이드 폰, Snapdragon 8 Gen 2, 12+256GB, 65W 충전기, 듀얼 심, 미국 공기계 휴대폰 블랙</v>
      </c>
      <c r="F4045" s="1" t="str">
        <f>IFERROR(__xludf.DUMMYFUNCTION("CONCATENATE(GOOGLETRANSLATE(C4045, ""en"", ""ja""))"),"REDMAGIC 8 Pro スマートフォン 5G、120Hz ゲーム電話、6.8 フルスクリーン、ディスプレイカメラ下、6000mAh Android 携帯電話、Snapdragon 8 Gen 2、12+256GB、65W 充電器、デュアル Sim、米国ロック解除済み携帯電話 ブラック")</f>
        <v>REDMAGIC 8 Pro スマートフォン 5G、120Hz ゲーム電話、6.8 フルスクリーン、ディスプレイカメラ下、6000mAh Android 携帯電話、Snapdragon 8 Gen 2、12+256GB、65W 充電器、デュアル Sim、米国ロック解除済み携帯電話 ブラック</v>
      </c>
    </row>
    <row r="4046" ht="15.75" customHeight="1">
      <c r="A4046" s="1">
        <v>3919.0</v>
      </c>
      <c r="B4046" s="1" t="s">
        <v>15</v>
      </c>
      <c r="C4046" s="1" t="s">
        <v>3570</v>
      </c>
      <c r="D4046" s="1" t="str">
        <f>IFERROR(__xludf.DUMMYFUNCTION("CONCATENATE(GOOGLETRANSLATE(C4046, ""en"", ""zh-cn""))"),"Apple iPhone SE 第三代，64GB，午夜 - 解锁（续订）")</f>
        <v>Apple iPhone SE 第三代，64GB，午夜 - 解锁（续订）</v>
      </c>
      <c r="E4046" s="1" t="str">
        <f>IFERROR(__xludf.DUMMYFUNCTION("CONCATENATE(GOOGLETRANSLATE(C4046, ""en"", ""ko""))"),"Apple iPhone SE 3세대, 64GB, 미드나잇 - 공기계(리뉴얼)")</f>
        <v>Apple iPhone SE 3세대, 64GB, 미드나잇 - 공기계(리뉴얼)</v>
      </c>
      <c r="F4046" s="1" t="str">
        <f>IFERROR(__xludf.DUMMYFUNCTION("CONCATENATE(GOOGLETRANSLATE(C4046, ""en"", ""ja""))"),"Apple iPhone SE 第 3 世代、64GB、ミッドナイト - ロック解除済み (更新済み)")</f>
        <v>Apple iPhone SE 第 3 世代、64GB、ミッドナイト - ロック解除済み (更新済み)</v>
      </c>
    </row>
    <row r="4047" ht="15.75" customHeight="1">
      <c r="A4047" s="1">
        <v>3922.0</v>
      </c>
      <c r="B4047" s="1" t="s">
        <v>15</v>
      </c>
      <c r="C4047" s="1" t="s">
        <v>3571</v>
      </c>
      <c r="D4047" s="1" t="str">
        <f>IFERROR(__xludf.DUMMYFUNCTION("CONCATENATE(GOOGLETRANSLATE(C4047, ""en"", ""zh-cn""))"),"全新 Bose QuietComfort 耳塞 II，无线，蓝牙，世界上最好的降噪入耳式耳机，具有个性化降噪和声音，三重黑色")</f>
        <v>全新 Bose QuietComfort 耳塞 II，无线，蓝牙，世界上最好的降噪入耳式耳机，具有个性化降噪和声音，三重黑色</v>
      </c>
      <c r="E4047" s="1" t="str">
        <f>IFERROR(__xludf.DUMMYFUNCTION("CONCATENATE(GOOGLETRANSLATE(C4047, ""en"", ""ko""))"),"새로운 Bose QuietComfort 이어버드 II, 무선, Bluetooth, 맞춤형 소음 제거 및 사운드를 갖춘 세계 최고의 소음 제거 인이어 헤드폰, 트리플 블랙")</f>
        <v>새로운 Bose QuietComfort 이어버드 II, 무선, Bluetooth, 맞춤형 소음 제거 및 사운드를 갖춘 세계 최고의 소음 제거 인이어 헤드폰, 트리플 블랙</v>
      </c>
      <c r="F4047" s="1" t="str">
        <f>IFERROR(__xludf.DUMMYFUNCTION("CONCATENATE(GOOGLETRANSLATE(C4047, ""en"", ""ja""))"),"新しい Bose QuietComfort Earbuds II、ワイヤレス、Bluetooth、パーソナライズされたノイズ キャンセリングとサウンドを備えた世界最高のノイズ キャンセリング インイヤー ヘッドフォン、トリプル ブラック")</f>
        <v>新しい Bose QuietComfort Earbuds II、ワイヤレス、Bluetooth、パーソナライズされたノイズ キャンセリングとサウンドを備えた世界最高のノイズ キャンセリング インイヤー ヘッドフォン、トリプル ブラック</v>
      </c>
    </row>
    <row r="4048" ht="15.75" customHeight="1">
      <c r="A4048" s="1">
        <v>3934.0</v>
      </c>
      <c r="B4048" s="1" t="s">
        <v>15</v>
      </c>
      <c r="C4048" s="1" t="s">
        <v>3572</v>
      </c>
      <c r="D4048" s="1" t="str">
        <f>IFERROR(__xludf.DUMMYFUNCTION("CONCATENATE(GOOGLETRANSLATE(C4048, ""en"", ""zh-cn""))"),"Apple iPhone XS，美国版，64GB，深空灰色 - AT&amp;T（续订）")</f>
        <v>Apple iPhone XS，美国版，64GB，深空灰色 - AT&amp;T（续订）</v>
      </c>
      <c r="E4048" s="1" t="str">
        <f>IFERROR(__xludf.DUMMYFUNCTION("CONCATENATE(GOOGLETRANSLATE(C4048, ""en"", ""ko""))"),"Apple iPhone XS, 미국 버전, 64GB, 스페이스 그레이 - AT&amp;T(리뉴얼)")</f>
        <v>Apple iPhone XS, 미국 버전, 64GB, 스페이스 그레이 - AT&amp;T(리뉴얼)</v>
      </c>
      <c r="F4048" s="1" t="str">
        <f>IFERROR(__xludf.DUMMYFUNCTION("CONCATENATE(GOOGLETRANSLATE(C4048, ""en"", ""ja""))"),"Apple iPhone XS、US ​​バージョン、64GB、スペース グレイ - AT&amp;T (リニューアル)")</f>
        <v>Apple iPhone XS、US ​​バージョン、64GB、スペース グレイ - AT&amp;T (リニューアル)</v>
      </c>
    </row>
    <row r="4049" ht="15.75" customHeight="1">
      <c r="A4049" s="1">
        <v>3943.0</v>
      </c>
      <c r="B4049" s="1" t="s">
        <v>15</v>
      </c>
      <c r="C4049" s="1" t="s">
        <v>3573</v>
      </c>
      <c r="D4049" s="1" t="str">
        <f>IFERROR(__xludf.DUMMYFUNCTION("CONCATENATE(GOOGLETRANSLATE(C4049, ""en"", ""zh-cn""))"),"欧米茄超霸同轴计时码表月之暗面黑色表盘黑色织物男式手表 31192445101003")</f>
        <v>欧米茄超霸同轴计时码表月之暗面黑色表盘黑色织物男式手表 31192445101003</v>
      </c>
      <c r="E4049" s="1" t="str">
        <f>IFERROR(__xludf.DUMMYFUNCTION("CONCATENATE(GOOGLETRANSLATE(C4049, ""en"", ""ko""))"),"오메가 스피드마스터 Co-Axial 크로노그래프 Dark Side of the Moon Black 다이얼 Black Fabric 남성용 시계 31192445101003")</f>
        <v>오메가 스피드마스터 Co-Axial 크로노그래프 Dark Side of the Moon Black 다이얼 Black Fabric 남성용 시계 31192445101003</v>
      </c>
      <c r="F4049" s="1" t="str">
        <f>IFERROR(__xludf.DUMMYFUNCTION("CONCATENATE(GOOGLETRANSLATE(C4049, ""en"", ""ja""))"),"オメガ スピードマスター コーアクシャル クロノグラフ ダーク サイド オブ ザ ムーン ブラック ダイヤル ブラック ファブリック メンズ腕時計 31192445101003")</f>
        <v>オメガ スピードマスター コーアクシャル クロノグラフ ダーク サイド オブ ザ ムーン ブラック ダイヤル ブラック ファブリック メンズ腕時計 31192445101003</v>
      </c>
    </row>
    <row r="4050" ht="15.75" customHeight="1">
      <c r="A4050" s="1">
        <v>3951.0</v>
      </c>
      <c r="B4050" s="1" t="s">
        <v>15</v>
      </c>
      <c r="C4050" s="1" t="s">
        <v>3574</v>
      </c>
      <c r="D4050" s="1" t="str">
        <f>IFERROR(__xludf.DUMMYFUNCTION("CONCATENATE(GOOGLETRANSLATE(C4050, ""en"", ""zh-cn""))"),"百年灵 黑色表盘 Navitimer 8 计时码表 B01 Chronometer 43 AB0117131B1A1")</f>
        <v>百年灵 黑色表盘 Navitimer 8 计时码表 B01 Chronometer 43 AB0117131B1A1</v>
      </c>
      <c r="E4050" s="1" t="str">
        <f>IFERROR(__xludf.DUMMYFUNCTION("CONCATENATE(GOOGLETRANSLATE(C4050, ""en"", ""ko""))"),"브라이틀링 검은색 다이얼 내비타이머 8 크로노그래프 B01 Chronometer 43 AB0117131B1A1")</f>
        <v>브라이틀링 검은색 다이얼 내비타이머 8 크로노그래프 B01 Chronometer 43 AB0117131B1A1</v>
      </c>
      <c r="F4050" s="1" t="str">
        <f>IFERROR(__xludf.DUMMYFUNCTION("CONCATENATE(GOOGLETRANSLATE(C4050, ""en"", ""ja""))"),"ブライトリング ブラック ダイヤル ナビタイマー 8 クロノグラフ B01 クロノメーター 43 AB0117131B1A1")</f>
        <v>ブライトリング ブラック ダイヤル ナビタイマー 8 クロノグラフ B01 クロノメーター 43 AB0117131B1A1</v>
      </c>
    </row>
    <row r="4051" ht="15.75" customHeight="1">
      <c r="A4051" s="1">
        <v>3959.0</v>
      </c>
      <c r="B4051" s="1" t="s">
        <v>15</v>
      </c>
      <c r="C4051" s="1" t="s">
        <v>3575</v>
      </c>
      <c r="D4051" s="1" t="str">
        <f>IFERROR(__xludf.DUMMYFUNCTION("CONCATENATE(GOOGLETRANSLATE(C4051, ""en"", ""zh-cn""))"),"欧米茄超霸计时自动黑色表盘男士手表 324.30.38.50.01.001")</f>
        <v>欧米茄超霸计时自动黑色表盘男士手表 324.30.38.50.01.001</v>
      </c>
      <c r="E4051" s="1" t="str">
        <f>IFERROR(__xludf.DUMMYFUNCTION("CONCATENATE(GOOGLETRANSLATE(C4051, ""en"", ""ko""))"),"오메가 스피드마스터 크로노그래프 오토매틱 블랙 다이얼 남성용 시계 324.30.38.50.01.001")</f>
        <v>오메가 스피드마스터 크로노그래프 오토매틱 블랙 다이얼 남성용 시계 324.30.38.50.01.001</v>
      </c>
      <c r="F4051" s="1" t="str">
        <f>IFERROR(__xludf.DUMMYFUNCTION("CONCATENATE(GOOGLETRANSLATE(C4051, ""en"", ""ja""))"),"オメガ スピードマスター クロノグラフ 自動巻き ブラック文字盤 メンズ腕時計 324.30.38.50.01.001")</f>
        <v>オメガ スピードマスター クロノグラフ 自動巻き ブラック文字盤 メンズ腕時計 324.30.38.50.01.001</v>
      </c>
    </row>
    <row r="4052" ht="15.75" customHeight="1">
      <c r="A4052" s="1">
        <v>3967.0</v>
      </c>
      <c r="B4052" s="1" t="s">
        <v>15</v>
      </c>
      <c r="C4052" s="1" t="s">
        <v>3576</v>
      </c>
      <c r="D4052" s="1" t="str">
        <f>IFERROR(__xludf.DUMMYFUNCTION("CONCATENATE(GOOGLETRANSLATE(C4052, ""en"", ""zh-cn""))"),"欧米茄男士 32632405001001 Speed Master 模拟显示自动上链黑色手表")</f>
        <v>欧米茄男士 32632405001001 Speed Master 模拟显示自动上链黑色手表</v>
      </c>
      <c r="E4052" s="1" t="str">
        <f>IFERROR(__xludf.DUMMYFUNCTION("CONCATENATE(GOOGLETRANSLATE(C4052, ""en"", ""ko""))"),"오메가 남성용 32632405001001 Speed ​​Master 아날로그 디스플레이 오토매틱 셀프 와인딩 검은색 시계")</f>
        <v>오메가 남성용 32632405001001 Speed ​​Master 아날로그 디스플레이 오토매틱 셀프 와인딩 검은색 시계</v>
      </c>
      <c r="F4052" s="1" t="str">
        <f>IFERROR(__xludf.DUMMYFUNCTION("CONCATENATE(GOOGLETRANSLATE(C4052, ""en"", ""ja""))"),"オメガ メンズ 32632405001001 スピードマスター アナログ表示 自動巻き ブラック ウォッチ")</f>
        <v>オメガ メンズ 32632405001001 スピードマスター アナログ表示 自動巻き ブラック ウォッチ</v>
      </c>
    </row>
    <row r="4053" ht="15.75" customHeight="1">
      <c r="A4053" s="1">
        <v>3973.0</v>
      </c>
      <c r="B4053" s="1" t="s">
        <v>15</v>
      </c>
      <c r="C4053" s="1" t="s">
        <v>3577</v>
      </c>
      <c r="D4053" s="1" t="str">
        <f>IFERROR(__xludf.DUMMYFUNCTION("CONCATENATE(GOOGLETRANSLATE(C4053, ""en"", ""zh-cn""))"),"欧米茄海马 Railmaster 自动男士不锈钢手表 220.10.40.20.01.001")</f>
        <v>欧米茄海马 Railmaster 自动男士不锈钢手表 220.10.40.20.01.001</v>
      </c>
      <c r="E4053" s="1" t="str">
        <f>IFERROR(__xludf.DUMMYFUNCTION("CONCATENATE(GOOGLETRANSLATE(C4053, ""en"", ""ko""))"),"오메가 씨마스터 레일마스터 오토매틱 남성용 스테인레스 스틸 시계 220.10.40.20.01.001")</f>
        <v>오메가 씨마스터 레일마스터 오토매틱 남성용 스테인레스 스틸 시계 220.10.40.20.01.001</v>
      </c>
      <c r="F4053" s="1" t="str">
        <f>IFERROR(__xludf.DUMMYFUNCTION("CONCATENATE(GOOGLETRANSLATE(C4053, ""en"", ""ja""))"),"オメガ シーマスター レイルマスター 自動巻き メンズ ステンレススチール ウォッチ 220.10.40.20.01.001")</f>
        <v>オメガ シーマスター レイルマスター 自動巻き メンズ ステンレススチール ウォッチ 220.10.40.20.01.001</v>
      </c>
    </row>
    <row r="4054" ht="15.75" customHeight="1">
      <c r="A4054" s="1">
        <v>3983.0</v>
      </c>
      <c r="B4054" s="1" t="s">
        <v>15</v>
      </c>
      <c r="C4054" s="1" t="s">
        <v>3578</v>
      </c>
      <c r="D4054" s="1" t="str">
        <f>IFERROR(__xludf.DUMMYFUNCTION("CONCATENATE(GOOGLETRANSLATE(C4054, ""en"", ""zh-cn""))"),"精工 Prospex 1965 62MAS 再版潜水员休闲灰色表盘蓝宝石自动手表 SPB143J1")</f>
        <v>精工 Prospex 1965 62MAS 再版潜水员休闲灰色表盘蓝宝石自动手表 SPB143J1</v>
      </c>
      <c r="E4054" s="1" t="str">
        <f>IFERROR(__xludf.DUMMYFUNCTION("CONCATENATE(GOOGLETRANSLATE(C4054, ""en"", ""ko""))"),"세이코 Prospex 1965 62MAS 재발행 Diver's Recreation 그레이 다이얼 사파이어 오토매틱 시계 SPB143J1")</f>
        <v>세이코 Prospex 1965 62MAS 재발행 Diver's Recreation 그레이 다이얼 사파이어 오토매틱 시계 SPB143J1</v>
      </c>
      <c r="F4054" s="1" t="str">
        <f>IFERROR(__xludf.DUMMYFUNCTION("CONCATENATE(GOOGLETRANSLATE(C4054, ""en"", ""ja""))"),"セイコー プロスペックス 1965 62MAS 復刻ダイバーズ レクリエーション グレーダイヤル サファイア自動巻き時計 SPB143J1")</f>
        <v>セイコー プロスペックス 1965 62MAS 復刻ダイバーズ レクリエーション グレーダイヤル サファイア自動巻き時計 SPB143J1</v>
      </c>
    </row>
    <row r="4055" ht="15.75" customHeight="1">
      <c r="A4055" s="1">
        <v>3987.0</v>
      </c>
      <c r="B4055" s="1" t="s">
        <v>15</v>
      </c>
      <c r="C4055" s="1" t="s">
        <v>3579</v>
      </c>
      <c r="D4055" s="1" t="str">
        <f>IFERROR(__xludf.DUMMYFUNCTION("CONCATENATE(GOOGLETRANSLATE(C4055, ""en"", ""zh-cn""))"),"汉密尔顿男士 Intra-Matic 自动计时自动计时美国经典手表 - H38416711")</f>
        <v>汉密尔顿男士 Intra-Matic 自动计时自动计时美国经典手表 - H38416711</v>
      </c>
      <c r="E4055" s="1" t="str">
        <f>IFERROR(__xludf.DUMMYFUNCTION("CONCATENATE(GOOGLETRANSLATE(C4055, ""en"", ""ko""))"),"해밀턴 남성용 인트라매틱 오토 크로노 오토 크로노 아메리칸 클래식 시계 - H38416711")</f>
        <v>해밀턴 남성용 인트라매틱 오토 크로노 오토 크로노 아메리칸 클래식 시계 - H38416711</v>
      </c>
      <c r="F4055" s="1" t="str">
        <f>IFERROR(__xludf.DUMMYFUNCTION("CONCATENATE(GOOGLETRANSLATE(C4055, ""en"", ""ja""))"),"ハミルトン メンズ イントラマティック オート クロノ オート クロノ アメリカン クラシック ウォッチ - H38416711")</f>
        <v>ハミルトン メンズ イントラマティック オート クロノ オート クロノ アメリカン クラシック ウォッチ - H38416711</v>
      </c>
    </row>
    <row r="4056" ht="15.75" customHeight="1">
      <c r="A4056" s="1">
        <v>3995.0</v>
      </c>
      <c r="B4056" s="1" t="s">
        <v>15</v>
      </c>
      <c r="C4056" s="1" t="s">
        <v>3580</v>
      </c>
      <c r="D4056" s="1" t="str">
        <f>IFERROR(__xludf.DUMMYFUNCTION("CONCATENATE(GOOGLETRANSLATE(C4056, ""en"", ""zh-cn""))"),"汉密尔顿卡其色野外日期自动男士手表 H71626735")</f>
        <v>汉密尔顿卡其色野外日期自动男士手表 H71626735</v>
      </c>
      <c r="E4056" s="1" t="str">
        <f>IFERROR(__xludf.DUMMYFUNCTION("CONCATENATE(GOOGLETRANSLATE(C4056, ""en"", ""ko""))"),"해밀턴 카키 필드 데이 데이트 오토매틱 남성용 시계 H71626735")</f>
        <v>해밀턴 카키 필드 데이 데이트 오토매틱 남성용 시계 H71626735</v>
      </c>
      <c r="F4056" s="1" t="str">
        <f>IFERROR(__xludf.DUMMYFUNCTION("CONCATENATE(GOOGLETRANSLATE(C4056, ""en"", ""ja""))"),"ハミルトン カーキ フィールド デイデイト 自動巻き メンズ 腕時計 H71626735")</f>
        <v>ハミルトン カーキ フィールド デイデイト 自動巻き メンズ 腕時計 H71626735</v>
      </c>
    </row>
    <row r="4057" ht="15.75" customHeight="1">
      <c r="A4057" s="1">
        <v>3996.0</v>
      </c>
      <c r="B4057" s="1" t="s">
        <v>15</v>
      </c>
      <c r="C4057" s="1" t="s">
        <v>3581</v>
      </c>
      <c r="D4057" s="1" t="str">
        <f>IFERROR(__xludf.DUMMYFUNCTION("CONCATENATE(GOOGLETRANSLATE(C4057, ""en"", ""zh-cn""))"),"卡其色 Field Auto Chrono")</f>
        <v>卡其色 Field Auto Chrono</v>
      </c>
      <c r="E4057" s="1" t="str">
        <f>IFERROR(__xludf.DUMMYFUNCTION("CONCATENATE(GOOGLETRANSLATE(C4057, ""en"", ""ko""))"),"카키 필드 오토 크로노")</f>
        <v>카키 필드 오토 크로노</v>
      </c>
      <c r="F4057" s="1" t="str">
        <f>IFERROR(__xludf.DUMMYFUNCTION("CONCATENATE(GOOGLETRANSLATE(C4057, ""en"", ""ja""))"),"カーキ フィールド オート クロノ")</f>
        <v>カーキ フィールド オート クロノ</v>
      </c>
    </row>
    <row r="4058" ht="15.75" customHeight="1">
      <c r="A4058" s="1">
        <v>4003.0</v>
      </c>
      <c r="B4058" s="1" t="s">
        <v>15</v>
      </c>
      <c r="C4058" s="1" t="s">
        <v>3582</v>
      </c>
      <c r="D4058" s="1" t="str">
        <f>IFERROR(__xludf.DUMMYFUNCTION("CONCATENATE(GOOGLETRANSLATE(C4058, ""en"", ""zh-cn""))"),"爵士大师自动计时码表")</f>
        <v>爵士大师自动计时码表</v>
      </c>
      <c r="E4058" s="1" t="str">
        <f>IFERROR(__xludf.DUMMYFUNCTION("CONCATENATE(GOOGLETRANSLATE(C4058, ""en"", ""ko""))"),"재즈마스터 오토 크로노")</f>
        <v>재즈마스터 오토 크로노</v>
      </c>
      <c r="F4058" s="1" t="str">
        <f>IFERROR(__xludf.DUMMYFUNCTION("CONCATENATE(GOOGLETRANSLATE(C4058, ""en"", ""ja""))"),"ジャズマスター オート クロノ")</f>
        <v>ジャズマスター オート クロノ</v>
      </c>
    </row>
    <row r="4059" ht="15.75" customHeight="1">
      <c r="A4059" s="1">
        <v>4037.0</v>
      </c>
      <c r="B4059" s="1" t="s">
        <v>15</v>
      </c>
      <c r="C4059" s="1" t="s">
        <v>3583</v>
      </c>
      <c r="D4059" s="1" t="str">
        <f>IFERROR(__xludf.DUMMYFUNCTION("CONCATENATE(GOOGLETRANSLATE(C4059, ""en"", ""zh-cn""))"),"Luminox Master Carbon Seal XS.3813.L 男士手表 46 毫米 - 军用潜水手表黑色/绿色日期功能 300 米防水蓝宝石玻璃")</f>
        <v>Luminox Master Carbon Seal XS.3813.L 男士手表 46 毫米 - 军用潜水手表黑色/绿色日期功能 300 米防水蓝宝石玻璃</v>
      </c>
      <c r="E4059" s="1" t="str">
        <f>IFERROR(__xludf.DUMMYFUNCTION("CONCATENATE(GOOGLETRANSLATE(C4059, ""en"", ""ko""))"),"Luminox Master Carbon Seal XS.3813.L 남성용 시계 46mm - 블랙/그린 날짜 기능 300m 방수 사파이어 글래스 군용 다이빙 시계")</f>
        <v>Luminox Master Carbon Seal XS.3813.L 남성용 시계 46mm - 블랙/그린 날짜 기능 300m 방수 사파이어 글래스 군용 다이빙 시계</v>
      </c>
      <c r="F4059" s="1" t="str">
        <f>IFERROR(__xludf.DUMMYFUNCTION("CONCATENATE(GOOGLETRANSLATE(C4059, ""en"", ""ja""))"),"ルミノックス マスター カーボン シール XS.3813.L メンズ ウォッチ 46mm - ミリタリー ダイビング ウォッチ ブラック/グリーン 日付機能 300m 防水 サファイアガラス")</f>
        <v>ルミノックス マスター カーボン シール XS.3813.L メンズ ウォッチ 46mm - ミリタリー ダイビング ウォッチ ブラック/グリーン 日付機能 300m 防水 サファイアガラス</v>
      </c>
    </row>
    <row r="4060" ht="15.75" customHeight="1">
      <c r="A4060" s="1">
        <v>4063.0</v>
      </c>
      <c r="B4060" s="1" t="s">
        <v>15</v>
      </c>
      <c r="C4060" s="1" t="s">
        <v>3584</v>
      </c>
      <c r="D4060" s="1" t="str">
        <f>IFERROR(__xludf.DUMMYFUNCTION("CONCATENATE(GOOGLETRANSLATE(C4060, ""en"", ""zh-cn""))"),"汉密尔顿男士 H64455533 卡其王系列不锈钢自动腕表配棕色皮表带")</f>
        <v>汉密尔顿男士 H64455533 卡其王系列不锈钢自动腕表配棕色皮表带</v>
      </c>
      <c r="E4060" s="1" t="str">
        <f>IFERROR(__xludf.DUMMYFUNCTION("CONCATENATE(GOOGLETRANSLATE(C4060, ""en"", ""ko""))"),"해밀턴 남성용 H64455533 카키 킹 시리즈 스테인리스 스틸 오토매틱 시계, 브라운 가죽 밴드")</f>
        <v>해밀턴 남성용 H64455533 카키 킹 시리즈 스테인리스 스틸 오토매틱 시계, 브라운 가죽 밴드</v>
      </c>
      <c r="F4060" s="1" t="str">
        <f>IFERROR(__xludf.DUMMYFUNCTION("CONCATENATE(GOOGLETRANSLATE(C4060, ""en"", ""ja""))"),"ハミルトン メンズ H64455533 カーキ キング シリーズ ステンレススチール 自動巻き時計 ブラウン レザー バンド付き")</f>
        <v>ハミルトン メンズ H64455533 カーキ キング シリーズ ステンレススチール 自動巻き時計 ブラウン レザー バンド付き</v>
      </c>
    </row>
    <row r="4061" ht="15.75" customHeight="1">
      <c r="A4061" s="1">
        <v>4078.0</v>
      </c>
      <c r="B4061" s="1" t="s">
        <v>15</v>
      </c>
      <c r="C4061" s="1" t="s">
        <v>3585</v>
      </c>
      <c r="D4061" s="1" t="str">
        <f>IFERROR(__xludf.DUMMYFUNCTION("CONCATENATE(GOOGLETRANSLATE(C4061, ""en"", ""zh-cn""))"),"Luminox Commando Frogman XS.3301 男士手表 46 毫米 - 军用潜水手表黑色/灰色日期功能 200 米防水蓝宝石玻璃")</f>
        <v>Luminox Commando Frogman XS.3301 男士手表 46 毫米 - 军用潜水手表黑色/灰色日期功能 200 米防水蓝宝石玻璃</v>
      </c>
      <c r="E4061" s="1" t="str">
        <f>IFERROR(__xludf.DUMMYFUNCTION("CONCATENATE(GOOGLETRANSLATE(C4061, ""en"", ""ko""))"),"Luminox Commando Frogman XS.3301 남성용 시계 46mm - 블랙/그레이 날짜 기능 200m 방수 사파이어 글래스 군용 다이브 시계")</f>
        <v>Luminox Commando Frogman XS.3301 남성용 시계 46mm - 블랙/그레이 날짜 기능 200m 방수 사파이어 글래스 군용 다이브 시계</v>
      </c>
      <c r="F4061" s="1" t="str">
        <f>IFERROR(__xludf.DUMMYFUNCTION("CONCATENATE(GOOGLETRANSLATE(C4061, ""en"", ""ja""))"),"ルミノックス コマンド フロッグマン XS.3301 メンズ ウォッチ 46mm - ミリタリー ダイブウォッチ ブラック/グレー 日付機能 200m 防水 サファイアガラス")</f>
        <v>ルミノックス コマンド フロッグマン XS.3301 メンズ ウォッチ 46mm - ミリタリー ダイブウォッチ ブラック/グレー 日付機能 200m 防水 サファイアガラス</v>
      </c>
    </row>
    <row r="4062" ht="15.75" customHeight="1">
      <c r="A4062" s="1">
        <v>4084.0</v>
      </c>
      <c r="B4062" s="1" t="s">
        <v>15</v>
      </c>
      <c r="C4062" s="1" t="s">
        <v>3586</v>
      </c>
      <c r="D4062" s="1" t="str">
        <f>IFERROR(__xludf.DUMMYFUNCTION("CONCATENATE(GOOGLETRANSLATE(C4062, ""en"", ""zh-cn""))"),"Seiko Prospex 特别版 SRPF77 蓝色硅胶自动日历潜水腕表")</f>
        <v>Seiko Prospex 特别版 SRPF77 蓝色硅胶自动日历潜水腕表</v>
      </c>
      <c r="E4062" s="1" t="str">
        <f>IFERROR(__xludf.DUMMYFUNCTION("CONCATENATE(GOOGLETRANSLATE(C4062, ""en"", ""ko""))"),"세이코 Prospex 스페셜 에디션 SRPF77 블루 실리콘 오토매틱 데이 데이트 다이버 시계")</f>
        <v>세이코 Prospex 스페셜 에디션 SRPF77 블루 실리콘 오토매틱 데이 데이트 다이버 시계</v>
      </c>
      <c r="F4062" s="1" t="str">
        <f>IFERROR(__xludf.DUMMYFUNCTION("CONCATENATE(GOOGLETRANSLATE(C4062, ""en"", ""ja""))"),"セイコー プロスペックス スペシャル エディション SRPF77 ブルー シリコン オートマティック デイデイト ダイバーズウォッチ")</f>
        <v>セイコー プロスペックス スペシャル エディション SRPF77 ブルー シリコン オートマティック デイデイト ダイバーズウォッチ</v>
      </c>
    </row>
    <row r="4063" ht="15.75" customHeight="1">
      <c r="A4063" s="1">
        <v>4086.0</v>
      </c>
      <c r="B4063" s="1" t="s">
        <v>15</v>
      </c>
      <c r="C4063" s="1" t="s">
        <v>3587</v>
      </c>
      <c r="D4063" s="1" t="str">
        <f>IFERROR(__xludf.DUMMYFUNCTION("CONCATENATE(GOOGLETRANSLATE(C4063, ""en"", ""zh-cn""))"),"Luminox 男士 Pacific Diver Sea 系列红色/黑色 44 毫米模拟潜水手表")</f>
        <v>Luminox 男士 Pacific Diver Sea 系列红色/黑色 44 毫米模拟潜水手表</v>
      </c>
      <c r="E4063" s="1" t="str">
        <f>IFERROR(__xludf.DUMMYFUNCTION("CONCATENATE(GOOGLETRANSLATE(C4063, ""en"", ""ko""))"),"Luminox 남성용 Pacific Diver Sea 시리즈 레드/블랙 44mm 아날로그 다이브 시계")</f>
        <v>Luminox 남성용 Pacific Diver Sea 시리즈 레드/블랙 44mm 아날로그 다이브 시계</v>
      </c>
      <c r="F4063" s="1" t="str">
        <f>IFERROR(__xludf.DUMMYFUNCTION("CONCATENATE(GOOGLETRANSLATE(C4063, ""en"", ""ja""))"),"ルミノックス メンズ パシフィック ダイバー シー シリーズ レッド/ブラック 44mm アナログ ダイブウォッチ")</f>
        <v>ルミノックス メンズ パシフィック ダイバー シー シリーズ レッド/ブラック 44mm アナログ ダイブウォッチ</v>
      </c>
    </row>
    <row r="4064" ht="15.75" customHeight="1">
      <c r="A4064" s="1">
        <v>4094.0</v>
      </c>
      <c r="B4064" s="1" t="s">
        <v>15</v>
      </c>
      <c r="C4064" s="1" t="s">
        <v>3588</v>
      </c>
      <c r="D4064" s="1" t="str">
        <f>IFERROR(__xludf.DUMMYFUNCTION("CONCATENATE(GOOGLETRANSLATE(C4064, ""en"", ""zh-cn""))"),"Luminox 海军海豹突击队男士手表 45 毫米 - 军用潜水手表黑色日期功能计时码表 200m 防水 - XS.3581.EY")</f>
        <v>Luminox 海军海豹突击队男士手表 45 毫米 - 军用潜水手表黑色日期功能计时码表 200m 防水 - XS.3581.EY</v>
      </c>
      <c r="E4064" s="1" t="str">
        <f>IFERROR(__xludf.DUMMYFUNCTION("CONCATENATE(GOOGLETRANSLATE(C4064, ""en"", ""ko""))"),"Luminox Navy Seal 남성용 시계 45mm - 블랙 날짜 기능 밀리터리 다이브 시계 크로노그래프 200m 방수 - XS.3581.EY")</f>
        <v>Luminox Navy Seal 남성용 시계 45mm - 블랙 날짜 기능 밀리터리 다이브 시계 크로노그래프 200m 방수 - XS.3581.EY</v>
      </c>
      <c r="F4064" s="1" t="str">
        <f>IFERROR(__xludf.DUMMYFUNCTION("CONCATENATE(GOOGLETRANSLATE(C4064, ""en"", ""ja""))"),"ルミノックス ネイビー シール メンズ ウォッチ 45mm - ミリタリー ダイブウォッチ ブラック 日付機能 クロノグラフ 200m 防水 - XS.3581.EY")</f>
        <v>ルミノックス ネイビー シール メンズ ウォッチ 45mm - ミリタリー ダイブウォッチ ブラック 日付機能 クロノグラフ 200m 防水 - XS.3581.EY</v>
      </c>
    </row>
    <row r="4065" ht="15.75" customHeight="1">
      <c r="A4065" s="1">
        <v>4095.0</v>
      </c>
      <c r="B4065" s="1" t="s">
        <v>15</v>
      </c>
      <c r="C4065" s="1" t="s">
        <v>3589</v>
      </c>
      <c r="D4065" s="1" t="str">
        <f>IFERROR(__xludf.DUMMYFUNCTION("CONCATENATE(GOOGLETRANSLATE(C4065, ""en"", ""zh-cn""))"),"1/3 克拉钻石，槽镶 14K 白金新娘婚戒戒指（H-I，SI1-SI2），La4ve Diamonds 出品|女式真钻石首饰|含礼盒（圆形钻石，长方形宝石，蓝色蓝宝石长方形宝石）")</f>
        <v>1/3 克拉钻石，槽镶 14K 白金新娘婚戒戒指（H-I，SI1-SI2），La4ve Diamonds 出品|女式真钻石首饰|含礼盒（圆形钻石，长方形宝石，蓝色蓝宝石长方形宝石）</v>
      </c>
      <c r="E4065" s="1" t="str">
        <f>IFERROR(__xludf.DUMMYFUNCTION("CONCATENATE(GOOGLETRANSLATE(C4065, ""en"", ""ko""))"),"1/3 캐럿 다이아몬드, 채널 세트 14K 화이트 골드 신부 웨딩 밴드 링(H-I, SI1-SI2) by La4ve Diamonds|여성용 실제 다이아몬드 주얼리|선물 상자 포함(라운드 다이아몬드, 바게트, 블루 사파이어 바게트)")</f>
        <v>1/3 캐럿 다이아몬드, 채널 세트 14K 화이트 골드 신부 웨딩 밴드 링(H-I, SI1-SI2) by La4ve Diamonds|여성용 실제 다이아몬드 주얼리|선물 상자 포함(라운드 다이아몬드, 바게트, 블루 사파이어 바게트)</v>
      </c>
      <c r="F4065" s="1" t="str">
        <f>IFERROR(__xludf.DUMMYFUNCTION("CONCATENATE(GOOGLETRANSLATE(C4065, ""en"", ""ja""))"),"1/3 カラット ダイヤモンド、チャネルセット 14K ホワイト ゴールド ブライダル ウェディング バンド リング (H-I、SI1-SI2) La4ve Diamonds 製|本物のダイヤモンド ジュエリー 女性用|ギフトボックス付き (ラウンド ダイヤモンド、バゲット、ブルー サファイア バゲット)")</f>
        <v>1/3 カラット ダイヤモンド、チャネルセット 14K ホワイト ゴールド ブライダル ウェディング バンド リング (H-I、SI1-SI2) La4ve Diamonds 製|本物のダイヤモンド ジュエリー 女性用|ギフトボックス付き (ラウンド ダイヤモンド、バゲット、ブルー サファイア バゲット)</v>
      </c>
    </row>
    <row r="4066" ht="15.75" customHeight="1">
      <c r="A4066" s="1">
        <v>4105.0</v>
      </c>
      <c r="B4066" s="1" t="s">
        <v>15</v>
      </c>
      <c r="C4066" s="1" t="s">
        <v>3590</v>
      </c>
      <c r="D4066" s="1" t="str">
        <f>IFERROR(__xludf.DUMMYFUNCTION("CONCATENATE(GOOGLETRANSLATE(C4066, ""en"", ""zh-cn""))"),"SEIKO SRPG13 Prospex 男士手表绿色 42.4 毫米不锈钢")</f>
        <v>SEIKO SRPG13 Prospex 男士手表绿色 42.4 毫米不锈钢</v>
      </c>
      <c r="E4066" s="1" t="str">
        <f>IFERROR(__xludf.DUMMYFUNCTION("CONCATENATE(GOOGLETRANSLATE(C4066, ""en"", ""ko""))"),"SEIKO SRPG13 Prospex 남성용 시계 그린 42.4mm 스테인리스 스틸")</f>
        <v>SEIKO SRPG13 Prospex 남성용 시계 그린 42.4mm 스테인리스 스틸</v>
      </c>
      <c r="F4066" s="1" t="str">
        <f>IFERROR(__xludf.DUMMYFUNCTION("CONCATENATE(GOOGLETRANSLATE(C4066, ""en"", ""ja""))"),"セイコー SRPG13 プロスペックス メンズ 腕時計 グリーン 42.4mm ステンレススチール")</f>
        <v>セイコー SRPG13 プロスペックス メンズ 腕時計 グリーン 42.4mm ステンレススチール</v>
      </c>
    </row>
    <row r="4067" ht="15.75" customHeight="1">
      <c r="A4067" s="1">
        <v>4137.0</v>
      </c>
      <c r="B4067" s="1" t="s">
        <v>15</v>
      </c>
      <c r="C4067" s="1" t="s">
        <v>3591</v>
      </c>
      <c r="D4067" s="1" t="str">
        <f>IFERROR(__xludf.DUMMYFUNCTION("CONCATENATE(GOOGLETRANSLATE(C4067, ""en"", ""zh-cn""))"),"Seiko 男士 Prospex - 太阳能“Tuna”PADI 潜水手表模拟/数字")</f>
        <v>Seiko 男士 Prospex - 太阳能“Tuna”PADI 潜水手表模拟/数字</v>
      </c>
      <c r="E4067" s="1" t="str">
        <f>IFERROR(__xludf.DUMMYFUNCTION("CONCATENATE(GOOGLETRANSLATE(C4067, ""en"", ""ko""))"),"세이코 맨 프로스펙스 - Solar 'Tuna' PADI 다이브 시계 아날로그/디지털")</f>
        <v>세이코 맨 프로스펙스 - Solar 'Tuna' PADI 다이브 시계 아날로그/디지털</v>
      </c>
      <c r="F4067" s="1" t="str">
        <f>IFERROR(__xludf.DUMMYFUNCTION("CONCATENATE(GOOGLETRANSLATE(C4067, ""en"", ""ja""))"),"セイコー メンズ プロスペックス - ソーラー 'Tuna' PADI ダイブウォッチ アナログ/デジタル")</f>
        <v>セイコー メンズ プロスペックス - ソーラー 'Tuna' PADI ダイブウォッチ アナログ/デジタル</v>
      </c>
    </row>
    <row r="4068" ht="15.75" customHeight="1">
      <c r="A4068" s="1">
        <v>4145.0</v>
      </c>
      <c r="B4068" s="1" t="s">
        <v>15</v>
      </c>
      <c r="C4068" s="1" t="s">
        <v>3592</v>
      </c>
      <c r="D4068" s="1" t="str">
        <f>IFERROR(__xludf.DUMMYFUNCTION("CONCATENATE(GOOGLETRANSLATE(C4068, ""en"", ""zh-cn""))"),"卡西欧 G-Shock G-Steel GST-B300-1AJF 碳芯卫士太阳能男士手表（日本国内正品）")</f>
        <v>卡西欧 G-Shock G-Steel GST-B300-1AJF 碳芯卫士太阳能男士手表（日本国内正品）</v>
      </c>
      <c r="E4068" s="1" t="str">
        <f>IFERROR(__xludf.DUMMYFUNCTION("CONCATENATE(GOOGLETRANSLATE(C4068, ""en"", ""ko""))"),"카시오 G-Shock G-스틸 GST-B300-1AJF Carbon Core Guard Solar 남성용 시계 (일본 국내 정품 제품)")</f>
        <v>카시오 G-Shock G-스틸 GST-B300-1AJF Carbon Core Guard Solar 남성용 시계 (일본 국내 정품 제품)</v>
      </c>
      <c r="F4068" s="1" t="str">
        <f>IFERROR(__xludf.DUMMYFUNCTION("CONCATENATE(GOOGLETRANSLATE(C4068, ""en"", ""ja""))"),"[カシオ] 腕時計 Gショック Gスチール GST-B300-1AJF カーボンコアガード ソーラー メンズ (日本国内正規品)")</f>
        <v>[カシオ] 腕時計 Gショック Gスチール GST-B300-1AJF カーボンコアガード ソーラー メンズ (日本国内正規品)</v>
      </c>
    </row>
    <row r="4069" ht="15.75" customHeight="1">
      <c r="A4069" s="1">
        <v>4158.0</v>
      </c>
      <c r="B4069" s="1" t="s">
        <v>15</v>
      </c>
      <c r="C4069" s="1" t="s">
        <v>3593</v>
      </c>
      <c r="D4069" s="1" t="str">
        <f>IFERROR(__xludf.DUMMYFUNCTION("CONCATENATE(GOOGLETRANSLATE(C4069, ""en"", ""zh-cn""))"),"三星 Galaxy Watch 5 40 毫米蓝牙智能手表，带身体、健康、健身和睡眠跟踪器，改进的电池，蓝宝石水晶玻璃，增强型 GPS 跟踪，美国版，玫瑰金边框带粉色表带")</f>
        <v>三星 Galaxy Watch 5 40 毫米蓝牙智能手表，带身体、健康、健身和睡眠跟踪器，改进的电池，蓝宝石水晶玻璃，增强型 GPS 跟踪，美国版，玫瑰金边框带粉色表带</v>
      </c>
      <c r="E4069" s="1" t="str">
        <f>IFERROR(__xludf.DUMMYFUNCTION("CONCATENATE(GOOGLETRANSLATE(C4069, ""en"", ""ko""))"),"SAMSUNG Galaxy Watch 5 40mm 블루투스 스마트워치 신체, 건강, 피트니스 및 수면 추적기 포함, 향상된 배터리, 사파이어 크리스탈 유리, 향상된 GPS 추적, 미국 버전, 핑크 골드 베젤 포함 핑크 밴드")</f>
        <v>SAMSUNG Galaxy Watch 5 40mm 블루투스 스마트워치 신체, 건강, 피트니스 및 수면 추적기 포함, 향상된 배터리, 사파이어 크리스탈 유리, 향상된 GPS 추적, 미국 버전, 핑크 골드 베젤 포함 핑크 밴드</v>
      </c>
      <c r="F4069" s="1" t="str">
        <f>IFERROR(__xludf.DUMMYFUNCTION("CONCATENATE(GOOGLETRANSLATE(C4069, ""en"", ""ja""))"),"SAMSUNG Galaxy Watch 5 40mm Bluetooth スマートウォッチ、ボディ、健康、フィットネス、睡眠トラッカー、改良されたバッテリー、サファイアクリスタルガラス、強化された GPS トラッキング、US バージョン、ピンクゴールドベゼル、ピンクバンド付き")</f>
        <v>SAMSUNG Galaxy Watch 5 40mm Bluetooth スマートウォッチ、ボディ、健康、フィットネス、睡眠トラッカー、改良されたバッテリー、サファイアクリスタルガラス、強化された GPS トラッキング、US バージョン、ピンクゴールドベゼル、ピンクバンド付き</v>
      </c>
    </row>
    <row r="4070" ht="15.75" customHeight="1">
      <c r="A4070" s="1">
        <v>4168.0</v>
      </c>
      <c r="B4070" s="1" t="s">
        <v>15</v>
      </c>
      <c r="C4070" s="1" t="s">
        <v>3594</v>
      </c>
      <c r="D4070" s="1" t="str">
        <f>IFERROR(__xludf.DUMMYFUNCTION("CONCATENATE(GOOGLETRANSLATE(C4070, ""en"", ""zh-cn""))"),"Seiko 男士 SSC139 Excelsior 青铜色和银色不锈钢太阳能手表")</f>
        <v>Seiko 男士 SSC139 Excelsior 青铜色和银色不锈钢太阳能手表</v>
      </c>
      <c r="E4070" s="1" t="str">
        <f>IFERROR(__xludf.DUMMYFUNCTION("CONCATENATE(GOOGLETRANSLATE(C4070, ""en"", ""ko""))"),"세이코 남성용 SSC139 엑셀시어 건메탈 및 실버 톤 스테인리스 스틸 태양광 시계")</f>
        <v>세이코 남성용 SSC139 엑셀시어 건메탈 및 실버 톤 스테인리스 스틸 태양광 시계</v>
      </c>
      <c r="F4070" s="1" t="str">
        <f>IFERROR(__xludf.DUMMYFUNCTION("CONCATENATE(GOOGLETRANSLATE(C4070, ""en"", ""ja""))"),"セイコー メンズ SSC139 エクセルシオール ガンメタルとシルバートーンのステンレススチール ソーラー ウォッチ")</f>
        <v>セイコー メンズ SSC139 エクセルシオール ガンメタルとシルバートーンのステンレススチール ソーラー ウォッチ</v>
      </c>
    </row>
    <row r="4071" ht="15.75" customHeight="1">
      <c r="A4071" s="1">
        <v>4170.0</v>
      </c>
      <c r="B4071" s="1" t="s">
        <v>15</v>
      </c>
      <c r="C4071" s="1" t="s">
        <v>3595</v>
      </c>
      <c r="D4071" s="1" t="str">
        <f>IFERROR(__xludf.DUMMYFUNCTION("CONCATENATE(GOOGLETRANSLATE(C4071, ""en"", ""zh-cn""))"),"三星 Galaxy Watch 5 44 毫米蓝牙智能手表带身体，健康、健身和睡眠追踪器，改进的电池，蓝宝石水晶玻璃，增强型 GPS 跟踪，美国版，蓝色")</f>
        <v>三星 Galaxy Watch 5 44 毫米蓝牙智能手表带身体，健康、健身和睡眠追踪器，改进的电池，蓝宝石水晶玻璃，增强型 GPS 跟踪，美国版，蓝色</v>
      </c>
      <c r="E4071" s="1" t="str">
        <f>IFERROR(__xludf.DUMMYFUNCTION("CONCATENATE(GOOGLETRANSLATE(C4071, ""en"", ""ko""))"),"SAMSUNG Galaxy Watch 5 44mm 블루투스 스마트워치 신체, 건강, 피트니스 및 수면 추적기 포함, 향상된 배터리, 사파이어 크리스탈 유리, 향상된 GPS 추적, 미국 버전, 블루")</f>
        <v>SAMSUNG Galaxy Watch 5 44mm 블루투스 스마트워치 신체, 건강, 피트니스 및 수면 추적기 포함, 향상된 배터리, 사파이어 크리스탈 유리, 향상된 GPS 추적, 미국 버전, 블루</v>
      </c>
      <c r="F4071" s="1" t="str">
        <f>IFERROR(__xludf.DUMMYFUNCTION("CONCATENATE(GOOGLETRANSLATE(C4071, ""en"", ""ja""))"),"SAMSUNG Galaxy Watch 5 44mm Bluetooth スマートウォッチ、ボディ、健康、フィットネス、睡眠トラッカー、改良されたバッテリー、サファイアクリスタルガラス、強化された GPS 追跡、米国バージョン、ブルー")</f>
        <v>SAMSUNG Galaxy Watch 5 44mm Bluetooth スマートウォッチ、ボディ、健康、フィットネス、睡眠トラッカー、改良されたバッテリー、サファイアクリスタルガラス、強化された GPS 追跡、米国バージョン、ブルー</v>
      </c>
    </row>
    <row r="4072" ht="15.75" customHeight="1">
      <c r="A4072" s="1">
        <v>4176.0</v>
      </c>
      <c r="B4072" s="1" t="s">
        <v>15</v>
      </c>
      <c r="C4072" s="1" t="s">
        <v>3596</v>
      </c>
      <c r="D4072" s="1" t="str">
        <f>IFERROR(__xludf.DUMMYFUNCTION("CONCATENATE(GOOGLETRANSLATE(C4072, ""en"", ""zh-cn""))"),"Luminox 男士 Bear Grylls 生存黑色/橙色 42 毫米模拟潜水手表")</f>
        <v>Luminox 男士 Bear Grylls 生存黑色/橙色 42 毫米模拟潜水手表</v>
      </c>
      <c r="E4072" s="1" t="str">
        <f>IFERROR(__xludf.DUMMYFUNCTION("CONCATENATE(GOOGLETRANSLATE(C4072, ""en"", ""ko""))"),"Luminox 남성용 Bear Grylls 서바이벌 블랙/오렌지 42mm 아날로그 다이브 시계")</f>
        <v>Luminox 남성용 Bear Grylls 서바이벌 블랙/오렌지 42mm 아날로그 다이브 시계</v>
      </c>
      <c r="F4072" s="1" t="str">
        <f>IFERROR(__xludf.DUMMYFUNCTION("CONCATENATE(GOOGLETRANSLATE(C4072, ""en"", ""ja""))"),"ルミノックス メンズ ベア グリルス サバイバル ブラック/オレンジ 42mm アナログ ダイブウォッチ")</f>
        <v>ルミノックス メンズ ベア グリルス サバイバル ブラック/オレンジ 42mm アナログ ダイブウォッチ</v>
      </c>
    </row>
    <row r="4073" ht="15.75" customHeight="1">
      <c r="A4073" s="1">
        <v>4206.0</v>
      </c>
      <c r="B4073" s="1" t="s">
        <v>15</v>
      </c>
      <c r="C4073" s="1" t="s">
        <v>3597</v>
      </c>
      <c r="D4073" s="1" t="str">
        <f>IFERROR(__xludf.DUMMYFUNCTION("CONCATENATE(GOOGLETRANSLATE(C4073, ""en"", ""zh-cn""))"),"Seiko 男士模拟自动手表 Seiko 5 运动")</f>
        <v>Seiko 男士模拟自动手表 Seiko 5 运动</v>
      </c>
      <c r="E4073" s="1" t="str">
        <f>IFERROR(__xludf.DUMMYFUNCTION("CONCATENATE(GOOGLETRANSLATE(C4073, ""en"", ""ko""))"),"세이코 남성용 아날로그 오토매틱 시계 세이코 5 스포츠")</f>
        <v>세이코 남성용 아날로그 오토매틱 시계 세이코 5 스포츠</v>
      </c>
      <c r="F4073" s="1" t="str">
        <f>IFERROR(__xludf.DUMMYFUNCTION("CONCATENATE(GOOGLETRANSLATE(C4073, ""en"", ""ja""))"),"セイコー メンズ アナログ自動巻き時計 セイコー 5 スポーツ")</f>
        <v>セイコー メンズ アナログ自動巻き時計 セイコー 5 スポーツ</v>
      </c>
    </row>
    <row r="4074" ht="15.75" customHeight="1">
      <c r="A4074" s="1">
        <v>4207.0</v>
      </c>
      <c r="B4074" s="1" t="s">
        <v>15</v>
      </c>
      <c r="C4074" s="1" t="s">
        <v>3598</v>
      </c>
      <c r="D4074" s="1" t="str">
        <f>IFERROR(__xludf.DUMMYFUNCTION("CONCATENATE(GOOGLETRANSLATE(C4074, ""en"", ""zh-cn""))"),"FEICE 男士自动手表包豪斯手表男士机械手表不锈钢圆顶镜面模拟休闲正装手表男女通用 -FM202（42 毫米）")</f>
        <v>FEICE 男士自动手表包豪斯手表男士机械手表不锈钢圆顶镜面模拟休闲正装手表男女通用 -FM202（42 毫米）</v>
      </c>
      <c r="E4074" s="1" t="str">
        <f>IFERROR(__xludf.DUMMYFUNCTION("CONCATENATE(GOOGLETRANSLATE(C4074, ""en"", ""ko""))"),"FEICE 남성용 자동 시계 바우하우스 시계 남성용 기계식 시계 스테인레스 스틸 돔형 거울 아날로그 캐주얼 복장 시계 남여 -FM202 (42mm)")</f>
        <v>FEICE 남성용 자동 시계 바우하우스 시계 남성용 기계식 시계 스테인레스 스틸 돔형 거울 아날로그 캐주얼 복장 시계 남여 -FM202 (42mm)</v>
      </c>
      <c r="F4074" s="1" t="str">
        <f>IFERROR(__xludf.DUMMYFUNCTION("CONCATENATE(GOOGLETRANSLATE(C4074, ""en"", ""ja""))"),"FEICE 自動巻きメンズウォッチ バウハウスウォッチ メンズ機械式時計 ステンレススチール ドーム型ミラー アナログ カジュアル ドレスウォッチ ユニセックス -FM202 (42mm)")</f>
        <v>FEICE 自動巻きメンズウォッチ バウハウスウォッチ メンズ機械式時計 ステンレススチール ドーム型ミラー アナログ カジュアル ドレスウォッチ ユニセックス -FM202 (42mm)</v>
      </c>
    </row>
    <row r="4075" ht="15.75" customHeight="1">
      <c r="A4075" s="1">
        <v>4210.0</v>
      </c>
      <c r="B4075" s="1" t="s">
        <v>15</v>
      </c>
      <c r="C4075" s="1" t="s">
        <v>3599</v>
      </c>
      <c r="D4075" s="1" t="str">
        <f>IFERROR(__xludf.DUMMYFUNCTION("CONCATENATE(GOOGLETRANSLATE(C4075, ""en"", ""zh-cn""))"),"CASIO G-SHOCK GW-M5610RB-4JF 男士日本进口")</f>
        <v>CASIO G-SHOCK GW-M5610RB-4JF 男士日本进口</v>
      </c>
      <c r="E4075" s="1" t="str">
        <f>IFERROR(__xludf.DUMMYFUNCTION("CONCATENATE(GOOGLETRANSLATE(C4075, ""en"", ""ko""))"),"CASIO G-SHOCK GW-M5610RB-4JF 남성 일본 수입")</f>
        <v>CASIO G-SHOCK GW-M5610RB-4JF 남성 일본 수입</v>
      </c>
      <c r="F4075" s="1" t="str">
        <f>IFERROR(__xludf.DUMMYFUNCTION("CONCATENATE(GOOGLETRANSLATE(C4075, ""en"", ""ja""))"),"カシオ G-SHOCK GW-M5610RB-4JF メンズ 日本輸入")</f>
        <v>カシオ G-SHOCK GW-M5610RB-4JF メンズ 日本輸入</v>
      </c>
    </row>
    <row r="4076" ht="15.75" customHeight="1">
      <c r="A4076" s="1">
        <v>4213.0</v>
      </c>
      <c r="B4076" s="1" t="s">
        <v>15</v>
      </c>
      <c r="C4076" s="1" t="s">
        <v>3600</v>
      </c>
      <c r="D4076" s="1" t="str">
        <f>IFERROR(__xludf.DUMMYFUNCTION("CONCATENATE(GOOGLETRANSLATE(C4076, ""en"", ""zh-cn""))"),"SEIKO SRPD59 5 运动男士手表银色 42.5 毫米不锈钢")</f>
        <v>SEIKO SRPD59 5 运动男士手表银色 42.5 毫米不锈钢</v>
      </c>
      <c r="E4076" s="1" t="str">
        <f>IFERROR(__xludf.DUMMYFUNCTION("CONCATENATE(GOOGLETRANSLATE(C4076, ""en"", ""ko""))"),"SEIKO SRPD59 5 스포츠 남성용 시계 실버톤 42.5mm 스테인리스 스틸")</f>
        <v>SEIKO SRPD59 5 스포츠 남성용 시계 실버톤 42.5mm 스테인리스 스틸</v>
      </c>
      <c r="F4076" s="1" t="str">
        <f>IFERROR(__xludf.DUMMYFUNCTION("CONCATENATE(GOOGLETRANSLATE(C4076, ""en"", ""ja""))"),"セイコー SRPD59 5 スポーツ メンズ ウォッチ シルバートーン 42.5mm ステンレススチール")</f>
        <v>セイコー SRPD59 5 スポーツ メンズ ウォッチ シルバートーン 42.5mm ステンレススチール</v>
      </c>
    </row>
    <row r="4077" ht="15.75" customHeight="1">
      <c r="A4077" s="1">
        <v>4219.0</v>
      </c>
      <c r="B4077" s="1" t="s">
        <v>15</v>
      </c>
      <c r="C4077" s="1" t="s">
        <v>3601</v>
      </c>
      <c r="D4077" s="1" t="str">
        <f>IFERROR(__xludf.DUMMYFUNCTION("CONCATENATE(GOOGLETRANSLATE(C4077, ""en"", ""zh-cn""))"),"Amazfit T-Rex 2 男士智能手表，双频6卫星定位，24天续航，超低温运行，坚固耐用的户外GPS军用智能手表，实时导航-黑色")</f>
        <v>Amazfit T-Rex 2 男士智能手表，双频6卫星定位，24天续航，超低温运行，坚固耐用的户外GPS军用智能手表，实时导航-黑色</v>
      </c>
      <c r="E4077" s="1" t="str">
        <f>IFERROR(__xludf.DUMMYFUNCTION("CONCATENATE(GOOGLETRANSLATE(C4077, ""en"", ""ko""))"),"남성용 Amazfit T-Rex 2 스마트 시계, 듀얼 밴드 및 6개의 위성 위치 확인, 24일 배터리 수명, 초저온 작동, 견고한 실외 GPS 군용 스마트시계, 실시간 내비게이션-블랙")</f>
        <v>남성용 Amazfit T-Rex 2 스마트 시계, 듀얼 밴드 및 6개의 위성 위치 확인, 24일 배터리 수명, 초저온 작동, 견고한 실외 GPS 군용 스마트시계, 실시간 내비게이션-블랙</v>
      </c>
      <c r="F4077" s="1" t="str">
        <f>IFERROR(__xludf.DUMMYFUNCTION("CONCATENATE(GOOGLETRANSLATE(C4077, ""en"", ""ja""))"),"Amazfit T-Rex 2 スマートウォッチ男性用、デュアルバンド &amp; 6 衛星測位、24 日間のバッテリー寿命、超低温動作、頑丈な屋外 GPS ミリタリースマートウォッチ、リアルタイムナビゲーション-ブラック")</f>
        <v>Amazfit T-Rex 2 スマートウォッチ男性用、デュアルバンド &amp; 6 衛星測位、24 日間のバッテリー寿命、超低温動作、頑丈な屋外 GPS ミリタリースマートウォッチ、リアルタイムナビゲーション-ブラック</v>
      </c>
    </row>
    <row r="4078" ht="15.75" customHeight="1">
      <c r="A4078" s="1">
        <v>4225.0</v>
      </c>
      <c r="B4078" s="1" t="s">
        <v>15</v>
      </c>
      <c r="C4078" s="1" t="s">
        <v>3602</v>
      </c>
      <c r="D4078" s="1" t="str">
        <f>IFERROR(__xludf.DUMMYFUNCTION("CONCATENATE(GOOGLETRANSLATE(C4078, ""en"", ""zh-cn""))"),"施华洛世奇 Constella 水晶珠宝系列，金色饰面")</f>
        <v>施华洛世奇 Constella 水晶珠宝系列，金色饰面</v>
      </c>
      <c r="E4078" s="1" t="str">
        <f>IFERROR(__xludf.DUMMYFUNCTION("CONCATENATE(GOOGLETRANSLATE(C4078, ""en"", ""ko""))"),"Swarovski Constella 크리스탈 주얼리 컬렉션, 골드 톤 마감")</f>
        <v>Swarovski Constella 크리스탈 주얼리 컬렉션, 골드 톤 마감</v>
      </c>
      <c r="F4078" s="1" t="str">
        <f>IFERROR(__xludf.DUMMYFUNCTION("CONCATENATE(GOOGLETRANSLATE(C4078, ""en"", ""ja""))"),"スワロフスキー コンステラ クリスタル ジュエリー コレクション、ゴールドトーン仕上げ")</f>
        <v>スワロフスキー コンステラ クリスタル ジュエリー コレクション、ゴールドトーン仕上げ</v>
      </c>
    </row>
    <row r="4079" ht="15.75" customHeight="1">
      <c r="A4079" s="1">
        <v>4235.0</v>
      </c>
      <c r="B4079" s="1" t="s">
        <v>15</v>
      </c>
      <c r="C4079" s="1" t="s">
        <v>3603</v>
      </c>
      <c r="D4079" s="1" t="str">
        <f>IFERROR(__xludf.DUMMYFUNCTION("CONCATENATE(GOOGLETRANSLATE(C4079, ""en"", ""zh-cn""))"),"LOBINNI 时尚商务男士手表不锈钢防水自动机械手表男士，自动日期星期")</f>
        <v>LOBINNI 时尚商务男士手表不锈钢防水自动机械手表男士，自动日期星期</v>
      </c>
      <c r="E4079" s="1" t="str">
        <f>IFERROR(__xludf.DUMMYFUNCTION("CONCATENATE(GOOGLETRANSLATE(C4079, ""en"", ""ko""))"),"LOBINNI 패션 비즈니스 남성용 시계, 남성용 스테인레스 스틸 방수 자동 기계 시계, 자동 날짜 주간")</f>
        <v>LOBINNI 패션 비즈니스 남성용 시계, 남성용 스테인레스 스틸 방수 자동 기계 시계, 자동 날짜 주간</v>
      </c>
      <c r="F4079" s="1" t="str">
        <f>IFERROR(__xludf.DUMMYFUNCTION("CONCATENATE(GOOGLETRANSLATE(C4079, ""en"", ""ja""))"),"LOBINNI ファッション ビジネス メンズ腕時計、ステンレス鋼防水自動機械時計、自動日付週")</f>
        <v>LOBINNI ファッション ビジネス メンズ腕時計、ステンレス鋼防水自動機械時計、自動日付週</v>
      </c>
    </row>
    <row r="4080" ht="15.75" customHeight="1">
      <c r="A4080" s="1">
        <v>4238.0</v>
      </c>
      <c r="B4080" s="1" t="s">
        <v>15</v>
      </c>
      <c r="C4080" s="1" t="s">
        <v>3604</v>
      </c>
      <c r="D4080" s="1" t="str">
        <f>IFERROR(__xludf.DUMMYFUNCTION("CONCATENATE(GOOGLETRANSLATE(C4080, ""en"", ""zh-cn""))"),"施华洛世奇 (SWAROVSKI) 女士都市水晶腕表系列")</f>
        <v>施华洛世奇 (SWAROVSKI) 女士都市水晶腕表系列</v>
      </c>
      <c r="E4080" s="1" t="str">
        <f>IFERROR(__xludf.DUMMYFUNCTION("CONCATENATE(GOOGLETRANSLATE(C4080, ""en"", ""ko""))"),"SWAROVSKI 여성용 코스모폴리탄 크리스탈 시계 컬렉션")</f>
        <v>SWAROVSKI 여성용 코스모폴리탄 크리스탈 시계 컬렉션</v>
      </c>
      <c r="F4080" s="1" t="str">
        <f>IFERROR(__xludf.DUMMYFUNCTION("CONCATENATE(GOOGLETRANSLATE(C4080, ""en"", ""ja""))"),"スワロフスキー レディース コスモポリタン クリスタル ウォッチ コレクション")</f>
        <v>スワロフスキー レディース コスモポリタン クリスタル ウォッチ コレクション</v>
      </c>
    </row>
    <row r="4081" ht="15.75" customHeight="1">
      <c r="A4081" s="1">
        <v>4243.0</v>
      </c>
      <c r="B4081" s="1" t="s">
        <v>15</v>
      </c>
      <c r="C4081" s="1" t="s">
        <v>3605</v>
      </c>
      <c r="D4081" s="1" t="str">
        <f>IFERROR(__xludf.DUMMYFUNCTION("CONCATENATE(GOOGLETRANSLATE(C4081, ""en"", ""zh-cn""))"),"卡西欧 GM-S5600BR-5JF [G-Shock 青铜色主题型号] 手表 日本发货 2022 年 8 月 型号")</f>
        <v>卡西欧 GM-S5600BR-5JF [G-Shock 青铜色主题型号] 手表 日本发货 2022 年 8 月 型号</v>
      </c>
      <c r="E4081" s="1" t="str">
        <f>IFERROR(__xludf.DUMMYFUNCTION("CONCATENATE(GOOGLETRANSLATE(C4081, ""en"", ""ko""))"),"Casio GM-S5600BR-5JF [G-Shock 브론즈 컬러 테마 모델] 시계 2022년 8월 일본에서 출시 모델")</f>
        <v>Casio GM-S5600BR-5JF [G-Shock 브론즈 컬러 테마 모델] 시계 2022년 8월 일본에서 출시 모델</v>
      </c>
      <c r="F4081" s="1" t="str">
        <f>IFERROR(__xludf.DUMMYFUNCTION("CONCATENATE(GOOGLETRANSLATE(C4081, ""en"", ""ja""))"),"カシオ GM-S5600BR-5JF [G-Shock ブロンズカラーテーマモデル] 腕時計 日本国内発送 2022年8月モデル")</f>
        <v>カシオ GM-S5600BR-5JF [G-Shock ブロンズカラーテーマモデル] 腕時計 日本国内発送 2022年8月モデル</v>
      </c>
    </row>
    <row r="4082" ht="15.75" customHeight="1">
      <c r="A4082" s="1">
        <v>4252.0</v>
      </c>
      <c r="B4082" s="1" t="s">
        <v>15</v>
      </c>
      <c r="C4082" s="1" t="s">
        <v>3606</v>
      </c>
      <c r="D4082" s="1" t="str">
        <f>IFERROR(__xludf.DUMMYFUNCTION("CONCATENATE(GOOGLETRANSLATE(C4082, ""en"", ""zh-cn""))"),"Timex 男士探险潮汐温度指南针 45 毫米 TW2V22200VQ 石英手表")</f>
        <v>Timex 男士探险潮汐温度指南针 45 毫米 TW2V22200VQ 石英手表</v>
      </c>
      <c r="E4082" s="1" t="str">
        <f>IFERROR(__xludf.DUMMYFUNCTION("CONCATENATE(GOOGLETRANSLATE(C4082, ""en"", ""ko""))"),"타이멕스 남성용 원정 조수-온도-나침반 45mm TW2V22200VQ 쿼츠 시계")</f>
        <v>타이멕스 남성용 원정 조수-온도-나침반 45mm TW2V22200VQ 쿼츠 시계</v>
      </c>
      <c r="F4082" s="1" t="str">
        <f>IFERROR(__xludf.DUMMYFUNCTION("CONCATENATE(GOOGLETRANSLATE(C4082, ""en"", ""ja""))"),"タイメックス メンズ エクスペディション潮温コンパス 45mm TW2V22200VQ クォーツ時計")</f>
        <v>タイメックス メンズ エクスペディション潮温コンパス 45mm TW2V22200VQ クォーツ時計</v>
      </c>
    </row>
    <row r="4083" ht="15.75" customHeight="1">
      <c r="A4083" s="1">
        <v>4261.0</v>
      </c>
      <c r="B4083" s="1" t="s">
        <v>15</v>
      </c>
      <c r="C4083" s="1" t="s">
        <v>3607</v>
      </c>
      <c r="D4083" s="1" t="str">
        <f>IFERROR(__xludf.DUMMYFUNCTION("CONCATENATE(GOOGLETRANSLATE(C4083, ""en"", ""zh-cn""))"),"SEIKO 男士模拟自动手表带织物表带 SNZG11K1")</f>
        <v>SEIKO 男士模拟自动手表带织物表带 SNZG11K1</v>
      </c>
      <c r="E4083" s="1" t="str">
        <f>IFERROR(__xludf.DUMMYFUNCTION("CONCATENATE(GOOGLETRANSLATE(C4083, ""en"", ""ko""))"),"SEIKO 남성용 아날로그 오토매틱 시계(텍스타일 스트랩 포함) SNZG11K1")</f>
        <v>SEIKO 남성용 아날로그 오토매틱 시계(텍스타일 스트랩 포함) SNZG11K1</v>
      </c>
      <c r="F4083" s="1" t="str">
        <f>IFERROR(__xludf.DUMMYFUNCTION("CONCATENATE(GOOGLETRANSLATE(C4083, ""en"", ""ja""))"),"SEIKO メンズ アナログ自動巻き時計 テキスタイルストラップ付き SNZG11K1")</f>
        <v>SEIKO メンズ アナログ自動巻き時計 テキスタイルストラップ付き SNZG11K1</v>
      </c>
    </row>
    <row r="4084" ht="15.75" customHeight="1">
      <c r="A4084" s="1">
        <v>4271.0</v>
      </c>
      <c r="B4084" s="1" t="s">
        <v>15</v>
      </c>
      <c r="C4084" s="1" t="s">
        <v>3608</v>
      </c>
      <c r="D4084" s="1" t="str">
        <f>IFERROR(__xludf.DUMMYFUNCTION("CONCATENATE(GOOGLETRANSLATE(C4084, ""en"", ""zh-cn""))"),"Kendra Scott 长方形 Elle 吊式耳环")</f>
        <v>Kendra Scott 长方形 Elle 吊式耳环</v>
      </c>
      <c r="E4084" s="1" t="str">
        <f>IFERROR(__xludf.DUMMYFUNCTION("CONCATENATE(GOOGLETRANSLATE(C4084, ""en"", ""ko""))"),"Kendra Scott 바게트 엘르 드롭 이어링")</f>
        <v>Kendra Scott 바게트 엘르 드롭 이어링</v>
      </c>
      <c r="F4084" s="1" t="str">
        <f>IFERROR(__xludf.DUMMYFUNCTION("CONCATENATE(GOOGLETRANSLATE(C4084, ""en"", ""ja""))"),"ケンドラ スコット バゲット エル ドロップ イヤリング")</f>
        <v>ケンドラ スコット バゲット エル ドロップ イヤリング</v>
      </c>
    </row>
    <row r="4085" ht="15.75" customHeight="1">
      <c r="A4085" s="1">
        <v>4282.0</v>
      </c>
      <c r="B4085" s="1" t="s">
        <v>15</v>
      </c>
      <c r="C4085" s="1" t="s">
        <v>3609</v>
      </c>
      <c r="D4085" s="1" t="str">
        <f>IFERROR(__xludf.DUMMYFUNCTION("CONCATENATE(GOOGLETRANSLATE(C4085, ""en"", ""zh-cn""))"),"施华洛世奇儿童，曼达洛雕像，绿色和金色水晶，施华洛世奇星球大战系列的一部分")</f>
        <v>施华洛世奇儿童，曼达洛雕像，绿色和金色水晶，施华洛世奇星球大战系列的一部分</v>
      </c>
      <c r="E4085" s="1" t="str">
        <f>IFERROR(__xludf.DUMMYFUNCTION("CONCATENATE(GOOGLETRANSLATE(C4085, ""en"", ""ko""))"),"스와로브스키 더 차일드, 만달로리안 조각상, 녹색 및 금색 톤 크리스털, 스와로브스키 스타워즈 컬렉션의 일부")</f>
        <v>스와로브스키 더 차일드, 만달로리안 조각상, 녹색 및 금색 톤 크리스털, 스와로브스키 스타워즈 컬렉션의 일부</v>
      </c>
      <c r="F4085" s="1" t="str">
        <f>IFERROR(__xludf.DUMMYFUNCTION("CONCATENATE(GOOGLETRANSLATE(C4085, ""en"", ""ja""))"),"スワロフスキー・ザ・チャイルド、マンダロリアンの置物、グリーンとゴールドトーンのクリスタル、スワロフスキー・スター・ウォーズ・コレクションの一部")</f>
        <v>スワロフスキー・ザ・チャイルド、マンダロリアンの置物、グリーンとゴールドトーンのクリスタル、スワロフスキー・スター・ウォーズ・コレクションの一部</v>
      </c>
    </row>
    <row r="4086" ht="15.75" customHeight="1">
      <c r="A4086" s="1">
        <v>4309.0</v>
      </c>
      <c r="B4086" s="1" t="s">
        <v>15</v>
      </c>
      <c r="C4086" s="1" t="s">
        <v>3610</v>
      </c>
      <c r="D4086" s="1" t="str">
        <f>IFERROR(__xludf.DUMMYFUNCTION("CONCATENATE(GOOGLETRANSLATE(C4086, ""en"", ""zh-cn""))"),"卡西欧 G-Shock 男士手表 GD-120MB-1ER")</f>
        <v>卡西欧 G-Shock 男士手表 GD-120MB-1ER</v>
      </c>
      <c r="E4086" s="1" t="str">
        <f>IFERROR(__xludf.DUMMYFUNCTION("CONCATENATE(GOOGLETRANSLATE(C4086, ""en"", ""ko""))"),"카시오 G-Shock 남성용 시계 GD-120MB-1ER")</f>
        <v>카시오 G-Shock 남성용 시계 GD-120MB-1ER</v>
      </c>
      <c r="F4086" s="1" t="str">
        <f>IFERROR(__xludf.DUMMYFUNCTION("CONCATENATE(GOOGLETRANSLATE(C4086, ""en"", ""ja""))"),"カシオ Gショック メンズ 腕時計 GD-120MB-1ER")</f>
        <v>カシオ Gショック メンズ 腕時計 GD-120MB-1ER</v>
      </c>
    </row>
    <row r="4087" ht="15.75" customHeight="1">
      <c r="A4087" s="1">
        <v>4310.0</v>
      </c>
      <c r="B4087" s="1" t="s">
        <v>15</v>
      </c>
      <c r="C4087" s="1" t="s">
        <v>3611</v>
      </c>
      <c r="D4087" s="1" t="str">
        <f>IFERROR(__xludf.DUMMYFUNCTION("CONCATENATE(GOOGLETRANSLATE(C4087, ""en"", ""zh-cn""))"),"肯德拉·斯科特·雷顿 (Kendra Scott Layton) 个性耳环")</f>
        <v>肯德拉·斯科特·雷顿 (Kendra Scott Layton) 个性耳环</v>
      </c>
      <c r="E4087" s="1" t="str">
        <f>IFERROR(__xludf.DUMMYFUNCTION("CONCATENATE(GOOGLETRANSLATE(C4087, ""en"", ""ko""))"),"Kendra Scott 레이튼 스테이트먼트 귀걸이")</f>
        <v>Kendra Scott 레이튼 스테이트먼트 귀걸이</v>
      </c>
      <c r="F4087" s="1" t="str">
        <f>IFERROR(__xludf.DUMMYFUNCTION("CONCATENATE(GOOGLETRANSLATE(C4087, ""en"", ""ja""))"),"ケンドラ スコット レイトン ステートメント イヤリング")</f>
        <v>ケンドラ スコット レイトン ステートメント イヤリング</v>
      </c>
    </row>
    <row r="4088" ht="15.75" customHeight="1">
      <c r="A4088" s="1">
        <v>4317.0</v>
      </c>
      <c r="B4088" s="1" t="s">
        <v>15</v>
      </c>
      <c r="C4088" s="1" t="s">
        <v>3612</v>
      </c>
      <c r="D4088" s="1" t="str">
        <f>IFERROR(__xludf.DUMMYFUNCTION("CONCATENATE(GOOGLETRANSLATE(C4088, ""en"", ""zh-cn""))"),"施华洛世奇 Hear Heart 珠宝系列，透明水晶（亚马逊独家）")</f>
        <v>施华洛世奇 Hear Heart 珠宝系列，透明水晶（亚马逊独家）</v>
      </c>
      <c r="E4088" s="1" t="str">
        <f>IFERROR(__xludf.DUMMYFUNCTION("CONCATENATE(GOOGLETRANSLATE(C4088, ""en"", ""ko""))"),"스와로브스키 히어 하트 주얼리 컬렉션, 클리어 크리스털(아마존 독점)")</f>
        <v>스와로브스키 히어 하트 주얼리 컬렉션, 클리어 크리스털(아마존 독점)</v>
      </c>
      <c r="F4088" s="1" t="str">
        <f>IFERROR(__xludf.DUMMYFUNCTION("CONCATENATE(GOOGLETRANSLATE(C4088, ""en"", ""ja""))"),"スワロフスキー ヒア ハート ジュエリー コレクション、クリア クリスタル (Amazon限定)")</f>
        <v>スワロフスキー ヒア ハート ジュエリー コレクション、クリア クリスタル (Amazon限定)</v>
      </c>
    </row>
    <row r="4089" ht="15.75" customHeight="1">
      <c r="A4089" s="1">
        <v>4325.0</v>
      </c>
      <c r="B4089" s="1" t="s">
        <v>15</v>
      </c>
      <c r="C4089" s="1" t="s">
        <v>3613</v>
      </c>
      <c r="D4089" s="1" t="str">
        <f>IFERROR(__xludf.DUMMYFUNCTION("CONCATENATE(GOOGLETRANSLATE(C4089, ""en"", ""zh-cn""))"),"Casio G-Shock DW-5600WM-5JF [实用波浪大理石纹]")</f>
        <v>Casio G-Shock DW-5600WM-5JF [实用波浪大理石纹]</v>
      </c>
      <c r="E4089" s="1" t="str">
        <f>IFERROR(__xludf.DUMMYFUNCTION("CONCATENATE(GOOGLETRANSLATE(C4089, ""en"", ""ko""))"),"카시오 G-Shock DW-5600WM-5JF [유틸리티 웨이브 대리석]")</f>
        <v>카시오 G-Shock DW-5600WM-5JF [유틸리티 웨이브 대리석]</v>
      </c>
      <c r="F4089" s="1" t="str">
        <f>IFERROR(__xludf.DUMMYFUNCTION("CONCATENATE(GOOGLETRANSLATE(C4089, ""en"", ""ja""))"),"カシオ Gショック DW-5600WM-5JF [ユーティリティ ウェイビーマーブル]")</f>
        <v>カシオ Gショック DW-5600WM-5JF [ユーティリティ ウェイビーマーブル]</v>
      </c>
    </row>
    <row r="4090" ht="15.75" customHeight="1">
      <c r="A4090" s="1">
        <v>4332.0</v>
      </c>
      <c r="B4090" s="1" t="s">
        <v>15</v>
      </c>
      <c r="C4090" s="1" t="s">
        <v>2786</v>
      </c>
      <c r="D4090" s="1" t="str">
        <f>IFERROR(__xludf.DUMMYFUNCTION("CONCATENATE(GOOGLETRANSLATE(C4090, ""en"", ""zh-cn""))"),"HUGO #First 男士石英不锈钢链式手链休闲手表，颜色：黑色（型号：1530187）")</f>
        <v>HUGO #First 男士石英不锈钢链式手链休闲手表，颜色：黑色（型号：1530187）</v>
      </c>
      <c r="E4090" s="1" t="str">
        <f>IFERROR(__xludf.DUMMYFUNCTION("CONCATENATE(GOOGLETRANSLATE(C4090, ""en"", ""ko""))"),"HUGO #First 남성용 쿼츠 스테인리스 스틸 및 링크 팔찌 캐주얼 시계, 색상: 블랙(모델: 1530187)")</f>
        <v>HUGO #First 남성용 쿼츠 스테인리스 스틸 및 링크 팔찌 캐주얼 시계, 색상: 블랙(모델: 1530187)</v>
      </c>
      <c r="F4090" s="1" t="str">
        <f>IFERROR(__xludf.DUMMYFUNCTION("CONCATENATE(GOOGLETRANSLATE(C4090, ""en"", ""ja""))"),"HUGO #First メンズ クォーツ ステンレススチールとリンク ブレスレット カジュアルウォッチ、カラー: ブラック (モデル: 1530187)")</f>
        <v>HUGO #First メンズ クォーツ ステンレススチールとリンク ブレスレット カジュアルウォッチ、カラー: ブラック (モデル: 1530187)</v>
      </c>
    </row>
    <row r="4091" ht="15.75" customHeight="1">
      <c r="A4091" s="1">
        <v>4338.0</v>
      </c>
      <c r="B4091" s="1" t="s">
        <v>15</v>
      </c>
      <c r="C4091" s="1" t="s">
        <v>2317</v>
      </c>
      <c r="D4091" s="1" t="str">
        <f>IFERROR(__xludf.DUMMYFUNCTION("CONCATENATE(GOOGLETRANSLATE(C4091, ""en"", ""zh-cn""))"),"Luminox 男士 0201.SL Sentry 0200 黑色表壳带夜光装饰，黑色橡胶表带手表")</f>
        <v>Luminox 男士 0201.SL Sentry 0200 黑色表壳带夜光装饰，黑色橡胶表带手表</v>
      </c>
      <c r="E4091" s="1" t="str">
        <f>IFERROR(__xludf.DUMMYFUNCTION("CONCATENATE(GOOGLETRANSLATE(C4091, ""en"", ""ko""))"),"Luminox 남성용 0201.SL Sentry 0200 야광 액센트가 있는 블랙 케이스, 블랙 고무 밴드 시계")</f>
        <v>Luminox 남성용 0201.SL Sentry 0200 야광 액센트가 있는 블랙 케이스, 블랙 고무 밴드 시계</v>
      </c>
      <c r="F4091" s="1" t="str">
        <f>IFERROR(__xludf.DUMMYFUNCTION("CONCATENATE(GOOGLETRANSLATE(C4091, ""en"", ""ja""))"),"ルミノックス メンズ 0201.SL セントリー 0200 ブラックケース、発光アクセント、ブラックラバーバンドウォッチ")</f>
        <v>ルミノックス メンズ 0201.SL セントリー 0200 ブラックケース、発光アクセント、ブラックラバーバンドウォッチ</v>
      </c>
    </row>
    <row r="4092" ht="15.75" customHeight="1">
      <c r="A4092" s="1">
        <v>4340.0</v>
      </c>
      <c r="B4092" s="1" t="s">
        <v>15</v>
      </c>
      <c r="C4092" s="1" t="s">
        <v>3614</v>
      </c>
      <c r="D4092" s="1" t="str">
        <f>IFERROR(__xludf.DUMMYFUNCTION("CONCATENATE(GOOGLETRANSLATE(C4092, ""en"", ""zh-cn""))"),"Invicta 男士 Pro Diver 自动手表带硅胶表带，黑色（型号 23678）")</f>
        <v>Invicta 男士 Pro Diver 自动手表带硅胶表带，黑色（型号 23678）</v>
      </c>
      <c r="E4092" s="1" t="str">
        <f>IFERROR(__xludf.DUMMYFUNCTION("CONCATENATE(GOOGLETRANSLATE(C4092, ""en"", ""ko""))"),"인빅타 남성용 프로 다이버 오토매틱 시계, 실리콘 밴드, 블랙(모델 23678)")</f>
        <v>인빅타 남성용 프로 다이버 오토매틱 시계, 실리콘 밴드, 블랙(모델 23678)</v>
      </c>
      <c r="F4092" s="1" t="str">
        <f>IFERROR(__xludf.DUMMYFUNCTION("CONCATENATE(GOOGLETRANSLATE(C4092, ""en"", ""ja""))"),"Invicta メンズ プロダイバー 自動巻き時計 シリコンバンド付き ブラック (モデル 23678)")</f>
        <v>Invicta メンズ プロダイバー 自動巻き時計 シリコンバンド付き ブラック (モデル 23678)</v>
      </c>
    </row>
    <row r="4093" ht="15.75" customHeight="1">
      <c r="A4093" s="1">
        <v>4350.0</v>
      </c>
      <c r="B4093" s="1" t="s">
        <v>15</v>
      </c>
      <c r="C4093" s="1" t="s">
        <v>3615</v>
      </c>
      <c r="D4093" s="1" t="str">
        <f>IFERROR(__xludf.DUMMYFUNCTION("CONCATENATE(GOOGLETRANSLATE(C4093, ""en"", ""zh-cn""))"),"施华洛世奇石戒指珠宝系列，粉色水晶，玫瑰金色调饰面")</f>
        <v>施华洛世奇石戒指珠宝系列，粉色水晶，玫瑰金色调饰面</v>
      </c>
      <c r="E4093" s="1" t="str">
        <f>IFERROR(__xludf.DUMMYFUNCTION("CONCATENATE(GOOGLETRANSLATE(C4093, ""en"", ""ko""))"),"스와로브스키 스톤 링 주얼리 컬렉션, 핑크 크리스털, 로즈 골드 톤 마감")</f>
        <v>스와로브스키 스톤 링 주얼리 컬렉션, 핑크 크리스털, 로즈 골드 톤 마감</v>
      </c>
      <c r="F4093" s="1" t="str">
        <f>IFERROR(__xludf.DUMMYFUNCTION("CONCATENATE(GOOGLETRANSLATE(C4093, ""en"", ""ja""))"),"スワロフスキー ストーン リング ジュエリー コレクション、ピンク クリスタル、ローズゴールドトーン仕上げ")</f>
        <v>スワロフスキー ストーン リング ジュエリー コレクション、ピンク クリスタル、ローズゴールドトーン仕上げ</v>
      </c>
    </row>
    <row r="4094" ht="15.75" customHeight="1">
      <c r="A4094" s="1">
        <v>4357.0</v>
      </c>
      <c r="B4094" s="1" t="s">
        <v>15</v>
      </c>
      <c r="C4094" s="1" t="s">
        <v>2177</v>
      </c>
      <c r="D4094" s="1" t="str">
        <f>IFERROR(__xludf.DUMMYFUNCTION("CONCATENATE(GOOGLETRANSLATE(C4094, ""en"", ""zh-cn""))"),"Casa Andrea Milano 现代大型天鹅绒布艺组合沙发，L 形沙发，带超宽躺椅，黑色")</f>
        <v>Casa Andrea Milano 现代大型天鹅绒布艺组合沙发，L 形沙发，带超宽躺椅，黑色</v>
      </c>
      <c r="E4094" s="1" t="str">
        <f>IFERROR(__xludf.DUMMYFUNCTION("CONCATENATE(GOOGLETRANSLATE(C4094, ""en"", ""ko""))"),"Casa Andrea Milano 현대적인 대형 벨벳 패브릭 단면 소파, 매우 넓은 긴 의자 라운지가 있는 L자형 소파, 블랙")</f>
        <v>Casa Andrea Milano 현대적인 대형 벨벳 패브릭 단면 소파, 매우 넓은 긴 의자 라운지가 있는 L자형 소파, 블랙</v>
      </c>
      <c r="F4094" s="1" t="str">
        <f>IFERROR(__xludf.DUMMYFUNCTION("CONCATENATE(GOOGLETRANSLATE(C4094, ""en"", ""ja""))"),"Casa Andrea Milano モダンな大型ベルベット生地セクショナルソファ、L字型ソファ、幅広の長椅子付き、ブラック")</f>
        <v>Casa Andrea Milano モダンな大型ベルベット生地セクショナルソファ、L字型ソファ、幅広の長椅子付き、ブラック</v>
      </c>
    </row>
    <row r="4095" ht="15.75" customHeight="1">
      <c r="A4095" s="1">
        <v>4369.0</v>
      </c>
      <c r="B4095" s="1" t="s">
        <v>15</v>
      </c>
      <c r="C4095" s="1" t="s">
        <v>3616</v>
      </c>
      <c r="D4095" s="1" t="str">
        <f>IFERROR(__xludf.DUMMYFUNCTION("CONCATENATE(GOOGLETRANSLATE(C4095, ""en"", ""zh-cn""))"),"SZUBEE 8888 L 形组合沙发客厅家具深扣簇绒天鹅绒软垫卷臂经典切斯特菲尔德 含 3 个枕头，灰色")</f>
        <v>SZUBEE 8888 L 形组合沙发客厅家具深扣簇绒天鹅绒软垫卷臂经典切斯特菲尔德 含 3 个枕头，灰色</v>
      </c>
      <c r="E4095" s="1" t="str">
        <f>IFERROR(__xludf.DUMMYFUNCTION("CONCATENATE(GOOGLETRANSLATE(C4095, ""en"", ""ko""))"),"SZUBEE 8888 L 모양의 단면 소파 거실 가구 깊은 단추 술을 단 벨벳 덮개를 씌운 압연 팔 클래식 체스터필드 베개 3개 포함, 회색")</f>
        <v>SZUBEE 8888 L 모양의 단면 소파 거실 가구 깊은 단추 술을 단 벨벳 덮개를 씌운 압연 팔 클래식 체스터필드 베개 3개 포함, 회색</v>
      </c>
      <c r="F4095" s="1" t="str">
        <f>IFERROR(__xludf.DUMMYFUNCTION("CONCATENATE(GOOGLETRANSLATE(C4095, ""en"", ""ja""))"),"SZUBEE 8888 L字型セクショナルソファ リビングルーム家具 ディープボタン 房状ベルベット布張り ロールアーム クラシックチェスターフィールド 枕3個付き グレー")</f>
        <v>SZUBEE 8888 L字型セクショナルソファ リビングルーム家具 ディープボタン 房状ベルベット布張り ロールアーム クラシックチェスターフィールド 枕3個付き グレー</v>
      </c>
    </row>
    <row r="4096" ht="15.75" customHeight="1">
      <c r="A4096" s="1">
        <v>4378.0</v>
      </c>
      <c r="B4096" s="1" t="s">
        <v>15</v>
      </c>
      <c r="C4096" s="1" t="s">
        <v>3090</v>
      </c>
      <c r="D4096" s="1" t="str">
        <f>IFERROR(__xludf.DUMMYFUNCTION("CONCATENATE(GOOGLETRANSLATE(C4096, ""en"", ""zh-cn""))"),"CHITA 中世纪沙发 74.4 英寸宽沙发套，适用于客厅公寓，易于组装，亚麻米色")</f>
        <v>CHITA 中世纪沙发 74.4 英寸宽沙发套，适用于客厅公寓，易于组装，亚麻米色</v>
      </c>
      <c r="E4096" s="1" t="str">
        <f>IFERROR(__xludf.DUMMYFUNCTION("CONCATENATE(GOOGLETRANSLATE(C4096, ""en"", ""ko""))"),"CHITA Mid-Century 소파 74.4''W 소파 소파 세트 거실 아파트, 간편한 조립, 아마 베이지")</f>
        <v>CHITA Mid-Century 소파 74.4''W 소파 소파 세트 거실 아파트, 간편한 조립, 아마 베이지</v>
      </c>
      <c r="F4096" s="1" t="str">
        <f>IFERROR(__xludf.DUMMYFUNCTION("CONCATENATE(GOOGLETRANSLATE(C4096, ""en"", ""ja""))"),"CHITA ミッドセンチュリーソファ 74.4 インチ W ソファ カウチセット リビングルーム アパートメント用 組み立て簡単 亜麻ベージュ")</f>
        <v>CHITA ミッドセンチュリーソファ 74.4 インチ W ソファ カウチセット リビングルーム アパートメント用 組み立て簡単 亜麻ベージュ</v>
      </c>
    </row>
    <row r="4097" ht="15.75" customHeight="1">
      <c r="A4097" s="1">
        <v>4387.0</v>
      </c>
      <c r="B4097" s="1" t="s">
        <v>15</v>
      </c>
      <c r="C4097" s="1" t="s">
        <v>3617</v>
      </c>
      <c r="D4097" s="1" t="str">
        <f>IFERROR(__xludf.DUMMYFUNCTION("CONCATENATE(GOOGLETRANSLATE(C4097, ""en"", ""zh-cn""))"),"Lilola Home Zoey 深灰色亚麻可转换沙发床，带侧袋")</f>
        <v>Lilola Home Zoey 深灰色亚麻可转换沙发床，带侧袋</v>
      </c>
      <c r="E4097" s="1" t="str">
        <f>IFERROR(__xludf.DUMMYFUNCTION("CONCATENATE(GOOGLETRANSLATE(C4097, ""en"", ""ko""))"),"Lilola Home Zoey 다크 그레이 리넨 컨버터블 슬리퍼 소파(사이드 포켓 ​​포함)")</f>
        <v>Lilola Home Zoey 다크 그레이 리넨 컨버터블 슬리퍼 소파(사이드 포켓 ​​포함)</v>
      </c>
      <c r="F4097" s="1" t="str">
        <f>IFERROR(__xludf.DUMMYFUNCTION("CONCATENATE(GOOGLETRANSLATE(C4097, ""en"", ""ja""))"),"Lilola Home ゾーイ ダークグレー リネン コンバーチブル スリーパー ソファ サイドポケット付き")</f>
        <v>Lilola Home ゾーイ ダークグレー リネン コンバーチブル スリーパー ソファ サイドポケット付き</v>
      </c>
    </row>
    <row r="4098" ht="15.75" customHeight="1">
      <c r="A4098" s="1">
        <v>4393.0</v>
      </c>
      <c r="B4098" s="1" t="s">
        <v>15</v>
      </c>
      <c r="C4098" s="1" t="s">
        <v>3618</v>
      </c>
      <c r="D4098" s="1" t="str">
        <f>IFERROR(__xludf.DUMMYFUNCTION("CONCATENATE(GOOGLETRANSLATE(C4098, ""en"", ""zh-cn""))"),"LEISLAND 79 现代客厅组合沙发，小空间小沙发，实木框架雪尼尔 L 形沙发，可拆卸套罩，附扶手，易于安装（金色）")</f>
        <v>LEISLAND 79 现代客厅组合沙发，小空间小沙发，实木框架雪尼尔 L 形沙发，可拆卸套罩，附扶手，易于安装（金色）</v>
      </c>
      <c r="E4098" s="1" t="str">
        <f>IFERROR(__xludf.DUMMYFUNCTION("CONCATENATE(GOOGLETRANSLATE(C4098, ""en"", ""ko""))"),"LEISLAND 79 거실용 현대식 단면 소파 소파, 작은 공간을 위한 소형 소파, 원목 프레임이 있는 셔닐 L형 소파, 분리형 커버, 부착형 팔걸이, 설치가 용이함(골든)")</f>
        <v>LEISLAND 79 거실용 현대식 단면 소파 소파, 작은 공간을 위한 소형 소파, 원목 프레임이 있는 셔닐 L형 소파, 분리형 커버, 부착형 팔걸이, 설치가 용이함(골든)</v>
      </c>
      <c r="F4098" s="1" t="str">
        <f>IFERROR(__xludf.DUMMYFUNCTION("CONCATENATE(GOOGLETRANSLATE(C4098, ""en"", ""ja""))"),"LEISLAND 79 リビングルーム用モダンなセクショナルソファカウチ、小さなスペース用の小さなカウチ、無垢材フレーム付きシェニール織L字型ソファ、取り外し可能なカバー、アームレスト付き、取り付け簡単(ゴールド)")</f>
        <v>LEISLAND 79 リビングルーム用モダンなセクショナルソファカウチ、小さなスペース用の小さなカウチ、無垢材フレーム付きシェニール織L字型ソファ、取り外し可能なカバー、アームレスト付き、取り付け簡単(ゴールド)</v>
      </c>
    </row>
    <row r="4099" ht="15.75" customHeight="1">
      <c r="A4099" s="1">
        <v>4394.0</v>
      </c>
      <c r="B4099" s="1" t="s">
        <v>15</v>
      </c>
      <c r="C4099" s="1" t="s">
        <v>3619</v>
      </c>
      <c r="D4099" s="1" t="str">
        <f>IFERROR(__xludf.DUMMYFUNCTION("CONCATENATE(GOOGLETRANSLATE(C4099, ""en"", ""zh-cn""))"),"Edenbrook Jensen 软垫沙发 - 客厅沙发 - 木炭软垫沙发 - 客厅家具 - 小沙发 - 三人座 - 勺臂现代沙发")</f>
        <v>Edenbrook Jensen 软垫沙发 - 客厅沙发 - 木炭软垫沙发 - 客厅家具 - 小沙发 - 三人座 - 勺臂现代沙发</v>
      </c>
      <c r="E4099" s="1" t="str">
        <f>IFERROR(__xludf.DUMMYFUNCTION("CONCATENATE(GOOGLETRANSLATE(C4099, ""en"", ""ko""))"),"Edenbrook Jensen 덮개를 씌운 소파 - 거실용 소파 - 차콜 덮개를 씌운 소파 - 거실 가구 - 소형 소파 - 3인용 - 스쿠프 암 모던 소파")</f>
        <v>Edenbrook Jensen 덮개를 씌운 소파 - 거실용 소파 - 차콜 덮개를 씌운 소파 - 거실 가구 - 소형 소파 - 3인용 - 스쿠프 암 모던 소파</v>
      </c>
      <c r="F4099" s="1" t="str">
        <f>IFERROR(__xludf.DUMMYFUNCTION("CONCATENATE(GOOGLETRANSLATE(C4099, ""en"", ""ja""))"),"エデンブルック ジェンセン 布張りソファ - リビングルーム用ソファ - チャコール布張りソファ - リビングルーム家具 - 小さなソファ - 3人掛け - スクープアームモダンソファ")</f>
        <v>エデンブルック ジェンセン 布張りソファ - リビングルーム用ソファ - チャコール布張りソファ - リビングルーム家具 - 小さなソファ - 3人掛け - スクープアームモダンソファ</v>
      </c>
    </row>
    <row r="4100" ht="15.75" customHeight="1">
      <c r="A4100" s="1">
        <v>4409.0</v>
      </c>
      <c r="B4100" s="1" t="s">
        <v>15</v>
      </c>
      <c r="C4100" s="1" t="s">
        <v>3093</v>
      </c>
      <c r="D4100" s="1" t="str">
        <f>IFERROR(__xludf.DUMMYFUNCTION("CONCATENATE(GOOGLETRANSLATE(C4100, ""en"", ""zh-cn""))"),"Lestar 布艺沙发 3 座现代软垫沙发 3 座沙发带钉子和扶手（米色）")</f>
        <v>Lestar 布艺沙发 3 座现代软垫沙发 3 座沙发带钉子和扶手（米色）</v>
      </c>
      <c r="E4100" s="1" t="str">
        <f>IFERROR(__xludf.DUMMYFUNCTION("CONCATENATE(GOOGLETRANSLATE(C4100, ""en"", ""ko""))"),"레스타 패브릭 소파 소파 3인용 모던한 덮개를 씌운 소파 3인용 소파, 손톱과 팔걸이(베이지색)")</f>
        <v>레스타 패브릭 소파 소파 3인용 모던한 덮개를 씌운 소파 3인용 소파, 손톱과 팔걸이(베이지색)</v>
      </c>
      <c r="F4100" s="1" t="str">
        <f>IFERROR(__xludf.DUMMYFUNCTION("CONCATENATE(GOOGLETRANSLATE(C4100, ""en"", ""ja""))"),"Lestar ファブリック ソファ カウチ 3 席 モダンな布張りソファ 3 人掛けソファ ネイルとアームレスト付き (ベージュ)")</f>
        <v>Lestar ファブリック ソファ カウチ 3 席 モダンな布張りソファ 3 人掛けソファ ネイルとアームレスト付き (ベージュ)</v>
      </c>
    </row>
    <row r="4101" ht="15.75" customHeight="1">
      <c r="A4101" s="1">
        <v>4436.0</v>
      </c>
      <c r="B4101" s="1" t="s">
        <v>15</v>
      </c>
      <c r="C4101" s="1" t="s">
        <v>3063</v>
      </c>
      <c r="D4101" s="1" t="str">
        <f>IFERROR(__xludf.DUMMYFUNCTION("CONCATENATE(GOOGLETRANSLATE(C4101, ""en"", ""zh-cn""))"),"Acme 家具 1 个抽屉和 4 个门木服务器，仿古白色")</f>
        <v>Acme 家具 1 个抽屉和 4 个门木服务器，仿古白色</v>
      </c>
      <c r="E4101" s="1" t="str">
        <f>IFERROR(__xludf.DUMMYFUNCTION("CONCATENATE(GOOGLETRANSLATE(C4101, ""en"", ""ko""))"),"Acme 가구 서랍 1개 및 문 4개 목재 서버, 앤티크 화이트")</f>
        <v>Acme 가구 서랍 1개 및 문 4개 목재 서버, 앤티크 화이트</v>
      </c>
      <c r="F4101" s="1" t="str">
        <f>IFERROR(__xludf.DUMMYFUNCTION("CONCATENATE(GOOGLETRANSLATE(C4101, ""en"", ""ja""))"),"Acme Furniture 1 引き出しと 4 ドアの木製サーバー、アンティーク ホワイト")</f>
        <v>Acme Furniture 1 引き出しと 4 ドアの木製サーバー、アンティーク ホワイト</v>
      </c>
    </row>
    <row r="4102" ht="15.75" customHeight="1">
      <c r="A4102" s="1">
        <v>4444.0</v>
      </c>
      <c r="B4102" s="1" t="s">
        <v>15</v>
      </c>
      <c r="C4102" s="1" t="s">
        <v>2784</v>
      </c>
      <c r="D4102" s="1" t="str">
        <f>IFERROR(__xludf.DUMMYFUNCTION("CONCATENATE(GOOGLETRANSLATE(C4102, ""en"", ""zh-cn""))"),"SISLEY 希思黎雅全球抗衰老面霜 适合干性皮肤 50ml/1.7oz")</f>
        <v>SISLEY 希思黎雅全球抗衰老面霜 适合干性皮肤 50ml/1.7oz</v>
      </c>
      <c r="E4102" s="1" t="str">
        <f>IFERROR(__xludf.DUMMYFUNCTION("CONCATENATE(GOOGLETRANSLATE(C4102, ""en"", ""ko""))"),"시슬리 시슬리아 글로벌 안티 에이지 크림 엑스트라 리치 포 건성 피부 50ml/1.7oz")</f>
        <v>시슬리 시슬리아 글로벌 안티 에이지 크림 엑스트라 리치 포 건성 피부 50ml/1.7oz</v>
      </c>
      <c r="F4102" s="1" t="str">
        <f>IFERROR(__xludf.DUMMYFUNCTION("CONCATENATE(GOOGLETRANSLATE(C4102, ""en"", ""ja""))"),"SISLEY シスレーヤ グローバル アンチ エイジ クリーム エクストラ リッチ フォー ドライ スキン 50ml/1.7oz")</f>
        <v>SISLEY シスレーヤ グローバル アンチ エイジ クリーム エクストラ リッチ フォー ドライ スキン 50ml/1.7oz</v>
      </c>
    </row>
    <row r="4103" ht="15.75" customHeight="1">
      <c r="A4103" s="1">
        <v>4451.0</v>
      </c>
      <c r="B4103" s="1" t="s">
        <v>15</v>
      </c>
      <c r="C4103" s="1" t="s">
        <v>3620</v>
      </c>
      <c r="D4103" s="1" t="str">
        <f>IFERROR(__xludf.DUMMYFUNCTION("CONCATENATE(GOOGLETRANSLATE(C4103, ""en"", ""zh-cn""))"),"toyshi 睫毛LED落地灯，半月落地灯，睫毛延长环形灯，美容照明，护肤，睫毛，眉毛，拍摄内容创作")</f>
        <v>toyshi 睫毛LED落地灯，半月落地灯，睫毛延长环形灯，美容照明，护肤，睫毛，眉毛，拍摄内容创作</v>
      </c>
      <c r="E4103" s="1" t="str">
        <f>IFERROR(__xludf.DUMMYFUNCTION("CONCATENATE(GOOGLETRANSLATE(C4103, ""en"", ""ko""))"),"toyshi 속눈썹 LED 플로어 라이트, 하프문 플로어 램프, 속눈썹 연장용 링 라이트, 뷰티 조명, 스킨케어, 속눈썹, 눈썹, 촬영 콘텐츠 제작")</f>
        <v>toyshi 속눈썹 LED 플로어 라이트, 하프문 플로어 램프, 속눈썹 연장용 링 라이트, 뷰티 조명, 스킨케어, 속눈썹, 눈썹, 촬영 콘텐츠 제작</v>
      </c>
      <c r="F4103" s="1" t="str">
        <f>IFERROR(__xludf.DUMMYFUNCTION("CONCATENATE(GOOGLETRANSLATE(C4103, ""en"", ""ja""))"),"toyshi Eyelash LEDフロアライト、ハーフムーンフロアランプ、まつげエクステ用リングライト、美容、スキンケア、まつげ、眉毛、撮影コンテンツ作成用照明")</f>
        <v>toyshi Eyelash LEDフロアライト、ハーフムーンフロアランプ、まつげエクステ用リングライト、美容、スキンケア、まつげ、眉毛、撮影コンテンツ作成用照明</v>
      </c>
    </row>
    <row r="4104" ht="15.75" customHeight="1">
      <c r="A4104" s="1">
        <v>4452.0</v>
      </c>
      <c r="B4104" s="1" t="s">
        <v>15</v>
      </c>
      <c r="C4104" s="1" t="s">
        <v>3621</v>
      </c>
      <c r="D4104" s="1" t="str">
        <f>IFERROR(__xludf.DUMMYFUNCTION("CONCATENATE(GOOGLETRANSLATE(C4104, ""en"", ""zh-cn""))"),"香奈儿 Sublimage La Creme Yeux 终极再生。 15克")</f>
        <v>香奈儿 Sublimage La Creme Yeux 终极再生。 15克</v>
      </c>
      <c r="E4104" s="1" t="str">
        <f>IFERROR(__xludf.DUMMYFUNCTION("CONCATENATE(GOOGLETRANSLATE(C4104, ""en"", ""ko""))"),"샤넬 수블리마지 라 크렘 이으 얼티미트 리제너. 15gr")</f>
        <v>샤넬 수블리마지 라 크렘 이으 얼티미트 리제너. 15gr</v>
      </c>
      <c r="F4104" s="1" t="str">
        <f>IFERROR(__xludf.DUMMYFUNCTION("CONCATENATE(GOOGLETRANSLATE(C4104, ""en"", ""ja""))"),"シャネル サブリマージュ ラ クレーム ユー アルティメット リジェネ。 15グラム")</f>
        <v>シャネル サブリマージュ ラ クレーム ユー アルティメット リジェネ。 15グラム</v>
      </c>
    </row>
    <row r="4105" ht="15.75" customHeight="1">
      <c r="A4105" s="1">
        <v>4461.0</v>
      </c>
      <c r="B4105" s="1" t="s">
        <v>15</v>
      </c>
      <c r="C4105" s="1" t="s">
        <v>3622</v>
      </c>
      <c r="D4105" s="1" t="str">
        <f>IFERROR(__xludf.DUMMYFUNCTION("CONCATENATE(GOOGLETRANSLATE(C4105, ""en"", ""zh-cn""))"),"sisley paris 抗衰老全面焕活剂，男女通用，正常皮肤，1.7 盎司 (SISLEY-550101)")</f>
        <v>sisley paris 抗衰老全面焕活剂，男女通用，正常皮肤，1.7 盎司 (SISLEY-550101)</v>
      </c>
      <c r="E4105" s="1" t="str">
        <f>IFERROR(__xludf.DUMMYFUNCTION("CONCATENATE(GOOGLETRANSLATE(C4105, ""en"", ""ko""))"),"시슬리 파리 안티 에이지 글로벌 리바이탈라이저 남녀공용 중성 피부용, 1.7온스(SISLEY-550101)")</f>
        <v>시슬리 파리 안티 에이지 글로벌 리바이탈라이저 남녀공용 중성 피부용, 1.7온스(SISLEY-550101)</v>
      </c>
      <c r="F4105" s="1" t="str">
        <f>IFERROR(__xludf.DUMMYFUNCTION("CONCATENATE(GOOGLETRANSLATE(C4105, ""en"", ""ja""))"),"シスレー パリ アンチエイジ グローバル リバイタライザー ユニセックス ノーマルスキン用、1.7 オンス (SISLEY-550101)")</f>
        <v>シスレー パリ アンチエイジ グローバル リバイタライザー ユニセックス ノーマルスキン用、1.7 オンス (SISLEY-550101)</v>
      </c>
    </row>
    <row r="4106" ht="15.75" customHeight="1">
      <c r="A4106" s="1">
        <v>4465.0</v>
      </c>
      <c r="B4106" s="1" t="s">
        <v>15</v>
      </c>
      <c r="C4106" s="1" t="s">
        <v>3623</v>
      </c>
      <c r="D4106" s="1" t="str">
        <f>IFERROR(__xludf.DUMMYFUNCTION("CONCATENATE(GOOGLETRANSLATE(C4106, ""en"", ""zh-cn""))"),"toyshi Hi_Friend LED 睫毛延长灯，26 - 纹身艺术家、美甲技术、美容师的睫毛灯 - 冷色、暖色照明灯，可调节亮度和高度（白色）")</f>
        <v>toyshi Hi_Friend LED 睫毛延长灯，26 - 纹身艺术家、美甲技术、美容师的睫毛灯 - 冷色、暖色照明灯，可调节亮度和高度（白色）</v>
      </c>
      <c r="E4106" s="1" t="str">
        <f>IFERROR(__xludf.DUMMYFUNCTION("CONCATENATE(GOOGLETRANSLATE(C4106, ""en"", ""ko""))"),"속눈썹 연장용 toyshi Hi_Friend LED 램프, 26 - 문신 예술가용 속눈썹 램프, 네일 기술, 미용사 - 밝기 및 높이 조절이 가능한 시원하고 따뜻한 조명 램프(흰색)")</f>
        <v>속눈썹 연장용 toyshi Hi_Friend LED 램프, 26 - 문신 예술가용 속눈썹 램프, 네일 기술, 미용사 - 밝기 및 높이 조절이 가능한 시원하고 따뜻한 조명 램프(흰색)</v>
      </c>
      <c r="F4106" s="1" t="str">
        <f>IFERROR(__xludf.DUMMYFUNCTION("CONCATENATE(GOOGLETRANSLATE(C4106, ""en"", ""ja""))"),"toyshi Hi_Friend LED ランプ まつげエクステ用 26 - タトゥー アーティスト、ネイル テック、エステティシャン用ラッシュ ランプ - 明るさと高さを調整できるクールで温かみのある照明ランプ (ホワイト)")</f>
        <v>toyshi Hi_Friend LED ランプ まつげエクステ用 26 - タトゥー アーティスト、ネイル テック、エステティシャン用ラッシュ ランプ - 明るさと高さを調整できるクールで温かみのある照明ランプ (ホワイト)</v>
      </c>
    </row>
    <row r="4107" ht="15.75" customHeight="1">
      <c r="A4107" s="1">
        <v>4471.0</v>
      </c>
      <c r="B4107" s="1" t="s">
        <v>15</v>
      </c>
      <c r="C4107" s="1" t="s">
        <v>3624</v>
      </c>
      <c r="D4107" s="1" t="str">
        <f>IFERROR(__xludf.DUMMYFUNCTION("CONCATENATE(GOOGLETRANSLATE(C4107, ""en"", ""zh-cn""))"),"SISLEY 希思黎 Supremya Eyes at Night 至尊抗衰老眼部精华液，0.52 盎司，0.52 液体盎司 () (3473311540508)")</f>
        <v>SISLEY 希思黎 Supremya Eyes at Night 至尊抗衰老眼部精华液，0.52 盎司，0.52 液体盎司 () (3473311540508)</v>
      </c>
      <c r="E4107" s="1" t="str">
        <f>IFERROR(__xludf.DUMMYFUNCTION("CONCATENATE(GOOGLETRANSLATE(C4107, ""en"", ""ko""))"),"SISLEY Sisley Supremya Eyes at Night 더 슈프림 안티 에이징 아이 세럼, 0.52 온스, 0.52 Fl 온스 () (3473311540508)")</f>
        <v>SISLEY Sisley Supremya Eyes at Night 더 슈프림 안티 에이징 아이 세럼, 0.52 온스, 0.52 Fl 온스 () (3473311540508)</v>
      </c>
      <c r="F4107" s="1" t="str">
        <f>IFERROR(__xludf.DUMMYFUNCTION("CONCATENATE(GOOGLETRANSLATE(C4107, ""en"", ""ja""))"),"SISLEY シスレー スプレミア アイズ アット ナイト ザ スプリーム アンチエイジング アイ セラム、0.52 オンス、0.52 液量オンス () (3473311540508)")</f>
        <v>SISLEY シスレー スプレミア アイズ アット ナイト ザ スプリーム アンチエイジング アイ セラム、0.52 オンス、0.52 液量オンス () (3473311540508)</v>
      </c>
    </row>
    <row r="4108" ht="15.75" customHeight="1">
      <c r="A4108" s="1">
        <v>4479.0</v>
      </c>
      <c r="B4108" s="1" t="s">
        <v>15</v>
      </c>
      <c r="C4108" s="1" t="s">
        <v>3625</v>
      </c>
      <c r="D4108" s="1" t="str">
        <f>IFERROR(__xludf.DUMMYFUNCTION("CONCATENATE(GOOGLETRANSLATE(C4108, ""en"", ""zh-cn""))"),"Germaine de Capuccini - Timexpert SRNS Pro 60+ 额外滋养高要求霜 - 改善色素沉着和保湿 - 满足成熟肌肤的所有需求 - 1.7 盎司")</f>
        <v>Germaine de Capuccini - Timexpert SRNS Pro 60+ 额外滋养高要求霜 - 改善色素沉着和保湿 - 满足成熟肌肤的所有需求 - 1.7 盎司</v>
      </c>
      <c r="E4108" s="1" t="str">
        <f>IFERROR(__xludf.DUMMYFUNCTION("CONCATENATE(GOOGLETRANSLATE(C4108, ""en"", ""ko""))"),"Germaine de Capuccini - Timexpert SRNS Pro 60+ 매우 까다로운 영양 크림 - 색소 침착 및 수화 개선 - 성숙한 피부의 모든 요구 사항 충족 - 1.7온스")</f>
        <v>Germaine de Capuccini - Timexpert SRNS Pro 60+ 매우 까다로운 영양 크림 - 색소 침착 및 수화 개선 - 성숙한 피부의 모든 요구 사항 충족 - 1.7온스</v>
      </c>
      <c r="F4108" s="1" t="str">
        <f>IFERROR(__xludf.DUMMYFUNCTION("CONCATENATE(GOOGLETRANSLATE(C4108, ""en"", ""ja""))"),"Germaine de Capuccini - Timexpert SRNS Pro 60+ Extra Naurishing Highly Demand Cream - 色素沈着と水分補給を改善 - 成熟した肌のすべてのニーズをカバー - 1.7 oz")</f>
        <v>Germaine de Capuccini - Timexpert SRNS Pro 60+ Extra Naurishing Highly Demand Cream - 色素沈着と水分補給を改善 - 成熟した肌のすべてのニーズをカバー - 1.7 oz</v>
      </c>
    </row>
    <row r="4109" ht="15.75" customHeight="1">
      <c r="A4109" s="1">
        <v>4482.0</v>
      </c>
      <c r="B4109" s="1" t="s">
        <v>15</v>
      </c>
      <c r="C4109" s="1" t="s">
        <v>3626</v>
      </c>
      <c r="D4109" s="1" t="str">
        <f>IFERROR(__xludf.DUMMYFUNCTION("CONCATENATE(GOOGLETRANSLATE(C4109, ""en"", ""zh-cn""))"),"Sisley Hydra-全球强效抗衰老保湿，1.4 盎司")</f>
        <v>Sisley Hydra-全球强效抗衰老保湿，1.4 盎司</v>
      </c>
      <c r="E4109" s="1" t="str">
        <f>IFERROR(__xludf.DUMMYFUNCTION("CONCATENATE(GOOGLETRANSLATE(C4109, ""en"", ""ko""))"),"시슬리 하이드라-글로벌 인텐스 안티에이징 하이드레이션, 1.4온스")</f>
        <v>시슬리 하이드라-글로벌 인텐스 안티에이징 하이드레이션, 1.4온스</v>
      </c>
      <c r="F4109" s="1" t="str">
        <f>IFERROR(__xludf.DUMMYFUNCTION("CONCATENATE(GOOGLETRANSLATE(C4109, ""en"", ""ja""))"),"シスレー ハイドラ - グローバル インテンス アンチエイジング ハイドレーション、1.4 オンス")</f>
        <v>シスレー ハイドラ - グローバル インテンス アンチエイジング ハイドレーション、1.4 オンス</v>
      </c>
    </row>
    <row r="4110" ht="15.75" customHeight="1">
      <c r="A4110" s="1">
        <v>4491.0</v>
      </c>
      <c r="B4110" s="1" t="s">
        <v>15</v>
      </c>
      <c r="C4110" s="1" t="s">
        <v>3627</v>
      </c>
      <c r="D4110" s="1" t="str">
        <f>IFERROR(__xludf.DUMMYFUNCTION("CONCATENATE(GOOGLETRANSLATE(C4110, ""en"", ""zh-cn""))"),"香奈儿 LES BEIGES 健康光泽粉底 SPF 25 / PA++ # 32 玫瑰红")</f>
        <v>香奈儿 LES BEIGES 健康光泽粉底 SPF 25 / PA++ # 32 玫瑰红</v>
      </c>
      <c r="E4110" s="1" t="str">
        <f>IFERROR(__xludf.DUMMYFUNCTION("CONCATENATE(GOOGLETRANSLATE(C4110, ""en"", ""ko""))"),"샤넬 레 베쥬 헬시 글로우 파운데이션 SPF 25 / PA++ # 32 로제")</f>
        <v>샤넬 레 베쥬 헬시 글로우 파운데이션 SPF 25 / PA++ # 32 로제</v>
      </c>
      <c r="F4110" s="1" t="str">
        <f>IFERROR(__xludf.DUMMYFUNCTION("CONCATENATE(GOOGLETRANSLATE(C4110, ""en"", ""ja""))"),"シャネル レ ベージュ ヘルシー グロウ ファンデーション SPF 25 / PA++ # 32 ロゼ")</f>
        <v>シャネル レ ベージュ ヘルシー グロウ ファンデーション SPF 25 / PA++ # 32 ロゼ</v>
      </c>
    </row>
    <row r="4111" ht="15.75" customHeight="1">
      <c r="A4111" s="1">
        <v>4493.0</v>
      </c>
      <c r="B4111" s="1" t="s">
        <v>15</v>
      </c>
      <c r="C4111" s="1" t="s">
        <v>3628</v>
      </c>
      <c r="D4111" s="1" t="str">
        <f>IFERROR(__xludf.DUMMYFUNCTION("CONCATENATE(GOOGLETRANSLATE(C4111, ""en"", ""zh-cn""))"),"Sisley Phyto Teint Eclat 紧致粉底液 2 号柔和米色，适合女士，0.35 盎司")</f>
        <v>Sisley Phyto Teint Eclat 紧致粉底液 2 号柔和米色，适合女士，0.35 盎司</v>
      </c>
      <c r="E4111" s="1" t="str">
        <f>IFERROR(__xludf.DUMMYFUNCTION("CONCATENATE(GOOGLETRANSLATE(C4111, ""en"", ""ko""))"),"시슬리 피토 떼인 에끌라 컴팩트 파운데이션 No. 2 여성용 소프트 베이지, 0.35온스")</f>
        <v>시슬리 피토 떼인 에끌라 컴팩트 파운데이션 No. 2 여성용 소프트 베이지, 0.35온스</v>
      </c>
      <c r="F4111" s="1" t="str">
        <f>IFERROR(__xludf.DUMMYFUNCTION("CONCATENATE(GOOGLETRANSLATE(C4111, ""en"", ""ja""))"),"シスレー フィト タン エクラ コンパクト ファンデーション No. 2 女性用 ソフトベージュ、0.35 オンス")</f>
        <v>シスレー フィト タン エクラ コンパクト ファンデーション No. 2 女性用 ソフトベージュ、0.35 オンス</v>
      </c>
    </row>
    <row r="4112" ht="15.75" customHeight="1">
      <c r="A4112" s="1">
        <v>4497.0</v>
      </c>
      <c r="B4112" s="1" t="s">
        <v>15</v>
      </c>
      <c r="C4112" s="1" t="s">
        <v>3629</v>
      </c>
      <c r="D4112" s="1" t="str">
        <f>IFERROR(__xludf.DUMMYFUNCTION("CONCATENATE(GOOGLETRANSLATE(C4112, ""en"", ""zh-cn""))"),"Valmont 黑玫瑰抗衰老营养珍贵面部油，0.59 磅")</f>
        <v>Valmont 黑玫瑰抗衰老营养珍贵面部油，0.59 磅</v>
      </c>
      <c r="E4112" s="1" t="str">
        <f>IFERROR(__xludf.DUMMYFUNCTION("CONCATENATE(GOOGLETRANSLATE(C4112, ""en"", ""ko""))"),"Valmont Black Rose 안티 에이징 뉴트리션 프레셔스 페이스 오일, 0.59파운드")</f>
        <v>Valmont Black Rose 안티 에이징 뉴트리션 프레셔스 페이스 오일, 0.59파운드</v>
      </c>
      <c r="F4112" s="1" t="str">
        <f>IFERROR(__xludf.DUMMYFUNCTION("CONCATENATE(GOOGLETRANSLATE(C4112, ""en"", ""ja""))"),"Valmont ブラック ローズ アンチエイジング ニュートリション プレシャス フェイス オイル、0.59 ポンド")</f>
        <v>Valmont ブラック ローズ アンチエイジング ニュートリション プレシャス フェイス オイル、0.59 ポンド</v>
      </c>
    </row>
    <row r="4113" ht="15.75" customHeight="1">
      <c r="A4113" s="1">
        <v>4499.0</v>
      </c>
      <c r="B4113" s="1" t="s">
        <v>15</v>
      </c>
      <c r="C4113" s="1" t="s">
        <v>3630</v>
      </c>
      <c r="D4113" s="1" t="str">
        <f>IFERROR(__xludf.DUMMYFUNCTION("CONCATENATE(GOOGLETRANSLATE(C4113, ""en"", ""zh-cn""))"),"香奈儿紧致眼霜，0.5291 盎司")</f>
        <v>香奈儿紧致眼霜，0.5291 盎司</v>
      </c>
      <c r="E4113" s="1" t="str">
        <f>IFERROR(__xludf.DUMMYFUNCTION("CONCATENATE(GOOGLETRANSLATE(C4113, ""en"", ""ko""))"),"샤넬 르 리프트 크림 이유, 0.5291 온스")</f>
        <v>샤넬 르 리프트 크림 이유, 0.5291 온스</v>
      </c>
      <c r="F4113" s="1" t="str">
        <f>IFERROR(__xludf.DUMMYFUNCTION("CONCATENATE(GOOGLETRANSLATE(C4113, ""en"", ""ja""))"),"シャネル ル リフト クリーム ユー、0.5291 オンス")</f>
        <v>シャネル ル リフト クリーム ユー、0.5291 オンス</v>
      </c>
    </row>
    <row r="4114" ht="15.75" customHeight="1">
      <c r="A4114" s="1">
        <v>4505.0</v>
      </c>
      <c r="B4114" s="1" t="s">
        <v>15</v>
      </c>
      <c r="C4114" s="1" t="s">
        <v>3631</v>
      </c>
      <c r="D4114" s="1" t="str">
        <f>IFERROR(__xludf.DUMMYFUNCTION("CONCATENATE(GOOGLETRANSLATE(C4114, ""en"", ""zh-cn""))"),"面部护理面膜/10片")</f>
        <v>面部护理面膜/10片</v>
      </c>
      <c r="E4114" s="1" t="str">
        <f>IFERROR(__xludf.DUMMYFUNCTION("CONCATENATE(GOOGLETRANSLATE(C4114, ""en"", ""ko""))"),"페이셜 트리트먼트 마스크/10개")</f>
        <v>페이셜 트리트먼트 마스크/10개</v>
      </c>
      <c r="F4114" s="1" t="str">
        <f>IFERROR(__xludf.DUMMYFUNCTION("CONCATENATE(GOOGLETRANSLATE(C4114, ""en"", ""ja""))"),"フェイシャルトリートメントマスク/10枚入")</f>
        <v>フェイシャルトリートメントマスク/10枚入</v>
      </c>
    </row>
    <row r="4115" ht="15.75" customHeight="1">
      <c r="A4115" s="1">
        <v>4524.0</v>
      </c>
      <c r="B4115" s="1" t="s">
        <v>15</v>
      </c>
      <c r="C4115" s="1" t="s">
        <v>3632</v>
      </c>
      <c r="D4115" s="1" t="str">
        <f>IFERROR(__xludf.DUMMYFUNCTION("CONCATENATE(GOOGLETRANSLATE(C4115, ""en"", ""zh-cn""))"),"Tata Harper 焕肤面膜，焕发光彩面膜，100% 天然，佛蒙特州新鲜制造，30 毫升")</f>
        <v>Tata Harper 焕肤面膜，焕发光彩面膜，100% 天然，佛蒙特州新鲜制造，30 毫升</v>
      </c>
      <c r="E4115" s="1" t="str">
        <f>IFERROR(__xludf.DUMMYFUNCTION("CONCATENATE(GOOGLETRANSLATE(C4115, ""en"", ""ko""))"),"타타 하퍼 리서페이싱 마스크, 글로우 기빙 마스크, 100% 천연, 버몬트에서 신선하게 제조, 30ml")</f>
        <v>타타 하퍼 리서페이싱 마스크, 글로우 기빙 마스크, 100% 천연, 버몬트에서 신선하게 제조, 30ml</v>
      </c>
      <c r="F4115" s="1" t="str">
        <f>IFERROR(__xludf.DUMMYFUNCTION("CONCATENATE(GOOGLETRANSLATE(C4115, ""en"", ""ja""))"),"Tata Harper リサーフェシング マスク、グロー ギビング マスク、100% 天然、バーモント州で製造、30ml")</f>
        <v>Tata Harper リサーフェシング マスク、グロー ギビング マスク、100% 天然、バーモント州で製造、30ml</v>
      </c>
    </row>
    <row r="4116" ht="15.75" customHeight="1">
      <c r="A4116" s="1">
        <v>4527.0</v>
      </c>
      <c r="B4116" s="1" t="s">
        <v>15</v>
      </c>
      <c r="C4116" s="1" t="s">
        <v>3633</v>
      </c>
      <c r="D4116" s="1" t="str">
        <f>IFERROR(__xludf.DUMMYFUNCTION("CONCATENATE(GOOGLETRANSLATE(C4116, ""en"", ""zh-cn""))"),"娇韵诗 V-Facial 密集裹敷面膜 |屡获殊荣的面部轮廓面膜 |明显减少因压力、高温和荷尔蒙变化引起的浮肿和肿胀 |促进均匀肤色 | 2.5盎司")</f>
        <v>娇韵诗 V-Facial 密集裹敷面膜 |屡获殊荣的面部轮廓面膜 |明显减少因压力、高温和荷尔蒙变化引起的浮肿和肿胀 |促进均匀肤色 | 2.5盎司</v>
      </c>
      <c r="E4116" s="1" t="str">
        <f>IFERROR(__xludf.DUMMYFUNCTION("CONCATENATE(GOOGLETRANSLATE(C4116, ""en"", ""ko""))"),"클라란스 V-페이셜 인텐시브 랩 페이스 마스크 | 수상 경력에 빛나는 페이셜 컨투어링 마스크 | 스트레스, 열 및 호르몬 변화로 인한 붓기와 붓기를 눈에 띄게 감소 | 균일한 피부톤을 촉진 | 2.5온스")</f>
        <v>클라란스 V-페이셜 인텐시브 랩 페이스 마스크 | 수상 경력에 빛나는 페이셜 컨투어링 마스크 | 스트레스, 열 및 호르몬 변화로 인한 붓기와 붓기를 눈에 띄게 감소 | 균일한 피부톤을 촉진 | 2.5온스</v>
      </c>
      <c r="F4116" s="1" t="str">
        <f>IFERROR(__xludf.DUMMYFUNCTION("CONCATENATE(GOOGLETRANSLATE(C4116, ""en"", ""ja""))"),"クラランス V フェイシャル インテンシブ ラップ フェイス マスク |受賞歴のある顔面輪郭マスク |ストレス、熱、ホルモンの変化によって引き起こされるむくみや腫れを目に見えて軽減します |均一な肌のトーンを促進 | 2.5オンス")</f>
        <v>クラランス V フェイシャル インテンシブ ラップ フェイス マスク |受賞歴のある顔面輪郭マスク |ストレス、熱、ホルモンの変化によって引き起こされるむくみや腫れを目に見えて軽減します |均一な肌のトーンを促進 | 2.5オンス</v>
      </c>
    </row>
    <row r="4117" ht="15.75" customHeight="1">
      <c r="A4117" s="1">
        <v>4534.0</v>
      </c>
      <c r="B4117" s="1" t="s">
        <v>15</v>
      </c>
      <c r="C4117" s="1" t="s">
        <v>3634</v>
      </c>
      <c r="D4117" s="1" t="str">
        <f>IFERROR(__xludf.DUMMYFUNCTION("CONCATENATE(GOOGLETRANSLATE(C4117, ""en"", ""zh-cn""))"),"GERMAINE DE CAPUCCINI FOR MEN - 眼部轮廓解决方案精华素 | GERMAINE DE CAPUCCINI FOR MEN男士眼部精华液 |针对黑眼圈和浮肿的眼部精华 - 抗疲劳眼部精华 - 所有皮肤类型 - 0.5 盎司")</f>
        <v>GERMAINE DE CAPUCCINI FOR MEN - 眼部轮廓解决方案精华素 | GERMAINE DE CAPUCCINI FOR MEN男士眼部精华液 |针对黑眼圈和浮肿的眼部精华 - 抗疲劳眼部精华 - 所有皮肤类型 - 0.5 盎司</v>
      </c>
      <c r="E4117" s="1" t="str">
        <f>IFERROR(__xludf.DUMMYFUNCTION("CONCATENATE(GOOGLETRANSLATE(C4117, ""en"", ""ko""))"),"남성용 제르맹 드 카푸치니 - 아이 컨투어 솔루션 세럼 | 남성용 아이세럼 | 다크서클과 붓기를 위한 아이 세럼 - 피로 방지 아이 세럼 - 모든 피부 타입 - 0.5온스")</f>
        <v>남성용 제르맹 드 카푸치니 - 아이 컨투어 솔루션 세럼 | 남성용 아이세럼 | 다크서클과 붓기를 위한 아이 세럼 - 피로 방지 아이 세럼 - 모든 피부 타입 - 0.5온스</v>
      </c>
      <c r="F4117" s="1" t="str">
        <f>IFERROR(__xludf.DUMMYFUNCTION("CONCATENATE(GOOGLETRANSLATE(C4117, ""en"", ""ja""))"),"GERMAINE DE CAPUCCINI FOR MEN - アイ輪郭ソリューション セラム |男性用目元美容液 |くまやむくみのためのアイセラム - 抗疲労アイセラム - すべての肌タイプ - 0.5 オンス")</f>
        <v>GERMAINE DE CAPUCCINI FOR MEN - アイ輪郭ソリューション セラム |男性用目元美容液 |くまやむくみのためのアイセラム - 抗疲労アイセラム - すべての肌タイプ - 0.5 オンス</v>
      </c>
    </row>
    <row r="4118" ht="15.75" customHeight="1">
      <c r="A4118" s="1">
        <v>4542.0</v>
      </c>
      <c r="B4118" s="1" t="s">
        <v>15</v>
      </c>
      <c r="C4118" s="1" t="s">
        <v>3635</v>
      </c>
      <c r="D4118" s="1" t="str">
        <f>IFERROR(__xludf.DUMMYFUNCTION("CONCATENATE(GOOGLETRANSLATE(C4118, ""en"", ""zh-cn""))"),"GERGO 落地灯，带 4 色温遥控器，LED 手电筒落地灯，带可调卧室阅读灯，客厅立灯，含灯泡（哑光黑色）")</f>
        <v>GERGO 落地灯，带 4 色温遥控器，LED 手电筒落地灯，带可调卧室阅读灯，客厅立灯，含灯泡（哑光黑色）</v>
      </c>
      <c r="E4118" s="1" t="str">
        <f>IFERROR(__xludf.DUMMYFUNCTION("CONCATENATE(GOOGLETRANSLATE(C4118, ""en"", ""ko""))"),"GERGO 플로어 램프, 4가지 색온도 리모콘, 침실용 조절 가능한 독서등이 있는 LED Torchiere 플로어 램프, 거실용 스탠딩 램프, 전구 포함(무광택 검정색)")</f>
        <v>GERGO 플로어 램프, 4가지 색온도 리모콘, 침실용 조절 가능한 독서등이 있는 LED Torchiere 플로어 램프, 거실용 스탠딩 램프, 전구 포함(무광택 검정색)</v>
      </c>
      <c r="F4118" s="1" t="str">
        <f>IFERROR(__xludf.DUMMYFUNCTION("CONCATENATE(GOOGLETRANSLATE(C4118, ""en"", ""ja""))"),"GERGO フロアランプ、4色温度のリモコン、寝室用調節可能な読書ランプ付きLEDトルシエールフロアランプ、リビングルーム用スタンドランプ、電球付き (マットブラック)")</f>
        <v>GERGO フロアランプ、4色温度のリモコン、寝室用調節可能な読書ランプ付きLEDトルシエールフロアランプ、リビングルーム用スタンドランプ、電球付き (マットブラック)</v>
      </c>
    </row>
    <row r="4119" ht="15.75" customHeight="1">
      <c r="A4119" s="1">
        <v>4546.0</v>
      </c>
      <c r="B4119" s="1" t="s">
        <v>15</v>
      </c>
      <c r="C4119" s="1" t="s">
        <v>3636</v>
      </c>
      <c r="D4119" s="1" t="str">
        <f>IFERROR(__xludf.DUMMYFUNCTION("CONCATENATE(GOOGLETRANSLATE(C4119, ""en"", ""zh-cn""))"),"用于睫毛延长的 LED 灯，28 - 纹身艺术家、美甲技术、美容师的睫毛灯 - 酷炫、360° 温暖照明灯，可调节亮度和高度卧室，派对礼物 Tiktok LED 壁灯")</f>
        <v>用于睫毛延长的 LED 灯，28 - 纹身艺术家、美甲技术、美容师的睫毛灯 - 酷炫、360° 温暖照明灯，可调节亮度和高度卧室，派对礼物 Tiktok LED 壁灯</v>
      </c>
      <c r="E4119" s="1" t="str">
        <f>IFERROR(__xludf.DUMMYFUNCTION("CONCATENATE(GOOGLETRANSLATE(C4119, ""en"", ""ko""))"),"속눈썹 연장용 LED 램프, 28 - 문신 예술가용 속눈썹 램프, 네일 기술, 미용사 - 쿨, 밝기 및 높이 조절이 가능한 360° 따뜻한 조명 램프 침실, 파티 선물 Tiktok LED 벽 램프")</f>
        <v>속눈썹 연장용 LED 램프, 28 - 문신 예술가용 속눈썹 램프, 네일 기술, 미용사 - 쿨, 밝기 및 높이 조절이 가능한 360° 따뜻한 조명 램프 침실, 파티 선물 Tiktok LED 벽 램프</v>
      </c>
      <c r="F4119" s="1" t="str">
        <f>IFERROR(__xludf.DUMMYFUNCTION("CONCATENATE(GOOGLETRANSLATE(C4119, ""en"", ""ja""))"),"まつげエクステ用LEDランプ、28 - タトゥーアーティスト、ネイルテック、エステティシャン用ラッシュランプ - クール、明るさと高さ調節可能な360°暖かい照明ランプ寝室、パーティーギフト Tiktok LEDウォールランプ")</f>
        <v>まつげエクステ用LEDランプ、28 - タトゥーアーティスト、ネイルテック、エステティシャン用ラッシュランプ - クール、明るさと高さ調節可能な360°暖かい照明ランプ寝室、パーティーギフト Tiktok LEDウォールランプ</v>
      </c>
    </row>
    <row r="4120" ht="15.75" customHeight="1">
      <c r="A4120" s="1">
        <v>4549.0</v>
      </c>
      <c r="B4120" s="1" t="s">
        <v>15</v>
      </c>
      <c r="C4120" s="1" t="s">
        <v>3637</v>
      </c>
      <c r="D4120" s="1" t="str">
        <f>IFERROR(__xludf.DUMMYFUNCTION("CONCATENATE(GOOGLETRANSLATE(C4120, ""en"", ""zh-cn""))"),"GKTG 客厅落地灯，带遥控器的可调光落地灯，含 10W 变色 LED 灯泡，现代立灯高灯，适用于卧室、办公室、阅读（黑色）")</f>
        <v>GKTG 客厅落地灯，带遥控器的可调光落地灯，含 10W 变色 LED 灯泡，现代立灯高灯，适用于卧室、办公室、阅读（黑色）</v>
      </c>
      <c r="E4120" s="1" t="str">
        <f>IFERROR(__xludf.DUMMYFUNCTION("CONCATENATE(GOOGLETRANSLATE(C4120, ""en"", ""ko""))"),"거실용 GKTG 플로어 램프, 리모콘이 있는 조도 조절이 가능한 플로어 램프, 10W 색상 변경 LED 전구 포함, 침실용 현대식 스탠딩 램프 키 큰 램프, 사무실, 독서용(검은색)")</f>
        <v>거실용 GKTG 플로어 램프, 리모콘이 있는 조도 조절이 가능한 플로어 램프, 10W 색상 변경 LED 전구 포함, 침실용 현대식 스탠딩 램프 키 큰 램프, 사무실, 독서용(검은색)</v>
      </c>
      <c r="F4120" s="1" t="str">
        <f>IFERROR(__xludf.DUMMYFUNCTION("CONCATENATE(GOOGLETRANSLATE(C4120, ""en"", ""ja""))"),"GKTG リビングルーム用フロアランプ、リモコン付き調光可能なフロアランプ、10W変色LED電球付属、モダンなスタンディングランプ、寝室、オフィス、読書用の背の高いランプ (ブラック)")</f>
        <v>GKTG リビングルーム用フロアランプ、リモコン付き調光可能なフロアランプ、10W変色LED電球付属、モダンなスタンディングランプ、寝室、オフィス、読書用の背の高いランプ (ブラック)</v>
      </c>
    </row>
    <row r="4121" ht="15.75" customHeight="1">
      <c r="A4121" s="1">
        <v>4564.0</v>
      </c>
      <c r="B4121" s="1" t="s">
        <v>15</v>
      </c>
      <c r="C4121" s="1" t="s">
        <v>1859</v>
      </c>
      <c r="D4121" s="1" t="str">
        <f>IFERROR(__xludf.DUMMYFUNCTION("CONCATENATE(GOOGLETRANSLATE(C4121, ""en"", ""zh-cn""))"),"LIVACA 面部果冻面膜 - 奇异果面膜即时保湿 - 果冻面膜粉 23 液量盎司 - 面部护肤产品剥离，平滑、保湿、清洁（奇异果）")</f>
        <v>LIVACA 面部果冻面膜 - 奇异果面膜即时保湿 - 果冻面膜粉 23 液量盎司 - 面部护肤产品剥离，平滑、保湿、清洁（奇异果）</v>
      </c>
      <c r="E4121" s="1" t="str">
        <f>IFERROR(__xludf.DUMMYFUNCTION("CONCATENATE(GOOGLETRANSLATE(C4121, ""en"", ""ko""))"),"LIVACA 젤리 마스크 페이셜 - 즉각적인 수분 공급을 위한 키위 과일 페이스 마스크 - 젤리 페이스 마스크 파우더 23 Fl Oz - 페이셜 스킨 케어 제품 껍질을 벗겨 부드럽게 하고, 보습하고, 클렌징합니다(키위)")</f>
        <v>LIVACA 젤리 마스크 페이셜 - 즉각적인 수분 공급을 위한 키위 과일 페이스 마스크 - 젤리 페이스 마스크 파우더 23 Fl Oz - 페이셜 스킨 케어 제품 껍질을 벗겨 부드럽게 하고, 보습하고, 클렌징합니다(키위)</v>
      </c>
      <c r="F4121" s="1" t="str">
        <f>IFERROR(__xludf.DUMMYFUNCTION("CONCATENATE(GOOGLETRANSLATE(C4121, ""en"", ""ja""))"),"LIVACA フェイシャル用ゼリーマスク - 瞬時に水分補給できるキウイフルーツフェイスマスク - ゼリーフェイスマスクパウダー 23 液量オンス - フェイシャルスキンケア製品のピールオフで滑らかにし、保湿し、クレンジングします (キウイ)")</f>
        <v>LIVACA フェイシャル用ゼリーマスク - 瞬時に水分補給できるキウイフルーツフェイスマスク - ゼリーフェイスマスクパウダー 23 液量オンス - フェイシャルスキンケア製品のピールオフで滑らかにし、保湿し、クレンジングします (キウイ)</v>
      </c>
    </row>
    <row r="4122" ht="15.75" customHeight="1">
      <c r="A4122" s="1">
        <v>4569.0</v>
      </c>
      <c r="B4122" s="1" t="s">
        <v>15</v>
      </c>
      <c r="C4122" s="1" t="s">
        <v>3638</v>
      </c>
      <c r="D4122" s="1" t="str">
        <f>IFERROR(__xludf.DUMMYFUNCTION("CONCATENATE(GOOGLETRANSLATE(C4122, ""en"", ""zh-cn""))"),"用于面部护肤的果冻面膜粉，天然凝胶面膜，专业剥离果冻面膜，保湿，提亮和保湿，用于皱纹和痤疮的面膜粉 23 液体盎司（透明质酸）")</f>
        <v>用于面部护肤的果冻面膜粉，天然凝胶面膜，专业剥离果冻面膜，保湿，提亮和保湿，用于皱纹和痤疮的面膜粉 23 液体盎司（透明质酸）</v>
      </c>
      <c r="E4122" s="1" t="str">
        <f>IFERROR(__xludf.DUMMYFUNCTION("CONCATENATE(GOOGLETRANSLATE(C4122, ""en"", ""ko""))"),"페이셜 스킨 케어용 젤리 마스크 파우더, 천연 젤 페이스 마스크, 프로페셔널 필 오프 젤리 마스크, 보습, 브라이트닝 &amp; 수분 공급, 주름 및 여드름용 마스크 파우더 23 Fl Oz (히알루론산)")</f>
        <v>페이셜 스킨 케어용 젤리 마스크 파우더, 천연 젤 페이스 마스크, 프로페셔널 필 오프 젤리 마스크, 보습, 브라이트닝 &amp; 수분 공급, 주름 및 여드름용 마스크 파우더 23 Fl Oz (히알루론산)</v>
      </c>
      <c r="F4122" s="1" t="str">
        <f>IFERROR(__xludf.DUMMYFUNCTION("CONCATENATE(GOOGLETRANSLATE(C4122, ""en"", ""ja""))"),"フェイシャルスキンケア用ゼリーマスクパウダー、ナチュラルジェルフェイスマスク、プロフェッショナルピールオフゼリーマスク、保湿、美白＆保湿、しわやニキビ用マスクパウダー 23液量オンス（ヒアルロン酸）")</f>
        <v>フェイシャルスキンケア用ゼリーマスクパウダー、ナチュラルジェルフェイスマスク、プロフェッショナルピールオフゼリーマスク、保湿、美白＆保湿、しわやニキビ用マスクパウダー 23液量オンス（ヒアルロン酸）</v>
      </c>
    </row>
    <row r="4123" ht="15.75" customHeight="1">
      <c r="A4123" s="1">
        <v>4641.0</v>
      </c>
      <c r="B4123" s="1" t="s">
        <v>15</v>
      </c>
      <c r="C4123" s="1" t="s">
        <v>3221</v>
      </c>
      <c r="D4123" s="1" t="str">
        <f>IFERROR(__xludf.DUMMYFUNCTION("CONCATENATE(GOOGLETRANSLATE(C4123, ""en"", ""zh-cn""))"),"3G Cardio Elite UB 立式健身车 - 商业级 - 占地面积紧凑 - 超舒适座椅 - 抗磁 - 350 磅用户容量")</f>
        <v>3G Cardio Elite UB 立式健身车 - 商业级 - 占地面积紧凑 - 超舒适座椅 - 抗磁 - 350 磅用户容量</v>
      </c>
      <c r="E4123" s="1" t="str">
        <f>IFERROR(__xludf.DUMMYFUNCTION("CONCATENATE(GOOGLETRANSLATE(C4123, ""en"", ""ko""))"),"3G Cardio Elite UB 직립 자전거 - 상업용 등급 - 컴팩트한 설치 공간 - 매우 편안한 시트 - 자기 저항 - 350 LB 사용자 용량")</f>
        <v>3G Cardio Elite UB 직립 자전거 - 상업용 등급 - 컴팩트한 설치 공간 - 매우 편안한 시트 - 자기 저항 - 350 LB 사용자 용량</v>
      </c>
      <c r="F4123" s="1" t="str">
        <f>IFERROR(__xludf.DUMMYFUNCTION("CONCATENATE(GOOGLETRANSLATE(C4123, ""en"", ""ja""))"),"3G カーディオ エリート UB アップライト バイク - 商用グレード - コンパクトな設置面積 - 超快適なシート - 磁気抵抗 - 350 ポンドのユーザー容量")</f>
        <v>3G カーディオ エリート UB アップライト バイク - 商用グレード - コンパクトな設置面積 - 超快適なシート - 磁気抵抗 - 350 ポンドのユーザー容量</v>
      </c>
    </row>
    <row r="4124" ht="15.75" customHeight="1">
      <c r="A4124" s="1">
        <v>4642.0</v>
      </c>
      <c r="B4124" s="1" t="s">
        <v>15</v>
      </c>
      <c r="C4124" s="1" t="s">
        <v>3639</v>
      </c>
      <c r="D4124" s="1" t="str">
        <f>IFERROR(__xludf.DUMMYFUNCTION("CONCATENATE(GOOGLETRANSLATE(C4124, ""en"", ""zh-cn""))"),"卡车 2 的 Supertop - '09-10 Ram 1500； ’11-21 1500；适用于 5.5 英尺床；不带 RamBox")</f>
        <v>卡车 2 的 Supertop - '09-10 Ram 1500； ’11-21 1500；适用于 5.5 英尺床；不带 RamBox</v>
      </c>
      <c r="E4124" s="1" t="str">
        <f>IFERROR(__xludf.DUMMYFUNCTION("CONCATENATE(GOOGLETRANSLATE(C4124, ""en"", ""ko""))"),"트럭 2용 슈퍼탑 - ’09-10 Ram 1500; ’11-21 1500; 5.5피트 침대용; RamBox 없음")</f>
        <v>트럭 2용 슈퍼탑 - ’09-10 Ram 1500; ’11-21 1500; 5.5피트 침대용; RamBox 없음</v>
      </c>
      <c r="F4124" s="1" t="str">
        <f>IFERROR(__xludf.DUMMYFUNCTION("CONCATENATE(GOOGLETRANSLATE(C4124, ""en"", ""ja""))"),"トラック 2 用スーパートップ - '09-10 Ram 1500; ’11-21 1500; 5.5フィートのベッド用。 RamBoxなし")</f>
        <v>トラック 2 用スーパートップ - '09-10 Ram 1500; ’11-21 1500; 5.5フィートのベッド用。 RamBoxなし</v>
      </c>
    </row>
    <row r="4125" ht="15.75" customHeight="1">
      <c r="A4125" s="1">
        <v>4647.0</v>
      </c>
      <c r="B4125" s="1" t="s">
        <v>15</v>
      </c>
      <c r="C4125" s="1" t="s">
        <v>2370</v>
      </c>
      <c r="D4125" s="1" t="str">
        <f>IFERROR(__xludf.DUMMYFUNCTION("CONCATENATE(GOOGLETRANSLATE(C4125, ""en"", ""zh-cn""))"),"Sidi 男子现代自行车赛，美国 2-4（亚洲）")</f>
        <v>Sidi 男子现代自行车赛，美国 2-4（亚洲）</v>
      </c>
      <c r="E4125" s="1" t="str">
        <f>IFERROR(__xludf.DUMMYFUNCTION("CONCATENATE(GOOGLETRANSLATE(C4125, ""en"", ""ko""))"),"Sidi 남성용 모던 사이클링 스케이프, 미국 2-4(아시아)")</f>
        <v>Sidi 남성용 모던 사이클링 스케이프, 미국 2-4(아시아)</v>
      </c>
      <c r="F4125" s="1" t="str">
        <f>IFERROR(__xludf.DUMMYFUNCTION("CONCATENATE(GOOGLETRANSLATE(C4125, ""en"", ""ja""))"),"シディメンズモダンサイクリングスケープ、米国 2-4 (アジア)")</f>
        <v>シディメンズモダンサイクリングスケープ、米国 2-4 (アジア)</v>
      </c>
    </row>
    <row r="4126" ht="15.75" customHeight="1">
      <c r="A4126" s="1">
        <v>4650.0</v>
      </c>
      <c r="B4126" s="1" t="s">
        <v>15</v>
      </c>
      <c r="C4126" s="1" t="s">
        <v>2378</v>
      </c>
      <c r="D4126" s="1" t="str">
        <f>IFERROR(__xludf.DUMMYFUNCTION("CONCATENATE(GOOGLETRANSLATE(C4126, ""en"", ""zh-cn""))"),"EF ECOFLOW RIVER Pro 额外电池 720Wh，RIVER Pro 可扩展电源，适用于露营、家庭备用应急、户外、房车、离网")</f>
        <v>EF ECOFLOW RIVER Pro 额外电池 720Wh，RIVER Pro 可扩展电源，适用于露营、家庭备用应急、户外、房车、离网</v>
      </c>
      <c r="E4126" s="1" t="str">
        <f>IFERROR(__xludf.DUMMYFUNCTION("CONCATENATE(GOOGLETRANSLATE(C4126, ""en"", ""ko""))"),"EF ECOFLOW RIVER Pro 추가 배터리 720Wh, RIVER Pro용 확장 가능한 전력, 캠핑, 홈 백업 비상, 야외, RV, 오프 그리드용")</f>
        <v>EF ECOFLOW RIVER Pro 추가 배터리 720Wh, RIVER Pro용 확장 가능한 전력, 캠핑, 홈 백업 비상, 야외, RV, 오프 그리드용</v>
      </c>
      <c r="F4126" s="1" t="str">
        <f>IFERROR(__xludf.DUMMYFUNCTION("CONCATENATE(GOOGLETRANSLATE(C4126, ""en"", ""ja""))"),"EF ECOFLOW RIVER Pro 予備バッテリー 720Wh、RIVER Pro 用の拡張可能な電源、キャンプ、ホームバックアップ緊急時、アウトドア、RV、オフグリッド用")</f>
        <v>EF ECOFLOW RIVER Pro 予備バッテリー 720Wh、RIVER Pro 用の拡張可能な電源、キャンプ、ホームバックアップ緊急時、アウトドア、RV、オフグリッド用</v>
      </c>
    </row>
    <row r="4127" ht="15.75" customHeight="1">
      <c r="A4127" s="1">
        <v>4668.0</v>
      </c>
      <c r="B4127" s="1" t="s">
        <v>15</v>
      </c>
      <c r="C4127" s="1" t="s">
        <v>1908</v>
      </c>
      <c r="D4127" s="1" t="str">
        <f>IFERROR(__xludf.DUMMYFUNCTION("CONCATENATE(GOOGLETRANSLATE(C4127, ""en"", ""zh-cn""))"),"Alexia D371-CU001 冥想座椅（纯素皮革，深灰色）")</f>
        <v>Alexia D371-CU001 冥想座椅（纯素皮革，深灰色）</v>
      </c>
      <c r="E4127" s="1" t="str">
        <f>IFERROR(__xludf.DUMMYFUNCTION("CONCATENATE(GOOGLETRANSLATE(C4127, ""en"", ""ko""))"),"알렉시아 D371-CU001 명상 시트 (비건 가죽, 다크 그레이)")</f>
        <v>알렉시아 D371-CU001 명상 시트 (비건 가죽, 다크 그레이)</v>
      </c>
      <c r="F4127" s="1" t="str">
        <f>IFERROR(__xludf.DUMMYFUNCTION("CONCATENATE(GOOGLETRANSLATE(C4127, ""en"", ""ja""))"),"Alexia D371-CU001 瞑想シート (ヴィーガンレザー、ダークグレー)")</f>
        <v>Alexia D371-CU001 瞑想シート (ヴィーガンレザー、ダークグレー)</v>
      </c>
    </row>
    <row r="4128" ht="15.75" customHeight="1">
      <c r="A4128" s="1">
        <v>4678.0</v>
      </c>
      <c r="B4128" s="1" t="s">
        <v>15</v>
      </c>
      <c r="C4128" s="1" t="s">
        <v>2324</v>
      </c>
      <c r="D4128" s="1" t="str">
        <f>IFERROR(__xludf.DUMMYFUNCTION("CONCATENATE(GOOGLETRANSLATE(C4128, ""en"", ""zh-cn""))"),"罗林斯| Renegade 系列棒球接球手套装 | NOCSAE 认证 |成人 |中级|青年|多种颜色")</f>
        <v>罗林斯| Renegade 系列棒球接球手套装 | NOCSAE 认证 |成人 |中级|青年|多种颜色</v>
      </c>
      <c r="E4128" s="1" t="str">
        <f>IFERROR(__xludf.DUMMYFUNCTION("CONCATENATE(GOOGLETRANSLATE(C4128, ""en"", ""ko""))"),"롤링스 | 레니게이드 시리즈 야구 포수 세트 | NOCSAE 인증 | 성인 | 중급 | 청소년 | 다양한 색상")</f>
        <v>롤링스 | 레니게이드 시리즈 야구 포수 세트 | NOCSAE 인증 | 성인 | 중급 | 청소년 | 다양한 색상</v>
      </c>
      <c r="F4128" s="1" t="str">
        <f>IFERROR(__xludf.DUMMYFUNCTION("CONCATENATE(GOOGLETRANSLATE(C4128, ""en"", ""ja""))"),"ローリングス | Renegade シリーズ野球キャッチャーセット | NOCSAE 認定 |アダルト |中級 |若者 |複数の色")</f>
        <v>ローリングス | Renegade シリーズ野球キャッチャーセット | NOCSAE 認定 |アダルト |中級 |若者 |複数の色</v>
      </c>
    </row>
    <row r="4129" ht="15.75" customHeight="1">
      <c r="A4129" s="1">
        <v>4679.0</v>
      </c>
      <c r="B4129" s="1" t="s">
        <v>15</v>
      </c>
      <c r="C4129" s="1" t="s">
        <v>3267</v>
      </c>
      <c r="D4129" s="1" t="str">
        <f>IFERROR(__xludf.DUMMYFUNCTION("CONCATENATE(GOOGLETRANSLATE(C4129, ""en"", ""zh-cn""))"),"罗林斯| HEART OF THE HIDE 棒球手套 |传统的闯入|多种风格")</f>
        <v>罗林斯| HEART OF THE HIDE 棒球手套 |传统的闯入|多种风格</v>
      </c>
      <c r="E4129" s="1" t="str">
        <f>IFERROR(__xludf.DUMMYFUNCTION("CONCATENATE(GOOGLETRANSLATE(C4129, ""en"", ""ko""))"),"롤링스 | 숨은 야구 글러브의 심장 | 전통적인 침입 | 다양한 스타일")</f>
        <v>롤링스 | 숨은 야구 글러브의 심장 | 전통적인 침입 | 다양한 스타일</v>
      </c>
      <c r="F4129" s="1" t="str">
        <f>IFERROR(__xludf.DUMMYFUNCTION("CONCATENATE(GOOGLETRANSLATE(C4129, ""en"", ""ja""))"),"ローリングス | HEART OF THE HIDE 野球グローブ |従来の慣らし運転 |複数のスタイル")</f>
        <v>ローリングス | HEART OF THE HIDE 野球グローブ |従来の慣らし運転 |複数のスタイル</v>
      </c>
    </row>
    <row r="4130" ht="15.75" customHeight="1">
      <c r="A4130" s="1">
        <v>4683.0</v>
      </c>
      <c r="B4130" s="1" t="s">
        <v>15</v>
      </c>
      <c r="C4130" s="1" t="s">
        <v>1914</v>
      </c>
      <c r="D4130" s="1" t="str">
        <f>IFERROR(__xludf.DUMMYFUNCTION("CONCATENATE(GOOGLETRANSLATE(C4130, ""en"", ""zh-cn""))"),"Oakley 男士 Flak 2.0 XL 哑光矩形偏光太阳镜")</f>
        <v>Oakley 男士 Flak 2.0 XL 哑光矩形偏光太阳镜</v>
      </c>
      <c r="E4130" s="1" t="str">
        <f>IFERROR(__xludf.DUMMYFUNCTION("CONCATENATE(GOOGLETRANSLATE(C4130, ""en"", ""ko""))"),"오클리 남성용 플랙 2.0 XL 무광 직사각형 선글라스 편광")</f>
        <v>오클리 남성용 플랙 2.0 XL 무광 직사각형 선글라스 편광</v>
      </c>
      <c r="F4130" s="1" t="str">
        <f>IFERROR(__xludf.DUMMYFUNCTION("CONCATENATE(GOOGLETRANSLATE(C4130, ""en"", ""ja""))"),"オークリー メンズ Flak 2.0 XL マット レクタンギュラー サングラス 偏光")</f>
        <v>オークリー メンズ Flak 2.0 XL マット レクタンギュラー サングラス 偏光</v>
      </c>
    </row>
    <row r="4131" ht="15.75" customHeight="1">
      <c r="A4131" s="1">
        <v>4693.0</v>
      </c>
      <c r="B4131" s="1" t="s">
        <v>15</v>
      </c>
      <c r="C4131" s="1" t="s">
        <v>2374</v>
      </c>
      <c r="D4131" s="1" t="str">
        <f>IFERROR(__xludf.DUMMYFUNCTION("CONCATENATE(GOOGLETRANSLATE(C4131, ""en"", ""zh-cn""))"),"Cyclace 固定式健身车 - 承重能力 330 磅 - 室内骑行车，配有舒适座垫、平板电脑支架和液晶显示屏，适合家庭锻炼")</f>
        <v>Cyclace 固定式健身车 - 承重能力 330 磅 - 室内骑行车，配有舒适座垫、平板电脑支架和液晶显示屏，适合家庭锻炼</v>
      </c>
      <c r="E4131" s="1" t="str">
        <f>IFERROR(__xludf.DUMMYFUNCTION("CONCATENATE(GOOGLETRANSLATE(C4131, ""en"", ""ko""))"),"사이클레이스 운동용 자전거 고정식 - 330파운드 무게 용량 - 편안한 시트 쿠션, 태블릿 홀더 및 가정 운동용 LCD 모니터를 갖춘 실내 사이클링 자전거")</f>
        <v>사이클레이스 운동용 자전거 고정식 - 330파운드 무게 용량 - 편안한 시트 쿠션, 태블릿 홀더 및 가정 운동용 LCD 모니터를 갖춘 실내 사이클링 자전거</v>
      </c>
      <c r="F4131" s="1" t="str">
        <f>IFERROR(__xludf.DUMMYFUNCTION("CONCATENATE(GOOGLETRANSLATE(C4131, ""en"", ""ja""))"),"Cyclace エアロバイク ステーショナリー - 耐荷重 330 ポンド - 快適なシートクッション、タブレットホルダー、自宅トレーニング用 LCD モニター付き屋内サイクリングバイク")</f>
        <v>Cyclace エアロバイク ステーショナリー - 耐荷重 330 ポンド - 快適なシートクッション、タブレットホルダー、自宅トレーニング用 LCD モニター付き屋内サイクリングバイク</v>
      </c>
    </row>
    <row r="4132" ht="15.75" customHeight="1">
      <c r="A4132" s="1">
        <v>4698.0</v>
      </c>
      <c r="B4132" s="1" t="s">
        <v>15</v>
      </c>
      <c r="C4132" s="1" t="s">
        <v>1905</v>
      </c>
      <c r="D4132" s="1" t="str">
        <f>IFERROR(__xludf.DUMMYFUNCTION("CONCATENATE(GOOGLETRANSLATE(C4132, ""en"", ""zh-cn""))"),"Lake MX241 耐力骑行鞋 - 男士")</f>
        <v>Lake MX241 耐力骑行鞋 - 男士</v>
      </c>
      <c r="E4132" s="1" t="str">
        <f>IFERROR(__xludf.DUMMYFUNCTION("CONCATENATE(GOOGLETRANSLATE(C4132, ""en"", ""ko""))"),"Lake MX241 인듀어런스 사이클링 슈즈 - 남성용")</f>
        <v>Lake MX241 인듀어런스 사이클링 슈즈 - 남성용</v>
      </c>
      <c r="F4132" s="1" t="str">
        <f>IFERROR(__xludf.DUMMYFUNCTION("CONCATENATE(GOOGLETRANSLATE(C4132, ""en"", ""ja""))"),"Lake MX241 エンデュランス サイクリング シューズ - メンズ")</f>
        <v>Lake MX241 エンデュランス サイクリング シューズ - メンズ</v>
      </c>
    </row>
    <row r="4133" ht="15.75" customHeight="1">
      <c r="A4133" s="1">
        <v>4701.0</v>
      </c>
      <c r="B4133" s="1" t="s">
        <v>15</v>
      </c>
      <c r="C4133" s="1" t="s">
        <v>3640</v>
      </c>
      <c r="D4133" s="1" t="str">
        <f>IFERROR(__xludf.DUMMYFUNCTION("CONCATENATE(GOOGLETRANSLATE(C4133, ""en"", ""zh-cn""))"),"Giro Regime 男士公路骑行鞋")</f>
        <v>Giro Regime 男士公路骑行鞋</v>
      </c>
      <c r="E4133" s="1" t="str">
        <f>IFERROR(__xludf.DUMMYFUNCTION("CONCATENATE(GOOGLETRANSLATE(C4133, ""en"", ""ko""))"),"Giro Regime 남성용 로드 사이클링 신발")</f>
        <v>Giro Regime 남성용 로드 사이클링 신발</v>
      </c>
      <c r="F4133" s="1" t="str">
        <f>IFERROR(__xludf.DUMMYFUNCTION("CONCATENATE(GOOGLETRANSLATE(C4133, ""en"", ""ja""))"),"Giro Regime メンズ ロード サイクリング シューズ")</f>
        <v>Giro Regime メンズ ロード サイクリング シューズ</v>
      </c>
    </row>
    <row r="4134" ht="15.75" customHeight="1">
      <c r="A4134" s="1">
        <v>4704.0</v>
      </c>
      <c r="B4134" s="1" t="s">
        <v>15</v>
      </c>
      <c r="C4134" s="1" t="s">
        <v>1906</v>
      </c>
      <c r="D4134" s="1" t="str">
        <f>IFERROR(__xludf.DUMMYFUNCTION("CONCATENATE(GOOGLETRANSLATE(C4134, ""en"", ""zh-cn""))"),"Igloo 54 夸脱钢带传统不锈钢冷却器带开瓶器")</f>
        <v>Igloo 54 夸脱钢带传统不锈钢冷却器带开瓶器</v>
      </c>
      <c r="E4134" s="1" t="str">
        <f>IFERROR(__xludf.DUMMYFUNCTION("CONCATENATE(GOOGLETRANSLATE(C4134, ""en"", ""ko""))"),"이글루 54 Qt 스틸 벨티드 레거시 스테인리스 스틸 쿨러(병따개 포함)")</f>
        <v>이글루 54 Qt 스틸 벨티드 레거시 스테인리스 스틸 쿨러(병따개 포함)</v>
      </c>
      <c r="F4134" s="1" t="str">
        <f>IFERROR(__xludf.DUMMYFUNCTION("CONCATENATE(GOOGLETRANSLATE(C4134, ""en"", ""ja""))"),"Igloo 54 Qt スチールベルト付きレガシーステンレススチールクーラー ボトルオープナー付き")</f>
        <v>Igloo 54 Qt スチールベルト付きレガシーステンレススチールクーラー ボトルオープナー付き</v>
      </c>
    </row>
    <row r="4135" ht="15.75" customHeight="1">
      <c r="A4135" s="1">
        <v>4752.0</v>
      </c>
      <c r="B4135" s="1" t="s">
        <v>381</v>
      </c>
      <c r="C4135" s="1" t="s">
        <v>695</v>
      </c>
      <c r="D4135" s="1" t="str">
        <f>IFERROR(__xludf.DUMMYFUNCTION("CONCATENATE(GOOGLETRANSLATE(C4135, ""en"", ""zh-cn""))"),"男士格子拼布多口袋休闲连帽夹克")</f>
        <v>男士格子拼布多口袋休闲连帽夹克</v>
      </c>
      <c r="E4135" s="1" t="str">
        <f>IFERROR(__xludf.DUMMYFUNCTION("CONCATENATE(GOOGLETRANSLATE(C4135, ""en"", ""ko""))"),"남성 체크 무늬 패치워크 멀티 포켓 캐주얼 후드 재킷")</f>
        <v>남성 체크 무늬 패치워크 멀티 포켓 캐주얼 후드 재킷</v>
      </c>
      <c r="F4135" s="1" t="str">
        <f>IFERROR(__xludf.DUMMYFUNCTION("CONCATENATE(GOOGLETRANSLATE(C4135, ""en"", ""ja""))"),"メンズチェック柄パッチワークマルチポケットカジュアルフード付きジャケット")</f>
        <v>メンズチェック柄パッチワークマルチポケットカジュアルフード付きジャケット</v>
      </c>
    </row>
    <row r="4136" ht="15.75" customHeight="1">
      <c r="A4136" s="1">
        <v>4757.0</v>
      </c>
      <c r="B4136" s="1" t="s">
        <v>381</v>
      </c>
      <c r="C4136" s="1" t="s">
        <v>700</v>
      </c>
      <c r="D4136" s="1" t="str">
        <f>IFERROR(__xludf.DUMMYFUNCTION("CONCATENATE(GOOGLETRANSLATE(C4136, ""en"", ""zh-cn""))"),"男式民族几何印花拼接纽扣前连帽夹克")</f>
        <v>男式民族几何印花拼接纽扣前连帽夹克</v>
      </c>
      <c r="E4136" s="1" t="str">
        <f>IFERROR(__xludf.DUMMYFUNCTION("CONCATENATE(GOOGLETRANSLATE(C4136, ""en"", ""ko""))"),"남성용 에스닉 기하학 프린트 패치워크 버튼 프론트 후드 재킷")</f>
        <v>남성용 에스닉 기하학 프린트 패치워크 버튼 프론트 후드 재킷</v>
      </c>
      <c r="F4136" s="1" t="str">
        <f>IFERROR(__xludf.DUMMYFUNCTION("CONCATENATE(GOOGLETRANSLATE(C4136, ""en"", ""ja""))"),"メンズエスニック幾何学プリントパッチワークボタンフロントフード付きジャケット")</f>
        <v>メンズエスニック幾何学プリントパッチワークボタンフロントフード付きジャケット</v>
      </c>
    </row>
    <row r="4137" ht="15.75" customHeight="1">
      <c r="A4137" s="1">
        <v>4769.0</v>
      </c>
      <c r="B4137" s="1" t="s">
        <v>15</v>
      </c>
      <c r="C4137" s="1" t="s">
        <v>3641</v>
      </c>
      <c r="D4137" s="1" t="str">
        <f>IFERROR(__xludf.DUMMYFUNCTION("CONCATENATE(GOOGLETRANSLATE(C4137, ""en"", ""zh-cn""))"),"香奈儿 SUBLIMAGE LA CRÈME 终极肌肤再生 - 通用质地 1.7 盎司。")</f>
        <v>香奈儿 SUBLIMAGE LA CRÈME 终极肌肤再生 - 通用质地 1.7 盎司。</v>
      </c>
      <c r="E4137" s="1" t="str">
        <f>IFERROR(__xludf.DUMMYFUNCTION("CONCATENATE(GOOGLETRANSLATE(C4137, ""en"", ""ko""))"),"CHANEL 수블리마지 라 크림 얼티미트 스킨 리제너레이션 - 텍스처 유니버설 1.7온스.")</f>
        <v>CHANEL 수블리마지 라 크림 얼티미트 스킨 리제너레이션 - 텍스처 유니버설 1.7온스.</v>
      </c>
      <c r="F4137" s="1" t="str">
        <f>IFERROR(__xludf.DUMMYFUNCTION("CONCATENATE(GOOGLETRANSLATE(C4137, ""en"", ""ja""))"),"シャネル サブリマージュ ラ クレーム アルティメット スキン リジェネレーション - テクスチャー ユニバーサル 1.7 オンス")</f>
        <v>シャネル サブリマージュ ラ クレーム アルティメット スキン リジェネレーション - テクスチャー ユニバーサル 1.7 オンス</v>
      </c>
    </row>
    <row r="4138" ht="15.75" customHeight="1">
      <c r="A4138" s="1">
        <v>4806.0</v>
      </c>
      <c r="B4138" s="1" t="s">
        <v>15</v>
      </c>
      <c r="C4138" s="1" t="s">
        <v>3642</v>
      </c>
      <c r="D4138" s="1" t="str">
        <f>IFERROR(__xludf.DUMMYFUNCTION("CONCATENATE(GOOGLETRANSLATE(C4138, ""en"", ""zh-cn""))"),"Apple 2024 MacBook Air 13 英寸笔记本电脑，配备 M3 芯片：13.6 英寸 Liquid Retina 显示屏、8GB 统一内存、256GB SSD 存储、背光键盘、1080p FaceTime 高清摄像头、Touch ID；星光")</f>
        <v>Apple 2024 MacBook Air 13 英寸笔记本电脑，配备 M3 芯片：13.6 英寸 Liquid Retina 显示屏、8GB 统一内存、256GB SSD 存储、背光键盘、1080p FaceTime 高清摄像头、Touch ID；星光</v>
      </c>
      <c r="E4138" s="1" t="str">
        <f>IFERROR(__xludf.DUMMYFUNCTION("CONCATENATE(GOOGLETRANSLATE(C4138, ""en"", ""ko""))"),"M3 칩을 탑재한 Apple 2024 MacBook Air 13인치 노트북: 13.6인치 Liquid Retina 디스플레이, 8GB 통합 메모리, 256GB SSD 스토리지, 백라이트 키보드, 1080p FaceTime HD 카메라, Touch ID; 별빛")</f>
        <v>M3 칩을 탑재한 Apple 2024 MacBook Air 13인치 노트북: 13.6인치 Liquid Retina 디스플레이, 8GB 통합 메모리, 256GB SSD 스토리지, 백라이트 키보드, 1080p FaceTime HD 카메라, Touch ID; 별빛</v>
      </c>
      <c r="F4138" s="1" t="str">
        <f>IFERROR(__xludf.DUMMYFUNCTION("CONCATENATE(GOOGLETRANSLATE(C4138, ""en"", ""ja""))"),"M3 チップ搭載 Apple 2024 MacBook Air 13 インチ ラップトップ: 13.6 インチ Liquid Retina ディスプレイ、8GB ユニファイド メモリ、256GB SSD ストレージ、バックライト付きキーボード、1080p FaceTime HD カメラ、Touch ID。スターライト")</f>
        <v>M3 チップ搭載 Apple 2024 MacBook Air 13 インチ ラップトップ: 13.6 インチ Liquid Retina ディスプレイ、8GB ユニファイド メモリ、256GB SSD ストレージ、バックライト付きキーボード、1080p FaceTime HD カメラ、Touch ID。スターライト</v>
      </c>
    </row>
    <row r="4139" ht="15.75" customHeight="1">
      <c r="A4139" s="1">
        <v>4814.0</v>
      </c>
      <c r="B4139" s="1" t="s">
        <v>15</v>
      </c>
      <c r="C4139" s="1" t="s">
        <v>3643</v>
      </c>
      <c r="D4139" s="1" t="str">
        <f>IFERROR(__xludf.DUMMYFUNCTION("CONCATENATE(GOOGLETRANSLATE(C4139, ""en"", ""zh-cn""))"),"Apple 2024 MacBook Air 13 英寸笔记本电脑，配备 M3 芯片：13.6 英寸 Liquid Retina 显示屏、8GB 统一内存、512GB SSD 存储、背光键盘、1080p FaceTime 高清摄像头、Touch ID；深空灰色")</f>
        <v>Apple 2024 MacBook Air 13 英寸笔记本电脑，配备 M3 芯片：13.6 英寸 Liquid Retina 显示屏、8GB 统一内存、512GB SSD 存储、背光键盘、1080p FaceTime 高清摄像头、Touch ID；深空灰色</v>
      </c>
      <c r="E4139" s="1" t="str">
        <f>IFERROR(__xludf.DUMMYFUNCTION("CONCATENATE(GOOGLETRANSLATE(C4139, ""en"", ""ko""))"),"M3 칩을 탑재한 Apple 2024 MacBook Air 13인치 노트북: 13.6인치 Liquid Retina 디스플레이, 8GB 통합 메모리, 512GB SSD 스토리지, 백라이트 키보드, 1080p FaceTime HD 카메라, Touch ID; 스페이스 그레이")</f>
        <v>M3 칩을 탑재한 Apple 2024 MacBook Air 13인치 노트북: 13.6인치 Liquid Retina 디스플레이, 8GB 통합 메모리, 512GB SSD 스토리지, 백라이트 키보드, 1080p FaceTime HD 카메라, Touch ID; 스페이스 그레이</v>
      </c>
      <c r="F4139" s="1" t="str">
        <f>IFERROR(__xludf.DUMMYFUNCTION("CONCATENATE(GOOGLETRANSLATE(C4139, ""en"", ""ja""))"),"Apple 2024 MacBook Air 13 インチ ラップトップ (M3 チップ搭載): 13.6 インチ Liquid Retina ディスプレイ、8GB ユニファイド メモリ、512GB SSD ストレージ、バックライト付きキーボード、1080p FaceTime HD カメラ、Touch ID。スペースグレイ")</f>
        <v>Apple 2024 MacBook Air 13 インチ ラップトップ (M3 チップ搭載): 13.6 インチ Liquid Retina ディスプレイ、8GB ユニファイド メモリ、512GB SSD ストレージ、バックライト付きキーボード、1080p FaceTime HD カメラ、Touch ID。スペースグレイ</v>
      </c>
    </row>
    <row r="4140" ht="15.75" customHeight="1">
      <c r="A4140" s="1">
        <v>4815.0</v>
      </c>
      <c r="B4140" s="1" t="s">
        <v>15</v>
      </c>
      <c r="C4140" s="1" t="s">
        <v>3644</v>
      </c>
      <c r="D4140" s="1" t="str">
        <f>IFERROR(__xludf.DUMMYFUNCTION("CONCATENATE(GOOGLETRANSLATE(C4140, ""en"", ""zh-cn""))"),"Apple 2024 MacBook Air 15 英寸笔记本电脑，配备 M3 芯片：15.3 英寸 Liquid Retina 显示屏、8GB 统一内存、256GB SSD 存储、背光键盘、1080p FaceTime 高清摄像头、Touch ID；深空灰色")</f>
        <v>Apple 2024 MacBook Air 15 英寸笔记本电脑，配备 M3 芯片：15.3 英寸 Liquid Retina 显示屏、8GB 统一内存、256GB SSD 存储、背光键盘、1080p FaceTime 高清摄像头、Touch ID；深空灰色</v>
      </c>
      <c r="E4140" s="1" t="str">
        <f>IFERROR(__xludf.DUMMYFUNCTION("CONCATENATE(GOOGLETRANSLATE(C4140, ""en"", ""ko""))"),"M3 칩이 탑재된 Apple 2024 MacBook Air 15인치 노트북: 15.3인치 Liquid Retina 디스플레이, 8GB 통합 메모리, 256GB SSD 스토리지, 백라이트 키보드, 1080p FaceTime HD 카메라, Touch ID; 스페이스 그레이")</f>
        <v>M3 칩이 탑재된 Apple 2024 MacBook Air 15인치 노트북: 15.3인치 Liquid Retina 디스플레이, 8GB 통합 메모리, 256GB SSD 스토리지, 백라이트 키보드, 1080p FaceTime HD 카메라, Touch ID; 스페이스 그레이</v>
      </c>
      <c r="F4140" s="1" t="str">
        <f>IFERROR(__xludf.DUMMYFUNCTION("CONCATENATE(GOOGLETRANSLATE(C4140, ""en"", ""ja""))"),"Apple 2024 MacBook Air 15 インチ ラップトップ (M3 チップ搭載): 15.3 インチ Liquid Retina ディスプレイ、8GB ユニファイド メモリ、256GB SSD ストレージ、バックライト付きキーボード、1080p FaceTime HD カメラ、Touch ID。スペースグレイ")</f>
        <v>Apple 2024 MacBook Air 15 インチ ラップトップ (M3 チップ搭載): 15.3 インチ Liquid Retina ディスプレイ、8GB ユニファイド メモリ、256GB SSD ストレージ、バックライト付きキーボード、1080p FaceTime HD カメラ、Touch ID。スペースグレイ</v>
      </c>
    </row>
    <row r="4141" ht="15.75" customHeight="1">
      <c r="A4141" s="1">
        <v>4818.0</v>
      </c>
      <c r="B4141" s="1" t="s">
        <v>15</v>
      </c>
      <c r="C4141" s="1" t="s">
        <v>3645</v>
      </c>
      <c r="D4141" s="1" t="str">
        <f>IFERROR(__xludf.DUMMYFUNCTION("CONCATENATE(GOOGLETRANSLATE(C4141, ""en"", ""zh-cn""))"),"Apple 2024 MacBook Air 15 英寸笔记本电脑，配备 M3 芯片：15.3 英寸 Liquid Retina 显示屏、8GB 统一内存、512GB SSD 存储、背光键盘、1080p FaceTime 高清摄像头、Touch ID；深空灰色")</f>
        <v>Apple 2024 MacBook Air 15 英寸笔记本电脑，配备 M3 芯片：15.3 英寸 Liquid Retina 显示屏、8GB 统一内存、512GB SSD 存储、背光键盘、1080p FaceTime 高清摄像头、Touch ID；深空灰色</v>
      </c>
      <c r="E4141" s="1" t="str">
        <f>IFERROR(__xludf.DUMMYFUNCTION("CONCATENATE(GOOGLETRANSLATE(C4141, ""en"", ""ko""))"),"M3 칩이 탑재된 Apple 2024 MacBook Air 15인치 노트북: 15.3인치 Liquid Retina 디스플레이, 8GB 통합 메모리, 512GB SSD 스토리지, 백라이트 키보드, 1080p FaceTime HD 카메라, Touch ID; 스페이스 그레이")</f>
        <v>M3 칩이 탑재된 Apple 2024 MacBook Air 15인치 노트북: 15.3인치 Liquid Retina 디스플레이, 8GB 통합 메모리, 512GB SSD 스토리지, 백라이트 키보드, 1080p FaceTime HD 카메라, Touch ID; 스페이스 그레이</v>
      </c>
      <c r="F4141" s="1" t="str">
        <f>IFERROR(__xludf.DUMMYFUNCTION("CONCATENATE(GOOGLETRANSLATE(C4141, ""en"", ""ja""))"),"Apple 2024 MacBook Air 15 インチ ラップトップ (M3 チップ搭載): 15.3 インチ Liquid Retina ディスプレイ、8GB ユニファイド メモリ、512GB SSD ストレージ、バックライト付きキーボード、1080p FaceTime HD カメラ、Touch ID。スペースグレイ")</f>
        <v>Apple 2024 MacBook Air 15 インチ ラップトップ (M3 チップ搭載): 15.3 インチ Liquid Retina ディスプレイ、8GB ユニファイド メモリ、512GB SSD ストレージ、バックライト付きキーボード、1080p FaceTime HD カメラ、Touch ID。スペースグレイ</v>
      </c>
    </row>
    <row r="4142" ht="15.75" customHeight="1">
      <c r="A4142" s="1">
        <v>4819.0</v>
      </c>
      <c r="B4142" s="1" t="s">
        <v>15</v>
      </c>
      <c r="C4142" s="1" t="s">
        <v>3646</v>
      </c>
      <c r="D4142" s="1" t="str">
        <f>IFERROR(__xludf.DUMMYFUNCTION("CONCATENATE(GOOGLETRANSLATE(C4142, ""en"", ""zh-cn""))"),"Apple 2024 MacBook Air 13 英寸笔记本电脑，配备 M3 芯片：13.6 英寸 Liquid Retina 显示屏、16GB 统一内存、512GB SSD 存储、背光键盘、1080p FaceTime 高清摄像头、Touch ID；星光")</f>
        <v>Apple 2024 MacBook Air 13 英寸笔记本电脑，配备 M3 芯片：13.6 英寸 Liquid Retina 显示屏、16GB 统一内存、512GB SSD 存储、背光键盘、1080p FaceTime 高清摄像头、Touch ID；星光</v>
      </c>
      <c r="E4142" s="1" t="str">
        <f>IFERROR(__xludf.DUMMYFUNCTION("CONCATENATE(GOOGLETRANSLATE(C4142, ""en"", ""ko""))"),"M3 칩을 탑재한 Apple 2024 MacBook Air 13인치 노트북: 13.6인치 Liquid Retina 디스플레이, 16GB 통합 메모리, 512GB SSD 스토리지, 백라이트 키보드, 1080p FaceTime HD 카메라, Touch ID; 별빛")</f>
        <v>M3 칩을 탑재한 Apple 2024 MacBook Air 13인치 노트북: 13.6인치 Liquid Retina 디스플레이, 16GB 통합 메모리, 512GB SSD 스토리지, 백라이트 키보드, 1080p FaceTime HD 카메라, Touch ID; 별빛</v>
      </c>
      <c r="F4142" s="1" t="str">
        <f>IFERROR(__xludf.DUMMYFUNCTION("CONCATENATE(GOOGLETRANSLATE(C4142, ""en"", ""ja""))"),"Apple 2024 MacBook Air 13 インチ ラップトップ (M3 チップ搭載): 13.6 インチ Liquid Retina ディスプレイ、16GB ユニファイド メモリ、512GB SSD ストレージ、バックライト付きキーボード、1080p FaceTime HD カメラ、Touch ID。スターライト")</f>
        <v>Apple 2024 MacBook Air 13 インチ ラップトップ (M3 チップ搭載): 13.6 インチ Liquid Retina ディスプレイ、16GB ユニファイド メモリ、512GB SSD ストレージ、バックライト付きキーボード、1080p FaceTime HD カメラ、Touch ID。スターライト</v>
      </c>
    </row>
    <row r="4143" ht="15.75" customHeight="1">
      <c r="A4143" s="1">
        <v>4823.0</v>
      </c>
      <c r="B4143" s="1" t="s">
        <v>15</v>
      </c>
      <c r="C4143" s="1" t="s">
        <v>3647</v>
      </c>
      <c r="D4143" s="1" t="str">
        <f>IFERROR(__xludf.DUMMYFUNCTION("CONCATENATE(GOOGLETRANSLATE(C4143, ""en"", ""zh-cn""))"),"Apple 2024 MacBook Air 15 英寸笔记本电脑，配备 M3 芯片：15.3 英寸 Liquid Retina 显示屏、8GB 统一内存、512GB SSD 存储、背光键盘、1080p FaceTime 高清摄像头、Touch ID；星光")</f>
        <v>Apple 2024 MacBook Air 15 英寸笔记本电脑，配备 M3 芯片：15.3 英寸 Liquid Retina 显示屏、8GB 统一内存、512GB SSD 存储、背光键盘、1080p FaceTime 高清摄像头、Touch ID；星光</v>
      </c>
      <c r="E4143" s="1" t="str">
        <f>IFERROR(__xludf.DUMMYFUNCTION("CONCATENATE(GOOGLETRANSLATE(C4143, ""en"", ""ko""))"),"M3 칩이 탑재된 Apple 2024 MacBook Air 15인치 노트북: 15.3인치 Liquid Retina 디스플레이, 8GB 통합 메모리, 512GB SSD 스토리지, 백라이트 키보드, 1080p FaceTime HD 카메라, Touch ID; 별빛")</f>
        <v>M3 칩이 탑재된 Apple 2024 MacBook Air 15인치 노트북: 15.3인치 Liquid Retina 디스플레이, 8GB 통합 메모리, 512GB SSD 스토리지, 백라이트 키보드, 1080p FaceTime HD 카메라, Touch ID; 별빛</v>
      </c>
      <c r="F4143" s="1" t="str">
        <f>IFERROR(__xludf.DUMMYFUNCTION("CONCATENATE(GOOGLETRANSLATE(C4143, ""en"", ""ja""))"),"Apple 2024 MacBook Air 15 インチ ラップトップ (M3 チップ搭載): 15.3 インチ Liquid Retina ディスプレイ、8GB ユニファイド メモリ、512GB SSD ストレージ、バックライト付きキーボード、1080p FaceTime HD カメラ、Touch ID。スターライト")</f>
        <v>Apple 2024 MacBook Air 15 インチ ラップトップ (M3 チップ搭載): 15.3 インチ Liquid Retina ディスプレイ、8GB ユニファイド メモリ、512GB SSD ストレージ、バックライト付きキーボード、1080p FaceTime HD カメラ、Touch ID。スターライト</v>
      </c>
    </row>
    <row r="4144" ht="15.75" customHeight="1">
      <c r="A4144" s="1">
        <v>4834.0</v>
      </c>
      <c r="B4144" s="1" t="s">
        <v>15</v>
      </c>
      <c r="C4144" s="1" t="s">
        <v>3648</v>
      </c>
      <c r="D4144" s="1" t="str">
        <f>IFERROR(__xludf.DUMMYFUNCTION("CONCATENATE(GOOGLETRANSLATE(C4144, ""en"", ""zh-cn""))"),"Apple 2023 款 MacBook Pro 笔记本电脑 M3 Pro 芯片，配备 12 核 CPU、18 核 GPU：14.2 英寸 Liquid Retina XDR 显示屏、18GB 统一内存、1TB SSD 存储。适用于 iPhone/iPad；深空黑")</f>
        <v>Apple 2023 款 MacBook Pro 笔记本电脑 M3 Pro 芯片，配备 12 核 CPU、18 核 GPU：14.2 英寸 Liquid Retina XDR 显示屏、18GB 统一内存、1TB SSD 存储。适用于 iPhone/iPad；深空黑</v>
      </c>
      <c r="E4144" s="1" t="str">
        <f>IFERROR(__xludf.DUMMYFUNCTION("CONCATENATE(GOOGLETRANSLATE(C4144, ""en"", ""ko""))"),"Apple 2023 MacBook Pro 노트북 M3 Pro 칩, 12코어 CPU, 18코어 GPU: 14.2인치 Liquid Retina XDR 디스플레이, 18GB 통합 메모리, 1TB SSD 스토리지. iPhone/iPad에서 작동합니다. 스페이스 블랙")</f>
        <v>Apple 2023 MacBook Pro 노트북 M3 Pro 칩, 12코어 CPU, 18코어 GPU: 14.2인치 Liquid Retina XDR 디스플레이, 18GB 통합 메모리, 1TB SSD 스토리지. iPhone/iPad에서 작동합니다. 스페이스 블랙</v>
      </c>
      <c r="F4144" s="1" t="str">
        <f>IFERROR(__xludf.DUMMYFUNCTION("CONCATENATE(GOOGLETRANSLATE(C4144, ""en"", ""ja""))"),"12 コア CPU、18 コア GPU を搭載した Apple 2023 MacBook Pro ラップトップ M3 Pro チップ: 14.2 インチ Liquid Retina XDR ディスプレイ、18GB ユニファイド メモリ、1TB SSD ストレージ。 iPhone/iPad で動作します。スペースブラック")</f>
        <v>12 コア CPU、18 コア GPU を搭載した Apple 2023 MacBook Pro ラップトップ M3 Pro チップ: 14.2 インチ Liquid Retina XDR ディスプレイ、18GB ユニファイド メモリ、1TB SSD ストレージ。 iPhone/iPad で動作します。スペースブラック</v>
      </c>
    </row>
    <row r="4145" ht="15.75" customHeight="1">
      <c r="A4145" s="1">
        <v>4840.0</v>
      </c>
      <c r="B4145" s="1" t="s">
        <v>15</v>
      </c>
      <c r="C4145" s="1" t="s">
        <v>3649</v>
      </c>
      <c r="D4145" s="1" t="str">
        <f>IFERROR(__xludf.DUMMYFUNCTION("CONCATENATE(GOOGLETRANSLATE(C4145, ""en"", ""zh-cn""))"),"戴尔 Precision 7000 7680 工作站笔记本电脑 (2023) | 16 英寸 FHD+ | 酷睿 i9-1TB SSD - 64GB RAM | 24 核 @ 5.5 GHz - 第 13 代 CPU Win 11 Pro（更新版）")</f>
        <v>戴尔 Precision 7000 7680 工作站笔记本电脑 (2023) | 16 英寸 FHD+ | 酷睿 i9-1TB SSD - 64GB RAM | 24 核 @ 5.5 GHz - 第 13 代 CPU Win 11 Pro（更新版）</v>
      </c>
      <c r="E4145" s="1" t="str">
        <f>IFERROR(__xludf.DUMMYFUNCTION("CONCATENATE(GOOGLETRANSLATE(C4145, ""en"", ""ko""))"),"Dell Precision 7000 7680 워크스테이션 노트북(2023) | 16인치 FHD+ | Core i9-1TB SSD - 64GB RAM | 24코어 @ 5.5GHz - 13세대 CPU Win 11 Pro(리뉴얼)")</f>
        <v>Dell Precision 7000 7680 워크스테이션 노트북(2023) | 16인치 FHD+ | Core i9-1TB SSD - 64GB RAM | 24코어 @ 5.5GHz - 13세대 CPU Win 11 Pro(리뉴얼)</v>
      </c>
      <c r="F4145" s="1" t="str">
        <f>IFERROR(__xludf.DUMMYFUNCTION("CONCATENATE(GOOGLETRANSLATE(C4145, ""en"", ""ja""))"),"Dell Precision 7000 7680 ワークステーション ラップトップ (2023) | 16 インチ FHD+ | Core i9-1TB SSD - 64GB RAM | 24 コア @ 5.5 GHz - 第 13 世代 CPU Win 11 Pro (リニューアル)")</f>
        <v>Dell Precision 7000 7680 ワークステーション ラップトップ (2023) | 16 インチ FHD+ | Core i9-1TB SSD - 64GB RAM | 24 コア @ 5.5 GHz - 第 13 世代 CPU Win 11 Pro (リニューアル)</v>
      </c>
    </row>
    <row r="4146" ht="15.75" customHeight="1">
      <c r="A4146" s="1">
        <v>5048.0</v>
      </c>
      <c r="B4146" s="1" t="s">
        <v>15</v>
      </c>
      <c r="C4146" s="1" t="s">
        <v>2231</v>
      </c>
      <c r="D4146" s="1" t="str">
        <f>IFERROR(__xludf.DUMMYFUNCTION("CONCATENATE(GOOGLETRANSLATE(C4146, ""en"", ""zh-cn""))"),"iPhone 13， 128GB，星光 - 解锁（续订高级版）")</f>
        <v>iPhone 13， 128GB，星光 - 解锁（续订高级版）</v>
      </c>
      <c r="E4146" s="1" t="str">
        <f>IFERROR(__xludf.DUMMYFUNCTION("CONCATENATE(GOOGLETRANSLATE(C4146, ""en"", ""ko""))"),"iPhone 13, 128GB, Starlight - 언락(리뉴얼 프리미엄)")</f>
        <v>iPhone 13, 128GB, Starlight - 언락(리뉴얼 프리미엄)</v>
      </c>
      <c r="F4146" s="1" t="str">
        <f>IFERROR(__xludf.DUMMYFUNCTION("CONCATENATE(GOOGLETRANSLATE(C4146, ""en"", ""ja""))"),"iPhone 13、128GB、スターライト - ロック解除済み (更新プレミアム)")</f>
        <v>iPhone 13、128GB、スターライト - ロック解除済み (更新プレミアム)</v>
      </c>
    </row>
    <row r="4147" ht="15.75" customHeight="1">
      <c r="A4147" s="1">
        <v>5050.0</v>
      </c>
      <c r="B4147" s="1" t="s">
        <v>15</v>
      </c>
      <c r="C4147" s="1" t="s">
        <v>3650</v>
      </c>
      <c r="D4147" s="1" t="str">
        <f>IFERROR(__xludf.DUMMYFUNCTION("CONCATENATE(GOOGLETRANSLATE(C4147, ""en"", ""zh-cn""))"),"Apple iPhone 13，128GB，蓝色 - 无锁版（续订）")</f>
        <v>Apple iPhone 13，128GB，蓝色 - 无锁版（续订）</v>
      </c>
      <c r="E4147" s="1" t="str">
        <f>IFERROR(__xludf.DUMMYFUNCTION("CONCATENATE(GOOGLETRANSLATE(C4147, ""en"", ""ko""))"),"Apple iPhone 13, 128GB, 블루 - 공기계(리뉴얼)")</f>
        <v>Apple iPhone 13, 128GB, 블루 - 공기계(리뉴얼)</v>
      </c>
      <c r="F4147" s="1" t="str">
        <f>IFERROR(__xludf.DUMMYFUNCTION("CONCATENATE(GOOGLETRANSLATE(C4147, ""en"", ""ja""))"),"Apple iPhone 13、128GB、ブルー - ロック解除済み (更新済み)")</f>
        <v>Apple iPhone 13、128GB、ブルー - ロック解除済み (更新済み)</v>
      </c>
    </row>
    <row r="4148" ht="15.75" customHeight="1">
      <c r="A4148" s="1">
        <v>5055.0</v>
      </c>
      <c r="B4148" s="1" t="s">
        <v>15</v>
      </c>
      <c r="C4148" s="1" t="s">
        <v>2318</v>
      </c>
      <c r="D4148" s="1" t="str">
        <f>IFERROR(__xludf.DUMMYFUNCTION("CONCATENATE(GOOGLETRANSLATE(C4148, ""en"", ""zh-cn""))"),"LiangCuber GAN 12 M 3x3 速度魔方 磁力无贴 GAN 12 MagLev UV 旗舰 3x3x3 魔方（UV 涂层光面和初级内部）")</f>
        <v>LiangCuber GAN 12 M 3x3 速度魔方 磁力无贴 GAN 12 MagLev UV 旗舰 3x3x3 魔方（UV 涂层光面和初级内部）</v>
      </c>
      <c r="E4148" s="1" t="str">
        <f>IFERROR(__xludf.DUMMYFUNCTION("CONCATENATE(GOOGLETRANSLATE(C4148, ""en"", ""ko""))"),"LiangCuber GAN 12 M 3x3 스피드 큐브 자기 스티커가 없는 GAN 12 MagLev UV 플래그십 3x3x3 매직 큐브(UV 코팅 광택 및 기본 내부)")</f>
        <v>LiangCuber GAN 12 M 3x3 스피드 큐브 자기 스티커가 없는 GAN 12 MagLev UV 플래그십 3x3x3 매직 큐브(UV 코팅 광택 및 기본 내부)</v>
      </c>
      <c r="F4148" s="1" t="str">
        <f>IFERROR(__xludf.DUMMYFUNCTION("CONCATENATE(GOOGLETRANSLATE(C4148, ""en"", ""ja""))"),"LiangCuber GAN 12 M 3x3 スピード キューブ 磁気ステッカーレス GAN 12 MagLev UV フラッグシップ 3x3x3 マジック キューブ (UV コーティング光沢 &amp; プライマリ内部)")</f>
        <v>LiangCuber GAN 12 M 3x3 スピード キューブ 磁気ステッカーレス GAN 12 MagLev UV フラッグシップ 3x3x3 マジック キューブ (UV コーティング光沢 &amp; プライマリ内部)</v>
      </c>
    </row>
    <row r="4149" ht="15.75" customHeight="1">
      <c r="A4149" s="1">
        <v>5066.0</v>
      </c>
      <c r="B4149" s="1" t="s">
        <v>381</v>
      </c>
      <c r="C4149" s="1" t="s">
        <v>607</v>
      </c>
      <c r="D4149" s="1" t="str">
        <f>IFERROR(__xludf.DUMMYFUNCTION("CONCATENATE(GOOGLETRANSLATE(C4149, ""en"", ""zh-cn""))"),"男式卡通宇航员印花圆领短袖 T 恤")</f>
        <v>男式卡通宇航员印花圆领短袖 T 恤</v>
      </c>
      <c r="E4149" s="1" t="str">
        <f>IFERROR(__xludf.DUMMYFUNCTION("CONCATENATE(GOOGLETRANSLATE(C4149, ""en"", ""ko""))"),"남성용 만화 우주 비행사 프린트 크루넥 반팔 티셔츠")</f>
        <v>남성용 만화 우주 비행사 프린트 크루넥 반팔 티셔츠</v>
      </c>
      <c r="F4149" s="1" t="str">
        <f>IFERROR(__xludf.DUMMYFUNCTION("CONCATENATE(GOOGLETRANSLATE(C4149, ""en"", ""ja""))"),"メンズ漫画宇宙飛行士プリントクルーネック半袖 T シャツ")</f>
        <v>メンズ漫画宇宙飛行士プリントクルーネック半袖 T シャツ</v>
      </c>
    </row>
    <row r="4150" ht="15.75" customHeight="1">
      <c r="A4150" s="1">
        <v>5095.0</v>
      </c>
      <c r="B4150" s="1" t="s">
        <v>381</v>
      </c>
      <c r="C4150" s="1" t="s">
        <v>775</v>
      </c>
      <c r="D4150" s="1" t="str">
        <f>IFERROR(__xludf.DUMMYFUNCTION("CONCATENATE(GOOGLETRANSLATE(C4150, ""en"", ""zh-cn""))"),"女式方领褶皱纽扣休闲超长复古连衣裙（带侧袋）")</f>
        <v>女式方领褶皱纽扣休闲超长复古连衣裙（带侧袋）</v>
      </c>
      <c r="E4150" s="1" t="str">
        <f>IFERROR(__xludf.DUMMYFUNCTION("CONCATENATE(GOOGLETRANSLATE(C4150, ""en"", ""ko""))"),"여성 스퀘어 넥 주름 단추 캐주얼 맥시 빈티지 드레스(사이드 포켓 ​​포함)")</f>
        <v>여성 스퀘어 넥 주름 단추 캐주얼 맥시 빈티지 드레스(사이드 포켓 ​​포함)</v>
      </c>
      <c r="F4150" s="1" t="str">
        <f>IFERROR(__xludf.DUMMYFUNCTION("CONCATENATE(GOOGLETRANSLATE(C4150, ""en"", ""ja""))"),"女性スクエアネックプリーツボタンカジュアルマキシヴィンテージドレスサイドポケット付き")</f>
        <v>女性スクエアネックプリーツボタンカジュアルマキシヴィンテージドレスサイドポケット付き</v>
      </c>
    </row>
    <row r="4151" ht="15.75" customHeight="1">
      <c r="A4151" s="1">
        <v>5128.0</v>
      </c>
      <c r="B4151" s="1" t="s">
        <v>15</v>
      </c>
      <c r="C4151" s="1" t="s">
        <v>1826</v>
      </c>
      <c r="D4151" s="1" t="str">
        <f>IFERROR(__xludf.DUMMYFUNCTION("CONCATENATE(GOOGLETRANSLATE(C4151, ""en"", ""zh-cn""))"),"GAN 460 M 速度魔方， 4x4 磁性魔方 Gans 460M 拼图玩具（无贴纸）")</f>
        <v>GAN 460 M 速度魔方， 4x4 磁性魔方 Gans 460M 拼图玩具（无贴纸）</v>
      </c>
      <c r="E4151" s="1" t="str">
        <f>IFERROR(__xludf.DUMMYFUNCTION("CONCATENATE(GOOGLETRANSLATE(C4151, ""en"", ""ko""))"),"GAN 460 M 스피드 큐브, 4x4 마그네틱 마스터 큐브 Gans 460M 퍼즐 장난감(스티커 없음)")</f>
        <v>GAN 460 M 스피드 큐브, 4x4 마그네틱 마스터 큐브 Gans 460M 퍼즐 장난감(스티커 없음)</v>
      </c>
      <c r="F4151" s="1" t="str">
        <f>IFERROR(__xludf.DUMMYFUNCTION("CONCATENATE(GOOGLETRANSLATE(C4151, ""en"", ""ja""))"),"GAN 460 M スピード キューブ、4x4 磁気マスター キューブ Gans 460M パズルおもちゃ (ステッカーなし)")</f>
        <v>GAN 460 M スピード キューブ、4x4 磁気マスター キューブ Gans 460M パズルおもちゃ (ステッカーなし)</v>
      </c>
    </row>
    <row r="4152" ht="15.75" customHeight="1">
      <c r="A4152" s="1">
        <v>5129.0</v>
      </c>
      <c r="B4152" s="1" t="s">
        <v>15</v>
      </c>
      <c r="C4152" s="1" t="s">
        <v>1827</v>
      </c>
      <c r="D4152" s="1" t="str">
        <f>IFERROR(__xludf.DUMMYFUNCTION("CONCATENATE(GOOGLETRANSLATE(C4152, ""en"", ""zh-cn""))"),"宁神茶丸 甘麦大枣丸 (1000 茶丸)3383E-MAYWAY by Mayway")</f>
        <v>宁神茶丸 甘麦大枣丸 (1000 茶丸)3383E-MAYWAY by Mayway</v>
      </c>
      <c r="E4152" s="1" t="str">
        <f>IFERROR(__xludf.DUMMYFUNCTION("CONCATENATE(GOOGLETRANSLATE(C4152, ""en"", ""ko""))"),"Calm Spirit Teapills Gan Mai Da Zao Wan (1000 티필)3383E-MAYWAY by Mayway")</f>
        <v>Calm Spirit Teapills Gan Mai Da Zao Wan (1000 티필)3383E-MAYWAY by Mayway</v>
      </c>
      <c r="F4152" s="1" t="str">
        <f>IFERROR(__xludf.DUMMYFUNCTION("CONCATENATE(GOOGLETRANSLATE(C4152, ""en"", ""ja""))"),"Calm Spirit Teapills Gan Mai Da Zao Wan (1000 Teapills)3383E-MAYWAY by Mayway")</f>
        <v>Calm Spirit Teapills Gan Mai Da Zao Wan (1000 Teapills)3383E-MAYWAY by Mayway</v>
      </c>
    </row>
    <row r="4153" ht="15.75" customHeight="1">
      <c r="A4153" s="1">
        <v>5153.0</v>
      </c>
      <c r="B4153" s="1" t="s">
        <v>15</v>
      </c>
      <c r="C4153" s="1" t="s">
        <v>2848</v>
      </c>
      <c r="D4153" s="1" t="str">
        <f>IFERROR(__xludf.DUMMYFUNCTION("CONCATENATE(GOOGLETRANSLATE(C4153, ""en"", ""zh-cn""))"),"Giro Vanquish MIPS 成人公路骑行头盔")</f>
        <v>Giro Vanquish MIPS 成人公路骑行头盔</v>
      </c>
      <c r="E4153" s="1" t="str">
        <f>IFERROR(__xludf.DUMMYFUNCTION("CONCATENATE(GOOGLETRANSLATE(C4153, ""en"", ""ko""))"),"Giro Vanquish MIPS 성인용 로드 사이클링 헬멧")</f>
        <v>Giro Vanquish MIPS 성인용 로드 사이클링 헬멧</v>
      </c>
      <c r="F4153" s="1" t="str">
        <f>IFERROR(__xludf.DUMMYFUNCTION("CONCATENATE(GOOGLETRANSLATE(C4153, ""en"", ""ja""))"),"Giro Vanquish MIPS 大人用ロードサイクリング ヘルメット")</f>
        <v>Giro Vanquish MIPS 大人用ロードサイクリング ヘルメット</v>
      </c>
    </row>
    <row r="4154" ht="15.75" customHeight="1">
      <c r="A4154" s="1">
        <v>5157.0</v>
      </c>
      <c r="B4154" s="1" t="s">
        <v>15</v>
      </c>
      <c r="C4154" s="1" t="s">
        <v>2374</v>
      </c>
      <c r="D4154" s="1" t="str">
        <f>IFERROR(__xludf.DUMMYFUNCTION("CONCATENATE(GOOGLETRANSLATE(C4154, ""en"", ""zh-cn""))"),"Cyclace 固定式健身车 - 承重能力 330 磅 - 室内骑行车，配有舒适座垫、平板电脑支架和液晶显示屏，适合家庭锻炼")</f>
        <v>Cyclace 固定式健身车 - 承重能力 330 磅 - 室内骑行车，配有舒适座垫、平板电脑支架和液晶显示屏，适合家庭锻炼</v>
      </c>
      <c r="E4154" s="1" t="str">
        <f>IFERROR(__xludf.DUMMYFUNCTION("CONCATENATE(GOOGLETRANSLATE(C4154, ""en"", ""ko""))"),"사이클레이스 운동용 자전거 고정식 - 330파운드 무게 용량 - 편안한 시트 쿠션, 태블릿 홀더 및 가정 운동용 LCD 모니터를 갖춘 실내 사이클링 자전거")</f>
        <v>사이클레이스 운동용 자전거 고정식 - 330파운드 무게 용량 - 편안한 시트 쿠션, 태블릿 홀더 및 가정 운동용 LCD 모니터를 갖춘 실내 사이클링 자전거</v>
      </c>
      <c r="F4154" s="1" t="str">
        <f>IFERROR(__xludf.DUMMYFUNCTION("CONCATENATE(GOOGLETRANSLATE(C4154, ""en"", ""ja""))"),"Cyclace エアロバイク ステーショナリー - 耐荷重 330 ポンド - 快適なシートクッション、タブレットホルダー、自宅トレーニング用 LCD モニター付き屋内サイクリングバイク")</f>
        <v>Cyclace エアロバイク ステーショナリー - 耐荷重 330 ポンド - 快適なシートクッション、タブレットホルダー、自宅トレーニング用 LCD モニター付き屋内サイクリングバイク</v>
      </c>
    </row>
    <row r="4155" ht="15.75" customHeight="1">
      <c r="A4155" s="1">
        <v>5184.0</v>
      </c>
      <c r="B4155" s="1" t="s">
        <v>381</v>
      </c>
      <c r="C4155" s="1" t="s">
        <v>689</v>
      </c>
      <c r="D4155" s="1" t="str">
        <f>IFERROR(__xludf.DUMMYFUNCTION("CONCATENATE(GOOGLETRANSLATE(C4155, ""en"", ""zh-cn""))"),"男式拼色拼布翻盖灯芯绒衬衫夹克")</f>
        <v>男式拼色拼布翻盖灯芯绒衬衫夹克</v>
      </c>
      <c r="E4155" s="1" t="str">
        <f>IFERROR(__xludf.DUMMYFUNCTION("CONCATENATE(GOOGLETRANSLATE(C4155, ""en"", ""ko""))"),"남성용 컬러 블록 패치워크 플랩 포켓 코듀로이 셔츠 재킷")</f>
        <v>남성용 컬러 블록 패치워크 플랩 포켓 코듀로이 셔츠 재킷</v>
      </c>
      <c r="F4155" s="1" t="str">
        <f>IFERROR(__xludf.DUMMYFUNCTION("CONCATENATE(GOOGLETRANSLATE(C4155, ""en"", ""ja""))"),"メンズ カラーブロック パッチワーク フラップ ポケット コーデュロイ シャツ ジャケット")</f>
        <v>メンズ カラーブロック パッチワーク フラップ ポケット コーデュロイ シャツ ジャケット</v>
      </c>
    </row>
    <row r="4156" ht="15.75" customHeight="1">
      <c r="A4156" s="1">
        <v>5186.0</v>
      </c>
      <c r="B4156" s="1" t="s">
        <v>381</v>
      </c>
      <c r="C4156" s="1" t="s">
        <v>691</v>
      </c>
      <c r="D4156" s="1" t="str">
        <f>IFERROR(__xludf.DUMMYFUNCTION("CONCATENATE(GOOGLETRANSLATE(C4156, ""en"", ""zh-cn""))"),"男式两色拼接立领拉链前抓绒夹克")</f>
        <v>男式两色拼接立领拉链前抓绒夹克</v>
      </c>
      <c r="E4156" s="1" t="str">
        <f>IFERROR(__xludf.DUMMYFUNCTION("CONCATENATE(GOOGLETRANSLATE(C4156, ""en"", ""ko""))"),"남성 투톤 패치워크 스탠드 칼라 지퍼 프론트 플리스 재킷")</f>
        <v>남성 투톤 패치워크 스탠드 칼라 지퍼 프론트 플리스 재킷</v>
      </c>
      <c r="F4156" s="1" t="str">
        <f>IFERROR(__xludf.DUMMYFUNCTION("CONCATENATE(GOOGLETRANSLATE(C4156, ""en"", ""ja""))"),"メンズ ツートーン パッチワーク スタンド カラー ジップ フロント フリース ジャケット")</f>
        <v>メンズ ツートーン パッチワーク スタンド カラー ジップ フロント フリース ジャケット</v>
      </c>
    </row>
    <row r="4157" ht="15.75" customHeight="1">
      <c r="A4157" s="1">
        <v>5188.0</v>
      </c>
      <c r="B4157" s="1" t="s">
        <v>381</v>
      </c>
      <c r="C4157" s="1" t="s">
        <v>693</v>
      </c>
      <c r="D4157" s="1" t="str">
        <f>IFERROR(__xludf.DUMMYFUNCTION("CONCATENATE(GOOGLETRANSLATE(C4157, ""en"", ""zh-cn""))"),"男式民族部落图案拼布有盖口袋花呢夹克")</f>
        <v>男式民族部落图案拼布有盖口袋花呢夹克</v>
      </c>
      <c r="E4157" s="1" t="str">
        <f>IFERROR(__xludf.DUMMYFUNCTION("CONCATENATE(GOOGLETRANSLATE(C4157, ""en"", ""ko""))"),"남성용 에스닉 트라이벌 패턴 패치워크 플랩 포켓 트위드 재킷")</f>
        <v>남성용 에스닉 트라이벌 패턴 패치워크 플랩 포켓 트위드 재킷</v>
      </c>
      <c r="F4157" s="1" t="str">
        <f>IFERROR(__xludf.DUMMYFUNCTION("CONCATENATE(GOOGLETRANSLATE(C4157, ""en"", ""ja""))"),"メンズエスニックトライバルパターンパッチワークフラップポケットツイードジャケット")</f>
        <v>メンズエスニックトライバルパターンパッチワークフラップポケットツイードジャケット</v>
      </c>
    </row>
    <row r="4158" ht="15.75" customHeight="1">
      <c r="A4158" s="1">
        <v>5197.0</v>
      </c>
      <c r="B4158" s="1" t="s">
        <v>381</v>
      </c>
      <c r="C4158" s="1" t="s">
        <v>703</v>
      </c>
      <c r="D4158" s="1" t="str">
        <f>IFERROR(__xludf.DUMMYFUNCTION("CONCATENATE(GOOGLETRANSLATE(C4158, ""en"", ""zh-cn""))"),"男式民族几何印花拼布前拉链连帽夹克")</f>
        <v>男式民族几何印花拼布前拉链连帽夹克</v>
      </c>
      <c r="E4158" s="1" t="str">
        <f>IFERROR(__xludf.DUMMYFUNCTION("CONCATENATE(GOOGLETRANSLATE(C4158, ""en"", ""ko""))"),"남성용 에스닉 기하학 프린트 패치워크 지퍼 프론트 후드 재킷")</f>
        <v>남성용 에스닉 기하학 프린트 패치워크 지퍼 프론트 후드 재킷</v>
      </c>
      <c r="F4158" s="1" t="str">
        <f>IFERROR(__xludf.DUMMYFUNCTION("CONCATENATE(GOOGLETRANSLATE(C4158, ""en"", ""ja""))"),"メンズエスニック幾何学プリントパッチワークジップフロントフード付きジャケット")</f>
        <v>メンズエスニック幾何学プリントパッチワークジップフロントフード付きジャケット</v>
      </c>
    </row>
    <row r="4159" ht="15.75" customHeight="1">
      <c r="A4159" s="1">
        <v>5281.0</v>
      </c>
      <c r="B4159" s="1" t="s">
        <v>381</v>
      </c>
      <c r="C4159" s="1" t="s">
        <v>611</v>
      </c>
      <c r="D4159" s="1" t="str">
        <f>IFERROR(__xludf.DUMMYFUNCTION("CONCATENATE(GOOGLETRANSLATE(C4159, ""en"", ""zh-cn""))"),"男式几何图案拼布有盖口袋短袖 T 恤")</f>
        <v>男式几何图案拼布有盖口袋短袖 T 恤</v>
      </c>
      <c r="E4159" s="1" t="str">
        <f>IFERROR(__xludf.DUMMYFUNCTION("CONCATENATE(GOOGLETRANSLATE(C4159, ""en"", ""ko""))"),"남성용 기하학 무늬 패치워크 플랩 포켓 반팔 티셔츠")</f>
        <v>남성용 기하학 무늬 패치워크 플랩 포켓 반팔 티셔츠</v>
      </c>
      <c r="F4159" s="1" t="str">
        <f>IFERROR(__xludf.DUMMYFUNCTION("CONCATENATE(GOOGLETRANSLATE(C4159, ""en"", ""ja""))"),"メンズ幾何学模様パッチワーク フラップ ポケット半袖 T シャツ")</f>
        <v>メンズ幾何学模様パッチワーク フラップ ポケット半袖 T シャツ</v>
      </c>
    </row>
    <row r="4160" ht="15.75" customHeight="1">
      <c r="A4160" s="1">
        <v>5285.0</v>
      </c>
      <c r="B4160" s="1" t="s">
        <v>381</v>
      </c>
      <c r="C4160" s="1" t="s">
        <v>622</v>
      </c>
      <c r="D4160" s="1" t="str">
        <f>IFERROR(__xludf.DUMMYFUNCTION("CONCATENATE(GOOGLETRANSLATE(C4160, ""en"", ""zh-cn""))"),"男士纯色高领休闲长袖 T 恤")</f>
        <v>男士纯色高领休闲长袖 T 恤</v>
      </c>
      <c r="E4160" s="1" t="str">
        <f>IFERROR(__xludf.DUMMYFUNCTION("CONCATENATE(GOOGLETRANSLATE(C4160, ""en"", ""ko""))"),"남성 솔리드 텍스쳐 하이넥 캐주얼 긴팔 티셔츠")</f>
        <v>남성 솔리드 텍스쳐 하이넥 캐주얼 긴팔 티셔츠</v>
      </c>
      <c r="F4160" s="1" t="str">
        <f>IFERROR(__xludf.DUMMYFUNCTION("CONCATENATE(GOOGLETRANSLATE(C4160, ""en"", ""ja""))"),"メンズソリッドテクスチャーハイネックカジュアル長袖Tシャツ")</f>
        <v>メンズソリッドテクスチャーハイネックカジュアル長袖Tシャツ</v>
      </c>
    </row>
    <row r="4161" ht="15.75" customHeight="1">
      <c r="A4161" s="1">
        <v>5290.0</v>
      </c>
      <c r="B4161" s="1" t="s">
        <v>15</v>
      </c>
      <c r="C4161" s="1" t="s">
        <v>1838</v>
      </c>
      <c r="D4161" s="1" t="str">
        <f>IFERROR(__xludf.DUMMYFUNCTION("CONCATENATE(GOOGLETRANSLATE(C4161, ""en"", ""zh-cn""))"),"Ravensburger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4161" s="1" t="str">
        <f>IFERROR(__xludf.DUMMYFUNCTION("CONCATENATE(GOOGLETRANSLATE(C4161, ""en"", ""ko""))"),"Ravensburger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4161" s="1" t="str">
        <f>IFERROR(__xludf.DUMMYFUNCTION("CONCATENATE(GOOGLETRANSLATE(C4161, ""en"", ""ja""))"),"Ravensburger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4162" ht="15.75" customHeight="1">
      <c r="A4162" s="1">
        <v>5302.0</v>
      </c>
      <c r="B4162" s="1" t="s">
        <v>15</v>
      </c>
      <c r="C4162" s="1" t="s">
        <v>2325</v>
      </c>
      <c r="D4162" s="1" t="str">
        <f>IFERROR(__xludf.DUMMYFUNCTION("CONCATENATE(GOOGLETRANSLATE(C4162, ""en"", ""zh-cn""))"),"Drako 2 SRS 山地自行车鞋")</f>
        <v>Drako 2 SRS 山地自行车鞋</v>
      </c>
      <c r="E4162" s="1" t="str">
        <f>IFERROR(__xludf.DUMMYFUNCTION("CONCATENATE(GOOGLETRANSLATE(C4162, ""en"", ""ko""))"),"Drako 2 SRS 산악 자전거 신발")</f>
        <v>Drako 2 SRS 산악 자전거 신발</v>
      </c>
      <c r="F4162" s="1" t="str">
        <f>IFERROR(__xludf.DUMMYFUNCTION("CONCATENATE(GOOGLETRANSLATE(C4162, ""en"", ""ja""))"),"Drako 2 SRS マウンテン バイク シューズ")</f>
        <v>Drako 2 SRS マウンテン バイク シューズ</v>
      </c>
    </row>
    <row r="4163" ht="15.75" customHeight="1">
      <c r="A4163" s="1">
        <v>5318.0</v>
      </c>
      <c r="B4163" s="1" t="s">
        <v>15</v>
      </c>
      <c r="C4163" s="1" t="s">
        <v>2671</v>
      </c>
      <c r="D4163" s="1" t="str">
        <f>IFERROR(__xludf.DUMMYFUNCTION("CONCATENATE(GOOGLETRANSLATE(C4163, ""en"", ""zh-cn""))"),"Fitnessandfun 33 英尺巨大户外充气电影屏幕，包括鼓风机 - 无缝正投影和背投影 - 便携式吹爆投影仪屏幕，适用于教堂、盛大派对、后院泳池乐趣（33 英尺）")</f>
        <v>Fitnessandfun 33 英尺巨大户外充气电影屏幕，包括鼓风机 - 无缝正投影和背投影 - 便携式吹爆投影仪屏幕，适用于教堂、盛大派对、后院泳池乐趣（33 英尺）</v>
      </c>
      <c r="E4163" s="1" t="str">
        <f>IFERROR(__xludf.DUMMYFUNCTION("CONCATENATE(GOOGLETRANSLATE(C4163, ""en"", ""ko""))"),"Fitnessandfun 33' 야외용 대형 풍선 영화 스크린 송풍기 포함 - 원활한 전면 및 후면 프로젝션 - 교회, 대규모 파티, 뒷마당 수영장 놀이용 휴대용 팽창 프로젝터 스크린(33피트)")</f>
        <v>Fitnessandfun 33' 야외용 대형 풍선 영화 스크린 송풍기 포함 - 원활한 전면 및 후면 프로젝션 - 교회, 대규모 파티, 뒷마당 수영장 놀이용 휴대용 팽창 프로젝터 스크린(33피트)</v>
      </c>
      <c r="F4163" s="1" t="str">
        <f>IFERROR(__xludf.DUMMYFUNCTION("CONCATENATE(GOOGLETRANSLATE(C4163, ""en"", ""ja""))"),"fitnessandfun 33フィートの巨大なインフレータブルムービースクリーン屋外用送風機付き - シームレスなフロントとリアの投影 - 教会、グランドパーティー、裏庭のプールファン用のポータブルブローアッププロジェクタースクリーン(33フィート)")</f>
        <v>fitnessandfun 33フィートの巨大なインフレータブルムービースクリーン屋外用送風機付き - シームレスなフロントとリアの投影 - 教会、グランドパーティー、裏庭のプールファン用のポータブルブローアッププロジェクタースクリーン(33フィート)</v>
      </c>
    </row>
    <row r="4164" ht="15.75" customHeight="1">
      <c r="A4164" s="1">
        <v>5319.0</v>
      </c>
      <c r="B4164" s="1" t="s">
        <v>15</v>
      </c>
      <c r="C4164" s="1" t="s">
        <v>3651</v>
      </c>
      <c r="D4164" s="1" t="str">
        <f>IFERROR(__xludf.DUMMYFUNCTION("CONCATENATE(GOOGLETRANSLATE(C4164, ""en"", ""zh-cn""))"),"PVC RV 橡胶屋顶套件 45 百万 | 9’6’’宽x 10’-40’长房车（露营车）屋顶维修（40’），白色，（RVK45PVCW95）")</f>
        <v>PVC RV 橡胶屋顶套件 45 百万 | 9’6’’宽x 10’-40’长房车（露营车）屋顶维修（40’），白色，（RVK45PVCW95）</v>
      </c>
      <c r="E4164" s="1" t="str">
        <f>IFERROR(__xludf.DUMMYFUNCTION("CONCATENATE(GOOGLETRANSLATE(C4164, ""en"", ""ko""))"),"PVC RV 고무 지붕 키트 45mil | 9'6'' 너비 x 10'-40' 길이 RV(캠퍼) 지붕 수리(40'), 흰색, (RVK45PVCW95)")</f>
        <v>PVC RV 고무 지붕 키트 45mil | 9'6'' 너비 x 10'-40' 길이 RV(캠퍼) 지붕 수리(40'), 흰색, (RVK45PVCW95)</v>
      </c>
      <c r="F4164" s="1" t="str">
        <f>IFERROR(__xludf.DUMMYFUNCTION("CONCATENATE(GOOGLETRANSLATE(C4164, ""en"", ""ja""))"),"PVC RV ラバー ルーフ キット 45 mil |幅9'6'' x 長さ10'-40' RV (キャンピングカー) 屋根修理 (40')、白、(RVK45PVCW95)")</f>
        <v>PVC RV ラバー ルーフ キット 45 mil |幅9'6'' x 長さ10'-40' RV (キャンピングカー) 屋根修理 (40')、白、(RVK45PVCW95)</v>
      </c>
    </row>
    <row r="4165" ht="15.75" customHeight="1">
      <c r="A4165" s="1">
        <v>5321.0</v>
      </c>
      <c r="B4165" s="1" t="s">
        <v>15</v>
      </c>
      <c r="C4165" s="1" t="s">
        <v>3117</v>
      </c>
      <c r="D4165" s="1" t="str">
        <f>IFERROR(__xludf.DUMMYFUNCTION("CONCATENATE(GOOGLETRANSLATE(C4165, ""en"", ""zh-cn""))"),"2022 最新联想 IdeaPad 3i 笔记本电脑，17.3 HD+ 显示屏，第 11 代英特尔酷睿 i5-1135G7，英特尔 Iris Xe 显卡，20GB RAM，512GB PCIe SSD，WiFi，网络摄像头，指纹识别器，Windows 11 Home，蓝色")</f>
        <v>2022 最新联想 IdeaPad 3i 笔记本电脑，17.3 HD+ 显示屏，第 11 代英特尔酷睿 i5-1135G7，英特尔 Iris Xe 显卡，20GB RAM，512GB PCIe SSD，WiFi，网络摄像头，指纹识别器，Windows 11 Home，蓝色</v>
      </c>
      <c r="E4165" s="1" t="str">
        <f>IFERROR(__xludf.DUMMYFUNCTION("CONCATENATE(GOOGLETRANSLATE(C4165, ""en"", ""ko""))"),"2022 최신 레노버 IdeaPad 3i 노트북, 17.3 HD+ 디스플레이, 11세대 인텔 코어 i5-1135G7, 인텔 Iris Xe 그래픽, 20GB RAM, 512GB PCIe SSD, WiFi, 웹캠, 지문 인식기, Windows 11 Home, 블루")</f>
        <v>2022 최신 레노버 IdeaPad 3i 노트북, 17.3 HD+ 디스플레이, 11세대 인텔 코어 i5-1135G7, 인텔 Iris Xe 그래픽, 20GB RAM, 512GB PCIe SSD, WiFi, 웹캠, 지문 인식기, Windows 11 Home, 블루</v>
      </c>
      <c r="F4165" s="1" t="str">
        <f>IFERROR(__xludf.DUMMYFUNCTION("CONCATENATE(GOOGLETRANSLATE(C4165, ""en"", ""ja""))"),"2022 最新 Lenovo IdeaPad 3i ラップトップ、17.3 HD+ ディスプレイ、第 11 世代インテル Core i5-1135G7、インテル Iris Xe グラフィックス、20GB RAM、512GB PCIe SSD、WiFi、ウェブカメラ、指紋リーダー、Windows 11 Home、ブルー")</f>
        <v>2022 最新 Lenovo IdeaPad 3i ラップトップ、17.3 HD+ ディスプレイ、第 11 世代インテル Core i5-1135G7、インテル Iris Xe グラフィックス、20GB RAM、512GB PCIe SSD、WiFi、ウェブカメラ、指紋リーダー、Windows 11 Home、ブルー</v>
      </c>
    </row>
    <row r="4166" ht="15.75" customHeight="1">
      <c r="A4166" s="1">
        <v>5322.0</v>
      </c>
      <c r="B4166" s="1" t="s">
        <v>15</v>
      </c>
      <c r="C4166" s="1" t="s">
        <v>3555</v>
      </c>
      <c r="D4166" s="1" t="str">
        <f>IFERROR(__xludf.DUMMYFUNCTION("CONCATENATE(GOOGLETRANSLATE(C4166, ""en"", ""zh-cn""))"),"戴尔 Inspiron 灵越 24 英寸一体机，Windows 11 Home，AMD Ryzen 5 5625U，AMD Radeon 显卡，8GB DDR4 RAM，256GB SSD，FHD (1920 x 1080)，MediaTek Wi-Fi 6，Infinity Display，5415 - 黑色")</f>
        <v>戴尔 Inspiron 灵越 24 英寸一体机，Windows 11 Home，AMD Ryzen 5 5625U，AMD Radeon 显卡，8GB DDR4 RAM，256GB SSD，FHD (1920 x 1080)，MediaTek Wi-Fi 6，Infinity Display，5415 - 黑色</v>
      </c>
      <c r="E4166" s="1" t="str">
        <f>IFERROR(__xludf.DUMMYFUNCTION("CONCATENATE(GOOGLETRANSLATE(C4166, ""en"", ""ko""))"),"Dell Inspiron 24인치 올인원 컴퓨터, Windows 11 Home, AMD Ryzen 5 5625U, AMD Radeon 그래픽, 8GB DDR4 RAM, 256GB SSD, FHD(1920 x 1080), MediaTek Wi-Fi 6, Infinity 디스플레이, 5415 - 블랙")</f>
        <v>Dell Inspiron 24인치 올인원 컴퓨터, Windows 11 Home, AMD Ryzen 5 5625U, AMD Radeon 그래픽, 8GB DDR4 RAM, 256GB SSD, FHD(1920 x 1080), MediaTek Wi-Fi 6, Infinity 디스플레이, 5415 - 블랙</v>
      </c>
      <c r="F4166" s="1" t="str">
        <f>IFERROR(__xludf.DUMMYFUNCTION("CONCATENATE(GOOGLETRANSLATE(C4166, ""en"", ""ja""))"),"Dell Inspiron 24 インチ オールインワン コンピューター、Windows 11 Home、AMD Ryzen 5 5625U、AMD Radeon グラフィックス、8GB DDR4 RAM、256GB SSD、FHD (1920 x 1080)、MediaTek Wi-Fi 6、Infinity Display、5415 - ブラック")</f>
        <v>Dell Inspiron 24 インチ オールインワン コンピューター、Windows 11 Home、AMD Ryzen 5 5625U、AMD Radeon グラフィックス、8GB DDR4 RAM、256GB SSD、FHD (1920 x 1080)、MediaTek Wi-Fi 6、Infinity Display、5415 - ブラック</v>
      </c>
    </row>
    <row r="4167" ht="15.75" customHeight="1">
      <c r="A4167" s="1">
        <v>5323.0</v>
      </c>
      <c r="B4167" s="1" t="s">
        <v>15</v>
      </c>
      <c r="C4167" s="1" t="s">
        <v>3652</v>
      </c>
      <c r="D4167" s="1" t="str">
        <f>IFERROR(__xludf.DUMMYFUNCTION("CONCATENATE(GOOGLETRANSLATE(C4167, ""en"", ""zh-cn""))"),"Dell Latitude 7420 14 Intel Core i5-1145G7 256GB PCIe SSD 16GB FHD Touch (1920X1080) 300 NIT 红外摄像头 Win 11 Pro（经过认证的翻新机）")</f>
        <v>Dell Latitude 7420 14 Intel Core i5-1145G7 256GB PCIe SSD 16GB FHD Touch (1920X1080) 300 NIT 红外摄像头 Win 11 Pro（经过认证的翻新机）</v>
      </c>
      <c r="E4167" s="1" t="str">
        <f>IFERROR(__xludf.DUMMYFUNCTION("CONCATENATE(GOOGLETRANSLATE(C4167, ""en"", ""ko""))"),"Dell Latitude 7420 14 Intel Core i5-1145G7 256GB PCIe SSD 16GB FHD 터치(1920X1080) 300 NIT IR Cam Win 11 Pro(인증 리퍼브)")</f>
        <v>Dell Latitude 7420 14 Intel Core i5-1145G7 256GB PCIe SSD 16GB FHD 터치(1920X1080) 300 NIT IR Cam Win 11 Pro(인증 리퍼브)</v>
      </c>
      <c r="F4167" s="1" t="str">
        <f>IFERROR(__xludf.DUMMYFUNCTION("CONCATENATE(GOOGLETRANSLATE(C4167, ""en"", ""ja""))"),"Dell Latitude 7420 14 Intel Core i5-1145G7 256GB PCIe SSD 16GB FHD Touch (1920X1080) 300 NIT IR Cam Win 11 Pro (認定再生品)")</f>
        <v>Dell Latitude 7420 14 Intel Core i5-1145G7 256GB PCIe SSD 16GB FHD Touch (1920X1080) 300 NIT IR Cam Win 11 Pro (認定再生品)</v>
      </c>
    </row>
    <row r="4168" ht="15.75" customHeight="1">
      <c r="A4168" s="1">
        <v>5329.0</v>
      </c>
      <c r="B4168" s="1" t="s">
        <v>15</v>
      </c>
      <c r="C4168" s="1" t="s">
        <v>1710</v>
      </c>
      <c r="D4168" s="1" t="str">
        <f>IFERROR(__xludf.DUMMYFUNCTION("CONCATENATE(GOOGLETRANSLATE(C4168, ""en"", ""zh-cn""))"),"联想 15 触摸屏商务笔记本电脑，15.6 全高清触摸屏，英特尔四核 i5-1135G7，8GB RAM，512GB SSD，背光键盘，WiFi 6，Windows 11，YSC 配件，深渊蓝")</f>
        <v>联想 15 触摸屏商务笔记本电脑，15.6 全高清触摸屏，英特尔四核 i5-1135G7，8GB RAM，512GB SSD，背光键盘，WiFi 6，Windows 11，YSC 配件，深渊蓝</v>
      </c>
      <c r="E4168" s="1" t="str">
        <f>IFERROR(__xludf.DUMMYFUNCTION("CONCATENATE(GOOGLETRANSLATE(C4168, ""en"", ""ko""))"),"Lenovo 15 터치스크린 비즈니스 노트북, 15.6 풀 HD 터치스크린, Intel 쿼드 코어 i5-1135G7, 8GB RAM, 512GB SSD, 백라이트 키보드, WiFi 6, Windows 11, YSC 액세서리, Abyss Blue")</f>
        <v>Lenovo 15 터치스크린 비즈니스 노트북, 15.6 풀 HD 터치스크린, Intel 쿼드 코어 i5-1135G7, 8GB RAM, 512GB SSD, 백라이트 키보드, WiFi 6, Windows 11, YSC 액세서리, Abyss Blue</v>
      </c>
      <c r="F4168" s="1" t="str">
        <f>IFERROR(__xludf.DUMMYFUNCTION("CONCATENATE(GOOGLETRANSLATE(C4168, ""en"", ""ja""))"),"Lenovo 15 タッチスクリーン ビジネス ラップトップ、15.6 フル HD タッチ スクリーン、Intel クアッドコア i5-1135G7、8GB RAM、512GB SSD、バックライト付きキーボード、WiFi 6、Windows 11、YSC アクセサリ、アビス ブルー")</f>
        <v>Lenovo 15 タッチスクリーン ビジネス ラップトップ、15.6 フル HD タッチ スクリーン、Intel クアッドコア i5-1135G7、8GB RAM、512GB SSD、バックライト付きキーボード、WiFi 6、Windows 11、YSC アクセサリ、アビス ブルー</v>
      </c>
    </row>
    <row r="4169" ht="15.75" customHeight="1">
      <c r="A4169" s="1">
        <v>5354.0</v>
      </c>
      <c r="B4169" s="1" t="s">
        <v>15</v>
      </c>
      <c r="C4169" s="1" t="s">
        <v>1861</v>
      </c>
      <c r="D4169" s="1" t="str">
        <f>IFERROR(__xludf.DUMMYFUNCTION("CONCATENATE(GOOGLETRANSLATE(C4169, ""en"", ""zh-cn""))"),"博克芬诺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4169" s="1" t="str">
        <f>IFERROR(__xludf.DUMMYFUNCTION("CONCATENATE(GOOGLETRANSLATE(C4169, ""en"", ""ko""))"),"Bokefenuo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4169" s="1" t="str">
        <f>IFERROR(__xludf.DUMMYFUNCTION("CONCATENATE(GOOGLETRANSLATE(C4169, ""en"", ""ja""))"),"Bokefenuo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4170" ht="15.75" customHeight="1">
      <c r="A4170" s="1">
        <v>5357.0</v>
      </c>
      <c r="B4170" s="1" t="s">
        <v>15</v>
      </c>
      <c r="C4170" s="1" t="s">
        <v>1849</v>
      </c>
      <c r="D4170" s="1" t="str">
        <f>IFERROR(__xludf.DUMMYFUNCTION("CONCATENATE(GOOGLETRANSLATE(C4170, ""en"", ""zh-cn""))"),"GAN 460 M， Gan 4x4 磁性速度魔方， gan 460 m 4 x 4 儿童和成人无贴纸拼图玩具")</f>
        <v>GAN 460 M， Gan 4x4 磁性速度魔方， gan 460 m 4 x 4 儿童和成人无贴纸拼图玩具</v>
      </c>
      <c r="E4170" s="1" t="str">
        <f>IFERROR(__xludf.DUMMYFUNCTION("CONCATENATE(GOOGLETRANSLATE(C4170, ""en"", ""ko""))"),"GAN 460 M, Gan 4x4 자기 속도 큐브, gan 460 m 4 by 4 어린이와 성인을 위한 스티커 없는 퍼즐 장난감")</f>
        <v>GAN 460 M, Gan 4x4 자기 속도 큐브, gan 460 m 4 by 4 어린이와 성인을 위한 스티커 없는 퍼즐 장난감</v>
      </c>
      <c r="F4170" s="1" t="str">
        <f>IFERROR(__xludf.DUMMYFUNCTION("CONCATENATE(GOOGLETRANSLATE(C4170, ""en"", ""ja""))"),"GAN 460 M、Gan 4x4 磁気スピードキューブ、GAN 460 m 4 by 4 ステッカーレスパズルおもちゃ子供と大人向け")</f>
        <v>GAN 460 M、Gan 4x4 磁気スピードキューブ、GAN 460 m 4 by 4 ステッカーレスパズルおもちゃ子供と大人向け</v>
      </c>
    </row>
    <row r="4171" ht="15.75" customHeight="1">
      <c r="A4171" s="1">
        <v>5358.0</v>
      </c>
      <c r="B4171" s="1" t="s">
        <v>15</v>
      </c>
      <c r="C4171" s="1" t="s">
        <v>2327</v>
      </c>
      <c r="D4171" s="1" t="str">
        <f>IFERROR(__xludf.DUMMYFUNCTION("CONCATENATE(GOOGLETRANSLATE(C4171, ""en"", ""zh-cn""))"),"GAN 356 i 3 无贴纸速度魔方，3x3 智能魔方 356 i3 甘斯磁力魔方智能跟踪计时运动步骤与 CubeStation 应用程序甘魔方拼图玩具（不含 GAN 机器人）")</f>
        <v>GAN 356 i 3 无贴纸速度魔方，3x3 智能魔方 356 i3 甘斯磁力魔方智能跟踪计时运动步骤与 CubeStation 应用程序甘魔方拼图玩具（不含 GAN 机器人）</v>
      </c>
      <c r="E4171" s="1" t="str">
        <f>IFERROR(__xludf.DUMMYFUNCTION("CONCATENATE(GOOGLETRANSLATE(C4171, ""en"", ""ko""))"),"GAN 356 i 3 스티커 없는 스피드 큐브, 3x3 스마트 큐브 356 i3 Gans 마그네틱 큐브 CubeStation 앱을 사용한 지능형 추적 타이밍 동작 단계 Gan 큐브 퍼즐 장난감(GAN 로봇은 포함되지 않음)")</f>
        <v>GAN 356 i 3 스티커 없는 스피드 큐브, 3x3 스마트 큐브 356 i3 Gans 마그네틱 큐브 CubeStation 앱을 사용한 지능형 추적 타이밍 동작 단계 Gan 큐브 퍼즐 장난감(GAN 로봇은 포함되지 않음)</v>
      </c>
      <c r="F4171" s="1" t="str">
        <f>IFERROR(__xludf.DUMMYFUNCTION("CONCATENATE(GOOGLETRANSLATE(C4171, ""en"", ""ja""))"),"GAN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f>
        <v>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v>
      </c>
    </row>
    <row r="4172" ht="15.75" customHeight="1">
      <c r="A4172" s="1">
        <v>5362.0</v>
      </c>
      <c r="B4172" s="1" t="s">
        <v>15</v>
      </c>
      <c r="C4172" s="1" t="s">
        <v>3653</v>
      </c>
      <c r="D4172" s="1" t="str">
        <f>IFERROR(__xludf.DUMMYFUNCTION("CONCATENATE(GOOGLETRANSLATE(C4172, ""en"", ""zh-cn""))"),"Apple iPhone 12 Pro Max，512GB，石墨色 - 解锁（续订高级版）")</f>
        <v>Apple iPhone 12 Pro Max，512GB，石墨色 - 解锁（续订高级版）</v>
      </c>
      <c r="E4172" s="1" t="str">
        <f>IFERROR(__xludf.DUMMYFUNCTION("CONCATENATE(GOOGLETRANSLATE(C4172, ""en"", ""ko""))"),"Apple iPhone 12 Pro Max, 512GB, 그래파이트 - 공기계(리뉴얼 프리미엄)")</f>
        <v>Apple iPhone 12 Pro Max, 512GB, 그래파이트 - 공기계(리뉴얼 프리미엄)</v>
      </c>
      <c r="F4172" s="1" t="str">
        <f>IFERROR(__xludf.DUMMYFUNCTION("CONCATENATE(GOOGLETRANSLATE(C4172, ""en"", ""ja""))"),"Apple iPhone 12 Pro Max、512GB、グラファイト - ロック解除済み (更新プレミアム)")</f>
        <v>Apple iPhone 12 Pro Max、512GB、グラファイト - ロック解除済み (更新プレミアム)</v>
      </c>
    </row>
    <row r="4173" ht="15.75" customHeight="1">
      <c r="A4173" s="1">
        <v>5372.0</v>
      </c>
      <c r="B4173" s="1" t="s">
        <v>15</v>
      </c>
      <c r="C4173" s="1" t="s">
        <v>1648</v>
      </c>
      <c r="D4173" s="1" t="str">
        <f>IFERROR(__xludf.DUMMYFUNCTION("CONCATENATE(GOOGLETRANSLATE(C4173, ""en"", ""zh-cn""))"),"CuberShop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4173" s="1" t="str">
        <f>IFERROR(__xludf.DUMMYFUNCTION("CONCATENATE(GOOGLETRANSLATE(C4173, ""en"", ""ko""))"),"CuberShop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4173" s="1" t="str">
        <f>IFERROR(__xludf.DUMMYFUNCTION("CONCATENATE(GOOGLETRANSLATE(C4173, ""en"", ""ja""))"),"CuberShop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4174" ht="15.75" customHeight="1">
      <c r="A4174" s="1">
        <v>5377.0</v>
      </c>
      <c r="B4174" s="1" t="s">
        <v>381</v>
      </c>
      <c r="C4174" s="1" t="s">
        <v>689</v>
      </c>
      <c r="D4174" s="1" t="str">
        <f>IFERROR(__xludf.DUMMYFUNCTION("CONCATENATE(GOOGLETRANSLATE(C4174, ""en"", ""zh-cn""))"),"男式拼色拼布翻盖灯芯绒衬衫夹克")</f>
        <v>男式拼色拼布翻盖灯芯绒衬衫夹克</v>
      </c>
      <c r="E4174" s="1" t="str">
        <f>IFERROR(__xludf.DUMMYFUNCTION("CONCATENATE(GOOGLETRANSLATE(C4174, ""en"", ""ko""))"),"남성용 컬러 블록 패치워크 플랩 포켓 코듀로이 셔츠 재킷")</f>
        <v>남성용 컬러 블록 패치워크 플랩 포켓 코듀로이 셔츠 재킷</v>
      </c>
      <c r="F4174" s="1" t="str">
        <f>IFERROR(__xludf.DUMMYFUNCTION("CONCATENATE(GOOGLETRANSLATE(C4174, ""en"", ""ja""))"),"メンズ カラーブロック パッチワーク フラップ ポケット コーデュロイ シャツ ジャケット")</f>
        <v>メンズ カラーブロック パッチワーク フラップ ポケット コーデュロイ シャツ ジャケット</v>
      </c>
    </row>
    <row r="4175" ht="15.75" customHeight="1">
      <c r="A4175" s="1">
        <v>5391.0</v>
      </c>
      <c r="B4175" s="1" t="s">
        <v>15</v>
      </c>
      <c r="C4175" s="1" t="s">
        <v>1846</v>
      </c>
      <c r="D4175" s="1" t="str">
        <f>IFERROR(__xludf.DUMMYFUNCTION("CONCATENATE(GOOGLETRANSLATE(C4175, ""en"", ""zh-cn""))"),"带抽屉和盖垫的拼图板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4175" s="1" t="str">
        <f>IFERROR(__xludf.DUMMYFUNCTION("CONCATENATE(GOOGLETRANSLATE(C4175, ""en"", ""ko""))"),"서랍과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4175" s="1" t="str">
        <f>IFERROR(__xludf.DUMMYFUNCTION("CONCATENATE(GOOGLETRANSLATE(C4175, ""en"", ""ja""))"),"引き出しとカバー付きパズルボード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4176" ht="15.75" customHeight="1">
      <c r="A4176" s="1">
        <v>5411.0</v>
      </c>
      <c r="B4176" s="1" t="s">
        <v>15</v>
      </c>
      <c r="C4176" s="1" t="s">
        <v>1839</v>
      </c>
      <c r="D4176" s="1" t="str">
        <f>IFERROR(__xludf.DUMMYFUNCTION("CONCATENATE(GOOGLETRANSLATE(C4176, ""en"", ""zh-cn""))"),"GAN 13 磁悬浮 UV 涂层，磁性速度魔方 3x3 无贴纸 56 毫米磁铁魔方拼图玩具，GAN 2022 旗舰")</f>
        <v>GAN 13 磁悬浮 UV 涂层，磁性速度魔方 3x3 无贴纸 56 毫米磁铁魔方拼图玩具，GAN 2022 旗舰</v>
      </c>
      <c r="E4176" s="1" t="str">
        <f>IFERROR(__xludf.DUMMYFUNCTION("CONCATENATE(GOOGLETRANSLATE(C4176, ""en"", ""ko""))"),"GAN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4176" s="1" t="str">
        <f>IFERROR(__xludf.DUMMYFUNCTION("CONCATENATE(GOOGLETRANSLATE(C4176, ""en"", ""ja""))"),"GAN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4177" ht="15.75" customHeight="1">
      <c r="A4177" s="1">
        <v>5412.0</v>
      </c>
      <c r="B4177" s="1" t="s">
        <v>15</v>
      </c>
      <c r="C4177" s="1" t="s">
        <v>1648</v>
      </c>
      <c r="D4177" s="1" t="str">
        <f>IFERROR(__xludf.DUMMYFUNCTION("CONCATENATE(GOOGLETRANSLATE(C4177, ""en"", ""zh-cn""))"),"CuberShop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4177" s="1" t="str">
        <f>IFERROR(__xludf.DUMMYFUNCTION("CONCATENATE(GOOGLETRANSLATE(C4177, ""en"", ""ko""))"),"CuberShop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4177" s="1" t="str">
        <f>IFERROR(__xludf.DUMMYFUNCTION("CONCATENATE(GOOGLETRANSLATE(C4177, ""en"", ""ja""))"),"CuberShop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4178" ht="15.75" customHeight="1">
      <c r="A4178" s="1">
        <v>5419.0</v>
      </c>
      <c r="B4178" s="1" t="s">
        <v>15</v>
      </c>
      <c r="C4178" s="1" t="s">
        <v>1838</v>
      </c>
      <c r="D4178" s="1" t="str">
        <f>IFERROR(__xludf.DUMMYFUNCTION("CONCATENATE(GOOGLETRANSLATE(C4178, ""en"", ""zh-cn""))"),"Ravensburger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4178" s="1" t="str">
        <f>IFERROR(__xludf.DUMMYFUNCTION("CONCATENATE(GOOGLETRANSLATE(C4178, ""en"", ""ko""))"),"Ravensburger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4178" s="1" t="str">
        <f>IFERROR(__xludf.DUMMYFUNCTION("CONCATENATE(GOOGLETRANSLATE(C4178, ""en"", ""ja""))"),"Ravensburger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4179" ht="15.75" customHeight="1">
      <c r="A4179" s="1">
        <v>5447.0</v>
      </c>
      <c r="B4179" s="1" t="s">
        <v>15</v>
      </c>
      <c r="C4179" s="1" t="s">
        <v>3207</v>
      </c>
      <c r="D4179" s="1" t="str">
        <f>IFERROR(__xludf.DUMMYFUNCTION("CONCATENATE(GOOGLETRANSLATE(C4179, ""en"", ""zh-cn""))"),"Sand &amp; Sky 澳大利亚粉红粘土毛孔细致面膜，针对黑头、毛孔粗大和色素沉着")</f>
        <v>Sand &amp; Sky 澳大利亚粉红粘土毛孔细致面膜，针对黑头、毛孔粗大和色素沉着</v>
      </c>
      <c r="E4179" s="1" t="str">
        <f>IFERROR(__xludf.DUMMYFUNCTION("CONCATENATE(GOOGLETRANSLATE(C4179, ""en"", ""ko""))"),"블랙헤드, 모공 확대 및 색소침착을 위한 샌드 앤 스카이 오스트레일리안 핑크 클레이 포어파이닝 마스크")</f>
        <v>블랙헤드, 모공 확대 및 색소침착을 위한 샌드 앤 스카이 오스트레일리안 핑크 클레이 포어파이닝 마스크</v>
      </c>
      <c r="F4179" s="1" t="str">
        <f>IFERROR(__xludf.DUMMYFUNCTION("CONCATENATE(GOOGLETRANSLATE(C4179, ""en"", ""ja""))"),"Sand &amp; Sky オーストラリアン ピンク クレイ ポアファイニング マスク 黒ずみ、毛穴の拡大、色素沈着用")</f>
        <v>Sand &amp; Sky オーストラリアン ピンク クレイ ポアファイニング マスク 黒ずみ、毛穴の拡大、色素沈着用</v>
      </c>
    </row>
    <row r="4180" ht="15.75" customHeight="1">
      <c r="A4180" s="1">
        <v>5448.0</v>
      </c>
      <c r="B4180" s="1" t="s">
        <v>15</v>
      </c>
      <c r="C4180" s="1" t="s">
        <v>2776</v>
      </c>
      <c r="D4180" s="1" t="str">
        <f>IFERROR(__xludf.DUMMYFUNCTION("CONCATENATE(GOOGLETRANSLATE(C4180, ""en"", ""zh-cn""))"),"Dermalogica 多种维生素强力恢复面膜（2.5 液体盎司）抗衰老面膜，含维生素 C 和乳酸 - 恢复和修复压力、老化皮肤")</f>
        <v>Dermalogica 多种维生素强力恢复面膜（2.5 液体盎司）抗衰老面膜，含维生素 C 和乳酸 - 恢复和修复压力、老化皮肤</v>
      </c>
      <c r="E4180" s="1" t="str">
        <f>IFERROR(__xludf.DUMMYFUNCTION("CONCATENATE(GOOGLETRANSLATE(C4180, ""en"", ""ko""))"),"Dermalogica 멀티비타민 파워 리커버리 마스크(2.5 Fl Oz) 비타민 C와 젖산이 함유된 안티 에이징 페이스 마스크 - 스트레스를 받고 노화된 피부를 회복하고 복구")</f>
        <v>Dermalogica 멀티비타민 파워 리커버리 마스크(2.5 Fl Oz) 비타민 C와 젖산이 함유된 안티 에이징 페이스 마스크 - 스트레스를 받고 노화된 피부를 회복하고 복구</v>
      </c>
      <c r="F4180" s="1" t="str">
        <f>IFERROR(__xludf.DUMMYFUNCTION("CONCATENATE(GOOGLETRANSLATE(C4180, ""en"", ""ja""))"),"Dermalogica マルチビタミン パワー リカバリー マスク (2.5 液量オンス) ビタミン C と乳酸を配合したアンチエイジング フェイス マスク - ストレスを受けた老化した肌を回復し修復します")</f>
        <v>Dermalogica マルチビタミン パワー リカバリー マスク (2.5 液量オンス) ビタミン C と乳酸を配合したアンチエイジング フェイス マスク - ストレスを受けた老化した肌を回復し修復します</v>
      </c>
    </row>
    <row r="4181" ht="15.75" customHeight="1">
      <c r="A4181" s="1">
        <v>5469.0</v>
      </c>
      <c r="B4181" s="1" t="s">
        <v>15</v>
      </c>
      <c r="C4181" s="1" t="s">
        <v>1903</v>
      </c>
      <c r="D4181" s="1" t="str">
        <f>IFERROR(__xludf.DUMMYFUNCTION("CONCATENATE(GOOGLETRANSLATE(C4181, ""en"", ""zh-cn""))"),"CuberShop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4181" s="1" t="str">
        <f>IFERROR(__xludf.DUMMYFUNCTION("CONCATENATE(GOOGLETRANSLATE(C4181, ""en"", ""ko""))"),"CuberShop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4181" s="1" t="str">
        <f>IFERROR(__xludf.DUMMYFUNCTION("CONCATENATE(GOOGLETRANSLATE(C4181, ""en"", ""ja""))"),"CuberShop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4182" ht="15.75" customHeight="1">
      <c r="A4182" s="1">
        <v>5470.0</v>
      </c>
      <c r="B4182" s="1" t="s">
        <v>15</v>
      </c>
      <c r="C4182" s="1" t="s">
        <v>1842</v>
      </c>
      <c r="D4182" s="1" t="str">
        <f>IFERROR(__xludf.DUMMYFUNCTION("CONCATENATE(GOOGLETRANSLATE(C4182, ""en"", ""zh-cn""))"),"波克芬诺 GAN Megaminx M 3x3 速度魔方 Gan 五角形磁性无贴纸魔法拼图魔方玩具")</f>
        <v>波克芬诺 GAN Megaminx M 3x3 速度魔方 Gan 五角形磁性无贴纸魔法拼图魔方玩具</v>
      </c>
      <c r="E4182" s="1" t="str">
        <f>IFERROR(__xludf.DUMMYFUNCTION("CONCATENATE(GOOGLETRANSLATE(C4182, ""en"", ""ko""))"),"Bokefenuo GAN Megaminx M 3x3 스피드 큐브 Gan 오각형 자기 스티커가없는 매직 퍼즐 큐브 장난감")</f>
        <v>Bokefenuo GAN Megaminx M 3x3 스피드 큐브 Gan 오각형 자기 스티커가없는 매직 퍼즐 큐브 장난감</v>
      </c>
      <c r="F4182" s="1" t="str">
        <f>IFERROR(__xludf.DUMMYFUNCTION("CONCATENATE(GOOGLETRANSLATE(C4182, ""en"", ""ja""))"),"Bokefenuo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4183" ht="15.75" customHeight="1">
      <c r="A4183" s="1">
        <v>5494.0</v>
      </c>
      <c r="B4183" s="1" t="s">
        <v>15</v>
      </c>
      <c r="C4183" s="1" t="s">
        <v>1907</v>
      </c>
      <c r="D4183" s="1" t="str">
        <f>IFERROR(__xludf.DUMMYFUNCTION("CONCATENATE(GOOGLETRANSLATE(C4183, ""en"", ""zh-cn""))"),"Lenovo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4183" s="1" t="str">
        <f>IFERROR(__xludf.DUMMYFUNCTION("CONCATENATE(GOOGLETRANSLATE(C4183, ""en"", ""ko""))"),"Lenovo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4183" s="1" t="str">
        <f>IFERROR(__xludf.DUMMYFUNCTION("CONCATENATE(GOOGLETRANSLATE(C4183, ""en"", ""ja""))"),"Lenovo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4184" ht="15.75" customHeight="1">
      <c r="A4184" s="1">
        <v>5505.0</v>
      </c>
      <c r="B4184" s="1" t="s">
        <v>15</v>
      </c>
      <c r="C4184" s="1" t="s">
        <v>1650</v>
      </c>
      <c r="D4184" s="1" t="str">
        <f>IFERROR(__xludf.DUMMYFUNCTION("CONCATENATE(GOOGLETRANSLATE(C4184, ""en"", ""zh-cn""))"),"SHARGEEK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4184" s="1" t="str">
        <f>IFERROR(__xludf.DUMMYFUNCTION("CONCATENATE(GOOGLETRANSLATE(C4184, ""en"", ""ko""))"),"SHARGEEK의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4184" s="1" t="str">
        <f>IFERROR(__xludf.DUMMYFUNCTION("CONCATENATE(GOOGLETRANSLATE(C4184, ""en"", ""ja""))"),"SHARGEEK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4185" ht="15.75" customHeight="1">
      <c r="A4185" s="1">
        <v>5514.0</v>
      </c>
      <c r="B4185" s="1" t="s">
        <v>15</v>
      </c>
      <c r="C4185" s="1" t="s">
        <v>1903</v>
      </c>
      <c r="D4185" s="1" t="str">
        <f>IFERROR(__xludf.DUMMYFUNCTION("CONCATENATE(GOOGLETRANSLATE(C4185, ""en"", ""zh-cn""))"),"CuberShop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4185" s="1" t="str">
        <f>IFERROR(__xludf.DUMMYFUNCTION("CONCATENATE(GOOGLETRANSLATE(C4185, ""en"", ""ko""))"),"CuberShop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4185" s="1" t="str">
        <f>IFERROR(__xludf.DUMMYFUNCTION("CONCATENATE(GOOGLETRANSLATE(C4185, ""en"", ""ja""))"),"CuberShop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4186" ht="15.75" customHeight="1">
      <c r="A4186" s="1">
        <v>5518.0</v>
      </c>
      <c r="B4186" s="1" t="s">
        <v>15</v>
      </c>
      <c r="C4186" s="1" t="s">
        <v>1649</v>
      </c>
      <c r="D4186" s="1" t="str">
        <f>IFERROR(__xludf.DUMMYFUNCTION("CONCATENATE(GOOGLETRANSLATE(C4186, ""en"", ""zh-cn""))"),"GAN 机器人，魔方解谜机自动解谜器和解谜器，兼容 GAN 356i2 i3 iplay iCarry Speed Cubes（不含魔方）和最新版本 APP")</f>
        <v>GAN 机器人，魔方解谜机自动解谜器和解谜器，兼容 GAN 356i2 i3 iplay iCarry Speed Cubes（不含魔方）和最新版本 APP</v>
      </c>
      <c r="E4186" s="1" t="str">
        <f>IFERROR(__xludf.DUMMYFUNCTION("CONCATENATE(GOOGLETRANSLATE(C4186, ""en"", ""ko""))"),"GAN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4186" s="1" t="str">
        <f>IFERROR(__xludf.DUMMYFUNCTION("CONCATENATE(GOOGLETRANSLATE(C4186, ""en"", ""ja""))"),"GAN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4187" ht="15.75" customHeight="1">
      <c r="A4187" s="1">
        <v>5520.0</v>
      </c>
      <c r="B4187" s="1" t="s">
        <v>15</v>
      </c>
      <c r="C4187" s="1" t="s">
        <v>1909</v>
      </c>
      <c r="D4187" s="1" t="str">
        <f>IFERROR(__xludf.DUMMYFUNCTION("CONCATENATE(GOOGLETRANSLATE(C4187, ""en"", ""zh-cn""))"),"YOGABODY 瑜伽吊架，室内外使用")</f>
        <v>YOGABODY 瑜伽吊架，室内外使用</v>
      </c>
      <c r="E4187" s="1" t="str">
        <f>IFERROR(__xludf.DUMMYFUNCTION("CONCATENATE(GOOGLETRANSLATE(C4187, ""en"", ""ko""))"),"YOGABODY 요가 공중 그네 스탠드, 실내 및 실외 사용")</f>
        <v>YOGABODY 요가 공중 그네 스탠드, 실내 및 실외 사용</v>
      </c>
      <c r="F4187" s="1" t="str">
        <f>IFERROR(__xludf.DUMMYFUNCTION("CONCATENATE(GOOGLETRANSLATE(C4187, ""en"", ""ja""))"),"YOGABODY ヨガ空中ブランコスタンド、屋内および屋外で使用可能")</f>
        <v>YOGABODY ヨガ空中ブランコスタンド、屋内および屋外で使用可能</v>
      </c>
    </row>
    <row r="4188" ht="15.75" customHeight="1">
      <c r="A4188" s="1">
        <v>5533.0</v>
      </c>
      <c r="B4188" s="1" t="s">
        <v>15</v>
      </c>
      <c r="C4188" s="1" t="s">
        <v>3654</v>
      </c>
      <c r="D4188" s="1" t="str">
        <f>IFERROR(__xludf.DUMMYFUNCTION("CONCATENATE(GOOGLETRANSLATE(C4188, ""en"", ""zh-cn""))"),"马西磁力椭圆训练机有氧运动机")</f>
        <v>马西磁力椭圆训练机有氧运动机</v>
      </c>
      <c r="E4188" s="1" t="str">
        <f>IFERROR(__xludf.DUMMYFUNCTION("CONCATENATE(GOOGLETRANSLATE(C4188, ""en"", ""ko""))"),"Marcy 자기 타원형 트레이너 심장 운동 기계")</f>
        <v>Marcy 자기 타원형 트레이너 심장 운동 기계</v>
      </c>
      <c r="F4188" s="1" t="str">
        <f>IFERROR(__xludf.DUMMYFUNCTION("CONCATENATE(GOOGLETRANSLATE(C4188, ""en"", ""ja""))"),"マーシー マグネティックエリプティカル トレーナー カーディオ トレーニング マシン")</f>
        <v>マーシー マグネティックエリプティカル トレーナー カーディオ トレーニング マシン</v>
      </c>
    </row>
    <row r="4189" ht="15.75" customHeight="1">
      <c r="A4189" s="1">
        <v>5544.0</v>
      </c>
      <c r="B4189" s="1" t="s">
        <v>15</v>
      </c>
      <c r="C4189" s="1" t="s">
        <v>2372</v>
      </c>
      <c r="D4189" s="1" t="str">
        <f>IFERROR(__xludf.DUMMYFUNCTION("CONCATENATE(GOOGLETRANSLATE(C4189, ""en"", ""zh-cn""))"),"Devoko 5 件套露台家具套装全天候户外组合沙发手动编织柳条藤条露台谈话套装带垫子和玻璃桌（米色）")</f>
        <v>Devoko 5 件套露台家具套装全天候户外组合沙发手动编织柳条藤条露台谈话套装带垫子和玻璃桌（米色）</v>
      </c>
      <c r="E4189" s="1" t="str">
        <f>IFERROR(__xludf.DUMMYFUNCTION("CONCATENATE(GOOGLETRANSLATE(C4189, ""en"", ""ko""))"),"Devoko 5 조각 파티오 가구 세트 전천후 야외 단면 소파 수동 직조 고리 버들 등나무 파티오 대화 세트 쿠션과 유리 테이블 (베이지 색)")</f>
        <v>Devoko 5 조각 파티오 가구 세트 전천후 야외 단면 소파 수동 직조 고리 버들 등나무 파티오 대화 세트 쿠션과 유리 테이블 (베이지 색)</v>
      </c>
      <c r="F4189" s="1" t="str">
        <f>IFERROR(__xludf.DUMMYFUNCTION("CONCATENATE(GOOGLETRANSLATE(C4189, ""en"", ""ja""))"),"Devoko パティオ家具 5 点セット 全天候型 屋外 セクショナルソファ 手動織り 籐ラタン パティオ会話セット クッションとガラステーブル付き (ベージュ)")</f>
        <v>Devoko パティオ家具 5 点セット 全天候型 屋外 セクショナルソファ 手動織り 籐ラタン パティオ会話セット クッションとガラステーブル付き (ベージュ)</v>
      </c>
    </row>
    <row r="4190" ht="15.75" customHeight="1">
      <c r="A4190" s="1">
        <v>5552.0</v>
      </c>
      <c r="B4190" s="1" t="s">
        <v>15</v>
      </c>
      <c r="C4190" s="1" t="s">
        <v>2319</v>
      </c>
      <c r="D4190" s="1" t="str">
        <f>IFERROR(__xludf.DUMMYFUNCTION("CONCATENATE(GOOGLETRANSLATE(C4190, ""en"", ""zh-cn""))"),"Giro 男士公路自行车鞋， 33 EU")</f>
        <v>Giro 男士公路自行车鞋， 33 EU</v>
      </c>
      <c r="E4190" s="1" t="str">
        <f>IFERROR(__xludf.DUMMYFUNCTION("CONCATENATE(GOOGLETRANSLATE(C4190, ""en"", ""ko""))"),"Giro 남성용 로드 자전거 신발, 33 EU")</f>
        <v>Giro 남성용 로드 자전거 신발, 33 EU</v>
      </c>
      <c r="F4190" s="1" t="str">
        <f>IFERROR(__xludf.DUMMYFUNCTION("CONCATENATE(GOOGLETRANSLATE(C4190, ""en"", ""ja""))"),"Giro メンズ ロードバイク シューズ、33 EU")</f>
        <v>Giro メンズ ロードバイク シューズ、33 EU</v>
      </c>
    </row>
    <row r="4191" ht="15.75" customHeight="1">
      <c r="A4191" s="1">
        <v>5572.0</v>
      </c>
      <c r="B4191" s="1" t="s">
        <v>15</v>
      </c>
      <c r="C4191" s="1" t="s">
        <v>3268</v>
      </c>
      <c r="D4191" s="1" t="str">
        <f>IFERROR(__xludf.DUMMYFUNCTION("CONCATENATE(GOOGLETRANSLATE(C4191, ""en"", ""zh-cn""))"),"Alexia冥想座椅（浅灰色，纯素皮革）")</f>
        <v>Alexia冥想座椅（浅灰色，纯素皮革）</v>
      </c>
      <c r="E4191" s="1" t="str">
        <f>IFERROR(__xludf.DUMMYFUNCTION("CONCATENATE(GOOGLETRANSLATE(C4191, ""en"", ""ko""))"),"알렉시아 명상좌 (라이트 그레이, 비건 가죽)")</f>
        <v>알렉시아 명상좌 (라이트 그레이, 비건 가죽)</v>
      </c>
      <c r="F4191" s="1" t="str">
        <f>IFERROR(__xludf.DUMMYFUNCTION("CONCATENATE(GOOGLETRANSLATE(C4191, ""en"", ""ja""))"),"Alexia 瞑想シート (ライトグレー、ビーガンレザー)")</f>
        <v>Alexia 瞑想シート (ライトグレー、ビーガンレザー)</v>
      </c>
    </row>
    <row r="4192" ht="15.75" customHeight="1">
      <c r="A4192" s="1">
        <v>5574.0</v>
      </c>
      <c r="B4192" s="1" t="s">
        <v>15</v>
      </c>
      <c r="C4192" s="1" t="s">
        <v>2846</v>
      </c>
      <c r="D4192" s="1" t="str">
        <f>IFERROR(__xludf.DUMMYFUNCTION("CONCATENATE(GOOGLETRANSLATE(C4192, ""en"", ""zh-cn""))"),"Troy Lee 设计 A3 MIPS 头盔")</f>
        <v>Troy Lee 设计 A3 MIPS 头盔</v>
      </c>
      <c r="E4192" s="1" t="str">
        <f>IFERROR(__xludf.DUMMYFUNCTION("CONCATENATE(GOOGLETRANSLATE(C4192, ""en"", ""ko""))"),"Troy Lee, A3 MIPS 헬멧 디자인")</f>
        <v>Troy Lee, A3 MIPS 헬멧 디자인</v>
      </c>
      <c r="F4192" s="1" t="str">
        <f>IFERROR(__xludf.DUMMYFUNCTION("CONCATENATE(GOOGLETRANSLATE(C4192, ""en"", ""ja""))"),"Troy Lee デザイン A3 MIPS ヘルメット")</f>
        <v>Troy Lee デザイン A3 MIPS ヘルメット</v>
      </c>
    </row>
    <row r="4193" ht="15.75" customHeight="1">
      <c r="A4193" s="1">
        <v>5575.0</v>
      </c>
      <c r="B4193" s="1" t="s">
        <v>15</v>
      </c>
      <c r="C4193" s="1" t="s">
        <v>2373</v>
      </c>
      <c r="D4193" s="1" t="str">
        <f>IFERROR(__xludf.DUMMYFUNCTION("CONCATENATE(GOOGLETRANSLATE(C4193, ""en"", ""zh-cn""))"),"Sunny Health &amp; Fitness 磁性椭圆训练机带平板电脑支架、液晶显示器、最大 220 磅体重和脉搏监视器 - SF-E3810，灰色")</f>
        <v>Sunny Health &amp; Fitness 磁性椭圆训练机带平板电脑支架、液晶显示器、最大 220 磅体重和脉搏监视器 - SF-E3810，灰色</v>
      </c>
      <c r="E4193" s="1" t="str">
        <f>IFERROR(__xludf.DUMMYFUNCTION("CONCATENATE(GOOGLETRANSLATE(C4193, ""en"", ""ko""))"),"Sunny 건강 및 피트니스 자기 타원형 트레이너 기계, 태블릿 홀더, LCD 모니터, 220LB 최대 중량 및 맥박 모니터 포함 - SF-E3810, 회색")</f>
        <v>Sunny 건강 및 피트니스 자기 타원형 트레이너 기계, 태블릿 홀더, LCD 모니터, 220LB 최대 중량 및 맥박 모니터 포함 - SF-E3810, 회색</v>
      </c>
      <c r="F4193" s="1" t="str">
        <f>IFERROR(__xludf.DUMMYFUNCTION("CONCATENATE(GOOGLETRANSLATE(C4193, ""en"", ""ja""))"),"Sunny Health &amp; Fitness 磁気エリプティカル トレーナー マシン、タブレット ホルダー、LCD モニター、最大 220 ポンドの体重および脈拍モニター付き - SF-E3810、グレー")</f>
        <v>Sunny Health &amp; Fitness 磁気エリプティカル トレーナー マシン、タブレット ホルダー、LCD モニター、最大 220 ポンドの体重および脈拍モニター付き - SF-E3810、グレー</v>
      </c>
    </row>
    <row r="4194" ht="15.75" customHeight="1">
      <c r="A4194" s="1">
        <v>5580.0</v>
      </c>
      <c r="B4194" s="1" t="s">
        <v>15</v>
      </c>
      <c r="C4194" s="1" t="s">
        <v>2306</v>
      </c>
      <c r="D4194" s="1" t="str">
        <f>IFERROR(__xludf.DUMMYFUNCTION("CONCATENATE(GOOGLETRANSLATE(C4194, ""en"", ""zh-cn""))"),"花园圆顶冰屋 - 时尚的温室、儿童游乐区、温室或凉亭。")</f>
        <v>花园圆顶冰屋 - 时尚的温室、儿童游乐区、温室或凉亭。</v>
      </c>
      <c r="E4194" s="1" t="str">
        <f>IFERROR(__xludf.DUMMYFUNCTION("CONCATENATE(GOOGLETRANSLATE(C4194, ""en"", ""ko""))"),"가든 돔 이글루 - 세련된 온실, 어린이를 위한 놀이 공간, 온실 또는 전망대.")</f>
        <v>가든 돔 이글루 - 세련된 온실, 어린이를 위한 놀이 공간, 온실 또는 전망대.</v>
      </c>
      <c r="F4194" s="1" t="str">
        <f>IFERROR(__xludf.DUMMYFUNCTION("CONCATENATE(GOOGLETRANSLATE(C4194, ""en"", ""ja""))"),"ガーデン ドーム イグルー - スタイリッシュな温室、子供用の遊び場、温室、またはガゼボ。")</f>
        <v>ガーデン ドーム イグルー - スタイリッシュな温室、子供用の遊び場、温室、またはガゼボ。</v>
      </c>
    </row>
    <row r="4195" ht="15.75" customHeight="1">
      <c r="A4195" s="1">
        <v>5586.0</v>
      </c>
      <c r="B4195" s="1" t="s">
        <v>15</v>
      </c>
      <c r="C4195" s="1" t="s">
        <v>2299</v>
      </c>
      <c r="D4195" s="1" t="str">
        <f>IFERROR(__xludf.DUMMYFUNCTION("CONCATENATE(GOOGLETRANSLATE(C4195, ""en"", ""zh-cn""))"),"希思黎 (Sisley) 珊瑚兰兰花调色板")</f>
        <v>希思黎 (Sisley) 珊瑚兰兰花调色板</v>
      </c>
      <c r="E4195" s="1" t="str">
        <f>IFERROR(__xludf.DUMMYFUNCTION("CONCATENATE(GOOGLETRANSLATE(C4195, ""en"", ""ko""))"),"시슬리 팔레트 로키디 코레일")</f>
        <v>시슬리 팔레트 로키디 코레일</v>
      </c>
      <c r="F4195" s="1" t="str">
        <f>IFERROR(__xludf.DUMMYFUNCTION("CONCATENATE(GOOGLETRANSLATE(C4195, ""en"", ""ja""))"),"シスレー パレット ロルキデ コライユ")</f>
        <v>シスレー パレット ロルキデ コライユ</v>
      </c>
    </row>
    <row r="4196" ht="15.75" customHeight="1">
      <c r="A4196" s="1">
        <v>5592.0</v>
      </c>
      <c r="B4196" s="1" t="s">
        <v>15</v>
      </c>
      <c r="C4196" s="1" t="s">
        <v>2302</v>
      </c>
      <c r="D4196" s="1" t="str">
        <f>IFERROR(__xludf.DUMMYFUNCTION("CONCATENATE(GOOGLETRANSLATE(C4196, ""en"", ""zh-cn""))"),"Germaine de Capuccini - Timexpert SRNS Eyes Illuminating Detox Cream - 照明排毒配方 - 对抗浮肿和眼袋 - 0.5 盎司")</f>
        <v>Germaine de Capuccini - Timexpert SRNS Eyes Illuminating Detox Cream - 照明排毒配方 - 对抗浮肿和眼袋 - 0.5 盎司</v>
      </c>
      <c r="E4196" s="1" t="str">
        <f>IFERROR(__xludf.DUMMYFUNCTION("CONCATENATE(GOOGLETRANSLATE(C4196, ""en"", ""ko""))"),"Germaine de Capuccini - Timexpert SRNS Eyes 일루미네이팅 디톡스 크림 - 일루미네이팅 디톡스 포뮬러 - 눈 밑 붓기와 백 방지 - 0.5온스")</f>
        <v>Germaine de Capuccini - Timexpert SRNS Eyes 일루미네이팅 디톡스 크림 - 일루미네이팅 디톡스 포뮬러 - 눈 밑 붓기와 백 방지 - 0.5온스</v>
      </c>
      <c r="F4196" s="1" t="str">
        <f>IFERROR(__xludf.DUMMYFUNCTION("CONCATENATE(GOOGLETRANSLATE(C4196, ""en"", ""ja""))"),"Germaine de Capuccini - Timexpert SRNS アイズ イルミネーティング デトックス クリーム - イルミネーティング デトックス フォーミュラ - 目の下のむくみやたるみ対策 - 0.5 オンス")</f>
        <v>Germaine de Capuccini - Timexpert SRNS アイズ イルミネーティング デトックス クリーム - イルミネーティング デトックス フォーミュラ - 目の下のむくみやたるみ対策 - 0.5 オンス</v>
      </c>
    </row>
    <row r="4197" ht="15.75" customHeight="1">
      <c r="A4197" s="1">
        <v>5595.0</v>
      </c>
      <c r="B4197" s="1" t="s">
        <v>15</v>
      </c>
      <c r="C4197" s="1" t="s">
        <v>1907</v>
      </c>
      <c r="D4197" s="1" t="str">
        <f>IFERROR(__xludf.DUMMYFUNCTION("CONCATENATE(GOOGLETRANSLATE(C4197, ""en"", ""zh-cn""))"),"Lenovo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4197" s="1" t="str">
        <f>IFERROR(__xludf.DUMMYFUNCTION("CONCATENATE(GOOGLETRANSLATE(C4197, ""en"", ""ko""))"),"Lenovo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4197" s="1" t="str">
        <f>IFERROR(__xludf.DUMMYFUNCTION("CONCATENATE(GOOGLETRANSLATE(C4197, ""en"", ""ja""))"),"Lenovo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4198" ht="15.75" customHeight="1">
      <c r="A4198" s="1">
        <v>5597.0</v>
      </c>
      <c r="B4198" s="1" t="s">
        <v>15</v>
      </c>
      <c r="C4198" s="1" t="s">
        <v>1840</v>
      </c>
      <c r="D4198" s="1" t="str">
        <f>IFERROR(__xludf.DUMMYFUNCTION("CONCATENATE(GOOGLETRANSLATE(C4198, ""en"", ""zh-cn""))"),"Cuberspeed GAN 13 uv 涂层 MagLev 无贴纸 3x3 速度立方拼图 gan13 maglev uv 涂层旗舰拼图")</f>
        <v>Cuberspeed GAN 13 uv 涂层 MagLev 无贴纸 3x3 速度立方拼图 gan13 maglev uv 涂层旗舰拼图</v>
      </c>
      <c r="E4198" s="1" t="str">
        <f>IFERROR(__xludf.DUMMYFUNCTION("CONCATENATE(GOOGLETRANSLATE(C4198, ""en"", ""ko""))"),"Cuberspeed GAN 13 uv 코팅 MagLev 스티커가 없는 3x3 스피드 큐브 퍼즐 gan13 maglev uv 코팅 플래그십 퍼즐")</f>
        <v>Cuberspeed GAN 13 uv 코팅 MagLev 스티커가 없는 3x3 스피드 큐브 퍼즐 gan13 maglev uv 코팅 플래그십 퍼즐</v>
      </c>
      <c r="F4198" s="1" t="str">
        <f>IFERROR(__xludf.DUMMYFUNCTION("CONCATENATE(GOOGLETRANSLATE(C4198, ""en"", ""ja""))"),"Cuberspeed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4199" ht="15.75" customHeight="1">
      <c r="A4199" s="1">
        <v>5601.0</v>
      </c>
      <c r="B4199" s="1" t="s">
        <v>15</v>
      </c>
      <c r="C4199" s="1" t="s">
        <v>1903</v>
      </c>
      <c r="D4199" s="1" t="str">
        <f>IFERROR(__xludf.DUMMYFUNCTION("CONCATENATE(GOOGLETRANSLATE(C4199, ""en"", ""zh-cn""))"),"CuberShop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4199" s="1" t="str">
        <f>IFERROR(__xludf.DUMMYFUNCTION("CONCATENATE(GOOGLETRANSLATE(C4199, ""en"", ""ko""))"),"CuberShop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4199" s="1" t="str">
        <f>IFERROR(__xludf.DUMMYFUNCTION("CONCATENATE(GOOGLETRANSLATE(C4199, ""en"", ""ja""))"),"CuberShop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4200" ht="15.75" customHeight="1">
      <c r="A4200" s="1">
        <v>5625.0</v>
      </c>
      <c r="B4200" s="1" t="s">
        <v>15</v>
      </c>
      <c r="C4200" s="1" t="s">
        <v>2488</v>
      </c>
      <c r="D4200" s="1" t="str">
        <f>IFERROR(__xludf.DUMMYFUNCTION("CONCATENATE(GOOGLETRANSLATE(C4200, ""en"", ""zh-cn""))"),"Rawlings 坚固背包巧克力")</f>
        <v>Rawlings 坚固背包巧克力</v>
      </c>
      <c r="E4200" s="1" t="str">
        <f>IFERROR(__xludf.DUMMYFUNCTION("CONCATENATE(GOOGLETRANSLATE(C4200, ""en"", ""ko""))"),"롤링스 러기드 백팩 초콜릿")</f>
        <v>롤링스 러기드 백팩 초콜릿</v>
      </c>
      <c r="F4200" s="1" t="str">
        <f>IFERROR(__xludf.DUMMYFUNCTION("CONCATENATE(GOOGLETRANSLATE(C4200, ""en"", ""ja""))"),"ローリングス ラギッド バックパック チョコレート")</f>
        <v>ローリングス ラギッド バックパック チョコレート</v>
      </c>
    </row>
    <row r="4201" ht="15.75" customHeight="1">
      <c r="A4201" s="1">
        <v>5634.0</v>
      </c>
      <c r="B4201" s="1" t="s">
        <v>15</v>
      </c>
      <c r="C4201" s="1" t="s">
        <v>1849</v>
      </c>
      <c r="D4201" s="1" t="str">
        <f>IFERROR(__xludf.DUMMYFUNCTION("CONCATENATE(GOOGLETRANSLATE(C4201, ""en"", ""zh-cn""))"),"GAN 460 M， Gan 4x4 磁性速度魔方， gan 460 m 4 x 4 儿童和成人无贴纸拼图玩具")</f>
        <v>GAN 460 M， Gan 4x4 磁性速度魔方， gan 460 m 4 x 4 儿童和成人无贴纸拼图玩具</v>
      </c>
      <c r="E4201" s="1" t="str">
        <f>IFERROR(__xludf.DUMMYFUNCTION("CONCATENATE(GOOGLETRANSLATE(C4201, ""en"", ""ko""))"),"GAN 460 M, Gan 4x4 자기 속도 큐브, gan 460 m 4 by 4 어린이와 성인을 위한 스티커 없는 퍼즐 장난감")</f>
        <v>GAN 460 M, Gan 4x4 자기 속도 큐브, gan 460 m 4 by 4 어린이와 성인을 위한 스티커 없는 퍼즐 장난감</v>
      </c>
      <c r="F4201" s="1" t="str">
        <f>IFERROR(__xludf.DUMMYFUNCTION("CONCATENATE(GOOGLETRANSLATE(C4201, ""en"", ""ja""))"),"GAN 460 M、Gan 4x4 磁気スピードキューブ、GAN 460 m 4 by 4 ステッカーレスパズルおもちゃ子供と大人向け")</f>
        <v>GAN 460 M、Gan 4x4 磁気スピードキューブ、GAN 460 m 4 by 4 ステッカーレスパズルおもちゃ子供と大人向け</v>
      </c>
    </row>
    <row r="4202" ht="15.75" customHeight="1">
      <c r="A4202" s="1">
        <v>5640.0</v>
      </c>
      <c r="B4202" s="1" t="s">
        <v>15</v>
      </c>
      <c r="C4202" s="1" t="s">
        <v>1845</v>
      </c>
      <c r="D4202" s="1" t="str">
        <f>IFERROR(__xludf.DUMMYFUNCTION("CONCATENATE(GOOGLETRANSLATE(C4202, ""en"", ""zh-cn""))"),"LiangCuber GAN 13磁悬浮旗舰磁力3x3无贴纸GAN13 M速度魔方（磨砂版）")</f>
        <v>LiangCuber GAN 13磁悬浮旗舰磁力3x3无贴纸GAN13 M速度魔方（磨砂版）</v>
      </c>
      <c r="E4202" s="1" t="str">
        <f>IFERROR(__xludf.DUMMYFUNCTION("CONCATENATE(GOOGLETRANSLATE(C4202, ""en"", ""ko""))"),"LiangCuber GAN 13 자기 부상 플래그십 마그네틱 3x3 스티커 없는 GAN13 M 스피드 큐브(반투명 버전)")</f>
        <v>LiangCuber GAN 13 자기 부상 플래그십 마그네틱 3x3 스티커 없는 GAN13 M 스피드 큐브(반투명 버전)</v>
      </c>
      <c r="F4202" s="1" t="str">
        <f>IFERROR(__xludf.DUMMYFUNCTION("CONCATENATE(GOOGLETRANSLATE(C4202, ""en"", ""ja""))"),"LiangCuber GAN 13 マグレブ旗艦 磁気 3x3 ステッカーレス GAN13 M スピード キューブ (つや消しバージョン)")</f>
        <v>LiangCuber GAN 13 マグレブ旗艦 磁気 3x3 ステッカーレス GAN13 M スピード キューブ (つや消しバージョン)</v>
      </c>
    </row>
    <row r="4203" ht="15.75" customHeight="1">
      <c r="A4203" s="1">
        <v>5648.0</v>
      </c>
      <c r="B4203" s="1" t="s">
        <v>15</v>
      </c>
      <c r="C4203" s="1" t="s">
        <v>1853</v>
      </c>
      <c r="D4203" s="1" t="str">
        <f>IFERROR(__xludf.DUMMYFUNCTION("CONCATENATE(GOOGLETRANSLATE(C4203, ""en"", ""zh-cn""))"),"带金属腿和盖子的拼图桌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4203" s="1" t="str">
        <f>IFERROR(__xludf.DUMMYFUNCTION("CONCATENATE(GOOGLETRANSLATE(C4203, ""en"", ""ko""))"),"금속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4203" s="1" t="str">
        <f>IFERROR(__xludf.DUMMYFUNCTION("CONCATENATE(GOOGLETRANSLATE(C4203, ""en"", ""ja""))"),"金属製の脚とカバー付きパズルテーブル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4204" ht="15.75" customHeight="1">
      <c r="A4204" s="1">
        <v>5649.0</v>
      </c>
      <c r="B4204" s="1" t="s">
        <v>15</v>
      </c>
      <c r="C4204" s="1" t="s">
        <v>1907</v>
      </c>
      <c r="D4204" s="1" t="str">
        <f>IFERROR(__xludf.DUMMYFUNCTION("CONCATENATE(GOOGLETRANSLATE(C4204, ""en"", ""zh-cn""))"),"Lenovo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4204" s="1" t="str">
        <f>IFERROR(__xludf.DUMMYFUNCTION("CONCATENATE(GOOGLETRANSLATE(C4204, ""en"", ""ko""))"),"Lenovo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4204" s="1" t="str">
        <f>IFERROR(__xludf.DUMMYFUNCTION("CONCATENATE(GOOGLETRANSLATE(C4204, ""en"", ""ja""))"),"Lenovo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4205" ht="15.75" customHeight="1">
      <c r="A4205" s="1">
        <v>5662.0</v>
      </c>
      <c r="B4205" s="1" t="s">
        <v>15</v>
      </c>
      <c r="C4205" s="1" t="s">
        <v>1839</v>
      </c>
      <c r="D4205" s="1" t="str">
        <f>IFERROR(__xludf.DUMMYFUNCTION("CONCATENATE(GOOGLETRANSLATE(C4205, ""en"", ""zh-cn""))"),"GAN 13 磁悬浮 UV 涂层，磁性速度魔方 3x3 无贴纸 56 毫米磁铁魔方拼图玩具，GAN 2022 旗舰")</f>
        <v>GAN 13 磁悬浮 UV 涂层，磁性速度魔方 3x3 无贴纸 56 毫米磁铁魔方拼图玩具，GAN 2022 旗舰</v>
      </c>
      <c r="E4205" s="1" t="str">
        <f>IFERROR(__xludf.DUMMYFUNCTION("CONCATENATE(GOOGLETRANSLATE(C4205, ""en"", ""ko""))"),"GAN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4205" s="1" t="str">
        <f>IFERROR(__xludf.DUMMYFUNCTION("CONCATENATE(GOOGLETRANSLATE(C4205, ""en"", ""ja""))"),"GAN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4206" ht="15.75" customHeight="1">
      <c r="A4206" s="1">
        <v>5677.0</v>
      </c>
      <c r="B4206" s="1" t="s">
        <v>15</v>
      </c>
      <c r="C4206" s="1" t="s">
        <v>3655</v>
      </c>
      <c r="D4206" s="1" t="str">
        <f>IFERROR(__xludf.DUMMYFUNCTION("CONCATENATE(GOOGLETRANSLATE(C4206, ""en"", ""zh-cn""))"),"maurices 女式 Leighton 长袖商务休闲衬衫")</f>
        <v>maurices 女式 Leighton 长袖商务休闲衬衫</v>
      </c>
      <c r="E4206" s="1" t="str">
        <f>IFERROR(__xludf.DUMMYFUNCTION("CONCATENATE(GOOGLETRANSLATE(C4206, ""en"", ""ko""))"),"Maurices 여성 Leighton 긴 소매 비즈니스 캐주얼 블라우스")</f>
        <v>Maurices 여성 Leighton 긴 소매 비즈니스 캐주얼 블라우스</v>
      </c>
      <c r="F4206" s="1" t="str">
        <f>IFERROR(__xludf.DUMMYFUNCTION("CONCATENATE(GOOGLETRANSLATE(C4206, ""en"", ""ja""))"),"maurices レディース レイトン 長袖 ビジネス カジュアル ブラウス")</f>
        <v>maurices レディース レイトン 長袖 ビジネス カジュアル ブラウス</v>
      </c>
    </row>
    <row r="4207" ht="15.75" customHeight="1">
      <c r="A4207" s="1">
        <v>5695.0</v>
      </c>
      <c r="B4207" s="1" t="s">
        <v>15</v>
      </c>
      <c r="C4207" s="1" t="s">
        <v>3656</v>
      </c>
      <c r="D4207" s="1" t="str">
        <f>IFERROR(__xludf.DUMMYFUNCTION("CONCATENATE(GOOGLETRANSLATE(C4207, ""en"", ""zh-cn""))"),"WHITE FOX Can'tify It 长袖针织上衣")</f>
        <v>WHITE FOX Can'tify It 长袖针织上衣</v>
      </c>
      <c r="E4207" s="1" t="str">
        <f>IFERROR(__xludf.DUMMYFUNCTION("CONCATENATE(GOOGLETRANSLATE(C4207, ""en"", ""ko""))"),"WHITE FOX는 정당화할 수 없다 긴팔 니트 탑")</f>
        <v>WHITE FOX는 정당화할 수 없다 긴팔 니트 탑</v>
      </c>
      <c r="F4207" s="1" t="str">
        <f>IFERROR(__xludf.DUMMYFUNCTION("CONCATENATE(GOOGLETRANSLATE(C4207, ""en"", ""ja""))"),"WHITE FOX Can't Justify It 長袖ニットトップ")</f>
        <v>WHITE FOX Can't Justify It 長袖ニットトップ</v>
      </c>
    </row>
    <row r="4208" ht="15.75" customHeight="1">
      <c r="A4208" s="1">
        <v>5709.0</v>
      </c>
      <c r="B4208" s="1" t="s">
        <v>15</v>
      </c>
      <c r="C4208" s="1" t="s">
        <v>3657</v>
      </c>
      <c r="D4208" s="1" t="str">
        <f>IFERROR(__xludf.DUMMYFUNCTION("CONCATENATE(GOOGLETRANSLATE(C4208, ""en"", ""zh-cn""))"),"Spanx 女式 AirEssentials 圆领连衣裙")</f>
        <v>Spanx 女式 AirEssentials 圆领连衣裙</v>
      </c>
      <c r="E4208" s="1" t="str">
        <f>IFERROR(__xludf.DUMMYFUNCTION("CONCATENATE(GOOGLETRANSLATE(C4208, ""en"", ""ko""))"),"Spanx 여성용 AirEssentials 크루넥 드레스")</f>
        <v>Spanx 여성용 AirEssentials 크루넥 드레스</v>
      </c>
      <c r="F4208" s="1" t="str">
        <f>IFERROR(__xludf.DUMMYFUNCTION("CONCATENATE(GOOGLETRANSLATE(C4208, ""en"", ""ja""))"),"Spanx レディース AirEssentials クルーネックドレス")</f>
        <v>Spanx レディース AirEssentials クルーネックドレス</v>
      </c>
    </row>
    <row r="4209" ht="15.75" customHeight="1">
      <c r="A4209" s="1">
        <v>5710.0</v>
      </c>
      <c r="B4209" s="1" t="s">
        <v>15</v>
      </c>
      <c r="C4209" s="1" t="s">
        <v>3658</v>
      </c>
      <c r="D4209" s="1" t="str">
        <f>IFERROR(__xludf.DUMMYFUNCTION("CONCATENATE(GOOGLETRANSLATE(C4209, ""en"", ""zh-cn""))"),"Crystal Doll 青少年荷叶袖修身喇叭连衣裙")</f>
        <v>Crystal Doll 青少年荷叶袖修身喇叭连衣裙</v>
      </c>
      <c r="E4209" s="1" t="str">
        <f>IFERROR(__xludf.DUMMYFUNCTION("CONCATENATE(GOOGLETRANSLATE(C4209, ""en"", ""ko""))"),"크리스탈 인형 주니어 러플 슬리브 핏 플레어 드레스")</f>
        <v>크리스탈 인형 주니어 러플 슬리브 핏 플레어 드레스</v>
      </c>
      <c r="F4209" s="1" t="str">
        <f>IFERROR(__xludf.DUMMYFUNCTION("CONCATENATE(GOOGLETRANSLATE(C4209, ""en"", ""ja""))"),"クリスタルドールジュニア ラッフルスリーブフィットフレアドレス")</f>
        <v>クリスタルドールジュニア ラッフルスリーブフィットフレアドレス</v>
      </c>
    </row>
    <row r="4210" ht="15.75" customHeight="1">
      <c r="A4210" s="1">
        <v>5716.0</v>
      </c>
      <c r="B4210" s="1" t="s">
        <v>15</v>
      </c>
      <c r="C4210" s="1" t="s">
        <v>3659</v>
      </c>
      <c r="D4210" s="1" t="str">
        <f>IFERROR(__xludf.DUMMYFUNCTION("CONCATENATE(GOOGLETRANSLATE(C4210, ""en"", ""zh-cn""))"),"LeStyleParfait 男士多口袋两件套服装")</f>
        <v>LeStyleParfait 男士多口袋两件套服装</v>
      </c>
      <c r="E4210" s="1" t="str">
        <f>IFERROR(__xludf.DUMMYFUNCTION("CONCATENATE(GOOGLETRANSLATE(C4210, ""en"", ""ko""))"),"LeStyleParfait 남성용 멀티 포켓 투피스 의류 세트")</f>
        <v>LeStyleParfait 남성용 멀티 포켓 투피스 의류 세트</v>
      </c>
      <c r="F4210" s="1" t="str">
        <f>IFERROR(__xludf.DUMMYFUNCTION("CONCATENATE(GOOGLETRANSLATE(C4210, ""en"", ""ja""))"),"LeStyleParfait メンズ マルチポケット 2 点衣類セット")</f>
        <v>LeStyleParfait メンズ マルチポケット 2 点衣類セット</v>
      </c>
    </row>
    <row r="4211" ht="15.75" customHeight="1">
      <c r="A4211" s="1">
        <v>5724.0</v>
      </c>
      <c r="B4211" s="1" t="s">
        <v>15</v>
      </c>
      <c r="C4211" s="1" t="s">
        <v>3660</v>
      </c>
      <c r="D4211" s="1" t="str">
        <f>IFERROR(__xludf.DUMMYFUNCTION("CONCATENATE(GOOGLETRANSLATE(C4211, ""en"", ""zh-cn""))"),"H&amp;M 男士宽松运动衫")</f>
        <v>H&amp;M 男士宽松运动衫</v>
      </c>
      <c r="E4211" s="1" t="str">
        <f>IFERROR(__xludf.DUMMYFUNCTION("CONCATENATE(GOOGLETRANSLATE(C4211, ""en"", ""ko""))"),"H&amp;M 남성 루즈핏 스웨트셔츠")</f>
        <v>H&amp;M 남성 루즈핏 스웨트셔츠</v>
      </c>
      <c r="F4211" s="1" t="str">
        <f>IFERROR(__xludf.DUMMYFUNCTION("CONCATENATE(GOOGLETRANSLATE(C4211, ""en"", ""ja""))"),"H&amp;M メンズ ルーズフィット スウェットシャツ")</f>
        <v>H&amp;M メンズ ルーズフィット スウェットシャツ</v>
      </c>
    </row>
    <row r="4212" ht="15.75" customHeight="1">
      <c r="A4212" s="1">
        <v>5732.0</v>
      </c>
      <c r="B4212" s="1" t="s">
        <v>15</v>
      </c>
      <c r="C4212" s="1" t="s">
        <v>3661</v>
      </c>
      <c r="D4212" s="1" t="str">
        <f>IFERROR(__xludf.DUMMYFUNCTION("CONCATENATE(GOOGLETRANSLATE(C4212, ""en"", ""zh-cn""))"),"男士休闲套装")</f>
        <v>男士休闲套装</v>
      </c>
      <c r="E4212" s="1" t="str">
        <f>IFERROR(__xludf.DUMMYFUNCTION("CONCATENATE(GOOGLETRANSLATE(C4212, ""en"", ""ko""))"),"남성 캐주얼 의류 세트")</f>
        <v>남성 캐주얼 의류 세트</v>
      </c>
      <c r="F4212" s="1" t="str">
        <f>IFERROR(__xludf.DUMMYFUNCTION("CONCATENATE(GOOGLETRANSLATE(C4212, ""en"", ""ja""))"),"メンズカジュアルウェアセット")</f>
        <v>メンズカジュアルウェアセット</v>
      </c>
    </row>
    <row r="4213" ht="15.75" customHeight="1">
      <c r="A4213" s="1">
        <v>5750.0</v>
      </c>
      <c r="B4213" s="1" t="s">
        <v>15</v>
      </c>
      <c r="C4213" s="1" t="s">
        <v>3662</v>
      </c>
      <c r="D4213" s="1" t="str">
        <f>IFERROR(__xludf.DUMMYFUNCTION("CONCATENATE(GOOGLETRANSLATE(C4213, ""en"", ""zh-cn""))"),"男士商店 男士商店 男士格子呢格子休闲衬衫")</f>
        <v>男士商店 男士商店 男士格子呢格子休闲衬衫</v>
      </c>
      <c r="E4213" s="1" t="str">
        <f>IFERROR(__xludf.DUMMYFUNCTION("CONCATENATE(GOOGLETRANSLATE(C4213, ""en"", ""ko""))"),"남성 매장 남성 매장 남성 타탄 체크 무늬 캐주얼 셔츠")</f>
        <v>남성 매장 남성 매장 남성 타탄 체크 무늬 캐주얼 셔츠</v>
      </c>
      <c r="F4213" s="1" t="str">
        <f>IFERROR(__xludf.DUMMYFUNCTION("CONCATENATE(GOOGLETRANSLATE(C4213, ""en"", ""ja""))"),"メンズ ストア メンズ タータン チェック カジュアル シャツ")</f>
        <v>メンズ ストア メンズ タータン チェック カジュアル シャツ</v>
      </c>
    </row>
    <row r="4214" ht="15.75" customHeight="1">
      <c r="A4214" s="1">
        <v>5755.0</v>
      </c>
      <c r="B4214" s="1" t="s">
        <v>15</v>
      </c>
      <c r="C4214" s="1" t="s">
        <v>3663</v>
      </c>
      <c r="D4214" s="1" t="str">
        <f>IFERROR(__xludf.DUMMYFUNCTION("CONCATENATE(GOOGLETRANSLATE(C4214, ""en"", ""zh-cn""))"),"戴尔 Optiplex 3020 台式电脑，英特尔酷睿 I5，16GB RAM 2TB 硬盘 Windows 11 Pro，包括")</f>
        <v>戴尔 Optiplex 3020 台式电脑，英特尔酷睿 I5，16GB RAM 2TB 硬盘 Windows 11 Pro，包括</v>
      </c>
      <c r="E4214" s="1" t="str">
        <f>IFERROR(__xludf.DUMMYFUNCTION("CONCATENATE(GOOGLETRANSLATE(C4214, ""en"", ""ko""))"),"Dell Optiplex 3020 데스크탑 컴퓨터, Intel Core I5, 16GB RAM 2TB HDD Windows 11 Pro, 포함")</f>
        <v>Dell Optiplex 3020 데스크탑 컴퓨터, Intel Core I5, 16GB RAM 2TB HDD Windows 11 Pro, 포함</v>
      </c>
      <c r="F4214" s="1" t="str">
        <f>IFERROR(__xludf.DUMMYFUNCTION("CONCATENATE(GOOGLETRANSLATE(C4214, ""en"", ""ja""))"),"Dell Optiplex 3020 デスクトップ コンピューター、Intel Core I5、16GB RAM 2TB HDD Windows 11 Pro、付属品")</f>
        <v>Dell Optiplex 3020 デスクトップ コンピューター、Intel Core I5、16GB RAM 2TB HDD Windows 11 Pro、付属品</v>
      </c>
    </row>
    <row r="4215" ht="15.75" customHeight="1">
      <c r="A4215" s="1">
        <v>5757.0</v>
      </c>
      <c r="B4215" s="1" t="s">
        <v>15</v>
      </c>
      <c r="C4215" s="1" t="s">
        <v>3664</v>
      </c>
      <c r="D4215" s="1" t="str">
        <f>IFERROR(__xludf.DUMMYFUNCTION("CONCATENATE(GOOGLETRANSLATE(C4215, ""en"", ""zh-cn""))"),"Corsair 3500X 中塔式电脑机箱")</f>
        <v>Corsair 3500X 中塔式电脑机箱</v>
      </c>
      <c r="E4215" s="1" t="str">
        <f>IFERROR(__xludf.DUMMYFUNCTION("CONCATENATE(GOOGLETRANSLATE(C4215, ""en"", ""ko""))"),"Corsair 3500X 미드 타워 PC 케이스")</f>
        <v>Corsair 3500X 미드 타워 PC 케이스</v>
      </c>
      <c r="F4215" s="1" t="str">
        <f>IFERROR(__xludf.DUMMYFUNCTION("CONCATENATE(GOOGLETRANSLATE(C4215, ""en"", ""ja""))"),"Corsair 3500X ミッドタワー PC ケース")</f>
        <v>Corsair 3500X ミッドタワー PC ケース</v>
      </c>
    </row>
    <row r="4216" ht="15.75" customHeight="1">
      <c r="A4216" s="1">
        <v>5761.0</v>
      </c>
      <c r="B4216" s="1" t="s">
        <v>15</v>
      </c>
      <c r="C4216" s="1" t="s">
        <v>3665</v>
      </c>
      <c r="D4216" s="1" t="str">
        <f>IFERROR(__xludf.DUMMYFUNCTION("CONCATENATE(GOOGLETRANSLATE(C4216, ""en"", ""zh-cn""))"),"华硕 M3400WYA-DH503 一体机")</f>
        <v>华硕 M3400WYA-DH503 一体机</v>
      </c>
      <c r="E4216" s="1" t="str">
        <f>IFERROR(__xludf.DUMMYFUNCTION("CONCATENATE(GOOGLETRANSLATE(C4216, ""en"", ""ko""))"),"Asus M3400WYA-DH503 올인원 컴퓨터")</f>
        <v>Asus M3400WYA-DH503 올인원 컴퓨터</v>
      </c>
      <c r="F4216" s="1" t="str">
        <f>IFERROR(__xludf.DUMMYFUNCTION("CONCATENATE(GOOGLETRANSLATE(C4216, ""en"", ""ja""))"),"Asus M3400WYA-DH503 オールインワン コンピューター")</f>
        <v>Asus M3400WYA-DH503 オールインワン コンピューター</v>
      </c>
    </row>
    <row r="4217" ht="15.75" customHeight="1">
      <c r="A4217" s="1">
        <v>5764.0</v>
      </c>
      <c r="B4217" s="1" t="s">
        <v>15</v>
      </c>
      <c r="C4217" s="1" t="s">
        <v>3666</v>
      </c>
      <c r="D4217" s="1" t="str">
        <f>IFERROR(__xludf.DUMMYFUNCTION("CONCATENATE(GOOGLETRANSLATE(C4217, ""en"", ""zh-cn""))"),"CLX 游戏台式电脑，配备 AMD Ryzen 7 5700G、16GB 内存和 1TB SSD")</f>
        <v>CLX 游戏台式电脑，配备 AMD Ryzen 7 5700G、16GB 内存和 1TB SSD</v>
      </c>
      <c r="E4217" s="1" t="str">
        <f>IFERROR(__xludf.DUMMYFUNCTION("CONCATENATE(GOOGLETRANSLATE(C4217, ""en"", ""ko""))"),"AMD Ryzen 7 5700G, 16GB 메모리 및 1TB SSD를 탑재한 CLX 게이밍 데스크탑 컴퓨터")</f>
        <v>AMD Ryzen 7 5700G, 16GB 메모리 및 1TB SSD를 탑재한 CLX 게이밍 데스크탑 컴퓨터</v>
      </c>
      <c r="F4217" s="1" t="str">
        <f>IFERROR(__xludf.DUMMYFUNCTION("CONCATENATE(GOOGLETRANSLATE(C4217, ""en"", ""ja""))"),"AMD Ryzen 7 5700G、16GB メモリ、1TB SSD を搭載した CLX ゲーミング デスクトップ コンピューター")</f>
        <v>AMD Ryzen 7 5700G、16GB メモリ、1TB SSD を搭載した CLX ゲーミング デスクトップ コンピューター</v>
      </c>
    </row>
    <row r="4218" ht="15.75" customHeight="1">
      <c r="A4218" s="1">
        <v>5766.0</v>
      </c>
      <c r="B4218" s="1" t="s">
        <v>15</v>
      </c>
      <c r="C4218" s="1" t="s">
        <v>3667</v>
      </c>
      <c r="D4218" s="1" t="str">
        <f>IFERROR(__xludf.DUMMYFUNCTION("CONCATENATE(GOOGLETRANSLATE(C4218, ""en"", ""zh-cn""))"),"Eureka 符合人体工程学的高度可调节照明面板 CPU 推车")</f>
        <v>Eureka 符合人体工程学的高度可调节照明面板 CPU 推车</v>
      </c>
      <c r="E4218" s="1" t="str">
        <f>IFERROR(__xludf.DUMMYFUNCTION("CONCATENATE(GOOGLETRANSLATE(C4218, ""en"", ""ko""))"),"Eureka 인체공학적 높이 조절이 가능한 조명 패널 CPU 카트")</f>
        <v>Eureka 인체공학적 높이 조절이 가능한 조명 패널 CPU 카트</v>
      </c>
      <c r="F4218" s="1" t="str">
        <f>IFERROR(__xludf.DUMMYFUNCTION("CONCATENATE(GOOGLETRANSLATE(C4218, ""en"", ""ja""))"),"Eureka 人間工学に基づいた高さ調整可能な照明パネル CPU カート")</f>
        <v>Eureka 人間工学に基づいた高さ調整可能な照明パネル CPU カート</v>
      </c>
    </row>
    <row r="4219" ht="15.75" customHeight="1">
      <c r="A4219" s="1">
        <v>5771.0</v>
      </c>
      <c r="B4219" s="1" t="s">
        <v>15</v>
      </c>
      <c r="C4219" s="1" t="s">
        <v>3668</v>
      </c>
      <c r="D4219" s="1" t="str">
        <f>IFERROR(__xludf.DUMMYFUNCTION("CONCATENATE(GOOGLETRANSLATE(C4219, ""en"", ""zh-cn""))"),"HP 一体式计算机和显示器")</f>
        <v>HP 一体式计算机和显示器</v>
      </c>
      <c r="E4219" s="1" t="str">
        <f>IFERROR(__xludf.DUMMYFUNCTION("CONCATENATE(GOOGLETRANSLATE(C4219, ""en"", ""ko""))"),"HP 올인원 컴퓨터 및 디스플레이")</f>
        <v>HP 올인원 컴퓨터 및 디스플레이</v>
      </c>
      <c r="F4219" s="1" t="str">
        <f>IFERROR(__xludf.DUMMYFUNCTION("CONCATENATE(GOOGLETRANSLATE(C4219, ""en"", ""ja""))"),"HP オールインワン コンピューター &amp; ディスプレイ")</f>
        <v>HP オールインワン コンピューター &amp; ディスプレイ</v>
      </c>
    </row>
    <row r="4220" ht="15.75" customHeight="1">
      <c r="A4220" s="1">
        <v>5779.0</v>
      </c>
      <c r="B4220" s="1" t="s">
        <v>15</v>
      </c>
      <c r="C4220" s="1" t="s">
        <v>3669</v>
      </c>
      <c r="D4220" s="1" t="str">
        <f>IFERROR(__xludf.DUMMYFUNCTION("CONCATENATE(GOOGLETRANSLATE(C4220, ""en"", ""zh-cn""))"),"惠普酷睿 i5-13400 台式电脑")</f>
        <v>惠普酷睿 i5-13400 台式电脑</v>
      </c>
      <c r="E4220" s="1" t="str">
        <f>IFERROR(__xludf.DUMMYFUNCTION("CONCATENATE(GOOGLETRANSLATE(C4220, ""en"", ""ko""))"),"HP 데스크탑 컴퓨터 코어 i5-13400")</f>
        <v>HP 데스크탑 컴퓨터 코어 i5-13400</v>
      </c>
      <c r="F4220" s="1" t="str">
        <f>IFERROR(__xludf.DUMMYFUNCTION("CONCATENATE(GOOGLETRANSLATE(C4220, ""en"", ""ja""))"),"HP デスクトップ コンピューター Core i5-13400")</f>
        <v>HP デスクトップ コンピューター Core i5-13400</v>
      </c>
    </row>
    <row r="4221" ht="15.75" customHeight="1">
      <c r="A4221" s="1">
        <v>5783.0</v>
      </c>
      <c r="B4221" s="1" t="s">
        <v>15</v>
      </c>
      <c r="C4221" s="1" t="s">
        <v>3670</v>
      </c>
      <c r="D4221" s="1" t="str">
        <f>IFERROR(__xludf.DUMMYFUNCTION("CONCATENATE(GOOGLETRANSLATE(C4221, ""en"", ""zh-cn""))"),"Nimo 15.6 FHD 学生笔记本电脑")</f>
        <v>Nimo 15.6 FHD 学生笔记本电脑</v>
      </c>
      <c r="E4221" s="1" t="str">
        <f>IFERROR(__xludf.DUMMYFUNCTION("CONCATENATE(GOOGLETRANSLATE(C4221, ""en"", ""ko""))"),"Nimo 15.6 FHD 학생용 노트북")</f>
        <v>Nimo 15.6 FHD 학생용 노트북</v>
      </c>
      <c r="F4221" s="1" t="str">
        <f>IFERROR(__xludf.DUMMYFUNCTION("CONCATENATE(GOOGLETRANSLATE(C4221, ""en"", ""ja""))"),"Nimo 15.6 FHD 学生用ノートパソコン")</f>
        <v>Nimo 15.6 FHD 学生用ノートパソコン</v>
      </c>
    </row>
    <row r="4222" ht="15.75" customHeight="1">
      <c r="A4222" s="1">
        <v>5796.0</v>
      </c>
      <c r="B4222" s="1" t="s">
        <v>15</v>
      </c>
      <c r="C4222" s="1" t="s">
        <v>3671</v>
      </c>
      <c r="D4222" s="1" t="str">
        <f>IFERROR(__xludf.DUMMYFUNCTION("CONCATENATE(GOOGLETRANSLATE(C4222, ""en"", ""zh-cn""))"),"学院体育 + 户外 44 英寸便携式篮球系统")</f>
        <v>学院体育 + 户外 44 英寸便携式篮球系统</v>
      </c>
      <c r="E4222" s="1" t="str">
        <f>IFERROR(__xludf.DUMMYFUNCTION("CONCATENATE(GOOGLETRANSLATE(C4222, ""en"", ""ko""))"),"아카데미 스포츠 + 아웃도어 44 휴대용 농구 시스템")</f>
        <v>아카데미 스포츠 + 아웃도어 44 휴대용 농구 시스템</v>
      </c>
      <c r="F4222" s="1" t="str">
        <f>IFERROR(__xludf.DUMMYFUNCTION("CONCATENATE(GOOGLETRANSLATE(C4222, ""en"", ""ja""))"),"アカデミー スポーツ + アウトドア 44 ポータブル バスケットボール システム")</f>
        <v>アカデミー スポーツ + アウトドア 44 ポータブル バスケットボール システム</v>
      </c>
    </row>
    <row r="4223" ht="15.75" customHeight="1">
      <c r="A4223" s="1">
        <v>5809.0</v>
      </c>
      <c r="B4223" s="1" t="s">
        <v>15</v>
      </c>
      <c r="C4223" s="1" t="s">
        <v>3672</v>
      </c>
      <c r="D4223" s="1" t="str">
        <f>IFERROR(__xludf.DUMMYFUNCTION("CONCATENATE(GOOGLETRANSLATE(C4223, ""en"", ""zh-cn""))"),"KidKraft 多合一运动冒险玩具套装")</f>
        <v>KidKraft 多合一运动冒险玩具套装</v>
      </c>
      <c r="E4223" s="1" t="str">
        <f>IFERROR(__xludf.DUMMYFUNCTION("CONCATENATE(GOOGLETRANSLATE(C4223, ""en"", ""ko""))"),"KidKraft 올인원 스포츠 어드벤처 플레이 세트")</f>
        <v>KidKraft 올인원 스포츠 어드벤처 플레이 세트</v>
      </c>
      <c r="F4223" s="1" t="str">
        <f>IFERROR(__xludf.DUMMYFUNCTION("CONCATENATE(GOOGLETRANSLATE(C4223, ""en"", ""ja""))"),"KidKraft オールインワン スポーツ アドベンチャー プレイセット")</f>
        <v>KidKraft オールインワン スポーツ アドベンチャー プレイセット</v>
      </c>
    </row>
    <row r="4224" ht="15.75" customHeight="1">
      <c r="A4224" s="1">
        <v>5818.0</v>
      </c>
      <c r="B4224" s="1" t="s">
        <v>15</v>
      </c>
      <c r="C4224" s="1" t="s">
        <v>3673</v>
      </c>
      <c r="D4224" s="1" t="str">
        <f>IFERROR(__xludf.DUMMYFUNCTION("CONCATENATE(GOOGLETRANSLATE(C4224, ""en"", ""zh-cn""))"),"富兰克林体育间谍球")</f>
        <v>富兰克林体育间谍球</v>
      </c>
      <c r="E4224" s="1" t="str">
        <f>IFERROR(__xludf.DUMMYFUNCTION("CONCATENATE(GOOGLETRANSLATE(C4224, ""en"", ""ko""))"),"프랭클린 스포츠 스파이더볼")</f>
        <v>프랭클린 스포츠 스파이더볼</v>
      </c>
      <c r="F4224" s="1" t="str">
        <f>IFERROR(__xludf.DUMMYFUNCTION("CONCATENATE(GOOGLETRANSLATE(C4224, ""en"", ""ja""))"),"フランクリン スポーツ スパイダーボール")</f>
        <v>フランクリン スポーツ スパイダーボール</v>
      </c>
    </row>
    <row r="4225" ht="15.75" customHeight="1">
      <c r="A4225" s="1">
        <v>5821.0</v>
      </c>
      <c r="B4225" s="1" t="s">
        <v>15</v>
      </c>
      <c r="C4225" s="1" t="s">
        <v>3674</v>
      </c>
      <c r="D4225" s="1" t="str">
        <f>IFERROR(__xludf.DUMMYFUNCTION("CONCATENATE(GOOGLETRANSLATE(C4225, ""en"", ""zh-cn""))"),"Jaypro运动户外比赛排球系统")</f>
        <v>Jaypro运动户外比赛排球系统</v>
      </c>
      <c r="E4225" s="1" t="str">
        <f>IFERROR(__xludf.DUMMYFUNCTION("CONCATENATE(GOOGLETRANSLATE(C4225, ""en"", ""ko""))"),"제이프로스포츠 야외대회 배구시스템")</f>
        <v>제이프로스포츠 야외대회 배구시스템</v>
      </c>
      <c r="F4225" s="1" t="str">
        <f>IFERROR(__xludf.DUMMYFUNCTION("CONCATENATE(GOOGLETRANSLATE(C4225, ""en"", ""ja""))"),"ジェイプロ スポーツ アウトドア 競技 バレーボール システム")</f>
        <v>ジェイプロ スポーツ アウトドア 競技 バレーボール システム</v>
      </c>
    </row>
    <row r="4226" ht="15.75" customHeight="1">
      <c r="A4226" s="1">
        <v>5822.0</v>
      </c>
      <c r="B4226" s="1" t="s">
        <v>15</v>
      </c>
      <c r="C4226" s="1" t="s">
        <v>3675</v>
      </c>
      <c r="D4226" s="1" t="str">
        <f>IFERROR(__xludf.DUMMYFUNCTION("CONCATENATE(GOOGLETRANSLATE(C4226, ""en"", ""zh-cn""))"),"MinnARK 3 合 1 户外庭院游戏多游戏套装，适合所有年龄段")</f>
        <v>MinnARK 3 合 1 户外庭院游戏多游戏套装，适合所有年龄段</v>
      </c>
      <c r="E4226" s="1" t="str">
        <f>IFERROR(__xludf.DUMMYFUNCTION("CONCATENATE(GOOGLETRANSLATE(C4226, ""en"", ""ko""))"),"모든 연령대를 위한 MinnARK 3-in-1 야외 정원 게임 멀티게임 세트")</f>
        <v>모든 연령대를 위한 MinnARK 3-in-1 야외 정원 게임 멀티게임 세트</v>
      </c>
      <c r="F4226" s="1" t="str">
        <f>IFERROR(__xludf.DUMMYFUNCTION("CONCATENATE(GOOGLETRANSLATE(C4226, ""en"", ""ja""))"),"MinnARK 3-in-1 屋外ヤード ゲーム マルチゲーム セット (全年齢向け)")</f>
        <v>MinnARK 3-in-1 屋外ヤード ゲーム マルチゲーム セット (全年齢向け)</v>
      </c>
    </row>
    <row r="4227" ht="15.75" customHeight="1">
      <c r="A4227" s="1">
        <v>5829.0</v>
      </c>
      <c r="B4227" s="1" t="s">
        <v>15</v>
      </c>
      <c r="C4227" s="1" t="s">
        <v>3676</v>
      </c>
      <c r="D4227" s="1" t="str">
        <f>IFERROR(__xludf.DUMMYFUNCTION("CONCATENATE(GOOGLETRANSLATE(C4227, ""en"", ""zh-cn""))"),"多功能运动组合网套装")</f>
        <v>多功能运动组合网套装</v>
      </c>
      <c r="E4227" s="1" t="str">
        <f>IFERROR(__xludf.DUMMYFUNCTION("CONCATENATE(GOOGLETRANSLATE(C4227, ""en"", ""ko""))"),"멀티스포츠 콤보 네트 세트")</f>
        <v>멀티스포츠 콤보 네트 세트</v>
      </c>
      <c r="F4227" s="1" t="str">
        <f>IFERROR(__xludf.DUMMYFUNCTION("CONCATENATE(GOOGLETRANSLATE(C4227, ""en"", ""ja""))"),"マルチスポーツコンボネットセット")</f>
        <v>マルチスポーツコンボネットセット</v>
      </c>
    </row>
    <row r="4228" ht="15.75" customHeight="1">
      <c r="A4228" s="1">
        <v>5831.0</v>
      </c>
      <c r="B4228" s="1" t="s">
        <v>15</v>
      </c>
      <c r="C4228" s="1" t="s">
        <v>3677</v>
      </c>
      <c r="D4228" s="1" t="str">
        <f>IFERROR(__xludf.DUMMYFUNCTION("CONCATENATE(GOOGLETRANSLATE(C4228, ""en"", ""zh-cn""))"),"Spikeball 周末套装")</f>
        <v>Spikeball 周末套装</v>
      </c>
      <c r="E4228" s="1" t="str">
        <f>IFERROR(__xludf.DUMMYFUNCTION("CONCATENATE(GOOGLETRANSLATE(C4228, ""en"", ""ko""))"),"스파이크볼 위켄더 세트")</f>
        <v>스파이크볼 위켄더 세트</v>
      </c>
      <c r="F4228" s="1" t="str">
        <f>IFERROR(__xludf.DUMMYFUNCTION("CONCATENATE(GOOGLETRANSLATE(C4228, ""en"", ""ja""))"),"スパイクボール ウィークエンダー セット")</f>
        <v>スパイクボール ウィークエンダー セット</v>
      </c>
    </row>
    <row r="4229" ht="15.75" customHeight="1">
      <c r="A4229" s="1">
        <v>5835.0</v>
      </c>
      <c r="B4229" s="1" t="s">
        <v>15</v>
      </c>
      <c r="C4229" s="1" t="s">
        <v>3678</v>
      </c>
      <c r="D4229" s="1" t="str">
        <f>IFERROR(__xludf.DUMMYFUNCTION("CONCATENATE(GOOGLETRANSLATE(C4229, ""en"", ""zh-cn""))"),"天梭 (TISSOT) 绅士男士手表")</f>
        <v>天梭 (TISSOT) 绅士男士手表</v>
      </c>
      <c r="E4229" s="1" t="str">
        <f>IFERROR(__xludf.DUMMYFUNCTION("CONCATENATE(GOOGLETRANSLATE(C4229, ""en"", ""ko""))"),"티쏘 신사 남성용 시계")</f>
        <v>티쏘 신사 남성용 시계</v>
      </c>
      <c r="F4229" s="1" t="str">
        <f>IFERROR(__xludf.DUMMYFUNCTION("CONCATENATE(GOOGLETRANSLATE(C4229, ""en"", ""ja""))"),"TISSOT ティソ ジェントルマン メンズ 腕時計")</f>
        <v>TISSOT ティソ ジェントルマン メンズ 腕時計</v>
      </c>
    </row>
    <row r="4230" ht="15.75" customHeight="1">
      <c r="A4230" s="1">
        <v>5836.0</v>
      </c>
      <c r="B4230" s="1" t="s">
        <v>15</v>
      </c>
      <c r="C4230" s="1" t="s">
        <v>3679</v>
      </c>
      <c r="D4230" s="1" t="str">
        <f>IFERROR(__xludf.DUMMYFUNCTION("CONCATENATE(GOOGLETRANSLATE(C4230, ""en"", ""zh-cn""))"),"14K白金VVS莫桑石钻石腕表")</f>
        <v>14K白金VVS莫桑石钻石腕表</v>
      </c>
      <c r="E4230" s="1" t="str">
        <f>IFERROR(__xludf.DUMMYFUNCTION("CONCATENATE(GOOGLETRANSLATE(C4230, ""en"", ""ko""))"),"14K 화이트 골드 VVS 모이사나이트 다이아몬드 시계")</f>
        <v>14K 화이트 골드 VVS 모이사나이트 다이아몬드 시계</v>
      </c>
      <c r="F4230" s="1" t="str">
        <f>IFERROR(__xludf.DUMMYFUNCTION("CONCATENATE(GOOGLETRANSLATE(C4230, ""en"", ""ja""))"),"14K ホワイト ゴールド VVS モアサナイト ダイヤモンド ウォッチ")</f>
        <v>14K ホワイト ゴールド VVS モアサナイト ダイヤモンド ウォッチ</v>
      </c>
    </row>
    <row r="4231" ht="15.75" customHeight="1">
      <c r="A4231" s="1">
        <v>5841.0</v>
      </c>
      <c r="B4231" s="1" t="s">
        <v>15</v>
      </c>
      <c r="C4231" s="1" t="s">
        <v>3680</v>
      </c>
      <c r="D4231" s="1" t="str">
        <f>IFERROR(__xludf.DUMMYFUNCTION("CONCATENATE(GOOGLETRANSLATE(C4231, ""en"", ""zh-cn""))"),"Altar'd State 精致长方形金表")</f>
        <v>Altar'd State 精致长方形金表</v>
      </c>
      <c r="E4231" s="1" t="str">
        <f>IFERROR(__xludf.DUMMYFUNCTION("CONCATENATE(GOOGLETRANSLATE(C4231, ""en"", ""ko""))"),"Altar'd State 우아한 직사각형 골드 시계")</f>
        <v>Altar'd State 우아한 직사각형 골드 시계</v>
      </c>
      <c r="F4231" s="1" t="str">
        <f>IFERROR(__xludf.DUMMYFUNCTION("CONCATENATE(GOOGLETRANSLATE(C4231, ""en"", ""ja""))"),"アルタード ステート デインティ レクタングル ゴールド ウォッチ")</f>
        <v>アルタード ステート デインティ レクタングル ゴールド ウォッチ</v>
      </c>
    </row>
    <row r="4232" ht="15.75" customHeight="1">
      <c r="A4232" s="1">
        <v>5842.0</v>
      </c>
      <c r="B4232" s="1" t="s">
        <v>15</v>
      </c>
      <c r="C4232" s="1" t="s">
        <v>3681</v>
      </c>
      <c r="D4232" s="1" t="str">
        <f>IFERROR(__xludf.DUMMYFUNCTION("CONCATENATE(GOOGLETRANSLATE(C4232, ""en"", ""zh-cn""))"),"Michael Kors 女士金刚砂三指针不锈钢手表、耳环和手链礼品套装")</f>
        <v>Michael Kors 女士金刚砂三指针不锈钢手表、耳环和手链礼品套装</v>
      </c>
      <c r="E4232" s="1" t="str">
        <f>IFERROR(__xludf.DUMMYFUNCTION("CONCATENATE(GOOGLETRANSLATE(C4232, ""en"", ""ko""))"),"마이클 코어스 여성용 에머리 쓰리 핸드 스테인레스 스틸 시계, 귀걸이 및 팔찌 선물 세트")</f>
        <v>마이클 코어스 여성용 에머리 쓰리 핸드 스테인레스 스틸 시계, 귀걸이 및 팔찌 선물 세트</v>
      </c>
      <c r="F4232" s="1" t="str">
        <f>IFERROR(__xludf.DUMMYFUNCTION("CONCATENATE(GOOGLETRANSLATE(C4232, ""en"", ""ja""))"),"Michael Kors レディース Emery 3 針ステンレススチール ウォッチ、イヤリング、ブレスレット ギフト セット")</f>
        <v>Michael Kors レディース Emery 3 針ステンレススチール ウォッチ、イヤリング、ブレスレット ギフト セット</v>
      </c>
    </row>
    <row r="4233" ht="15.75" customHeight="1">
      <c r="A4233" s="1">
        <v>5847.0</v>
      </c>
      <c r="B4233" s="1" t="s">
        <v>15</v>
      </c>
      <c r="C4233" s="1" t="s">
        <v>3682</v>
      </c>
      <c r="D4233" s="1" t="str">
        <f>IFERROR(__xludf.DUMMYFUNCTION("CONCATENATE(GOOGLETRANSLATE(C4233, ""en"", ""zh-cn""))"),"Kendra Scott Alex 35 毫米金色手表")</f>
        <v>Kendra Scott Alex 35 毫米金色手表</v>
      </c>
      <c r="E4233" s="1" t="str">
        <f>IFERROR(__xludf.DUMMYFUNCTION("CONCATENATE(GOOGLETRANSLATE(C4233, ""en"", ""ko""))"),"Kendra Scott Alex 35mm 골드 톤 시계")</f>
        <v>Kendra Scott Alex 35mm 골드 톤 시계</v>
      </c>
      <c r="F4233" s="1" t="str">
        <f>IFERROR(__xludf.DUMMYFUNCTION("CONCATENATE(GOOGLETRANSLATE(C4233, ""en"", ""ja""))"),"Kendra Scott Alex 35mm ゴールドトーン ウォッチ")</f>
        <v>Kendra Scott Alex 35mm ゴールドトーン ウォッチ</v>
      </c>
    </row>
    <row r="4234" ht="15.75" customHeight="1">
      <c r="A4234" s="1">
        <v>5851.0</v>
      </c>
      <c r="B4234" s="1" t="s">
        <v>15</v>
      </c>
      <c r="C4234" s="1" t="s">
        <v>3683</v>
      </c>
      <c r="D4234" s="1" t="str">
        <f>IFERROR(__xludf.DUMMYFUNCTION("CONCATENATE(GOOGLETRANSLATE(C4234, ""en"", ""zh-cn""))"),"尼克松报时手表")</f>
        <v>尼克松报时手表</v>
      </c>
      <c r="E4234" s="1" t="str">
        <f>IFERROR(__xludf.DUMMYFUNCTION("CONCATENATE(GOOGLETRANSLATE(C4234, ""en"", ""ko""))"),"닉슨 타임 텔러 시계")</f>
        <v>닉슨 타임 텔러 시계</v>
      </c>
      <c r="F4234" s="1" t="str">
        <f>IFERROR(__xludf.DUMMYFUNCTION("CONCATENATE(GOOGLETRANSLATE(C4234, ""en"", ""ja""))"),"ニクソン タイム テラー ウォッチ")</f>
        <v>ニクソン タイム テラー ウォッチ</v>
      </c>
    </row>
    <row r="4235" ht="15.75" customHeight="1">
      <c r="A4235" s="1">
        <v>5853.0</v>
      </c>
      <c r="B4235" s="1" t="s">
        <v>15</v>
      </c>
      <c r="C4235" s="1" t="s">
        <v>3684</v>
      </c>
      <c r="D4235" s="1" t="str">
        <f>IFERROR(__xludf.DUMMYFUNCTION("CONCATENATE(GOOGLETRANSLATE(C4235, ""en"", ""zh-cn""))"),"Anne Klein 女士圆形珍珠母贝表盘施华洛世奇水晶手表套装")</f>
        <v>Anne Klein 女士圆形珍珠母贝表盘施华洛世奇水晶手表套装</v>
      </c>
      <c r="E4235" s="1" t="str">
        <f>IFERROR(__xludf.DUMMYFUNCTION("CONCATENATE(GOOGLETRANSLATE(C4235, ""en"", ""ko""))"),"Anne Klein 여성용 라운드 마더 오브 펄 다이얼 스와로브스키 크리스탈 시계 세트")</f>
        <v>Anne Klein 여성용 라운드 마더 오브 펄 다이얼 스와로브스키 크리스탈 시계 세트</v>
      </c>
      <c r="F4235" s="1" t="str">
        <f>IFERROR(__xludf.DUMMYFUNCTION("CONCATENATE(GOOGLETRANSLATE(C4235, ""en"", ""ja""))"),"アン クライン レディース ラウンド マザー オブ パール ダイヤル スワロフスキー クリスタル ウォッチ セット")</f>
        <v>アン クライン レディース ラウンド マザー オブ パール ダイヤル スワロフスキー クリスタル ウォッチ セット</v>
      </c>
    </row>
    <row r="4236" ht="15.75" customHeight="1">
      <c r="A4236" s="1">
        <v>5857.0</v>
      </c>
      <c r="B4236" s="1" t="s">
        <v>15</v>
      </c>
      <c r="C4236" s="1" t="s">
        <v>3685</v>
      </c>
      <c r="D4236" s="1" t="str">
        <f>IFERROR(__xludf.DUMMYFUNCTION("CONCATENATE(GOOGLETRANSLATE(C4236, ""en"", ""zh-cn""))"),"Tory Burch 女士 Miller 手镯手表套装")</f>
        <v>Tory Burch 女士 Miller 手镯手表套装</v>
      </c>
      <c r="E4236" s="1" t="str">
        <f>IFERROR(__xludf.DUMMYFUNCTION("CONCATENATE(GOOGLETRANSLATE(C4236, ""en"", ""ko""))"),"토리버치 여성용 밀러 뱅글 팔찌 시계 세트")</f>
        <v>토리버치 여성용 밀러 뱅글 팔찌 시계 세트</v>
      </c>
      <c r="F4236" s="1" t="str">
        <f>IFERROR(__xludf.DUMMYFUNCTION("CONCATENATE(GOOGLETRANSLATE(C4236, ""en"", ""ja""))"),"Tory Burch レディース ミラー バングル ブレスレット ウォッチ セット")</f>
        <v>Tory Burch レディース ミラー バングル ブレスレット ウォッチ セット</v>
      </c>
    </row>
    <row r="4237" ht="15.75" customHeight="1">
      <c r="A4237" s="1">
        <v>5858.0</v>
      </c>
      <c r="B4237" s="1" t="s">
        <v>15</v>
      </c>
      <c r="C4237" s="1" t="s">
        <v>3686</v>
      </c>
      <c r="D4237" s="1" t="str">
        <f>IFERROR(__xludf.DUMMYFUNCTION("CONCATENATE(GOOGLETRANSLATE(C4237, ""en"", ""zh-cn""))"),"Rado 男士原创手表 R12393633")</f>
        <v>Rado 男士原创手表 R12393633</v>
      </c>
      <c r="E4237" s="1" t="str">
        <f>IFERROR(__xludf.DUMMYFUNCTION("CONCATENATE(GOOGLETRANSLATE(C4237, ""en"", ""ko""))"),"라도 남성용 The Original 시계 R12393633")</f>
        <v>라도 남성용 The Original 시계 R12393633</v>
      </c>
      <c r="F4237" s="1" t="str">
        <f>IFERROR(__xludf.DUMMYFUNCTION("CONCATENATE(GOOGLETRANSLATE(C4237, ""en"", ""ja""))"),"ラドー メンズ ザ オリジナル ウォッチ R12393633")</f>
        <v>ラドー メンズ ザ オリジナル ウォッチ R12393633</v>
      </c>
    </row>
    <row r="4238" ht="15.75" customHeight="1">
      <c r="A4238" s="1">
        <v>5867.0</v>
      </c>
      <c r="B4238" s="1" t="s">
        <v>15</v>
      </c>
      <c r="C4238" s="1" t="s">
        <v>3687</v>
      </c>
      <c r="D4238" s="1" t="str">
        <f>IFERROR(__xludf.DUMMYFUNCTION("CONCATENATE(GOOGLETRANSLATE(C4238, ""en"", ""zh-cn""))"),"Olivia Burton 女士宝石镶嵌不锈钢手链手表")</f>
        <v>Olivia Burton 女士宝石镶嵌不锈钢手链手表</v>
      </c>
      <c r="E4238" s="1" t="str">
        <f>IFERROR(__xludf.DUMMYFUNCTION("CONCATENATE(GOOGLETRANSLATE(C4238, ""en"", ""ko""))"),"올리비아 버튼 여성용 보석 장식 스테인리스 스틸 팔찌 시계")</f>
        <v>올리비아 버튼 여성용 보석 장식 스테인리스 스틸 팔찌 시계</v>
      </c>
      <c r="F4238" s="1" t="str">
        <f>IFERROR(__xludf.DUMMYFUNCTION("CONCATENATE(GOOGLETRANSLATE(C4238, ""en"", ""ja""))"),"オリビアバートン レディース 宝石を散りばめたステンレススチール ブレスレット ウォッチ")</f>
        <v>オリビアバートン レディース 宝石を散りばめたステンレススチール ブレスレット ウォッチ</v>
      </c>
    </row>
    <row r="4239" ht="15.75" customHeight="1">
      <c r="A4239" s="1">
        <v>5869.0</v>
      </c>
      <c r="B4239" s="1" t="s">
        <v>15</v>
      </c>
      <c r="C4239" s="1" t="s">
        <v>3688</v>
      </c>
      <c r="D4239" s="1" t="str">
        <f>IFERROR(__xludf.DUMMYFUNCTION("CONCATENATE(GOOGLETRANSLATE(C4239, ""en"", ""zh-cn""))"),"Van Cleef &amp; Arpels 甜蜜阿罕布拉玫瑰金腕表")</f>
        <v>Van Cleef &amp; Arpels 甜蜜阿罕布拉玫瑰金腕表</v>
      </c>
      <c r="E4239" s="1" t="str">
        <f>IFERROR(__xludf.DUMMYFUNCTION("CONCATENATE(GOOGLETRANSLATE(C4239, ""en"", ""ko""))"),"반클리프 앤 아펠 스위트 알함브라 핑크 골드 시계")</f>
        <v>반클리프 앤 아펠 스위트 알함브라 핑크 골드 시계</v>
      </c>
      <c r="F4239" s="1" t="str">
        <f>IFERROR(__xludf.DUMMYFUNCTION("CONCATENATE(GOOGLETRANSLATE(C4239, ""en"", ""ja""))"),"ヴァン クリーフ＆アーペル スイート アルハンブラ ピンクゴールド ウォッチ")</f>
        <v>ヴァン クリーフ＆アーペル スイート アルハンブラ ピンクゴールド ウォッチ</v>
      </c>
    </row>
    <row r="4240" ht="15.75" customHeight="1">
      <c r="A4240" s="1">
        <v>5882.0</v>
      </c>
      <c r="B4240" s="1" t="s">
        <v>15</v>
      </c>
      <c r="C4240" s="1" t="s">
        <v>3689</v>
      </c>
      <c r="D4240" s="1" t="str">
        <f>IFERROR(__xludf.DUMMYFUNCTION("CONCATENATE(GOOGLETRANSLATE(C4240, ""en"", ""zh-cn""))"),"Vera Bradley 带挂绳防水手机袋")</f>
        <v>Vera Bradley 带挂绳防水手机袋</v>
      </c>
      <c r="E4240" s="1" t="str">
        <f>IFERROR(__xludf.DUMMYFUNCTION("CONCATENATE(GOOGLETRANSLATE(C4240, ""en"", ""ko""))"),"Vera Bradley 끈이 달린 방수 휴대폰 파우치")</f>
        <v>Vera Bradley 끈이 달린 방수 휴대폰 파우치</v>
      </c>
      <c r="F4240" s="1" t="str">
        <f>IFERROR(__xludf.DUMMYFUNCTION("CONCATENATE(GOOGLETRANSLATE(C4240, ""en"", ""ja""))"),"Vera Bradley 防水電話ポーチ ストラップ付き")</f>
        <v>Vera Bradley 防水電話ポーチ ストラップ付き</v>
      </c>
    </row>
    <row r="4241" ht="15.75" customHeight="1">
      <c r="A4241" s="1">
        <v>5887.0</v>
      </c>
      <c r="B4241" s="1" t="s">
        <v>15</v>
      </c>
      <c r="C4241" s="1" t="s">
        <v>3690</v>
      </c>
      <c r="D4241" s="1" t="str">
        <f>IFERROR(__xludf.DUMMYFUNCTION("CONCATENATE(GOOGLETRANSLATE(C4241, ""en"", ""zh-cn""))"),"Deco Gear 通用智能手机配件套件")</f>
        <v>Deco Gear 通用智能手机配件套件</v>
      </c>
      <c r="E4241" s="1" t="str">
        <f>IFERROR(__xludf.DUMMYFUNCTION("CONCATENATE(GOOGLETRANSLATE(C4241, ""en"", ""ko""))"),"Deco Gear 범용 스마트폰 액세서리 키트")</f>
        <v>Deco Gear 범용 스마트폰 액세서리 키트</v>
      </c>
      <c r="F4241" s="1" t="str">
        <f>IFERROR(__xludf.DUMMYFUNCTION("CONCATENATE(GOOGLETRANSLATE(C4241, ""en"", ""ja""))"),"Deco Gear ユニバーサルスマートフォンアクセサリーキット")</f>
        <v>Deco Gear ユニバーサルスマートフォンアクセサリーキット</v>
      </c>
    </row>
    <row r="4242" ht="15.75" customHeight="1">
      <c r="A4242" s="1">
        <v>5891.0</v>
      </c>
      <c r="B4242" s="1" t="s">
        <v>15</v>
      </c>
      <c r="C4242" s="1" t="s">
        <v>3691</v>
      </c>
      <c r="D4242" s="1" t="str">
        <f>IFERROR(__xludf.DUMMYFUNCTION("CONCATENATE(GOOGLETRANSLATE(C4242, ""en"", ""zh-cn""))"),"Kikkerland 完美手机支架")</f>
        <v>Kikkerland 完美手机支架</v>
      </c>
      <c r="E4242" s="1" t="str">
        <f>IFERROR(__xludf.DUMMYFUNCTION("CONCATENATE(GOOGLETRANSLATE(C4242, ""en"", ""ko""))"),"Kikkerland 완벽한 휴대폰 스탠드")</f>
        <v>Kikkerland 완벽한 휴대폰 스탠드</v>
      </c>
      <c r="F4242" s="1" t="str">
        <f>IFERROR(__xludf.DUMMYFUNCTION("CONCATENATE(GOOGLETRANSLATE(C4242, ""en"", ""ja""))"),"キッカーランド パーフェクトフォンスタンド")</f>
        <v>キッカーランド パーフェクトフォンスタンド</v>
      </c>
    </row>
    <row r="4243" ht="15.75" customHeight="1">
      <c r="A4243" s="1">
        <v>5893.0</v>
      </c>
      <c r="B4243" s="1" t="s">
        <v>15</v>
      </c>
      <c r="C4243" s="1" t="s">
        <v>3692</v>
      </c>
      <c r="D4243" s="1" t="str">
        <f>IFERROR(__xludf.DUMMYFUNCTION("CONCATENATE(GOOGLETRANSLATE(C4243, ""en"", ""zh-cn""))"),"LOVEHANDLE 通用手机手柄，适用于大多数智能手机、迷你平板电脑和")</f>
        <v>LOVEHANDLE 通用手机手柄，适用于大多数智能手机、迷你平板电脑和</v>
      </c>
      <c r="E4243" s="1" t="str">
        <f>IFERROR(__xludf.DUMMYFUNCTION("CONCATENATE(GOOGLETRANSLATE(C4243, ""en"", ""ko""))"),"대부분의 스마트폰, 미니 태블릿 및 기타 기기에 사용할 수 있는 LOVEHANDLE 범용 휴대폰 그립")</f>
        <v>대부분의 스마트폰, 미니 태블릿 및 기타 기기에 사용할 수 있는 LOVEHANDLE 범용 휴대폰 그립</v>
      </c>
      <c r="F4243" s="1" t="str">
        <f>IFERROR(__xludf.DUMMYFUNCTION("CONCATENATE(GOOGLETRANSLATE(C4243, ""en"", ""ja""))"),"LOVEHANDLE ユニバーサル携帯電話グリップは、ほとんどのスマートフォン、ミニタブレット、")</f>
        <v>LOVEHANDLE ユニバーサル携帯電話グリップは、ほとんどのスマートフォン、ミニタブレット、</v>
      </c>
    </row>
    <row r="4244" ht="15.75" customHeight="1">
      <c r="A4244" s="1">
        <v>5896.0</v>
      </c>
      <c r="B4244" s="1" t="s">
        <v>15</v>
      </c>
      <c r="C4244" s="1" t="s">
        <v>3693</v>
      </c>
      <c r="D4244" s="1" t="str">
        <f>IFERROR(__xludf.DUMMYFUNCTION("CONCATENATE(GOOGLETRANSLATE(C4244, ""en"", ""zh-cn""))"),"维拉布拉德利电话线")</f>
        <v>维拉布拉德利电话线</v>
      </c>
      <c r="E4244" s="1" t="str">
        <f>IFERROR(__xludf.DUMMYFUNCTION("CONCATENATE(GOOGLETRANSLATE(C4244, ""en"", ""ko""))"),"베라 브래들리 전화 코드")</f>
        <v>베라 브래들리 전화 코드</v>
      </c>
      <c r="F4244" s="1" t="str">
        <f>IFERROR(__xludf.DUMMYFUNCTION("CONCATENATE(GOOGLETRANSLATE(C4244, ""en"", ""ja""))"),"ベラ・ブラッドリーの電話コード")</f>
        <v>ベラ・ブラッドリーの電話コード</v>
      </c>
    </row>
    <row r="4245" ht="15.75" customHeight="1">
      <c r="A4245" s="1">
        <v>5907.0</v>
      </c>
      <c r="B4245" s="1" t="s">
        <v>15</v>
      </c>
      <c r="C4245" s="1" t="s">
        <v>3694</v>
      </c>
      <c r="D4245" s="1" t="str">
        <f>IFERROR(__xludf.DUMMYFUNCTION("CONCATENATE(GOOGLETRANSLATE(C4245, ""en"", ""zh-cn""))"),"MOFT 卡扣式手机支架和钱包 MagSafe 兼容")</f>
        <v>MOFT 卡扣式手机支架和钱包 MagSafe 兼容</v>
      </c>
      <c r="E4245" s="1" t="str">
        <f>IFERROR(__xludf.DUMMYFUNCTION("CONCATENATE(GOOGLETRANSLATE(C4245, ""en"", ""ko""))"),"MOFT 스냅온 휴대폰 스탠드 및 지갑 MagSafe 호환")</f>
        <v>MOFT 스냅온 휴대폰 스탠드 및 지갑 MagSafe 호환</v>
      </c>
      <c r="F4245" s="1" t="str">
        <f>IFERROR(__xludf.DUMMYFUNCTION("CONCATENATE(GOOGLETRANSLATE(C4245, ""en"", ""ja""))"),"MOFT スナップオン電話スタンド &amp; ウォレット MagSafe 対応")</f>
        <v>MOFT スナップオン電話スタンド &amp; ウォレット MagSafe 対応</v>
      </c>
    </row>
    <row r="4246" ht="15.75" customHeight="1">
      <c r="A4246" s="1">
        <v>5923.0</v>
      </c>
      <c r="B4246" s="1" t="s">
        <v>15</v>
      </c>
      <c r="C4246" s="1" t="s">
        <v>3695</v>
      </c>
      <c r="D4246" s="1" t="str">
        <f>IFERROR(__xludf.DUMMYFUNCTION("CONCATENATE(GOOGLETRANSLATE(C4246, ""en"", ""zh-cn""))"),"怀旧复古三合一家庭早餐站")</f>
        <v>怀旧复古三合一家庭早餐站</v>
      </c>
      <c r="E4246" s="1" t="str">
        <f>IFERROR(__xludf.DUMMYFUNCTION("CONCATENATE(GOOGLETRANSLATE(C4246, ""en"", ""ko""))"),"노스탤지어 레트로 3-in-1 패밀리 사이즈 조식 스테이션")</f>
        <v>노스탤지어 레트로 3-in-1 패밀리 사이즈 조식 스테이션</v>
      </c>
      <c r="F4246" s="1" t="str">
        <f>IFERROR(__xludf.DUMMYFUNCTION("CONCATENATE(GOOGLETRANSLATE(C4246, ""en"", ""ja""))"),"ノスタルジア レトロ 3-in-1 ファミリー サイズ ブレックファスト ステーション")</f>
        <v>ノスタルジア レトロ 3-in-1 ファミリー サイズ ブレックファスト ステーション</v>
      </c>
    </row>
    <row r="4247" ht="15.75" customHeight="1">
      <c r="A4247" s="1">
        <v>5925.0</v>
      </c>
      <c r="B4247" s="1" t="s">
        <v>15</v>
      </c>
      <c r="C4247" s="1" t="s">
        <v>3696</v>
      </c>
      <c r="D4247" s="1" t="str">
        <f>IFERROR(__xludf.DUMMYFUNCTION("CONCATENATE(GOOGLETRANSLATE(C4247, ""en"", ""zh-cn""))"),"Smeg Dolce &amp; Gabbana Fab5 迷你冰箱")</f>
        <v>Smeg Dolce &amp; Gabbana Fab5 迷你冰箱</v>
      </c>
      <c r="E4247" s="1" t="str">
        <f>IFERROR(__xludf.DUMMYFUNCTION("CONCATENATE(GOOGLETRANSLATE(C4247, ""en"", ""ko""))"),"스메그 돌체 앤 가바나 Fab5 미니 냉장고")</f>
        <v>스메그 돌체 앤 가바나 Fab5 미니 냉장고</v>
      </c>
      <c r="F4247" s="1" t="str">
        <f>IFERROR(__xludf.DUMMYFUNCTION("CONCATENATE(GOOGLETRANSLATE(C4247, ""en"", ""ja""))"),"スメグ ドルチェ＆ガッバーナ Fab5 ミニ冷蔵庫")</f>
        <v>スメグ ドルチェ＆ガッバーナ Fab5 ミニ冷蔵庫</v>
      </c>
    </row>
    <row r="4248" ht="15.75" customHeight="1">
      <c r="A4248" s="1">
        <v>5936.0</v>
      </c>
      <c r="B4248" s="1" t="s">
        <v>15</v>
      </c>
      <c r="C4248" s="1" t="s">
        <v>3697</v>
      </c>
      <c r="D4248" s="1" t="str">
        <f>IFERROR(__xludf.DUMMYFUNCTION("CONCATENATE(GOOGLETRANSLATE(C4248, ""en"", ""zh-cn""))"),"SMEG 冰箱 FAB28 复古风格")</f>
        <v>SMEG 冰箱 FAB28 复古风格</v>
      </c>
      <c r="E4248" s="1" t="str">
        <f>IFERROR(__xludf.DUMMYFUNCTION("CONCATENATE(GOOGLETRANSLATE(C4248, ""en"", ""ko""))"),"스메그 냉장고 FAB28 레트로 스타일")</f>
        <v>스메그 냉장고 FAB28 레트로 스타일</v>
      </c>
      <c r="F4248" s="1" t="str">
        <f>IFERROR(__xludf.DUMMYFUNCTION("CONCATENATE(GOOGLETRANSLATE(C4248, ""en"", ""ja""))"),"Smeg 冷蔵庫 FAB28 レトロスタイル")</f>
        <v>Smeg 冷蔵庫 FAB28 レトロスタイル</v>
      </c>
    </row>
    <row r="4249" ht="15.75" customHeight="1">
      <c r="A4249" s="1">
        <v>5946.0</v>
      </c>
      <c r="B4249" s="1" t="s">
        <v>15</v>
      </c>
      <c r="C4249" s="1" t="s">
        <v>3698</v>
      </c>
      <c r="D4249" s="1" t="str">
        <f>IFERROR(__xludf.DUMMYFUNCTION("CONCATENATE(GOOGLETRANSLATE(C4249, ""en"", ""zh-cn""))"),"漂亮的 6 Qt 可编程慢炖锅")</f>
        <v>漂亮的 6 Qt 可编程慢炖锅</v>
      </c>
      <c r="E4249" s="1" t="str">
        <f>IFERROR(__xludf.DUMMYFUNCTION("CONCATENATE(GOOGLETRANSLATE(C4249, ""en"", ""ko""))"),"아름다운 6Qt 프로그래밍 가능 슬로우 쿠커")</f>
        <v>아름다운 6Qt 프로그래밍 가능 슬로우 쿠커</v>
      </c>
      <c r="F4249" s="1" t="str">
        <f>IFERROR(__xludf.DUMMYFUNCTION("CONCATENATE(GOOGLETRANSLATE(C4249, ""en"", ""ja""))"),"美しい 6 クォートのプログラム可能なスロークッカー")</f>
        <v>美しい 6 クォートのプログラム可能なスロークッカー</v>
      </c>
    </row>
    <row r="4250" ht="15.75" customHeight="1">
      <c r="A4250" s="1">
        <v>5948.0</v>
      </c>
      <c r="B4250" s="1" t="s">
        <v>15</v>
      </c>
      <c r="C4250" s="1" t="s">
        <v>3699</v>
      </c>
      <c r="D4250" s="1" t="str">
        <f>IFERROR(__xludf.DUMMYFUNCTION("CONCATENATE(GOOGLETRANSLATE(C4250, ""en"", ""zh-cn""))"),"GE Profile 洗衣机/烘干机组合 PFQ97HSPVDS")</f>
        <v>GE Profile 洗衣机/烘干机组合 PFQ97HSPVDS</v>
      </c>
      <c r="E4250" s="1" t="str">
        <f>IFERROR(__xludf.DUMMYFUNCTION("CONCATENATE(GOOGLETRANSLATE(C4250, ""en"", ""ko""))"),"GE 프로필 세탁기/건조기 콤보 PFQ97HSPVDS")</f>
        <v>GE 프로필 세탁기/건조기 콤보 PFQ97HSPVDS</v>
      </c>
      <c r="F4250" s="1" t="str">
        <f>IFERROR(__xludf.DUMMYFUNCTION("CONCATENATE(GOOGLETRANSLATE(C4250, ""en"", ""ja""))"),"GE プロファイル洗濯機/乾燥機コンボ PFQ97HSPVDS")</f>
        <v>GE プロファイル洗濯機/乾燥機コンボ PFQ97HSPVDS</v>
      </c>
    </row>
    <row r="4251" ht="15.75" customHeight="1">
      <c r="A4251" s="1">
        <v>5966.0</v>
      </c>
      <c r="B4251" s="1" t="s">
        <v>15</v>
      </c>
      <c r="C4251" s="1" t="s">
        <v>3700</v>
      </c>
      <c r="D4251" s="1" t="str">
        <f>IFERROR(__xludf.DUMMYFUNCTION("CONCATENATE(GOOGLETRANSLATE(C4251, ""en"", ""zh-cn""))"),"完整的头发健康系统")</f>
        <v>完整的头发健康系统</v>
      </c>
      <c r="E4251" s="1" t="str">
        <f>IFERROR(__xludf.DUMMYFUNCTION("CONCATENATE(GOOGLETRANSLATE(C4251, ""en"", ""ko""))"),"완벽한 모발 건강 시스템")</f>
        <v>완벽한 모발 건강 시스템</v>
      </c>
      <c r="F4251" s="1" t="str">
        <f>IFERROR(__xludf.DUMMYFUNCTION("CONCATENATE(GOOGLETRANSLATE(C4251, ""en"", ""ja""))"),"完全な毛髪健康システム")</f>
        <v>完全な毛髪健康システム</v>
      </c>
    </row>
    <row r="4252" ht="15.75" customHeight="1">
      <c r="A4252" s="1">
        <v>5979.0</v>
      </c>
      <c r="B4252" s="1" t="s">
        <v>15</v>
      </c>
      <c r="C4252" s="1" t="s">
        <v>3701</v>
      </c>
      <c r="D4252" s="1" t="str">
        <f>IFERROR(__xludf.DUMMYFUNCTION("CONCATENATE(GOOGLETRANSLATE(C4252, ""en"", ""zh-cn""))"),"Solgar 皮肤 指甲 头发")</f>
        <v>Solgar 皮肤 指甲 头发</v>
      </c>
      <c r="E4252" s="1" t="str">
        <f>IFERROR(__xludf.DUMMYFUNCTION("CONCATENATE(GOOGLETRANSLATE(C4252, ""en"", ""ko""))"),"솔가 스킨 네일 헤어")</f>
        <v>솔가 스킨 네일 헤어</v>
      </c>
      <c r="F4252" s="1" t="str">
        <f>IFERROR(__xludf.DUMMYFUNCTION("CONCATENATE(GOOGLETRANSLATE(C4252, ""en"", ""ja""))"),"ソルガー スキン ネイル ヘア")</f>
        <v>ソルガー スキン ネイル ヘア</v>
      </c>
    </row>
    <row r="4253" ht="15.75" customHeight="1">
      <c r="A4253" s="1">
        <v>5980.0</v>
      </c>
      <c r="B4253" s="1" t="s">
        <v>15</v>
      </c>
      <c r="C4253" s="1" t="s">
        <v>3702</v>
      </c>
      <c r="D4253" s="1" t="str">
        <f>IFERROR(__xludf.DUMMYFUNCTION("CONCATENATE(GOOGLETRANSLATE(C4253, ""en"", ""zh-cn""))"),"Andrew Lessman 健康头发皮肤和指甲 5000 微克高生物活性生物素")</f>
        <v>Andrew Lessman 健康头发皮肤和指甲 5000 微克高生物活性生物素</v>
      </c>
      <c r="E4253" s="1" t="str">
        <f>IFERROR(__xludf.DUMMYFUNCTION("CONCATENATE(GOOGLETRANSLATE(C4253, ""en"", ""ko""))"),"Andrew Lessman 건강한 모발 피부 및 손톱 5000mcg 높은 생체 활성 비오틴")</f>
        <v>Andrew Lessman 건강한 모발 피부 및 손톱 5000mcg 높은 생체 활성 비오틴</v>
      </c>
      <c r="F4253" s="1" t="str">
        <f>IFERROR(__xludf.DUMMYFUNCTION("CONCATENATE(GOOGLETRANSLATE(C4253, ""en"", ""ja""))"),"アンドリュー・レスマン 健康な髪と肌と爪 5000 mcg 高生理活性ビオチン")</f>
        <v>アンドリュー・レスマン 健康な髪と肌と爪 5000 mcg 高生理活性ビオチン</v>
      </c>
    </row>
    <row r="4254" ht="15.75" customHeight="1">
      <c r="A4254" s="1">
        <v>5982.0</v>
      </c>
      <c r="B4254" s="1" t="s">
        <v>15</v>
      </c>
      <c r="C4254" s="1" t="s">
        <v>3703</v>
      </c>
      <c r="D4254" s="1" t="str">
        <f>IFERROR(__xludf.DUMMYFUNCTION("CONCATENATE(GOOGLETRANSLATE(C4254, ""en"", ""zh-cn""))"),"终极头发生长套装 - 头发生长、强韧、减少断裂 - 来自非洲的优质 Chebe 提取物")</f>
        <v>终极头发生长套装 - 头发生长、强韧、减少断裂 - 来自非洲的优质 Chebe 提取物</v>
      </c>
      <c r="E4254" s="1" t="str">
        <f>IFERROR(__xludf.DUMMYFUNCTION("CONCATENATE(GOOGLETRANSLATE(C4254, ""en"", ""ko""))"),"최고의 모발 성장 번들 - 모발 성장, 힘, 파손 감소 - 아프리카산 프리미엄 체베 추출물")</f>
        <v>최고의 모발 성장 번들 - 모발 성장, 힘, 파손 감소 - 아프리카산 프리미엄 체베 추출물</v>
      </c>
      <c r="F4254" s="1" t="str">
        <f>IFERROR(__xludf.DUMMYFUNCTION("CONCATENATE(GOOGLETRANSLATE(C4254, ""en"", ""ja""))"),"究極の育毛バンドル - 育毛、強度、切れ毛の軽減 - アフリカ産のプレミアムチェベエキス")</f>
        <v>究極の育毛バンドル - 育毛、強度、切れ毛の軽減 - アフリカ産のプレミアムチェベエキス</v>
      </c>
    </row>
    <row r="4255" ht="15.75" customHeight="1">
      <c r="A4255" s="1">
        <v>6007.0</v>
      </c>
      <c r="B4255" s="1" t="s">
        <v>15</v>
      </c>
      <c r="C4255" s="1" t="s">
        <v>3704</v>
      </c>
      <c r="D4255" s="1" t="str">
        <f>IFERROR(__xludf.DUMMYFUNCTION("CONCATENATE(GOOGLETRANSLATE(C4255, ""en"", ""zh-cn""))"),"瓦格纳头发、皮肤和指甲胶囊")</f>
        <v>瓦格纳头发、皮肤和指甲胶囊</v>
      </c>
      <c r="E4255" s="1" t="str">
        <f>IFERROR(__xludf.DUMMYFUNCTION("CONCATENATE(GOOGLETRANSLATE(C4255, ""en"", ""ko""))"),"바그너 헤어, 스킨 &amp; 네일 캡슐")</f>
        <v>바그너 헤어, 스킨 &amp; 네일 캡슐</v>
      </c>
      <c r="F4255" s="1" t="str">
        <f>IFERROR(__xludf.DUMMYFUNCTION("CONCATENATE(GOOGLETRANSLATE(C4255, ""en"", ""ja""))"),"ワグナー ヘア、スキン、ネイル カプセル")</f>
        <v>ワグナー ヘア、スキン、ネイル カプセル</v>
      </c>
    </row>
    <row r="4256" ht="15.75" customHeight="1">
      <c r="A4256" s="1">
        <v>6011.0</v>
      </c>
      <c r="B4256" s="1" t="s">
        <v>15</v>
      </c>
      <c r="C4256" s="1" t="s">
        <v>3705</v>
      </c>
      <c r="D4256" s="1" t="str">
        <f>IFERROR(__xludf.DUMMYFUNCTION("CONCATENATE(GOOGLETRANSLATE(C4256, ""en"", ""zh-cn""))"),"卡诗 Genesis 防脱发强化精华液")</f>
        <v>卡诗 Genesis 防脱发强化精华液</v>
      </c>
      <c r="E4256" s="1" t="str">
        <f>IFERROR(__xludf.DUMMYFUNCTION("CONCATENATE(GOOGLETRANSLATE(C4256, ""en"", ""ko""))"),"케라스타즈 제네시스 안티 헤어-폴 포티파잉 세럼")</f>
        <v>케라스타즈 제네시스 안티 헤어-폴 포티파잉 세럼</v>
      </c>
      <c r="F4256" s="1" t="str">
        <f>IFERROR(__xludf.DUMMYFUNCTION("CONCATENATE(GOOGLETRANSLATE(C4256, ""en"", ""ja""))"),"ケラスターゼ ジェネシス アンチ ヘアフォール フォーティファイング セラム")</f>
        <v>ケラスターゼ ジェネシス アンチ ヘアフォール フォーティファイング セラム</v>
      </c>
    </row>
    <row r="4257" ht="15.75" customHeight="1">
      <c r="A4257" s="1">
        <v>6014.0</v>
      </c>
      <c r="B4257" s="1" t="s">
        <v>15</v>
      </c>
      <c r="C4257" s="1" t="s">
        <v>3706</v>
      </c>
      <c r="D4257" s="1" t="str">
        <f>IFERROR(__xludf.DUMMYFUNCTION("CONCATENATE(GOOGLETRANSLATE(C4257, ""en"", ""zh-cn""))"),"生长炸弹头发和指甲增强剂 60 片")</f>
        <v>生长炸弹头发和指甲增强剂 60 片</v>
      </c>
      <c r="E4257" s="1" t="str">
        <f>IFERROR(__xludf.DUMMYFUNCTION("CONCATENATE(GOOGLETRANSLATE(C4257, ""en"", ""ko""))"),"성장 폭탄 헤어 &amp; 네일 부스터 60정")</f>
        <v>성장 폭탄 헤어 &amp; 네일 부스터 60정</v>
      </c>
      <c r="F4257" s="1" t="str">
        <f>IFERROR(__xludf.DUMMYFUNCTION("CONCATENATE(GOOGLETRANSLATE(C4257, ""en"", ""ja""))"),"グロースボム ヘア&amp;ネイルブースター 60粒")</f>
        <v>グロースボム ヘア&amp;ネイルブースター 60粒</v>
      </c>
    </row>
    <row r="4258" ht="15.75" customHeight="1">
      <c r="A4258" s="1">
        <v>6015.0</v>
      </c>
      <c r="B4258" s="1" t="s">
        <v>15</v>
      </c>
      <c r="C4258" s="1" t="s">
        <v>3707</v>
      </c>
      <c r="D4258" s="1" t="str">
        <f>IFERROR(__xludf.DUMMYFUNCTION("CONCATENATE(GOOGLETRANSLATE(C4258, ""en"", ""zh-cn""))"),"Bondi Boost 密集喷雾 125ml")</f>
        <v>Bondi Boost 密集喷雾 125ml</v>
      </c>
      <c r="E4258" s="1" t="str">
        <f>IFERROR(__xludf.DUMMYFUNCTION("CONCATENATE(GOOGLETRANSLATE(C4258, ""en"", ""ko""))"),"본다이 부스트 인텐시브 스프레이 125ml")</f>
        <v>본다이 부스트 인텐시브 스프레이 125ml</v>
      </c>
      <c r="F4258" s="1" t="str">
        <f>IFERROR(__xludf.DUMMYFUNCTION("CONCATENATE(GOOGLETRANSLATE(C4258, ""en"", ""ja""))"),"ボンダイ ブースト インテンシブ スプレー 125ml")</f>
        <v>ボンダイ ブースト インテンシブ スプレー 125ml</v>
      </c>
    </row>
    <row r="4259" ht="15.75" customHeight="1">
      <c r="A4259" s="1">
        <v>6038.0</v>
      </c>
      <c r="B4259" s="1" t="s">
        <v>15</v>
      </c>
      <c r="C4259" s="1" t="s">
        <v>1840</v>
      </c>
      <c r="D4259" s="1" t="str">
        <f>IFERROR(__xludf.DUMMYFUNCTION("CONCATENATE(GOOGLETRANSLATE(C4259, ""en"", ""zh-cn""))"),"Cuberspeed GAN 13 uv 涂层 MagLev 无贴纸 3x3 速度立方拼图 gan13 maglev uv 涂层旗舰拼图")</f>
        <v>Cuberspeed GAN 13 uv 涂层 MagLev 无贴纸 3x3 速度立方拼图 gan13 maglev uv 涂层旗舰拼图</v>
      </c>
      <c r="E4259" s="1" t="str">
        <f>IFERROR(__xludf.DUMMYFUNCTION("CONCATENATE(GOOGLETRANSLATE(C4259, ""en"", ""ko""))"),"Cuberspeed GAN 13 uv 코팅 MagLev 스티커가 없는 3x3 스피드 큐브 퍼즐 gan13 maglev uv 코팅 플래그십 퍼즐")</f>
        <v>Cuberspeed GAN 13 uv 코팅 MagLev 스티커가 없는 3x3 스피드 큐브 퍼즐 gan13 maglev uv 코팅 플래그십 퍼즐</v>
      </c>
      <c r="F4259" s="1" t="str">
        <f>IFERROR(__xludf.DUMMYFUNCTION("CONCATENATE(GOOGLETRANSLATE(C4259, ""en"", ""ja""))"),"Cuberspeed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4260" ht="15.75" customHeight="1">
      <c r="A4260" s="1">
        <v>6056.0</v>
      </c>
      <c r="B4260" s="1" t="s">
        <v>15</v>
      </c>
      <c r="C4260" s="1" t="s">
        <v>1853</v>
      </c>
      <c r="D4260" s="1" t="str">
        <f>IFERROR(__xludf.DUMMYFUNCTION("CONCATENATE(GOOGLETRANSLATE(C4260, ""en"", ""zh-cn""))"),"带金属腿和盖子的拼图桌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4260" s="1" t="str">
        <f>IFERROR(__xludf.DUMMYFUNCTION("CONCATENATE(GOOGLETRANSLATE(C4260, ""en"", ""ko""))"),"금속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4260" s="1" t="str">
        <f>IFERROR(__xludf.DUMMYFUNCTION("CONCATENATE(GOOGLETRANSLATE(C4260, ""en"", ""ja""))"),"金属製の脚とカバー付きパズルテーブル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4261" ht="15.75" customHeight="1">
      <c r="A4261" s="1">
        <v>6062.0</v>
      </c>
      <c r="B4261" s="1" t="s">
        <v>15</v>
      </c>
      <c r="C4261" s="1" t="s">
        <v>1849</v>
      </c>
      <c r="D4261" s="1" t="str">
        <f>IFERROR(__xludf.DUMMYFUNCTION("CONCATENATE(GOOGLETRANSLATE(C4261, ""en"", ""zh-cn""))"),"GAN 460 M， Gan 4x4 磁性速度魔方， gan 460 m 4 x 4 儿童和成人无贴纸拼图玩具")</f>
        <v>GAN 460 M， Gan 4x4 磁性速度魔方， gan 460 m 4 x 4 儿童和成人无贴纸拼图玩具</v>
      </c>
      <c r="E4261" s="1" t="str">
        <f>IFERROR(__xludf.DUMMYFUNCTION("CONCATENATE(GOOGLETRANSLATE(C4261, ""en"", ""ko""))"),"GAN 460 M, Gan 4x4 자기 속도 큐브, gan 460 m 4 by 4 어린이와 성인을 위한 스티커 없는 퍼즐 장난감")</f>
        <v>GAN 460 M, Gan 4x4 자기 속도 큐브, gan 460 m 4 by 4 어린이와 성인을 위한 스티커 없는 퍼즐 장난감</v>
      </c>
      <c r="F4261" s="1" t="str">
        <f>IFERROR(__xludf.DUMMYFUNCTION("CONCATENATE(GOOGLETRANSLATE(C4261, ""en"", ""ja""))"),"GAN 460 M、Gan 4x4 磁気スピードキューブ、GAN 460 m 4 by 4 ステッカーレスパズルおもちゃ子供と大人向け")</f>
        <v>GAN 460 M、Gan 4x4 磁気スピードキューブ、GAN 460 m 4 by 4 ステッカーレスパズルおもちゃ子供と大人向け</v>
      </c>
    </row>
    <row r="4262" ht="15.75" customHeight="1">
      <c r="A4262" s="1">
        <v>6071.0</v>
      </c>
      <c r="B4262" s="1" t="s">
        <v>15</v>
      </c>
      <c r="C4262" s="1" t="s">
        <v>2327</v>
      </c>
      <c r="D4262" s="1" t="str">
        <f>IFERROR(__xludf.DUMMYFUNCTION("CONCATENATE(GOOGLETRANSLATE(C4262, ""en"", ""zh-cn""))"),"GAN 356 i 3 无贴纸速度魔方，3x3 智能魔方 356 i3 甘斯磁力魔方智能跟踪计时运动步骤与 CubeStation 应用程序甘魔方拼图玩具（不含 GAN 机器人）")</f>
        <v>GAN 356 i 3 无贴纸速度魔方，3x3 智能魔方 356 i3 甘斯磁力魔方智能跟踪计时运动步骤与 CubeStation 应用程序甘魔方拼图玩具（不含 GAN 机器人）</v>
      </c>
      <c r="E4262" s="1" t="str">
        <f>IFERROR(__xludf.DUMMYFUNCTION("CONCATENATE(GOOGLETRANSLATE(C4262, ""en"", ""ko""))"),"GAN 356 i 3 스티커 없는 스피드 큐브, 3x3 스마트 큐브 356 i3 Gans 마그네틱 큐브 CubeStation 앱을 사용한 지능형 추적 타이밍 동작 단계 Gan 큐브 퍼즐 장난감(GAN 로봇은 포함되지 않음)")</f>
        <v>GAN 356 i 3 스티커 없는 스피드 큐브, 3x3 스마트 큐브 356 i3 Gans 마그네틱 큐브 CubeStation 앱을 사용한 지능형 추적 타이밍 동작 단계 Gan 큐브 퍼즐 장난감(GAN 로봇은 포함되지 않음)</v>
      </c>
      <c r="F4262" s="1" t="str">
        <f>IFERROR(__xludf.DUMMYFUNCTION("CONCATENATE(GOOGLETRANSLATE(C4262, ""en"", ""ja""))"),"GAN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f>
        <v>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v>
      </c>
    </row>
    <row r="4263" ht="15.75" customHeight="1">
      <c r="A4263" s="1">
        <v>6073.0</v>
      </c>
      <c r="B4263" s="1" t="s">
        <v>15</v>
      </c>
      <c r="C4263" s="1" t="s">
        <v>1909</v>
      </c>
      <c r="D4263" s="1" t="str">
        <f>IFERROR(__xludf.DUMMYFUNCTION("CONCATENATE(GOOGLETRANSLATE(C4263, ""en"", ""zh-cn""))"),"YOGABODY 瑜伽吊架，室内外使用")</f>
        <v>YOGABODY 瑜伽吊架，室内外使用</v>
      </c>
      <c r="E4263" s="1" t="str">
        <f>IFERROR(__xludf.DUMMYFUNCTION("CONCATENATE(GOOGLETRANSLATE(C4263, ""en"", ""ko""))"),"YOGABODY 요가 공중 그네 스탠드, 실내 및 실외 사용")</f>
        <v>YOGABODY 요가 공중 그네 스탠드, 실내 및 실외 사용</v>
      </c>
      <c r="F4263" s="1" t="str">
        <f>IFERROR(__xludf.DUMMYFUNCTION("CONCATENATE(GOOGLETRANSLATE(C4263, ""en"", ""ja""))"),"YOGABODY ヨガ空中ブランコスタンド、屋内および屋外で使用可能")</f>
        <v>YOGABODY ヨガ空中ブランコスタンド、屋内および屋外で使用可能</v>
      </c>
    </row>
    <row r="4264" ht="15.75" customHeight="1">
      <c r="A4264" s="1">
        <v>6084.0</v>
      </c>
      <c r="B4264" s="1" t="s">
        <v>15</v>
      </c>
      <c r="C4264" s="1" t="s">
        <v>3267</v>
      </c>
      <c r="D4264" s="1" t="str">
        <f>IFERROR(__xludf.DUMMYFUNCTION("CONCATENATE(GOOGLETRANSLATE(C4264, ""en"", ""zh-cn""))"),"罗林斯| HEART OF THE HIDE 棒球手套 |传统的闯入|多种风格")</f>
        <v>罗林斯| HEART OF THE HIDE 棒球手套 |传统的闯入|多种风格</v>
      </c>
      <c r="E4264" s="1" t="str">
        <f>IFERROR(__xludf.DUMMYFUNCTION("CONCATENATE(GOOGLETRANSLATE(C4264, ""en"", ""ko""))"),"롤링스 | 숨은 야구 글러브의 심장 | 전통적인 침입 | 다양한 스타일")</f>
        <v>롤링스 | 숨은 야구 글러브의 심장 | 전통적인 침입 | 다양한 스타일</v>
      </c>
      <c r="F4264" s="1" t="str">
        <f>IFERROR(__xludf.DUMMYFUNCTION("CONCATENATE(GOOGLETRANSLATE(C4264, ""en"", ""ja""))"),"ローリングス | HEART OF THE HIDE 野球グローブ |従来の慣らし運転 |複数のスタイル")</f>
        <v>ローリングス | HEART OF THE HIDE 野球グローブ |従来の慣らし運転 |複数のスタイル</v>
      </c>
    </row>
    <row r="4265" ht="15.75" customHeight="1">
      <c r="A4265" s="1">
        <v>6086.0</v>
      </c>
      <c r="B4265" s="1" t="s">
        <v>15</v>
      </c>
      <c r="C4265" s="1" t="s">
        <v>2319</v>
      </c>
      <c r="D4265" s="1" t="str">
        <f>IFERROR(__xludf.DUMMYFUNCTION("CONCATENATE(GOOGLETRANSLATE(C4265, ""en"", ""zh-cn""))"),"Giro 男士公路自行车鞋， 33 EU")</f>
        <v>Giro 男士公路自行车鞋， 33 EU</v>
      </c>
      <c r="E4265" s="1" t="str">
        <f>IFERROR(__xludf.DUMMYFUNCTION("CONCATENATE(GOOGLETRANSLATE(C4265, ""en"", ""ko""))"),"Giro 남성용 로드 자전거 신발, 33 EU")</f>
        <v>Giro 남성용 로드 자전거 신발, 33 EU</v>
      </c>
      <c r="F4265" s="1" t="str">
        <f>IFERROR(__xludf.DUMMYFUNCTION("CONCATENATE(GOOGLETRANSLATE(C4265, ""en"", ""ja""))"),"Giro メンズ ロードバイク シューズ、33 EU")</f>
        <v>Giro メンズ ロードバイク シューズ、33 EU</v>
      </c>
    </row>
    <row r="4266" ht="15.75" customHeight="1">
      <c r="A4266" s="1">
        <v>6103.0</v>
      </c>
      <c r="B4266" s="1" t="s">
        <v>15</v>
      </c>
      <c r="C4266" s="1" t="s">
        <v>1839</v>
      </c>
      <c r="D4266" s="1" t="str">
        <f>IFERROR(__xludf.DUMMYFUNCTION("CONCATENATE(GOOGLETRANSLATE(C4266, ""en"", ""zh-cn""))"),"GAN 13 磁悬浮 UV 涂层，磁性速度魔方 3x3 无贴纸 56 毫米磁铁魔方拼图玩具，GAN 2022 旗舰")</f>
        <v>GAN 13 磁悬浮 UV 涂层，磁性速度魔方 3x3 无贴纸 56 毫米磁铁魔方拼图玩具，GAN 2022 旗舰</v>
      </c>
      <c r="E4266" s="1" t="str">
        <f>IFERROR(__xludf.DUMMYFUNCTION("CONCATENATE(GOOGLETRANSLATE(C4266, ""en"", ""ko""))"),"GAN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4266" s="1" t="str">
        <f>IFERROR(__xludf.DUMMYFUNCTION("CONCATENATE(GOOGLETRANSLATE(C4266, ""en"", ""ja""))"),"GAN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4267" ht="15.75" customHeight="1">
      <c r="A4267" s="1">
        <v>6104.0</v>
      </c>
      <c r="B4267" s="1" t="s">
        <v>15</v>
      </c>
      <c r="C4267" s="1" t="s">
        <v>1861</v>
      </c>
      <c r="D4267" s="1" t="str">
        <f>IFERROR(__xludf.DUMMYFUNCTION("CONCATENATE(GOOGLETRANSLATE(C4267, ""en"", ""zh-cn""))"),"博克芬诺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4267" s="1" t="str">
        <f>IFERROR(__xludf.DUMMYFUNCTION("CONCATENATE(GOOGLETRANSLATE(C4267, ""en"", ""ko""))"),"Bokefenuo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4267" s="1" t="str">
        <f>IFERROR(__xludf.DUMMYFUNCTION("CONCATENATE(GOOGLETRANSLATE(C4267, ""en"", ""ja""))"),"Bokefenuo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4268" ht="15.75" customHeight="1">
      <c r="A4268" s="1">
        <v>6107.0</v>
      </c>
      <c r="B4268" s="1" t="s">
        <v>15</v>
      </c>
      <c r="C4268" s="1" t="s">
        <v>1845</v>
      </c>
      <c r="D4268" s="1" t="str">
        <f>IFERROR(__xludf.DUMMYFUNCTION("CONCATENATE(GOOGLETRANSLATE(C4268, ""en"", ""zh-cn""))"),"LiangCuber GAN 13磁悬浮旗舰磁力3x3无贴纸GAN13 M速度魔方（磨砂版）")</f>
        <v>LiangCuber GAN 13磁悬浮旗舰磁力3x3无贴纸GAN13 M速度魔方（磨砂版）</v>
      </c>
      <c r="E4268" s="1" t="str">
        <f>IFERROR(__xludf.DUMMYFUNCTION("CONCATENATE(GOOGLETRANSLATE(C4268, ""en"", ""ko""))"),"LiangCuber GAN 13 자기 부상 플래그십 마그네틱 3x3 스티커 없는 GAN13 M 스피드 큐브(반투명 버전)")</f>
        <v>LiangCuber GAN 13 자기 부상 플래그십 마그네틱 3x3 스티커 없는 GAN13 M 스피드 큐브(반투명 버전)</v>
      </c>
      <c r="F4268" s="1" t="str">
        <f>IFERROR(__xludf.DUMMYFUNCTION("CONCATENATE(GOOGLETRANSLATE(C4268, ""en"", ""ja""))"),"LiangCuber GAN 13 マグレブ旗艦 磁気 3x3 ステッカーレス GAN13 M スピード キューブ (つや消しバージョン)")</f>
        <v>LiangCuber GAN 13 マグレブ旗艦 磁気 3x3 ステッカーレス GAN13 M スピード キューブ (つや消しバージョン)</v>
      </c>
    </row>
    <row r="4269" ht="15.75" customHeight="1">
      <c r="A4269" s="1">
        <v>6108.0</v>
      </c>
      <c r="B4269" s="1" t="s">
        <v>15</v>
      </c>
      <c r="C4269" s="1" t="s">
        <v>1847</v>
      </c>
      <c r="D4269" s="1" t="str">
        <f>IFERROR(__xludf.DUMMYFUNCTION("CONCATENATE(GOOGLETRANSLATE(C4269, ""en"", ""zh-cn""))"),"Bukefuno GAN 12 Maglev 3x3 磁性魔方 GAN12Maglev Speed GAN 12Maglev 拼图魔方 GAN12 Maglev 3x3 魔方（磨砂表面无贴纸）")</f>
        <v>Bukefuno GAN 12 Maglev 3x3 磁性魔方 GAN12Maglev Speed GAN 12Maglev 拼图魔方 GAN12 Maglev 3x3 魔方（磨砂表面无贴纸）</v>
      </c>
      <c r="E4269" s="1" t="str">
        <f>IFERROR(__xludf.DUMMYFUNCTION("CONCATENATE(GOOGLETRANSLATE(C4269, ""en"", ""ko""))"),"Bukefuno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4269" s="1" t="str">
        <f>IFERROR(__xludf.DUMMYFUNCTION("CONCATENATE(GOOGLETRANSLATE(C4269, ""en"", ""ja""))"),"Bukefuno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4270" ht="15.75" customHeight="1">
      <c r="A4270" s="1">
        <v>6114.0</v>
      </c>
      <c r="B4270" s="1" t="s">
        <v>15</v>
      </c>
      <c r="C4270" s="1" t="s">
        <v>1649</v>
      </c>
      <c r="D4270" s="1" t="str">
        <f>IFERROR(__xludf.DUMMYFUNCTION("CONCATENATE(GOOGLETRANSLATE(C4270, ""en"", ""zh-cn""))"),"GAN 机器人，魔方解谜机自动解谜器和解谜器，兼容 GAN 356i2 i3 iplay iCarry Speed Cubes（不含魔方）和最新版本 APP")</f>
        <v>GAN 机器人，魔方解谜机自动解谜器和解谜器，兼容 GAN 356i2 i3 iplay iCarry Speed Cubes（不含魔方）和最新版本 APP</v>
      </c>
      <c r="E4270" s="1" t="str">
        <f>IFERROR(__xludf.DUMMYFUNCTION("CONCATENATE(GOOGLETRANSLATE(C4270, ""en"", ""ko""))"),"GAN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4270" s="1" t="str">
        <f>IFERROR(__xludf.DUMMYFUNCTION("CONCATENATE(GOOGLETRANSLATE(C4270, ""en"", ""ja""))"),"GAN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4271" ht="15.75" customHeight="1">
      <c r="A4271" s="1">
        <v>6123.0</v>
      </c>
      <c r="B4271" s="1" t="s">
        <v>15</v>
      </c>
      <c r="C4271" s="1" t="s">
        <v>1904</v>
      </c>
      <c r="D4271" s="1" t="str">
        <f>IFERROR(__xludf.DUMMYFUNCTION("CONCATENATE(GOOGLETRANSLATE(C4271, ""en"", ""zh-cn""))"),"美国 Pride 家具瑜伽系列现代人造皮革弧形躺椅，适合伸展和放松，非常适合卧室、客厅、冥想室或办公室，常规，黑巧克力色")</f>
        <v>美国 Pride 家具瑜伽系列现代人造皮革弧形躺椅，适合伸展和放松，非常适合卧室、客厅、冥想室或办公室，常规，黑巧克力色</v>
      </c>
      <c r="E4271" s="1" t="str">
        <f>IFERROR(__xludf.DUMMYFUNCTION("CONCATENATE(GOOGLETRANSLATE(C4271, ""en"", ""ko""))"),"US Pride Furniture Yoga Collection 스트레칭과 휴식을 위한 현대적인 인조 가죽 곡선 라운지 의자, 침실, 거실, 명상실 또는 사무실, 일반, 다크 초콜릿에 이상적")</f>
        <v>US Pride Furniture Yoga Collection 스트레칭과 휴식을 위한 현대적인 인조 가죽 곡선 라운지 의자, 침실, 거실, 명상실 또는 사무실, 일반, 다크 초콜릿에 이상적</v>
      </c>
      <c r="F4271" s="1" t="str">
        <f>IFERROR(__xludf.DUMMYFUNCTION("CONCATENATE(GOOGLETRANSLATE(C4271, ""en"", ""ja""))"),"USプライドファニチャーヨガコレクション ストレッチとリラクゼーションのためのモダンなフェイクレザーの湾曲したラウンジ長椅子、寝室、リビング、瞑想室またはオフィスに最適、レギュラー、ダークチョコレート")</f>
        <v>USプライドファニチャーヨガコレクション ストレッチとリラクゼーションのためのモダンなフェイクレザーの湾曲したラウンジ長椅子、寝室、リビング、瞑想室またはオフィスに最適、レギュラー、ダークチョコレート</v>
      </c>
    </row>
    <row r="4272" ht="15.75" customHeight="1">
      <c r="A4272" s="1">
        <v>6140.0</v>
      </c>
      <c r="B4272" s="1" t="s">
        <v>15</v>
      </c>
      <c r="C4272" s="1" t="s">
        <v>2372</v>
      </c>
      <c r="D4272" s="1" t="str">
        <f>IFERROR(__xludf.DUMMYFUNCTION("CONCATENATE(GOOGLETRANSLATE(C4272, ""en"", ""zh-cn""))"),"Devoko 5 件套露台家具套装全天候户外组合沙发手动编织柳条藤条露台谈话套装带垫子和玻璃桌（米色）")</f>
        <v>Devoko 5 件套露台家具套装全天候户外组合沙发手动编织柳条藤条露台谈话套装带垫子和玻璃桌（米色）</v>
      </c>
      <c r="E4272" s="1" t="str">
        <f>IFERROR(__xludf.DUMMYFUNCTION("CONCATENATE(GOOGLETRANSLATE(C4272, ""en"", ""ko""))"),"Devoko 5 조각 파티오 가구 세트 전천후 야외 단면 소파 수동 직조 고리 버들 등나무 파티오 대화 세트 쿠션과 유리 테이블 (베이지 색)")</f>
        <v>Devoko 5 조각 파티오 가구 세트 전천후 야외 단면 소파 수동 직조 고리 버들 등나무 파티오 대화 세트 쿠션과 유리 테이블 (베이지 색)</v>
      </c>
      <c r="F4272" s="1" t="str">
        <f>IFERROR(__xludf.DUMMYFUNCTION("CONCATENATE(GOOGLETRANSLATE(C4272, ""en"", ""ja""))"),"Devoko パティオ家具 5 点セット 全天候型 屋外 セクショナルソファ 手動織り 籐ラタン パティオ会話セット クッションとガラステーブル付き (ベージュ)")</f>
        <v>Devoko パティオ家具 5 点セット 全天候型 屋外 セクショナルソファ 手動織り 籐ラタン パティオ会話セット クッションとガラステーブル付き (ベージュ)</v>
      </c>
    </row>
    <row r="4273" ht="15.75" customHeight="1">
      <c r="A4273" s="1">
        <v>6154.0</v>
      </c>
      <c r="B4273" s="1" t="s">
        <v>15</v>
      </c>
      <c r="C4273" s="1" t="s">
        <v>1906</v>
      </c>
      <c r="D4273" s="1" t="str">
        <f>IFERROR(__xludf.DUMMYFUNCTION("CONCATENATE(GOOGLETRANSLATE(C4273, ""en"", ""zh-cn""))"),"Igloo 54 夸脱钢带传统不锈钢冷却器带开瓶器")</f>
        <v>Igloo 54 夸脱钢带传统不锈钢冷却器带开瓶器</v>
      </c>
      <c r="E4273" s="1" t="str">
        <f>IFERROR(__xludf.DUMMYFUNCTION("CONCATENATE(GOOGLETRANSLATE(C4273, ""en"", ""ko""))"),"이글루 54 Qt 스틸 벨티드 레거시 스테인리스 스틸 쿨러(병따개 포함)")</f>
        <v>이글루 54 Qt 스틸 벨티드 레거시 스테인리스 스틸 쿨러(병따개 포함)</v>
      </c>
      <c r="F4273" s="1" t="str">
        <f>IFERROR(__xludf.DUMMYFUNCTION("CONCATENATE(GOOGLETRANSLATE(C4273, ""en"", ""ja""))"),"Igloo 54 Qt スチールベルト付きレガシーステンレススチールクーラー ボトルオープナー付き")</f>
        <v>Igloo 54 Qt スチールベルト付きレガシーステンレススチールクーラー ボトルオープナー付き</v>
      </c>
    </row>
    <row r="4274" ht="15.75" customHeight="1">
      <c r="A4274" s="1">
        <v>6156.0</v>
      </c>
      <c r="B4274" s="1" t="s">
        <v>15</v>
      </c>
      <c r="C4274" s="1" t="s">
        <v>2793</v>
      </c>
      <c r="D4274" s="1" t="str">
        <f>IFERROR(__xludf.DUMMYFUNCTION("CONCATENATE(GOOGLETRANSLATE(C4274, ""en"", ""zh-cn""))"),"环意计划，男鞋")</f>
        <v>环意计划，男鞋</v>
      </c>
      <c r="E4274" s="1" t="str">
        <f>IFERROR(__xludf.DUMMYFUNCTION("CONCATENATE(GOOGLETRANSLATE(C4274, ""en"", ""ko""))"),"Giro Scheme, 남성 신발")</f>
        <v>Giro Scheme, 남성 신발</v>
      </c>
      <c r="F4274" s="1" t="str">
        <f>IFERROR(__xludf.DUMMYFUNCTION("CONCATENATE(GOOGLETRANSLATE(C4274, ""en"", ""ja""))"),"ジロスキーム、メンズシューズ")</f>
        <v>ジロスキーム、メンズシューズ</v>
      </c>
    </row>
    <row r="4275" ht="15.75" customHeight="1">
      <c r="A4275" s="1">
        <v>6171.0</v>
      </c>
      <c r="B4275" s="1" t="s">
        <v>15</v>
      </c>
      <c r="C4275" s="1" t="s">
        <v>1827</v>
      </c>
      <c r="D4275" s="1" t="str">
        <f>IFERROR(__xludf.DUMMYFUNCTION("CONCATENATE(GOOGLETRANSLATE(C4275, ""en"", ""zh-cn""))"),"宁神茶丸 甘麦大枣丸 (1000 茶丸)3383E-MAYWAY by Mayway")</f>
        <v>宁神茶丸 甘麦大枣丸 (1000 茶丸)3383E-MAYWAY by Mayway</v>
      </c>
      <c r="E4275" s="1" t="str">
        <f>IFERROR(__xludf.DUMMYFUNCTION("CONCATENATE(GOOGLETRANSLATE(C4275, ""en"", ""ko""))"),"Calm Spirit Teapills Gan Mai Da Zao Wan (1000 티필)3383E-MAYWAY by Mayway")</f>
        <v>Calm Spirit Teapills Gan Mai Da Zao Wan (1000 티필)3383E-MAYWAY by Mayway</v>
      </c>
      <c r="F4275" s="1" t="str">
        <f>IFERROR(__xludf.DUMMYFUNCTION("CONCATENATE(GOOGLETRANSLATE(C4275, ""en"", ""ja""))"),"Calm Spirit Teapills Gan Mai Da Zao Wan (1000 Teapills)3383E-MAYWAY by Mayway")</f>
        <v>Calm Spirit Teapills Gan Mai Da Zao Wan (1000 Teapills)3383E-MAYWAY by Mayway</v>
      </c>
    </row>
    <row r="4276" ht="15.75" customHeight="1">
      <c r="A4276" s="1">
        <v>6183.0</v>
      </c>
      <c r="B4276" s="1" t="s">
        <v>15</v>
      </c>
      <c r="C4276" s="1" t="s">
        <v>1853</v>
      </c>
      <c r="D4276" s="1" t="str">
        <f>IFERROR(__xludf.DUMMYFUNCTION("CONCATENATE(GOOGLETRANSLATE(C4276, ""en"", ""zh-cn""))"),"带金属腿和盖子的拼图桌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4276" s="1" t="str">
        <f>IFERROR(__xludf.DUMMYFUNCTION("CONCATENATE(GOOGLETRANSLATE(C4276, ""en"", ""ko""))"),"금속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4276" s="1" t="str">
        <f>IFERROR(__xludf.DUMMYFUNCTION("CONCATENATE(GOOGLETRANSLATE(C4276, ""en"", ""ja""))"),"金属製の脚とカバー付きパズルテーブル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4277" ht="15.75" customHeight="1">
      <c r="A4277" s="1">
        <v>6203.0</v>
      </c>
      <c r="B4277" s="1" t="s">
        <v>15</v>
      </c>
      <c r="C4277" s="1" t="s">
        <v>2372</v>
      </c>
      <c r="D4277" s="1" t="str">
        <f>IFERROR(__xludf.DUMMYFUNCTION("CONCATENATE(GOOGLETRANSLATE(C4277, ""en"", ""zh-cn""))"),"Devoko 5 件套露台家具套装全天候户外组合沙发手动编织柳条藤条露台谈话套装带垫子和玻璃桌（米色）")</f>
        <v>Devoko 5 件套露台家具套装全天候户外组合沙发手动编织柳条藤条露台谈话套装带垫子和玻璃桌（米色）</v>
      </c>
      <c r="E4277" s="1" t="str">
        <f>IFERROR(__xludf.DUMMYFUNCTION("CONCATENATE(GOOGLETRANSLATE(C4277, ""en"", ""ko""))"),"Devoko 5 조각 파티오 가구 세트 전천후 야외 단면 소파 수동 직조 고리 버들 등나무 파티오 대화 세트 쿠션과 유리 테이블 (베이지 색)")</f>
        <v>Devoko 5 조각 파티오 가구 세트 전천후 야외 단면 소파 수동 직조 고리 버들 등나무 파티오 대화 세트 쿠션과 유리 테이블 (베이지 색)</v>
      </c>
      <c r="F4277" s="1" t="str">
        <f>IFERROR(__xludf.DUMMYFUNCTION("CONCATENATE(GOOGLETRANSLATE(C4277, ""en"", ""ja""))"),"Devoko パティオ家具 5 点セット 全天候型 屋外 セクショナルソファ 手動織り 籐ラタン パティオ会話セット クッションとガラステーブル付き (ベージュ)")</f>
        <v>Devoko パティオ家具 5 点セット 全天候型 屋外 セクショナルソファ 手動織り 籐ラタン パティオ会話セット クッションとガラステーブル付き (ベージュ)</v>
      </c>
    </row>
    <row r="4278" ht="15.75" customHeight="1">
      <c r="A4278" s="1">
        <v>6226.0</v>
      </c>
      <c r="B4278" s="1" t="s">
        <v>15</v>
      </c>
      <c r="C4278" s="1" t="s">
        <v>1826</v>
      </c>
      <c r="D4278" s="1" t="str">
        <f>IFERROR(__xludf.DUMMYFUNCTION("CONCATENATE(GOOGLETRANSLATE(C4278, ""en"", ""zh-cn""))"),"GAN 460 M 速度魔方， 4x4 磁性魔方 Gans 460M 拼图玩具（无贴纸）")</f>
        <v>GAN 460 M 速度魔方， 4x4 磁性魔方 Gans 460M 拼图玩具（无贴纸）</v>
      </c>
      <c r="E4278" s="1" t="str">
        <f>IFERROR(__xludf.DUMMYFUNCTION("CONCATENATE(GOOGLETRANSLATE(C4278, ""en"", ""ko""))"),"GAN 460 M 스피드 큐브, 4x4 마그네틱 마스터 큐브 Gans 460M 퍼즐 장난감(스티커 없음)")</f>
        <v>GAN 460 M 스피드 큐브, 4x4 마그네틱 마스터 큐브 Gans 460M 퍼즐 장난감(스티커 없음)</v>
      </c>
      <c r="F4278" s="1" t="str">
        <f>IFERROR(__xludf.DUMMYFUNCTION("CONCATENATE(GOOGLETRANSLATE(C4278, ""en"", ""ja""))"),"GAN 460 M スピード キューブ、4x4 磁気マスター キューブ Gans 460M パズルおもちゃ (ステッカーなし)")</f>
        <v>GAN 460 M スピード キューブ、4x4 磁気マスター キューブ Gans 460M パズルおもちゃ (ステッカーなし)</v>
      </c>
    </row>
    <row r="4279" ht="15.75" customHeight="1">
      <c r="A4279" s="1">
        <v>6232.0</v>
      </c>
      <c r="B4279" s="1" t="s">
        <v>15</v>
      </c>
      <c r="C4279" s="1" t="s">
        <v>1839</v>
      </c>
      <c r="D4279" s="1" t="str">
        <f>IFERROR(__xludf.DUMMYFUNCTION("CONCATENATE(GOOGLETRANSLATE(C4279, ""en"", ""zh-cn""))"),"GAN 13 磁悬浮 UV 涂层，磁性速度魔方 3x3 无贴纸 56 毫米磁铁魔方拼图玩具，GAN 2022 旗舰")</f>
        <v>GAN 13 磁悬浮 UV 涂层，磁性速度魔方 3x3 无贴纸 56 毫米磁铁魔方拼图玩具，GAN 2022 旗舰</v>
      </c>
      <c r="E4279" s="1" t="str">
        <f>IFERROR(__xludf.DUMMYFUNCTION("CONCATENATE(GOOGLETRANSLATE(C4279, ""en"", ""ko""))"),"GAN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4279" s="1" t="str">
        <f>IFERROR(__xludf.DUMMYFUNCTION("CONCATENATE(GOOGLETRANSLATE(C4279, ""en"", ""ja""))"),"GAN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4280" ht="15.75" customHeight="1">
      <c r="A4280" s="1">
        <v>6240.0</v>
      </c>
      <c r="B4280" s="1" t="s">
        <v>15</v>
      </c>
      <c r="C4280" s="1" t="s">
        <v>2791</v>
      </c>
      <c r="D4280" s="1" t="str">
        <f>IFERROR(__xludf.DUMMYFUNCTION("CONCATENATE(GOOGLETRANSLATE(C4280, ""en"", ""zh-cn""))"),"罗林斯| HEART OF THE HIDE 棒球手套 |轻量级 HYPERSHELL 和 SPEEDSHELL 型号 |多种风格")</f>
        <v>罗林斯| HEART OF THE HIDE 棒球手套 |轻量级 HYPERSHELL 和 SPEEDSHELL 型号 |多种风格</v>
      </c>
      <c r="E4280" s="1" t="str">
        <f>IFERROR(__xludf.DUMMYFUNCTION("CONCATENATE(GOOGLETRANSLATE(C4280, ""en"", ""ko""))"),"롤링스 | 숨은 야구 글러브의 심장 | 경량 HYPERSHELL 및 SPEEDSHELL 모델 | 다양한 스타일")</f>
        <v>롤링스 | 숨은 야구 글러브의 심장 | 경량 HYPERSHELL 및 SPEEDSHELL 모델 | 다양한 스타일</v>
      </c>
      <c r="F4280" s="1" t="str">
        <f>IFERROR(__xludf.DUMMYFUNCTION("CONCATENATE(GOOGLETRANSLATE(C4280, ""en"", ""ja""))"),"ローリングス | HEART OF THE HIDE 野球グローブ |軽量HYPERSHELL &amp; SPEEDSHELLモデル |複数のスタイル")</f>
        <v>ローリングス | HEART OF THE HIDE 野球グローブ |軽量HYPERSHELL &amp; SPEEDSHELLモデル |複数のスタイル</v>
      </c>
    </row>
    <row r="4281" ht="15.75" customHeight="1">
      <c r="A4281" s="1">
        <v>6241.0</v>
      </c>
      <c r="B4281" s="1" t="s">
        <v>15</v>
      </c>
      <c r="C4281" s="1" t="s">
        <v>1911</v>
      </c>
      <c r="D4281" s="1" t="str">
        <f>IFERROR(__xludf.DUMMYFUNCTION("CONCATENATE(GOOGLETRANSLATE(C4281, ""en"", ""zh-cn""))"),"Alvantor 弹出式泡泡帐篷 - 6' x 6' 即时冰屋帐篷 - 2-3 人露台屏风屋 - 大型超大防风雨吊舱 - 防寒露营帐篷 - 米色")</f>
        <v>Alvantor 弹出式泡泡帐篷 - 6' x 6' 即时冰屋帐篷 - 2-3 人露台屏风屋 - 大型超大防风雨吊舱 - 防寒露营帐篷 - 米色</v>
      </c>
      <c r="E4281" s="1" t="str">
        <f>IFERROR(__xludf.DUMMYFUNCTION("CONCATENATE(GOOGLETRANSLATE(C4281, ""en"", ""ko""))"),"Alvantor 팝업 버블 텐트 - 6' x 6' 인스턴트 이글루 텐트 - 파티오용 2-3인용 스크린 하우스 - 대형 특대 전천후 포드 - 방한 캠핑 텐트 - 베이지")</f>
        <v>Alvantor 팝업 버블 텐트 - 6' x 6' 인스턴트 이글루 텐트 - 파티오용 2-3인용 스크린 하우스 - 대형 특대 전천후 포드 - 방한 캠핑 텐트 - 베이지</v>
      </c>
      <c r="F4281" s="1" t="str">
        <f>IFERROR(__xludf.DUMMYFUNCTION("CONCATENATE(GOOGLETRANSLATE(C4281, ""en"", ""ja""))"),"Alvantor ポップアップバブルテント - 6フィート x 6フィート インスタントイグルーテント - パティオ用2～3人用スクリーンハウス - 大型特大耐候性ポッド - 防寒キャンプテント - ベージュ")</f>
        <v>Alvantor ポップアップバブルテント - 6フィート x 6フィート インスタントイグルーテント - パティオ用2～3人用スクリーンハウス - 大型特大耐候性ポッド - 防寒キャンプテント - ベージュ</v>
      </c>
    </row>
    <row r="4282" ht="15.75" customHeight="1">
      <c r="A4282" s="1">
        <v>6248.0</v>
      </c>
      <c r="B4282" s="1" t="s">
        <v>15</v>
      </c>
      <c r="C4282" s="1" t="s">
        <v>1857</v>
      </c>
      <c r="D4282" s="1" t="str">
        <f>IFERROR(__xludf.DUMMYFUNCTION("CONCATENATE(GOOGLETRANSLATE(C4282, ""en"", ""zh-cn""))"),"Alexia 冥想座椅符合人体工程学，适合人体生理学禅宗瑜伽人体工学椅子泡沫垫家庭或办公室（浅灰色 - 纯素皮革）")</f>
        <v>Alexia 冥想座椅符合人体工程学，适合人体生理学禅宗瑜伽人体工学椅子泡沫垫家庭或办公室（浅灰色 - 纯素皮革）</v>
      </c>
      <c r="E4282" s="1" t="str">
        <f>IFERROR(__xludf.DUMMYFUNCTION("CONCATENATE(GOOGLETRANSLATE(C4282, ""en"", ""ko""))"),"Alexia 명상 시트 인체 생리학에 인체 공학적으로 올바른 Zen Yoga 인체 공학적 의자 폼 쿠션 가정 또는 사무실 (밝은 회색 - 비건 가죽)")</f>
        <v>Alexia 명상 시트 인체 생리학에 인체 공학적으로 올바른 Zen Yoga 인체 공학적 의자 폼 쿠션 가정 또는 사무실 (밝은 회색 - 비건 가죽)</v>
      </c>
      <c r="F4282" s="1" t="str">
        <f>IFERROR(__xludf.DUMMYFUNCTION("CONCATENATE(GOOGLETRANSLATE(C4282, ""en"", ""ja""))"),"Alexia 瞑想シート 人間の生理学的に正しい 禅ヨガ 人間工学に基づいた椅子 フォームクッション 自宅またはオフィス (ライトグレー - ビーガンレザー)")</f>
        <v>Alexia 瞑想シート 人間の生理学的に正しい 禅ヨガ 人間工学に基づいた椅子 フォームクッション 自宅またはオフィス (ライトグレー - ビーガンレザー)</v>
      </c>
    </row>
    <row r="4283" ht="15.75" customHeight="1">
      <c r="A4283" s="1">
        <v>6251.0</v>
      </c>
      <c r="B4283" s="1" t="s">
        <v>15</v>
      </c>
      <c r="C4283" s="1" t="s">
        <v>3654</v>
      </c>
      <c r="D4283" s="1" t="str">
        <f>IFERROR(__xludf.DUMMYFUNCTION("CONCATENATE(GOOGLETRANSLATE(C4283, ""en"", ""zh-cn""))"),"马西磁力椭圆训练机有氧运动机")</f>
        <v>马西磁力椭圆训练机有氧运动机</v>
      </c>
      <c r="E4283" s="1" t="str">
        <f>IFERROR(__xludf.DUMMYFUNCTION("CONCATENATE(GOOGLETRANSLATE(C4283, ""en"", ""ko""))"),"Marcy 자기 타원형 트레이너 심장 운동 기계")</f>
        <v>Marcy 자기 타원형 트레이너 심장 운동 기계</v>
      </c>
      <c r="F4283" s="1" t="str">
        <f>IFERROR(__xludf.DUMMYFUNCTION("CONCATENATE(GOOGLETRANSLATE(C4283, ""en"", ""ja""))"),"マーシー マグネティックエリプティカル トレーナー カーディオ トレーニング マシン")</f>
        <v>マーシー マグネティックエリプティカル トレーナー カーディオ トレーニング マシン</v>
      </c>
    </row>
    <row r="4284" ht="15.75" customHeight="1">
      <c r="A4284" s="1">
        <v>6268.0</v>
      </c>
      <c r="B4284" s="1" t="s">
        <v>15</v>
      </c>
      <c r="C4284" s="1" t="s">
        <v>1861</v>
      </c>
      <c r="D4284" s="1" t="str">
        <f>IFERROR(__xludf.DUMMYFUNCTION("CONCATENATE(GOOGLETRANSLATE(C4284, ""en"", ""zh-cn""))"),"博克芬诺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4284" s="1" t="str">
        <f>IFERROR(__xludf.DUMMYFUNCTION("CONCATENATE(GOOGLETRANSLATE(C4284, ""en"", ""ko""))"),"Bokefenuo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4284" s="1" t="str">
        <f>IFERROR(__xludf.DUMMYFUNCTION("CONCATENATE(GOOGLETRANSLATE(C4284, ""en"", ""ja""))"),"Bokefenuo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4285" ht="15.75" customHeight="1">
      <c r="A4285" s="1">
        <v>6278.0</v>
      </c>
      <c r="B4285" s="1" t="s">
        <v>15</v>
      </c>
      <c r="C4285" s="1" t="s">
        <v>1649</v>
      </c>
      <c r="D4285" s="1" t="str">
        <f>IFERROR(__xludf.DUMMYFUNCTION("CONCATENATE(GOOGLETRANSLATE(C4285, ""en"", ""zh-cn""))"),"GAN 机器人，魔方解谜机自动解谜器和解谜器，兼容 GAN 356i2 i3 iplay iCarry Speed Cubes（不含魔方）和最新版本 APP")</f>
        <v>GAN 机器人，魔方解谜机自动解谜器和解谜器，兼容 GAN 356i2 i3 iplay iCarry Speed Cubes（不含魔方）和最新版本 APP</v>
      </c>
      <c r="E4285" s="1" t="str">
        <f>IFERROR(__xludf.DUMMYFUNCTION("CONCATENATE(GOOGLETRANSLATE(C4285, ""en"", ""ko""))"),"GAN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4285" s="1" t="str">
        <f>IFERROR(__xludf.DUMMYFUNCTION("CONCATENATE(GOOGLETRANSLATE(C4285, ""en"", ""ja""))"),"GAN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4286" ht="15.75" customHeight="1">
      <c r="A4286" s="1">
        <v>6282.0</v>
      </c>
      <c r="B4286" s="1" t="s">
        <v>15</v>
      </c>
      <c r="C4286" s="1" t="s">
        <v>1849</v>
      </c>
      <c r="D4286" s="1" t="str">
        <f>IFERROR(__xludf.DUMMYFUNCTION("CONCATENATE(GOOGLETRANSLATE(C4286, ""en"", ""zh-cn""))"),"GAN 460 M， Gan 4x4 磁性速度魔方， gan 460 m 4 x 4 儿童和成人无贴纸拼图玩具")</f>
        <v>GAN 460 M， Gan 4x4 磁性速度魔方， gan 460 m 4 x 4 儿童和成人无贴纸拼图玩具</v>
      </c>
      <c r="E4286" s="1" t="str">
        <f>IFERROR(__xludf.DUMMYFUNCTION("CONCATENATE(GOOGLETRANSLATE(C4286, ""en"", ""ko""))"),"GAN 460 M, Gan 4x4 자기 속도 큐브, gan 460 m 4 by 4 어린이와 성인을 위한 스티커 없는 퍼즐 장난감")</f>
        <v>GAN 460 M, Gan 4x4 자기 속도 큐브, gan 460 m 4 by 4 어린이와 성인을 위한 스티커 없는 퍼즐 장난감</v>
      </c>
      <c r="F4286" s="1" t="str">
        <f>IFERROR(__xludf.DUMMYFUNCTION("CONCATENATE(GOOGLETRANSLATE(C4286, ""en"", ""ja""))"),"GAN 460 M、Gan 4x4 磁気スピードキューブ、GAN 460 m 4 by 4 ステッカーレスパズルおもちゃ子供と大人向け")</f>
        <v>GAN 460 M、Gan 4x4 磁気スピードキューブ、GAN 460 m 4 by 4 ステッカーレスパズルおもちゃ子供と大人向け</v>
      </c>
    </row>
    <row r="4287" ht="15.75" customHeight="1">
      <c r="A4287" s="1">
        <v>6292.0</v>
      </c>
      <c r="B4287" s="1" t="s">
        <v>15</v>
      </c>
      <c r="C4287" s="1" t="s">
        <v>1838</v>
      </c>
      <c r="D4287" s="1" t="str">
        <f>IFERROR(__xludf.DUMMYFUNCTION("CONCATENATE(GOOGLETRANSLATE(C4287, ""en"", ""zh-cn""))"),"Ravensburger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4287" s="1" t="str">
        <f>IFERROR(__xludf.DUMMYFUNCTION("CONCATENATE(GOOGLETRANSLATE(C4287, ""en"", ""ko""))"),"Ravensburger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4287" s="1" t="str">
        <f>IFERROR(__xludf.DUMMYFUNCTION("CONCATENATE(GOOGLETRANSLATE(C4287, ""en"", ""ja""))"),"Ravensburger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4288" ht="15.75" customHeight="1">
      <c r="A4288" s="1">
        <v>6297.0</v>
      </c>
      <c r="B4288" s="1" t="s">
        <v>15</v>
      </c>
      <c r="C4288" s="1" t="s">
        <v>3654</v>
      </c>
      <c r="D4288" s="1" t="str">
        <f>IFERROR(__xludf.DUMMYFUNCTION("CONCATENATE(GOOGLETRANSLATE(C4288, ""en"", ""zh-cn""))"),"马西磁力椭圆训练机有氧运动机")</f>
        <v>马西磁力椭圆训练机有氧运动机</v>
      </c>
      <c r="E4288" s="1" t="str">
        <f>IFERROR(__xludf.DUMMYFUNCTION("CONCATENATE(GOOGLETRANSLATE(C4288, ""en"", ""ko""))"),"Marcy 자기 타원형 트레이너 심장 운동 기계")</f>
        <v>Marcy 자기 타원형 트레이너 심장 운동 기계</v>
      </c>
      <c r="F4288" s="1" t="str">
        <f>IFERROR(__xludf.DUMMYFUNCTION("CONCATENATE(GOOGLETRANSLATE(C4288, ""en"", ""ja""))"),"マーシー マグネティックエリプティカル トレーナー カーディオ トレーニング マシン")</f>
        <v>マーシー マグネティックエリプティカル トレーナー カーディオ トレーニング マシン</v>
      </c>
    </row>
    <row r="4289" ht="15.75" customHeight="1">
      <c r="A4289" s="1">
        <v>6300.0</v>
      </c>
      <c r="B4289" s="1" t="s">
        <v>15</v>
      </c>
      <c r="C4289" s="1" t="s">
        <v>2792</v>
      </c>
      <c r="D4289" s="1" t="str">
        <f>IFERROR(__xludf.DUMMYFUNCTION("CONCATENATE(GOOGLETRANSLATE(C4289, ""en"", ""zh-cn""))"),"Sidi 男士 Ergo 5 Carbon Scape 骑行鞋")</f>
        <v>Sidi 男士 Ergo 5 Carbon Scape 骑行鞋</v>
      </c>
      <c r="E4289" s="1" t="str">
        <f>IFERROR(__xludf.DUMMYFUNCTION("CONCATENATE(GOOGLETRANSLATE(C4289, ""en"", ""ko""))"),"Sidi 남성용 Ergo 5 카본 스케이프 사이클링")</f>
        <v>Sidi 남성용 Ergo 5 카본 스케이프 사이클링</v>
      </c>
      <c r="F4289" s="1" t="str">
        <f>IFERROR(__xludf.DUMMYFUNCTION("CONCATENATE(GOOGLETRANSLATE(C4289, ""en"", ""ja""))"),"シディ メンズ エルゴ 5 カーボン スケープ サイクリング")</f>
        <v>シディ メンズ エルゴ 5 カーボン スケープ サイクリング</v>
      </c>
    </row>
    <row r="4290" ht="15.75" customHeight="1">
      <c r="A4290" s="1">
        <v>6304.0</v>
      </c>
      <c r="B4290" s="1" t="s">
        <v>15</v>
      </c>
      <c r="C4290" s="1" t="s">
        <v>1821</v>
      </c>
      <c r="D4290" s="1" t="str">
        <f>IFERROR(__xludf.DUMMYFUNCTION("CONCATENATE(GOOGLETRANSLATE(C4290, ""en"", ""zh-cn""))"),"Fizik Vento Infinito Carbon 2 骑行鞋 - 男士白色/黑色，46.0")</f>
        <v>Fizik Vento Infinito Carbon 2 骑行鞋 - 男士白色/黑色，46.0</v>
      </c>
      <c r="E4290" s="1" t="str">
        <f>IFERROR(__xludf.DUMMYFUNCTION("CONCATENATE(GOOGLETRANSLATE(C4290, ""en"", ""ko""))"),"Fizik Vento Infinito Carbon 2 사이클링 슈즈 - 남성용 화이트/블랙, 46.0")</f>
        <v>Fizik Vento Infinito Carbon 2 사이클링 슈즈 - 남성용 화이트/블랙, 46.0</v>
      </c>
      <c r="F4290" s="1" t="str">
        <f>IFERROR(__xludf.DUMMYFUNCTION("CONCATENATE(GOOGLETRANSLATE(C4290, ""en"", ""ja""))"),"Fizik Vento Infinito Carbon 2 サイクリング シューズ - メンズ ホワイト/ブラック、46.0")</f>
        <v>Fizik Vento Infinito Carbon 2 サイクリング シューズ - メンズ ホワイト/ブラック、46.0</v>
      </c>
    </row>
    <row r="4291" ht="15.75" customHeight="1">
      <c r="A4291" s="1">
        <v>6314.0</v>
      </c>
      <c r="B4291" s="1" t="s">
        <v>15</v>
      </c>
      <c r="C4291" s="1" t="s">
        <v>2011</v>
      </c>
      <c r="D4291" s="1" t="str">
        <f>IFERROR(__xludf.DUMMYFUNCTION("CONCATENATE(GOOGLETRANSLATE(C4291, ""en"", ""zh-cn""))"),"罗林斯| HEART OF THE HIDE 棒球手套 | R2G 和轮廓贴合模型 |高级磨合|多种风格")</f>
        <v>罗林斯| HEART OF THE HIDE 棒球手套 | R2G 和轮廓贴合模型 |高级磨合|多种风格</v>
      </c>
      <c r="E4291" s="1" t="str">
        <f>IFERROR(__xludf.DUMMYFUNCTION("CONCATENATE(GOOGLETRANSLATE(C4291, ""en"", ""ko""))"),"롤링스 | 숨은 야구 글러브의 심장 | R2G 및 윤곽 맞춤 모델 | 고급 침입 | 다양한 스타일")</f>
        <v>롤링스 | 숨은 야구 글러브의 심장 | R2G 및 윤곽 맞춤 모델 | 고급 침입 | 다양한 스타일</v>
      </c>
      <c r="F4291" s="1" t="str">
        <f>IFERROR(__xludf.DUMMYFUNCTION("CONCATENATE(GOOGLETRANSLATE(C4291, ""en"", ""ja""))"),"ローリングス | HEART OF THE HIDE 野球グローブ | R2G &amp; 輪郭フィットモデル |高度な慣らし運転 |複数のスタイル")</f>
        <v>ローリングス | HEART OF THE HIDE 野球グローブ | R2G &amp; 輪郭フィットモデル |高度な慣らし運転 |複数のスタイル</v>
      </c>
    </row>
    <row r="4292" ht="15.75" customHeight="1">
      <c r="A4292" s="1">
        <v>6319.0</v>
      </c>
      <c r="B4292" s="1" t="s">
        <v>15</v>
      </c>
      <c r="C4292" s="1" t="s">
        <v>2848</v>
      </c>
      <c r="D4292" s="1" t="str">
        <f>IFERROR(__xludf.DUMMYFUNCTION("CONCATENATE(GOOGLETRANSLATE(C4292, ""en"", ""zh-cn""))"),"Giro Vanquish MIPS 成人公路骑行头盔")</f>
        <v>Giro Vanquish MIPS 成人公路骑行头盔</v>
      </c>
      <c r="E4292" s="1" t="str">
        <f>IFERROR(__xludf.DUMMYFUNCTION("CONCATENATE(GOOGLETRANSLATE(C4292, ""en"", ""ko""))"),"Giro Vanquish MIPS 성인용 로드 사이클링 헬멧")</f>
        <v>Giro Vanquish MIPS 성인용 로드 사이클링 헬멧</v>
      </c>
      <c r="F4292" s="1" t="str">
        <f>IFERROR(__xludf.DUMMYFUNCTION("CONCATENATE(GOOGLETRANSLATE(C4292, ""en"", ""ja""))"),"Giro Vanquish MIPS 大人用ロードサイクリング ヘルメット")</f>
        <v>Giro Vanquish MIPS 大人用ロードサイクリング ヘルメット</v>
      </c>
    </row>
    <row r="4293" ht="15.75" customHeight="1">
      <c r="A4293" s="1">
        <v>6321.0</v>
      </c>
      <c r="B4293" s="1" t="s">
        <v>15</v>
      </c>
      <c r="C4293" s="1" t="s">
        <v>1907</v>
      </c>
      <c r="D4293" s="1" t="str">
        <f>IFERROR(__xludf.DUMMYFUNCTION("CONCATENATE(GOOGLETRANSLATE(C4293, ""en"", ""zh-cn""))"),"Lenovo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4293" s="1" t="str">
        <f>IFERROR(__xludf.DUMMYFUNCTION("CONCATENATE(GOOGLETRANSLATE(C4293, ""en"", ""ko""))"),"Lenovo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4293" s="1" t="str">
        <f>IFERROR(__xludf.DUMMYFUNCTION("CONCATENATE(GOOGLETRANSLATE(C4293, ""en"", ""ja""))"),"Lenovo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4294" ht="15.75" customHeight="1">
      <c r="A4294" s="1">
        <v>6325.0</v>
      </c>
      <c r="B4294" s="1" t="s">
        <v>15</v>
      </c>
      <c r="C4294" s="1" t="s">
        <v>1853</v>
      </c>
      <c r="D4294" s="1" t="str">
        <f>IFERROR(__xludf.DUMMYFUNCTION("CONCATENATE(GOOGLETRANSLATE(C4294, ""en"", ""zh-cn""))"),"带金属腿和盖子的拼图桌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4294" s="1" t="str">
        <f>IFERROR(__xludf.DUMMYFUNCTION("CONCATENATE(GOOGLETRANSLATE(C4294, ""en"", ""ko""))"),"금속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4294" s="1" t="str">
        <f>IFERROR(__xludf.DUMMYFUNCTION("CONCATENATE(GOOGLETRANSLATE(C4294, ""en"", ""ja""))"),"金属製の脚とカバー付きパズルテーブル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4295" ht="15.75" customHeight="1">
      <c r="A4295" s="1">
        <v>6344.0</v>
      </c>
      <c r="B4295" s="1" t="s">
        <v>15</v>
      </c>
      <c r="C4295" s="1" t="s">
        <v>1824</v>
      </c>
      <c r="D4295" s="1" t="str">
        <f>IFERROR(__xludf.DUMMYFUNCTION("CONCATENATE(GOOGLETRANSLATE(C4295, ""en"", ""zh-cn""))"),"ALL4JIG 1500 件便携式带腿拼图桌，可调节拼图板，带 4 个抽屉和盖子，3 倾斜角度成人拼图桌")</f>
        <v>ALL4JIG 1500 件便携式带腿拼图桌，可调节拼图板，带 4 个抽屉和盖子，3 倾斜角度成人拼图桌</v>
      </c>
      <c r="E4295" s="1" t="str">
        <f>IFERROR(__xludf.DUMMYFUNCTION("CONCATENATE(GOOGLETRANSLATE(C4295, ""en"", ""ko""))"),"ALL4JIG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4295" s="1" t="str">
        <f>IFERROR(__xludf.DUMMYFUNCTION("CONCATENATE(GOOGLETRANSLATE(C4295, ""en"", ""ja""))"),"ALL4JIG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4296" ht="15.75" customHeight="1">
      <c r="A4296" s="1">
        <v>6367.0</v>
      </c>
      <c r="B4296" s="1" t="s">
        <v>15</v>
      </c>
      <c r="C4296" s="1" t="s">
        <v>1838</v>
      </c>
      <c r="D4296" s="1" t="str">
        <f>IFERROR(__xludf.DUMMYFUNCTION("CONCATENATE(GOOGLETRANSLATE(C4296, ""en"", ""zh-cn""))"),"Ravensburger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4296" s="1" t="str">
        <f>IFERROR(__xludf.DUMMYFUNCTION("CONCATENATE(GOOGLETRANSLATE(C4296, ""en"", ""ko""))"),"Ravensburger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4296" s="1" t="str">
        <f>IFERROR(__xludf.DUMMYFUNCTION("CONCATENATE(GOOGLETRANSLATE(C4296, ""en"", ""ja""))"),"Ravensburger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4297" ht="15.75" customHeight="1">
      <c r="A4297" s="1">
        <v>6372.0</v>
      </c>
      <c r="B4297" s="1" t="s">
        <v>15</v>
      </c>
      <c r="C4297" s="1" t="s">
        <v>3708</v>
      </c>
      <c r="D4297" s="1" t="str">
        <f>IFERROR(__xludf.DUMMYFUNCTION("CONCATENATE(GOOGLETRANSLATE(C4297, ""en"", ""zh-cn""))"),"Charter Club 女式可折叠连帽羽绒服")</f>
        <v>Charter Club 女式可折叠连帽羽绒服</v>
      </c>
      <c r="E4297" s="1" t="str">
        <f>IFERROR(__xludf.DUMMYFUNCTION("CONCATENATE(GOOGLETRANSLATE(C4297, ""en"", ""ko""))"),"Charter Club 여성 패커블 후드 퍼퍼 코트")</f>
        <v>Charter Club 여성 패커블 후드 퍼퍼 코트</v>
      </c>
      <c r="F4297" s="1" t="str">
        <f>IFERROR(__xludf.DUMMYFUNCTION("CONCATENATE(GOOGLETRANSLATE(C4297, ""en"", ""ja""))"),"Charter Club レディース パッカブル フード付き パファー コート")</f>
        <v>Charter Club レディース パッカブル フード付き パファー コート</v>
      </c>
    </row>
    <row r="4298" ht="15.75" customHeight="1">
      <c r="A4298" s="1">
        <v>6373.0</v>
      </c>
      <c r="B4298" s="1" t="s">
        <v>15</v>
      </c>
      <c r="C4298" s="1" t="s">
        <v>3709</v>
      </c>
      <c r="D4298" s="1" t="str">
        <f>IFERROR(__xludf.DUMMYFUNCTION("CONCATENATE(GOOGLETRANSLATE(C4298, ""en"", ""zh-cn""))"),"女式宽松长袖圆领上衣")</f>
        <v>女式宽松长袖圆领上衣</v>
      </c>
      <c r="E4298" s="1" t="str">
        <f>IFERROR(__xludf.DUMMYFUNCTION("CONCATENATE(GOOGLETRANSLATE(C4298, ""en"", ""ko""))"),"여성용 루즈핏 긴팔 크루넥 탑")</f>
        <v>여성용 루즈핏 긴팔 크루넥 탑</v>
      </c>
      <c r="F4298" s="1" t="str">
        <f>IFERROR(__xludf.DUMMYFUNCTION("CONCATENATE(GOOGLETRANSLATE(C4298, ""en"", ""ja""))"),"レディース ルーズフィット 長袖 クルーネック トップ")</f>
        <v>レディース ルーズフィット 長袖 クルーネック トップ</v>
      </c>
    </row>
    <row r="4299" ht="15.75" customHeight="1">
      <c r="A4299" s="1">
        <v>6376.0</v>
      </c>
      <c r="B4299" s="1" t="s">
        <v>15</v>
      </c>
      <c r="C4299" s="1" t="s">
        <v>3710</v>
      </c>
      <c r="D4299" s="1" t="str">
        <f>IFERROR(__xludf.DUMMYFUNCTION("CONCATENATE(GOOGLETRANSLATE(C4299, ""en"", ""zh-cn""))"),"EVALESS 女式圆领短袖纹理 T 恤")</f>
        <v>EVALESS 女式圆领短袖纹理 T 恤</v>
      </c>
      <c r="E4299" s="1" t="str">
        <f>IFERROR(__xludf.DUMMYFUNCTION("CONCATENATE(GOOGLETRANSLATE(C4299, ""en"", ""ko""))"),"EVALESS 여성용 크루넥 반소매 질감 티셔츠")</f>
        <v>EVALESS 여성용 크루넥 반소매 질감 티셔츠</v>
      </c>
      <c r="F4299" s="1" t="str">
        <f>IFERROR(__xludf.DUMMYFUNCTION("CONCATENATE(GOOGLETRANSLATE(C4299, ""en"", ""ja""))"),"EVALESS レディース クルーネック 半袖 テクスチャード Tシャツ")</f>
        <v>EVALESS レディース クルーネック 半袖 テクスチャード Tシャツ</v>
      </c>
    </row>
    <row r="4300" ht="15.75" customHeight="1">
      <c r="A4300" s="1">
        <v>6379.0</v>
      </c>
      <c r="B4300" s="1" t="s">
        <v>15</v>
      </c>
      <c r="C4300" s="1" t="s">
        <v>3711</v>
      </c>
      <c r="D4300" s="1" t="str">
        <f>IFERROR(__xludf.DUMMYFUNCTION("CONCATENATE(GOOGLETRANSLATE(C4300, ""en"", ""zh-cn""))"),"女式优雅 A 字形口袋短袖连衣裙")</f>
        <v>女式优雅 A 字形口袋短袖连衣裙</v>
      </c>
      <c r="E4300" s="1" t="str">
        <f>IFERROR(__xludf.DUMMYFUNCTION("CONCATENATE(GOOGLETRANSLATE(C4300, ""en"", ""ko""))"),"주머니가 있는 여성의 우아한 A-라인 짧은 소매 드레스")</f>
        <v>주머니가 있는 여성의 우아한 A-라인 짧은 소매 드레스</v>
      </c>
      <c r="F4300" s="1" t="str">
        <f>IFERROR(__xludf.DUMMYFUNCTION("CONCATENATE(GOOGLETRANSLATE(C4300, ""en"", ""ja""))"),"レディース エレガント A ライン 半袖 ドレス ポケット付き")</f>
        <v>レディース エレガント A ライン 半袖 ドレス ポケット付き</v>
      </c>
    </row>
    <row r="4301" ht="15.75" customHeight="1">
      <c r="A4301" s="1">
        <v>6384.0</v>
      </c>
      <c r="B4301" s="1" t="s">
        <v>15</v>
      </c>
      <c r="C4301" s="1" t="s">
        <v>3712</v>
      </c>
      <c r="D4301" s="1" t="str">
        <f>IFERROR(__xludf.DUMMYFUNCTION("CONCATENATE(GOOGLETRANSLATE(C4301, ""en"", ""zh-cn""))"),"Bofell 女式时尚上衣女式连帽衫套头大廓形运动衫长袖衬衫宽松版型")</f>
        <v>Bofell 女式时尚上衣女式连帽衫套头大廓形运动衫长袖衬衫宽松版型</v>
      </c>
      <c r="E4301" s="1" t="str">
        <f>IFERROR(__xludf.DUMMYFUNCTION("CONCATENATE(GOOGLETRANSLATE(C4301, ""en"", ""ko""))"),"Bofell 여성 패션 탑 여성용 후드 풀오버 오버 사이즈 스웨터 긴 소매 셔츠 루즈 피트")</f>
        <v>Bofell 여성 패션 탑 여성용 후드 풀오버 오버 사이즈 스웨터 긴 소매 셔츠 루즈 피트</v>
      </c>
      <c r="F4301" s="1" t="str">
        <f>IFERROR(__xludf.DUMMYFUNCTION("CONCATENATE(GOOGLETRANSLATE(C4301, ""en"", ""ja""))"),"Bofell レディース ファッション トップス パーカー 女性用 プルオーバー 特大 スウェット 長袖シャツ ルーズフィット")</f>
        <v>Bofell レディース ファッション トップス パーカー 女性用 プルオーバー 特大 スウェット 長袖シャツ ルーズフィット</v>
      </c>
    </row>
    <row r="4302" ht="15.75" customHeight="1">
      <c r="A4302" s="1">
        <v>6388.0</v>
      </c>
      <c r="B4302" s="1" t="s">
        <v>15</v>
      </c>
      <c r="C4302" s="1" t="s">
        <v>3713</v>
      </c>
      <c r="D4302" s="1" t="str">
        <f>IFERROR(__xludf.DUMMYFUNCTION("CONCATENATE(GOOGLETRANSLATE(C4302, ""en"", ""zh-cn""))"),"女式正装休闲蕾丝长袖纽扣衬衫")</f>
        <v>女式正装休闲蕾丝长袖纽扣衬衫</v>
      </c>
      <c r="E4302" s="1" t="str">
        <f>IFERROR(__xludf.DUMMYFUNCTION("CONCATENATE(GOOGLETRANSLATE(C4302, ""en"", ""ko""))"),"여성의 멋진 캐주얼 레이스 긴 소매 버튼 다운 셔츠")</f>
        <v>여성의 멋진 캐주얼 레이스 긴 소매 버튼 다운 셔츠</v>
      </c>
      <c r="F4302" s="1" t="str">
        <f>IFERROR(__xludf.DUMMYFUNCTION("CONCATENATE(GOOGLETRANSLATE(C4302, ""en"", ""ja""))"),"レディース ドレッシー カジュアル レース 長袖 ボタンダウン シャツ")</f>
        <v>レディース ドレッシー カジュアル レース 長袖 ボタンダウン シャツ</v>
      </c>
    </row>
    <row r="4303" ht="15.75" customHeight="1">
      <c r="A4303" s="1">
        <v>6394.0</v>
      </c>
      <c r="B4303" s="1" t="s">
        <v>15</v>
      </c>
      <c r="C4303" s="1" t="s">
        <v>3714</v>
      </c>
      <c r="D4303" s="1" t="str">
        <f>IFERROR(__xludf.DUMMYFUNCTION("CONCATENATE(GOOGLETRANSLATE(C4303, ""en"", ""zh-cn""))"),"BEPEI 女式上衣正装休闲 3/4 袖衬衫 V 领商务工作衬衫")</f>
        <v>BEPEI 女式上衣正装休闲 3/4 袖衬衫 V 领商务工作衬衫</v>
      </c>
      <c r="E4303" s="1" t="str">
        <f>IFERROR(__xludf.DUMMYFUNCTION("CONCATENATE(GOOGLETRANSLATE(C4303, ""en"", ""ko""))"),"BEPEI Womens Tops Dressy 캐주얼 3/4 슬리브 블라우스 V 넥 비즈니스 작업 셔츠")</f>
        <v>BEPEI Womens Tops Dressy 캐주얼 3/4 슬리브 블라우스 V 넥 비즈니스 작업 셔츠</v>
      </c>
      <c r="F4303" s="1" t="str">
        <f>IFERROR(__xludf.DUMMYFUNCTION("CONCATENATE(GOOGLETRANSLATE(C4303, ""en"", ""ja""))"),"BEPEI レディース トップス ドレッシー カジュアル 3/4 スリーブ ブラウス V ネック ビジネス ワーク シャツ")</f>
        <v>BEPEI レディース トップス ドレッシー カジュアル 3/4 スリーブ ブラウス V ネック ビジネス ワーク シャツ</v>
      </c>
    </row>
    <row r="4304" ht="15.75" customHeight="1">
      <c r="A4304" s="1">
        <v>6398.0</v>
      </c>
      <c r="B4304" s="1" t="s">
        <v>15</v>
      </c>
      <c r="C4304" s="1" t="s">
        <v>3715</v>
      </c>
      <c r="D4304" s="1" t="str">
        <f>IFERROR(__xludf.DUMMYFUNCTION("CONCATENATE(GOOGLETRANSLATE(C4304, ""en"", ""zh-cn""))"),"劳伦·拉尔夫·劳伦 (Lauren Ralph Lauren) 女式传统羽绒羽毛填充填充羽绒服")</f>
        <v>劳伦·拉尔夫·劳伦 (Lauren Ralph Lauren) 女式传统羽绒羽毛填充填充羽绒服</v>
      </c>
      <c r="E4304" s="1" t="str">
        <f>IFERROR(__xludf.DUMMYFUNCTION("CONCATENATE(GOOGLETRANSLATE(C4304, ""en"", ""ko""))"),"Lauren Ralph Lauren 여성 헤리티지 다운 &amp; 페더 필 퍼퍼 코트, 인조-")</f>
        <v>Lauren Ralph Lauren 여성 헤리티지 다운 &amp; 페더 필 퍼퍼 코트, 인조-</v>
      </c>
      <c r="F4304" s="1" t="str">
        <f>IFERROR(__xludf.DUMMYFUNCTION("CONCATENATE(GOOGLETRANSLATE(C4304, ""en"", ""ja""))"),"ローレン ラルフローレン レディース ヘリテージ ダウン &amp; フェザー フィル パファー コート フェイク-")</f>
        <v>ローレン ラルフローレン レディース ヘリテージ ダウン &amp; フェザー フィル パファー コート フェイク-</v>
      </c>
    </row>
    <row r="4305" ht="15.75" customHeight="1">
      <c r="A4305" s="1">
        <v>6405.0</v>
      </c>
      <c r="B4305" s="1" t="s">
        <v>15</v>
      </c>
      <c r="C4305" s="1" t="s">
        <v>3716</v>
      </c>
      <c r="D4305" s="1" t="str">
        <f>IFERROR(__xludf.DUMMYFUNCTION("CONCATENATE(GOOGLETRANSLATE(C4305, ""en"", ""zh-cn""))"),"maurices 女式 Cressa 长袖开衫")</f>
        <v>maurices 女式 Cressa 长袖开衫</v>
      </c>
      <c r="E4305" s="1" t="str">
        <f>IFERROR(__xludf.DUMMYFUNCTION("CONCATENATE(GOOGLETRANSLATE(C4305, ""en"", ""ko""))"),"maurices 여성 크레사 긴팔 가디건")</f>
        <v>maurices 여성 크레사 긴팔 가디건</v>
      </c>
      <c r="F4305" s="1" t="str">
        <f>IFERROR(__xludf.DUMMYFUNCTION("CONCATENATE(GOOGLETRANSLATE(C4305, ""en"", ""ja""))"),"maurices レディース クレッサ ロング スリーブ カーディガン")</f>
        <v>maurices レディース クレッサ ロング スリーブ カーディガン</v>
      </c>
    </row>
    <row r="4306" ht="15.75" customHeight="1">
      <c r="A4306" s="1">
        <v>6414.0</v>
      </c>
      <c r="B4306" s="1" t="s">
        <v>15</v>
      </c>
      <c r="C4306" s="1" t="s">
        <v>3717</v>
      </c>
      <c r="D4306" s="1" t="str">
        <f>IFERROR(__xludf.DUMMYFUNCTION("CONCATENATE(GOOGLETRANSLATE(C4306, ""en"", ""zh-cn""))"),"Fashion Nova 男士 Skyline 衬衫组合")</f>
        <v>Fashion Nova 男士 Skyline 衬衫组合</v>
      </c>
      <c r="E4306" s="1" t="str">
        <f>IFERROR(__xludf.DUMMYFUNCTION("CONCATENATE(GOOGLETRANSLATE(C4306, ""en"", ""ko""))"),"패션 노바 남성용 스카이라인 셔츠 콤보")</f>
        <v>패션 노바 남성용 스카이라인 셔츠 콤보</v>
      </c>
      <c r="F4306" s="1" t="str">
        <f>IFERROR(__xludf.DUMMYFUNCTION("CONCATENATE(GOOGLETRANSLATE(C4306, ""en"", ""ja""))"),"ファッション ノヴァ メンズ スカイライン シャツ コンボ")</f>
        <v>ファッション ノヴァ メンズ スカイライン シャツ コンボ</v>
      </c>
    </row>
    <row r="4307" ht="15.75" customHeight="1">
      <c r="A4307" s="1">
        <v>6424.0</v>
      </c>
      <c r="B4307" s="1" t="s">
        <v>15</v>
      </c>
      <c r="C4307" s="1" t="s">
        <v>3718</v>
      </c>
      <c r="D4307" s="1" t="str">
        <f>IFERROR(__xludf.DUMMYFUNCTION("CONCATENATE(GOOGLETRANSLATE(C4307, ""en"", ""zh-cn""))"),"Fashion Nova 男士 Beck 纹理衬衫")</f>
        <v>Fashion Nova 男士 Beck 纹理衬衫</v>
      </c>
      <c r="E4307" s="1" t="str">
        <f>IFERROR(__xludf.DUMMYFUNCTION("CONCATENATE(GOOGLETRANSLATE(C4307, ""en"", ""ko""))"),"패션 노바 남성용 벡 텍스처 셔츠")</f>
        <v>패션 노바 남성용 벡 텍스처 셔츠</v>
      </c>
      <c r="F4307" s="1" t="str">
        <f>IFERROR(__xludf.DUMMYFUNCTION("CONCATENATE(GOOGLETRANSLATE(C4307, ""en"", ""ja""))"),"ファッション ノヴァ メンズ ベック テクスチャード シャツ")</f>
        <v>ファッション ノヴァ メンズ ベック テクスチャード シャツ</v>
      </c>
    </row>
    <row r="4308" ht="15.75" customHeight="1">
      <c r="A4308" s="1">
        <v>6442.0</v>
      </c>
      <c r="B4308" s="1" t="s">
        <v>15</v>
      </c>
      <c r="C4308" s="1" t="s">
        <v>3719</v>
      </c>
      <c r="D4308" s="1" t="str">
        <f>IFERROR(__xludf.DUMMYFUNCTION("CONCATENATE(GOOGLETRANSLATE(C4308, ""en"", ""zh-cn""))"),"男士宽松厚重棉质 T 恤")</f>
        <v>男士宽松厚重棉质 T 恤</v>
      </c>
      <c r="E4308" s="1" t="str">
        <f>IFERROR(__xludf.DUMMYFUNCTION("CONCATENATE(GOOGLETRANSLATE(C4308, ""en"", ""ko""))"),"남성용 루즈핏 헤비 코튼 티셔츠")</f>
        <v>남성용 루즈핏 헤비 코튼 티셔츠</v>
      </c>
      <c r="F4308" s="1" t="str">
        <f>IFERROR(__xludf.DUMMYFUNCTION("CONCATENATE(GOOGLETRANSLATE(C4308, ""en"", ""ja""))"),"メンズ ルーズフィット ヘビーコットン Tシャツ")</f>
        <v>メンズ ルーズフィット ヘビーコットン Tシャツ</v>
      </c>
    </row>
    <row r="4309" ht="15.75" customHeight="1">
      <c r="A4309" s="1">
        <v>6445.0</v>
      </c>
      <c r="B4309" s="1" t="s">
        <v>15</v>
      </c>
      <c r="C4309" s="1" t="s">
        <v>3720</v>
      </c>
      <c r="D4309" s="1" t="str">
        <f>IFERROR(__xludf.DUMMYFUNCTION("CONCATENATE(GOOGLETRANSLATE(C4309, ""en"", ""zh-cn""))"),"男士拼色系扣衬衫")</f>
        <v>男士拼色系扣衬衫</v>
      </c>
      <c r="E4309" s="1" t="str">
        <f>IFERROR(__xludf.DUMMYFUNCTION("CONCATENATE(GOOGLETRANSLATE(C4309, ""en"", ""ko""))"),"남성용 컬러블록 버튼다운 셔츠")</f>
        <v>남성용 컬러블록 버튼다운 셔츠</v>
      </c>
      <c r="F4309" s="1" t="str">
        <f>IFERROR(__xludf.DUMMYFUNCTION("CONCATENATE(GOOGLETRANSLATE(C4309, ""en"", ""ja""))"),"メンズ カラーブロック ボタンダウン シャツ")</f>
        <v>メンズ カラーブロック ボタンダウン シャツ</v>
      </c>
    </row>
    <row r="4310" ht="15.75" customHeight="1">
      <c r="A4310" s="1">
        <v>6447.0</v>
      </c>
      <c r="B4310" s="1" t="s">
        <v>15</v>
      </c>
      <c r="C4310" s="1" t="s">
        <v>3721</v>
      </c>
      <c r="D4310" s="1" t="str">
        <f>IFERROR(__xludf.DUMMYFUNCTION("CONCATENATE(GOOGLETRANSLATE(C4310, ""en"", ""zh-cn""))"),"男士 Sonoma Goods For Life 毛衣羊毛四分之一拉链套头衫，尺码：小号，棕色")</f>
        <v>男士 Sonoma Goods For Life 毛衣羊毛四分之一拉链套头衫，尺码：小号，棕色</v>
      </c>
      <c r="E4310" s="1" t="str">
        <f>IFERROR(__xludf.DUMMYFUNCTION("CONCATENATE(GOOGLETRANSLATE(C4310, ""en"", ""ko""))"),"남성용 소노마 용품 라이프 스웨터 플리스 쿼터 지퍼 풀오버, 사이즈: 스몰, 브라운")</f>
        <v>남성용 소노마 용품 라이프 스웨터 플리스 쿼터 지퍼 풀오버, 사이즈: 스몰, 브라운</v>
      </c>
      <c r="F4310" s="1" t="str">
        <f>IFERROR(__xludf.DUMMYFUNCTION("CONCATENATE(GOOGLETRANSLATE(C4310, ""en"", ""ja""))"),"メンズ ソノマ グッズ フォー ライフ セーター フリース クォーター ジップ プルオーバー、サイズ: S、ブラウン")</f>
        <v>メンズ ソノマ グッズ フォー ライフ セーター フリース クォーター ジップ プルオーバー、サイズ: S、ブラウン</v>
      </c>
    </row>
    <row r="4311" ht="15.75" customHeight="1">
      <c r="A4311" s="1">
        <v>6450.0</v>
      </c>
      <c r="B4311" s="1" t="s">
        <v>15</v>
      </c>
      <c r="C4311" s="1" t="s">
        <v>3722</v>
      </c>
      <c r="D4311" s="1" t="str">
        <f>IFERROR(__xludf.DUMMYFUNCTION("CONCATENATE(GOOGLETRANSLATE(C4311, ""en"", ""zh-cn""))"),"Polo Ralph Lauren 男士奢华平纹针织四分之一拉链套头衫")</f>
        <v>Polo Ralph Lauren 男士奢华平纹针织四分之一拉链套头衫</v>
      </c>
      <c r="E4311" s="1" t="str">
        <f>IFERROR(__xludf.DUMMYFUNCTION("CONCATENATE(GOOGLETRANSLATE(C4311, ""en"", ""ko""))"),"폴로 랄프 로렌 남성 럭셔리 저지 쿼터 지퍼 풀오버")</f>
        <v>폴로 랄프 로렌 남성 럭셔리 저지 쿼터 지퍼 풀오버</v>
      </c>
      <c r="F4311" s="1" t="str">
        <f>IFERROR(__xludf.DUMMYFUNCTION("CONCATENATE(GOOGLETRANSLATE(C4311, ""en"", ""ja""))"),"ポロ ラルフローレン メンズ ラグジュアリー ジャージ クォータージップ プルオーバー")</f>
        <v>ポロ ラルフローレン メンズ ラグジュアリー ジャージ クォータージップ プルオーバー</v>
      </c>
    </row>
    <row r="4312" ht="15.75" customHeight="1">
      <c r="A4312" s="1">
        <v>6451.0</v>
      </c>
      <c r="B4312" s="1" t="s">
        <v>15</v>
      </c>
      <c r="C4312" s="1" t="s">
        <v>3723</v>
      </c>
      <c r="D4312" s="1" t="str">
        <f>IFERROR(__xludf.DUMMYFUNCTION("CONCATENATE(GOOGLETRANSLATE(C4312, ""en"", ""zh-cn""))"),"Microsoft Designer 紧凑型键盘蓝牙")</f>
        <v>Microsoft Designer 紧凑型键盘蓝牙</v>
      </c>
      <c r="E4312" s="1" t="str">
        <f>IFERROR(__xludf.DUMMYFUNCTION("CONCATENATE(GOOGLETRANSLATE(C4312, ""en"", ""ko""))"),"Microsoft Designer 컴팩트 키보드 Bluetooth")</f>
        <v>Microsoft Designer 컴팩트 키보드 Bluetooth</v>
      </c>
      <c r="F4312" s="1" t="str">
        <f>IFERROR(__xludf.DUMMYFUNCTION("CONCATENATE(GOOGLETRANSLATE(C4312, ""en"", ""ja""))"),"Microsoft デザイナー コンパクト キーボード Bluetooth")</f>
        <v>Microsoft デザイナー コンパクト キーボード Bluetooth</v>
      </c>
    </row>
    <row r="4313" ht="15.75" customHeight="1">
      <c r="A4313" s="1">
        <v>6453.0</v>
      </c>
      <c r="B4313" s="1" t="s">
        <v>15</v>
      </c>
      <c r="C4313" s="1" t="s">
        <v>3724</v>
      </c>
      <c r="D4313" s="1" t="str">
        <f>IFERROR(__xludf.DUMMYFUNCTION("CONCATENATE(GOOGLETRANSLATE(C4313, ""en"", ""zh-cn""))"),"三星 990 EVO Plus SSD MZ-V9S")</f>
        <v>三星 990 EVO Plus SSD MZ-V9S</v>
      </c>
      <c r="E4313" s="1" t="str">
        <f>IFERROR(__xludf.DUMMYFUNCTION("CONCATENATE(GOOGLETRANSLATE(C4313, ""en"", ""ko""))"),"삼성 990 EVO 플러스 SSD MZ-V9S")</f>
        <v>삼성 990 EVO 플러스 SSD MZ-V9S</v>
      </c>
      <c r="F4313" s="1" t="str">
        <f>IFERROR(__xludf.DUMMYFUNCTION("CONCATENATE(GOOGLETRANSLATE(C4313, ""en"", ""ja""))"),"Samsung 990 EVO Plus SSD MZ-V9S")</f>
        <v>Samsung 990 EVO Plus SSD MZ-V9S</v>
      </c>
    </row>
    <row r="4314" ht="15.75" customHeight="1">
      <c r="A4314" s="1">
        <v>6487.0</v>
      </c>
      <c r="B4314" s="1" t="s">
        <v>15</v>
      </c>
      <c r="C4314" s="1" t="s">
        <v>3725</v>
      </c>
      <c r="D4314" s="1" t="str">
        <f>IFERROR(__xludf.DUMMYFUNCTION("CONCATENATE(GOOGLETRANSLATE(C4314, ""en"", ""zh-cn""))"),"Thermaltake Tower 300 微型 ATX 游戏机箱")</f>
        <v>Thermaltake Tower 300 微型 ATX 游戏机箱</v>
      </c>
      <c r="E4314" s="1" t="str">
        <f>IFERROR(__xludf.DUMMYFUNCTION("CONCATENATE(GOOGLETRANSLATE(C4314, ""en"", ""ko""))"),"Thermaltake Tower 300 마이크로 ATX 게이밍 케이스")</f>
        <v>Thermaltake Tower 300 마이크로 ATX 게이밍 케이스</v>
      </c>
      <c r="F4314" s="1" t="str">
        <f>IFERROR(__xludf.DUMMYFUNCTION("CONCATENATE(GOOGLETRANSLATE(C4314, ""en"", ""ja""))"),"Thermaltake Tower 300 Micro ATX ゲーミング ケース")</f>
        <v>Thermaltake Tower 300 Micro ATX ゲーミング ケース</v>
      </c>
    </row>
    <row r="4315" ht="15.75" customHeight="1">
      <c r="A4315" s="1">
        <v>6495.0</v>
      </c>
      <c r="B4315" s="1" t="s">
        <v>15</v>
      </c>
      <c r="C4315" s="1" t="s">
        <v>1926</v>
      </c>
      <c r="D4315" s="1" t="str">
        <f>IFERROR(__xludf.DUMMYFUNCTION("CONCATENATE(GOOGLETRANSLATE(C4315, ""en"", ""zh-cn""))"),"Corsair 6500D 气流中塔双室 PC 机箱")</f>
        <v>Corsair 6500D 气流中塔双室 PC 机箱</v>
      </c>
      <c r="E4315" s="1" t="str">
        <f>IFERROR(__xludf.DUMMYFUNCTION("CONCATENATE(GOOGLETRANSLATE(C4315, ""en"", ""ko""))"),"Corsair 6500D Airflow 미드 타워 듀얼 챔버 PC 케이스")</f>
        <v>Corsair 6500D Airflow 미드 타워 듀얼 챔버 PC 케이스</v>
      </c>
      <c r="F4315" s="1" t="str">
        <f>IFERROR(__xludf.DUMMYFUNCTION("CONCATENATE(GOOGLETRANSLATE(C4315, ""en"", ""ja""))"),"Corsair 6500D エアフロー ミッドタワー デュアル チャンバー PC ケース")</f>
        <v>Corsair 6500D エアフロー ミッドタワー デュアル チャンバー PC ケース</v>
      </c>
    </row>
    <row r="4316" ht="15.75" customHeight="1">
      <c r="A4316" s="1">
        <v>6497.0</v>
      </c>
      <c r="B4316" s="1" t="s">
        <v>15</v>
      </c>
      <c r="C4316" s="1" t="s">
        <v>3726</v>
      </c>
      <c r="D4316" s="1" t="str">
        <f>IFERROR(__xludf.DUMMYFUNCTION("CONCATENATE(GOOGLETRANSLATE(C4316, ""en"", ""zh-cn""))"),"联想 Preferred Pro II 键盘")</f>
        <v>联想 Preferred Pro II 键盘</v>
      </c>
      <c r="E4316" s="1" t="str">
        <f>IFERROR(__xludf.DUMMYFUNCTION("CONCATENATE(GOOGLETRANSLATE(C4316, ""en"", ""ko""))"),"Lenovo Preferred Pro II 키보드")</f>
        <v>Lenovo Preferred Pro II 키보드</v>
      </c>
      <c r="F4316" s="1" t="str">
        <f>IFERROR(__xludf.DUMMYFUNCTION("CONCATENATE(GOOGLETRANSLATE(C4316, ""en"", ""ja""))"),"Lenovo プリファード Pro II キーボード")</f>
        <v>Lenovo プリファード Pro II キーボード</v>
      </c>
    </row>
    <row r="4317" ht="15.75" customHeight="1">
      <c r="A4317" s="1">
        <v>6503.0</v>
      </c>
      <c r="B4317" s="1" t="s">
        <v>15</v>
      </c>
      <c r="C4317" s="1" t="s">
        <v>3727</v>
      </c>
      <c r="D4317" s="1" t="str">
        <f>IFERROR(__xludf.DUMMYFUNCTION("CONCATENATE(GOOGLETRANSLATE(C4317, ""en"", ""zh-cn""))"),"ANYPLUS USB C 集线器笔记本电脑扩展坞")</f>
        <v>ANYPLUS USB C 集线器笔记本电脑扩展坞</v>
      </c>
      <c r="E4317" s="1" t="str">
        <f>IFERROR(__xludf.DUMMYFUNCTION("CONCATENATE(GOOGLETRANSLATE(C4317, ""en"", ""ko""))"),"ANYPLUS USB C 허브 노트북 도킹 스테이션")</f>
        <v>ANYPLUS USB C 허브 노트북 도킹 스테이션</v>
      </c>
      <c r="F4317" s="1" t="str">
        <f>IFERROR(__xludf.DUMMYFUNCTION("CONCATENATE(GOOGLETRANSLATE(C4317, ""en"", ""ja""))"),"ANYPLUS USB C ハブ ラップトップ ドッキング ステーション")</f>
        <v>ANYPLUS USB C ハブ ラップトップ ドッキング ステーション</v>
      </c>
    </row>
    <row r="4318" ht="15.75" customHeight="1">
      <c r="A4318" s="1">
        <v>6511.0</v>
      </c>
      <c r="B4318" s="1" t="s">
        <v>15</v>
      </c>
      <c r="C4318" s="1" t="s">
        <v>3728</v>
      </c>
      <c r="D4318" s="1" t="str">
        <f>IFERROR(__xludf.DUMMYFUNCTION("CONCATENATE(GOOGLETRANSLATE(C4318, ""en"", ""zh-cn""))"),"RREAKA 6 合 1 Microsoft Surface Pro X Hub 扩展坞")</f>
        <v>RREAKA 6 合 1 Microsoft Surface Pro X Hub 扩展坞</v>
      </c>
      <c r="E4318" s="1" t="str">
        <f>IFERROR(__xludf.DUMMYFUNCTION("CONCATENATE(GOOGLETRANSLATE(C4318, ""en"", ""ko""))"),"RREAKA 6 in 1 Microsoft Surface Pro X 허브 도킹 스테이션")</f>
        <v>RREAKA 6 in 1 Microsoft Surface Pro X 허브 도킹 스테이션</v>
      </c>
      <c r="F4318" s="1" t="str">
        <f>IFERROR(__xludf.DUMMYFUNCTION("CONCATENATE(GOOGLETRANSLATE(C4318, ""en"", ""ja""))"),"RREAKA 6 in 1 Microsoft Surface Pro X ハブ ドッキング ステーション")</f>
        <v>RREAKA 6 in 1 Microsoft Surface Pro X ハブ ドッキング ステーション</v>
      </c>
    </row>
    <row r="4319" ht="15.75" customHeight="1">
      <c r="A4319" s="1">
        <v>6516.0</v>
      </c>
      <c r="B4319" s="1" t="s">
        <v>15</v>
      </c>
      <c r="C4319" s="1" t="s">
        <v>3729</v>
      </c>
      <c r="D4319" s="1" t="str">
        <f>IFERROR(__xludf.DUMMYFUNCTION("CONCATENATE(GOOGLETRANSLATE(C4319, ""en"", ""zh-cn""))"),"Abacus 科技超薄电脑机箱")</f>
        <v>Abacus 科技超薄电脑机箱</v>
      </c>
      <c r="E4319" s="1" t="str">
        <f>IFERROR(__xludf.DUMMYFUNCTION("CONCATENATE(GOOGLETRANSLATE(C4319, ""en"", ""ko""))"),"Abacus Technology 슬림 컴퓨터 케이스")</f>
        <v>Abacus Technology 슬림 컴퓨터 케이스</v>
      </c>
      <c r="F4319" s="1" t="str">
        <f>IFERROR(__xludf.DUMMYFUNCTION("CONCATENATE(GOOGLETRANSLATE(C4319, ""en"", ""ja""))"),"そろばんテクノロジースリムコンピュータケース")</f>
        <v>そろばんテクノロジースリムコンピュータケース</v>
      </c>
    </row>
    <row r="4320" ht="15.75" customHeight="1">
      <c r="A4320" s="1">
        <v>6519.0</v>
      </c>
      <c r="B4320" s="1" t="s">
        <v>15</v>
      </c>
      <c r="C4320" s="1" t="s">
        <v>3730</v>
      </c>
      <c r="D4320" s="1" t="str">
        <f>IFERROR(__xludf.DUMMYFUNCTION("CONCATENATE(GOOGLETRANSLATE(C4320, ""en"", ""zh-cn""))"),"DOCKCASE Explorer 版 USB C 集线器 10 合 1")</f>
        <v>DOCKCASE Explorer 版 USB C 集线器 10 合 1</v>
      </c>
      <c r="E4320" s="1" t="str">
        <f>IFERROR(__xludf.DUMMYFUNCTION("CONCATENATE(GOOGLETRANSLATE(C4320, ""en"", ""ko""))"),"DOCKCASE Explorer Edition USB C 허브 10-in-1")</f>
        <v>DOCKCASE Explorer Edition USB C 허브 10-in-1</v>
      </c>
      <c r="F4320" s="1" t="str">
        <f>IFERROR(__xludf.DUMMYFUNCTION("CONCATENATE(GOOGLETRANSLATE(C4320, ""en"", ""ja""))"),"DOCKCASE Explorer Edition USB C ハブ 10-in-1")</f>
        <v>DOCKCASE Explorer Edition USB C ハブ 10-in-1</v>
      </c>
    </row>
    <row r="4321" ht="15.75" customHeight="1">
      <c r="A4321" s="1">
        <v>6521.0</v>
      </c>
      <c r="B4321" s="1" t="s">
        <v>15</v>
      </c>
      <c r="C4321" s="1" t="s">
        <v>3731</v>
      </c>
      <c r="D4321" s="1" t="str">
        <f>IFERROR(__xludf.DUMMYFUNCTION("CONCATENATE(GOOGLETRANSLATE(C4321, ""en"", ""zh-cn""))"),"HP 14 英寸高清显示屏学生和商务笔记本电脑")</f>
        <v>HP 14 英寸高清显示屏学生和商务笔记本电脑</v>
      </c>
      <c r="E4321" s="1" t="str">
        <f>IFERROR(__xludf.DUMMYFUNCTION("CONCATENATE(GOOGLETRANSLATE(C4321, ""en"", ""ko""))"),"HP 14인치 HD 디스플레이 학생 및 비즈니스 노트북")</f>
        <v>HP 14인치 HD 디스플레이 학생 및 비즈니스 노트북</v>
      </c>
      <c r="F4321" s="1" t="str">
        <f>IFERROR(__xludf.DUMMYFUNCTION("CONCATENATE(GOOGLETRANSLATE(C4321, ""en"", ""ja""))"),"HP 14 インチ HD ディスプレイ学生およびビジネス ノートパソコン")</f>
        <v>HP 14 インチ HD ディスプレイ学生およびビジネス ノートパソコン</v>
      </c>
    </row>
    <row r="4322" ht="15.75" customHeight="1">
      <c r="A4322" s="1">
        <v>6535.0</v>
      </c>
      <c r="B4322" s="1" t="s">
        <v>15</v>
      </c>
      <c r="C4322" s="1" t="s">
        <v>3732</v>
      </c>
      <c r="D4322" s="1" t="str">
        <f>IFERROR(__xludf.DUMMYFUNCTION("CONCATENATE(GOOGLETRANSLATE(C4322, ""en"", ""zh-cn""))"),"KOKODI 儿童智能手机玩具生日礼物独角兽幼儿玩手机")</f>
        <v>KOKODI 儿童智能手机玩具生日礼物独角兽幼儿玩手机</v>
      </c>
      <c r="E4322" s="1" t="str">
        <f>IFERROR(__xludf.DUMMYFUNCTION("CONCATENATE(GOOGLETRANSLATE(C4322, ""en"", ""ko""))"),"KOKODI 어린이 스마트 폰 장난감 생일 선물 유니콘 유아 놀이 전화")</f>
        <v>KOKODI 어린이 스마트 폰 장난감 생일 선물 유니콘 유아 놀이 전화</v>
      </c>
      <c r="F4322" s="1" t="str">
        <f>IFERROR(__xludf.DUMMYFUNCTION("CONCATENATE(GOOGLETRANSLATE(C4322, ""en"", ""ja""))"),"KOKODI キッズスマートフォンおもちゃ 誕生日プレゼント ユニコーン 幼児プレイフォン")</f>
        <v>KOKODI キッズスマートフォンおもちゃ 誕生日プレゼント ユニコーン 幼児プレイフォン</v>
      </c>
    </row>
    <row r="4323" ht="15.75" customHeight="1">
      <c r="A4323" s="1">
        <v>6547.0</v>
      </c>
      <c r="B4323" s="1" t="s">
        <v>15</v>
      </c>
      <c r="C4323" s="1" t="s">
        <v>3733</v>
      </c>
      <c r="D4323" s="1" t="str">
        <f>IFERROR(__xludf.DUMMYFUNCTION("CONCATENATE(GOOGLETRANSLATE(C4323, ""en"", ""zh-cn""))"),"伟易达 Kidi Star 鼓垫")</f>
        <v>伟易达 Kidi Star 鼓垫</v>
      </c>
      <c r="E4323" s="1" t="str">
        <f>IFERROR(__xludf.DUMMYFUNCTION("CONCATENATE(GOOGLETRANSLATE(C4323, ""en"", ""ko""))"),"VTech Kidi 스타 드럼 패드")</f>
        <v>VTech Kidi 스타 드럼 패드</v>
      </c>
      <c r="F4323" s="1" t="str">
        <f>IFERROR(__xludf.DUMMYFUNCTION("CONCATENATE(GOOGLETRANSLATE(C4323, ""en"", ""ja""))"),"VTech Kidi Star ドラムパッド")</f>
        <v>VTech Kidi Star ドラムパッド</v>
      </c>
    </row>
    <row r="4324" ht="15.75" customHeight="1">
      <c r="A4324" s="1">
        <v>6548.0</v>
      </c>
      <c r="B4324" s="1" t="s">
        <v>15</v>
      </c>
      <c r="C4324" s="1" t="s">
        <v>3734</v>
      </c>
      <c r="D4324" s="1" t="str">
        <f>IFERROR(__xludf.DUMMYFUNCTION("CONCATENATE(GOOGLETRANSLATE(C4324, ""en"", ""zh-cn""))"),"Stanley Jr. 电池供电玩具电钻")</f>
        <v>Stanley Jr. 电池供电玩具电钻</v>
      </c>
      <c r="E4324" s="1" t="str">
        <f>IFERROR(__xludf.DUMMYFUNCTION("CONCATENATE(GOOGLETRANSLATE(C4324, ""en"", ""ko""))"),"Stanley Jr. 배터리로 작동되는 장난감 드릴")</f>
        <v>Stanley Jr. 배터리로 작동되는 장난감 드릴</v>
      </c>
      <c r="F4324" s="1" t="str">
        <f>IFERROR(__xludf.DUMMYFUNCTION("CONCATENATE(GOOGLETRANSLATE(C4324, ""en"", ""ja""))"),"スタンレー ジュニア 電池式おもちゃドリル")</f>
        <v>スタンレー ジュニア 電池式おもちゃドリル</v>
      </c>
    </row>
    <row r="4325" ht="15.75" customHeight="1">
      <c r="A4325" s="1">
        <v>6549.0</v>
      </c>
      <c r="B4325" s="1" t="s">
        <v>15</v>
      </c>
      <c r="C4325" s="1" t="s">
        <v>3735</v>
      </c>
      <c r="D4325" s="1" t="str">
        <f>IFERROR(__xludf.DUMMYFUNCTION("CONCATENATE(GOOGLETRANSLATE(C4325, ""en"", ""zh-cn""))"),"Ivtivfu 飞行球球 将魔法变为现实 飞行球玩具")</f>
        <v>Ivtivfu 飞行球球 将魔法变为现实 飞行球玩具</v>
      </c>
      <c r="E4325" s="1" t="str">
        <f>IFERROR(__xludf.DUMMYFUNCTION("CONCATENATE(GOOGLETRANSLATE(C4325, ""en"", ""ko""))"),"Ivtivfu Flying Orb Ball은 마법을 현실로 가져옵니다. 플라잉 볼 장난감")</f>
        <v>Ivtivfu Flying Orb Ball은 마법을 현실로 가져옵니다. 플라잉 볼 장난감</v>
      </c>
      <c r="F4325" s="1" t="str">
        <f>IFERROR(__xludf.DUMMYFUNCTION("CONCATENATE(GOOGLETRANSLATE(C4325, ""en"", ""ja""))"),"Ivtivfu フライング オーブ ボール 魔法を現実に フライング ボール おもちゃ")</f>
        <v>Ivtivfu フライング オーブ ボール 魔法を現実に フライング ボール おもちゃ</v>
      </c>
    </row>
    <row r="4326" ht="15.75" customHeight="1">
      <c r="A4326" s="1">
        <v>6550.0</v>
      </c>
      <c r="B4326" s="1" t="s">
        <v>15</v>
      </c>
      <c r="C4326" s="1" t="s">
        <v>3736</v>
      </c>
      <c r="D4326" s="1" t="str">
        <f>IFERROR(__xludf.DUMMYFUNCTION("CONCATENATE(GOOGLETRANSLATE(C4326, ""en"", ""zh-cn""))"),"最佳选择产品 3 合 1 儿童推踩踏板幼儿骑车玩具婴儿车带声音")</f>
        <v>最佳选择产品 3 合 1 儿童推踩踏板幼儿骑车玩具婴儿车带声音</v>
      </c>
      <c r="E4326" s="1" t="str">
        <f>IFERROR(__xludf.DUMMYFUNCTION("CONCATENATE(GOOGLETRANSLATE(C4326, ""en"", ""ko""))"),"최고의 선택 제품 3-in-1 어린이 푸시 및 페달 유아용 마차 놀이용 장난감 유모차(소리 포함)")</f>
        <v>최고의 선택 제품 3-in-1 어린이 푸시 및 페달 유아용 마차 놀이용 장난감 유모차(소리 포함)</v>
      </c>
      <c r="F4326" s="1" t="str">
        <f>IFERROR(__xludf.DUMMYFUNCTION("CONCATENATE(GOOGLETRANSLATE(C4326, ""en"", ""ja""))"),"Best Choice Products 3-in-1 キッズプッシュ＆ペダル幼児用ワゴンプレイトイベビーカー サウンド付き")</f>
        <v>Best Choice Products 3-in-1 キッズプッシュ＆ペダル幼児用ワゴンプレイトイベビーカー サウンド付き</v>
      </c>
    </row>
    <row r="4327" ht="15.75" customHeight="1">
      <c r="A4327" s="1">
        <v>6565.0</v>
      </c>
      <c r="B4327" s="1" t="s">
        <v>15</v>
      </c>
      <c r="C4327" s="1" t="s">
        <v>3737</v>
      </c>
      <c r="D4327" s="1" t="str">
        <f>IFERROR(__xludf.DUMMYFUNCTION("CONCATENATE(GOOGLETRANSLATE(C4327, ""en"", ""zh-cn""))"),"磁性瓷砖儿童玩具适合 3 4 5 6 7 8 岁以上男孩女孩磁性积木玩具学前学习感官蒙特梭利玩具适合 3 岁以上")</f>
        <v>磁性瓷砖儿童玩具适合 3 4 5 6 7 8 岁以上男孩女孩磁性积木玩具学前学习感官蒙特梭利玩具适合 3 岁以上</v>
      </c>
      <c r="E4327" s="1" t="str">
        <f>IFERROR(__xludf.DUMMYFUNCTION("CONCATENATE(GOOGLETRANSLATE(C4327, ""en"", ""ko""))"),"자기 타일 어린이 장난감 3 4 5 6 7 8 + 세 소년 소녀 자기 빌딩 블록 장난감 유치원 학습 감각 몬테소리 장난감 3 + 년")</f>
        <v>자기 타일 어린이 장난감 3 4 5 6 7 8 + 세 소년 소녀 자기 빌딩 블록 장난감 유치원 학습 감각 몬테소리 장난감 3 + 년</v>
      </c>
      <c r="F4327" s="1" t="str">
        <f>IFERROR(__xludf.DUMMYFUNCTION("CONCATENATE(GOOGLETRANSLATE(C4327, ""en"", ""ja""))"),"磁気タイル子供のおもちゃ 3 4 5 6 7 8 歳以上の男の子女の子磁気ビルディングブロックおもちゃ就学前学習感覚モンテッソーリおもちゃ 3 歳以上")</f>
        <v>磁気タイル子供のおもちゃ 3 4 5 6 7 8 歳以上の男の子女の子磁気ビルディングブロックおもちゃ就学前学習感覚モンテッソーリおもちゃ 3 歳以上</v>
      </c>
    </row>
    <row r="4328" ht="15.75" customHeight="1">
      <c r="A4328" s="1">
        <v>6566.0</v>
      </c>
      <c r="B4328" s="1" t="s">
        <v>15</v>
      </c>
      <c r="C4328" s="1" t="s">
        <v>3738</v>
      </c>
      <c r="D4328" s="1" t="str">
        <f>IFERROR(__xludf.DUMMYFUNCTION("CONCATENATE(GOOGLETRANSLATE(C4328, ""en"", ""zh-cn""))"),"SYSKENI 56 件装磁性积木幼儿玩具、磁性积木磁铁玩具、适合 3-5 4-8 岁儿童的磁性积木、STEM 感官玩具磁铁")</f>
        <v>SYSKENI 56 件装磁性积木幼儿玩具、磁性积木磁铁玩具、适合 3-5 4-8 岁儿童的磁性积木、STEM 感官玩具磁铁</v>
      </c>
      <c r="E4328" s="1" t="str">
        <f>IFERROR(__xludf.DUMMYFUNCTION("CONCATENATE(GOOGLETRANSLATE(C4328, ""en"", ""ko""))"),"SYSKENI 56PCS 자석 블록 유아 장난감, 자석 빌딩 블록 자석 장난감, 어린이를위한 자석 블록 3-5 4-8 세, STEM 감각 장난감 자석")</f>
        <v>SYSKENI 56PCS 자석 블록 유아 장난감, 자석 빌딩 블록 자석 장난감, 어린이를위한 자석 블록 3-5 4-8 세, STEM 감각 장난감 자석</v>
      </c>
      <c r="F4328" s="1" t="str">
        <f>IFERROR(__xludf.DUMMYFUNCTION("CONCATENATE(GOOGLETRANSLATE(C4328, ""en"", ""ja""))"),"SYSKENI 56PCS 磁気ブロック 幼児用おもちゃ 磁気ビルディングブロック 磁石のおもちゃ 磁気ブロック 3-5 4-8歳の子供向け STEM 感覚玩具 マグネット")</f>
        <v>SYSKENI 56PCS 磁気ブロック 幼児用おもちゃ 磁気ビルディングブロック 磁石のおもちゃ 磁気ブロック 3-5 4-8歳の子供向け STEM 感覚玩具 マグネット</v>
      </c>
    </row>
    <row r="4329" ht="15.75" customHeight="1">
      <c r="A4329" s="1">
        <v>6573.0</v>
      </c>
      <c r="B4329" s="1" t="s">
        <v>15</v>
      </c>
      <c r="C4329" s="1" t="s">
        <v>3739</v>
      </c>
      <c r="D4329" s="1" t="str">
        <f>IFERROR(__xludf.DUMMYFUNCTION("CONCATENATE(GOOGLETRANSLATE(C4329, ""en"", ""zh-cn""))"),"East Oak TPU 透明运动帐篷")</f>
        <v>East Oak TPU 透明运动帐篷</v>
      </c>
      <c r="E4329" s="1" t="str">
        <f>IFERROR(__xludf.DUMMYFUNCTION("CONCATENATE(GOOGLETRANSLATE(C4329, ""en"", ""ko""))"),"이스트 오크 TPU 클리어 스포츠 텐트")</f>
        <v>이스트 오크 TPU 클리어 스포츠 텐트</v>
      </c>
      <c r="F4329" s="1" t="str">
        <f>IFERROR(__xludf.DUMMYFUNCTION("CONCATENATE(GOOGLETRANSLATE(C4329, ""en"", ""ja""))"),"East Oak TPU クリア スポーツ テント")</f>
        <v>East Oak TPU クリア スポーツ テント</v>
      </c>
    </row>
    <row r="4330" ht="15.75" customHeight="1">
      <c r="A4330" s="1">
        <v>6581.0</v>
      </c>
      <c r="B4330" s="1" t="s">
        <v>15</v>
      </c>
      <c r="C4330" s="1" t="s">
        <v>3740</v>
      </c>
      <c r="D4330" s="1" t="str">
        <f>IFERROR(__xludf.DUMMYFUNCTION("CONCATENATE(GOOGLETRANSLATE(C4330, ""en"", ""zh-cn""))"),"Zimtown 8' x 5' 便携式足球门网")</f>
        <v>Zimtown 8' x 5' 便携式足球门网</v>
      </c>
      <c r="E4330" s="1" t="str">
        <f>IFERROR(__xludf.DUMMYFUNCTION("CONCATENATE(GOOGLETRANSLATE(C4330, ""en"", ""ko""))"),"짐타운 8' x 5' 휴대용 축구 골대")</f>
        <v>짐타운 8' x 5' 휴대용 축구 골대</v>
      </c>
      <c r="F4330" s="1" t="str">
        <f>IFERROR(__xludf.DUMMYFUNCTION("CONCATENATE(GOOGLETRANSLATE(C4330, ""en"", ""ja""))"),"Zimtown 8フィート x 5フィート ポータブルサッカーゴールネット")</f>
        <v>Zimtown 8フィート x 5フィート ポータブルサッカーゴールネット</v>
      </c>
    </row>
    <row r="4331" ht="15.75" customHeight="1">
      <c r="A4331" s="1">
        <v>6591.0</v>
      </c>
      <c r="B4331" s="1" t="s">
        <v>15</v>
      </c>
      <c r="C4331" s="1" t="s">
        <v>3741</v>
      </c>
      <c r="D4331" s="1" t="str">
        <f>IFERROR(__xludf.DUMMYFUNCTION("CONCATENATE(GOOGLETRANSLATE(C4331, ""en"", ""zh-cn""))"),"All in Motion 基本手部重量套装")</f>
        <v>All in Motion 基本手部重量套装</v>
      </c>
      <c r="E4331" s="1" t="str">
        <f>IFERROR(__xludf.DUMMYFUNCTION("CONCATENATE(GOOGLETRANSLATE(C4331, ""en"", ""ko""))"),"올인모션 기본 핸드 웨이트 세트")</f>
        <v>올인모션 기본 핸드 웨이트 세트</v>
      </c>
      <c r="F4331" s="1" t="str">
        <f>IFERROR(__xludf.DUMMYFUNCTION("CONCATENATE(GOOGLETRANSLATE(C4331, ""en"", ""ja""))"),"オールインモーションベーシックハンドウェイトセット")</f>
        <v>オールインモーションベーシックハンドウェイトセット</v>
      </c>
    </row>
    <row r="4332" ht="15.75" customHeight="1">
      <c r="A4332" s="1">
        <v>6598.0</v>
      </c>
      <c r="B4332" s="1" t="s">
        <v>15</v>
      </c>
      <c r="C4332" s="1" t="s">
        <v>3742</v>
      </c>
      <c r="D4332" s="1" t="str">
        <f>IFERROR(__xludf.DUMMYFUNCTION("CONCATENATE(GOOGLETRANSLATE(C4332, ""en"", ""zh-cn""))"),"Park &amp; Sun Spiker SL 排球网系统")</f>
        <v>Park &amp; Sun Spiker SL 排球网系统</v>
      </c>
      <c r="E4332" s="1" t="str">
        <f>IFERROR(__xludf.DUMMYFUNCTION("CONCATENATE(GOOGLETRANSLATE(C4332, ""en"", ""ko""))"),"파크앤선스파이커 SL 배구네트 시스템")</f>
        <v>파크앤선스파이커 SL 배구네트 시스템</v>
      </c>
      <c r="F4332" s="1" t="str">
        <f>IFERROR(__xludf.DUMMYFUNCTION("CONCATENATE(GOOGLETRANSLATE(C4332, ""en"", ""ja""))"),"パーク&amp;サン スパイカーSLバレーボールネットシステム")</f>
        <v>パーク&amp;サン スパイカーSLバレーボールネットシステム</v>
      </c>
    </row>
    <row r="4333" ht="15.75" customHeight="1">
      <c r="A4333" s="1">
        <v>6601.0</v>
      </c>
      <c r="B4333" s="1" t="s">
        <v>15</v>
      </c>
      <c r="C4333" s="1" t="s">
        <v>3743</v>
      </c>
      <c r="D4333" s="1" t="str">
        <f>IFERROR(__xludf.DUMMYFUNCTION("CONCATENATE(GOOGLETRANSLATE(C4333, ""en"", ""zh-cn""))"),"篮球框 10 英尺可调节高度便携式球门场系统 45 英寸儿童防碎篮板")</f>
        <v>篮球框 10 英尺可调节高度便携式球门场系统 45 英寸儿童防碎篮板</v>
      </c>
      <c r="E4333" s="1" t="str">
        <f>IFERROR(__xludf.DUMMYFUNCTION("CONCATENATE(GOOGLETRANSLATE(C4333, ""en"", ""ko""))"),"농구 골대 10피트 조절 가능한 높이 휴대용 골 코트 시스템 45인치 어린이를 위한 비산 방지 백보드")</f>
        <v>농구 골대 10피트 조절 가능한 높이 휴대용 골 코트 시스템 45인치 어린이를 위한 비산 방지 백보드</v>
      </c>
      <c r="F4333" s="1" t="str">
        <f>IFERROR(__xludf.DUMMYFUNCTION("CONCATENATE(GOOGLETRANSLATE(C4333, ""en"", ""ja""))"),"バスケットボールフープ 10フィート 高さ調節可能 ポータブルゴールコートシステム 45インチ 飛散防止バックボード 子供用")</f>
        <v>バスケットボールフープ 10フィート 高さ調節可能 ポータブルゴールコートシステム 45インチ 飛散防止バックボード 子供用</v>
      </c>
    </row>
    <row r="4334" ht="15.75" customHeight="1">
      <c r="A4334" s="1">
        <v>6602.0</v>
      </c>
      <c r="B4334" s="1" t="s">
        <v>15</v>
      </c>
      <c r="C4334" s="1" t="s">
        <v>3744</v>
      </c>
      <c r="D4334" s="1" t="str">
        <f>IFERROR(__xludf.DUMMYFUNCTION("CONCATENATE(GOOGLETRANSLATE(C4334, ""en"", ""zh-cn""))"),"AGame精英排球套装")</f>
        <v>AGame精英排球套装</v>
      </c>
      <c r="E4334" s="1" t="str">
        <f>IFERROR(__xludf.DUMMYFUNCTION("CONCATENATE(GOOGLETRANSLATE(C4334, ""en"", ""ko""))"),"AGame 엘리트 배구 세트")</f>
        <v>AGame 엘리트 배구 세트</v>
      </c>
      <c r="F4334" s="1" t="str">
        <f>IFERROR(__xludf.DUMMYFUNCTION("CONCATENATE(GOOGLETRANSLATE(C4334, ""en"", ""ja""))"),"AGame エリートバレーボールセット")</f>
        <v>AGame エリートバレーボールセット</v>
      </c>
    </row>
    <row r="4335" ht="15.75" customHeight="1">
      <c r="A4335" s="1">
        <v>6607.0</v>
      </c>
      <c r="B4335" s="1" t="s">
        <v>15</v>
      </c>
      <c r="C4335" s="1" t="s">
        <v>3745</v>
      </c>
      <c r="D4335" s="1" t="str">
        <f>IFERROR(__xludf.DUMMYFUNCTION("CONCATENATE(GOOGLETRANSLATE(C4335, ""en"", ""zh-cn""))"),"学院运动 + 户外一键式 10 英尺 x 10 英尺德克萨斯直腿顶篷")</f>
        <v>学院运动 + 户外一键式 10 英尺 x 10 英尺德克萨斯直腿顶篷</v>
      </c>
      <c r="E4335" s="1" t="str">
        <f>IFERROR(__xludf.DUMMYFUNCTION("CONCATENATE(GOOGLETRANSLATE(C4335, ""en"", ""ko""))"),"아카데미 스포츠 + 야외 원푸시 10피트 x 10피트 텍사스 직선 다리 캐노피")</f>
        <v>아카데미 스포츠 + 야외 원푸시 10피트 x 10피트 텍사스 직선 다리 캐노피</v>
      </c>
      <c r="F4335" s="1" t="str">
        <f>IFERROR(__xludf.DUMMYFUNCTION("CONCATENATE(GOOGLETRANSLATE(C4335, ""en"", ""ja""))"),"アカデミー スポーツ + アウトドア ワン プッシュ 10 フィート x 10 フィート テキサス ストレート レッグ キャノピー")</f>
        <v>アカデミー スポーツ + アウトドア ワン プッシュ 10 フィート x 10 フィート テキサス ストレート レッグ キャノピー</v>
      </c>
    </row>
    <row r="4336" ht="15.75" customHeight="1">
      <c r="A4336" s="1">
        <v>6612.0</v>
      </c>
      <c r="B4336" s="1" t="s">
        <v>15</v>
      </c>
      <c r="C4336" s="1" t="s">
        <v>3746</v>
      </c>
      <c r="D4336" s="1" t="str">
        <f>IFERROR(__xludf.DUMMYFUNCTION("CONCATENATE(GOOGLETRANSLATE(C4336, ""en"", ""zh-cn""))"),"Hey Harper 女士 DNA 防水珍珠手表")</f>
        <v>Hey Harper 女士 DNA 防水珍珠手表</v>
      </c>
      <c r="E4336" s="1" t="str">
        <f>IFERROR(__xludf.DUMMYFUNCTION("CONCATENATE(GOOGLETRANSLATE(C4336, ""en"", ""ko""))"),"Hey Harper 여성용 DNA 방수 진주 시계")</f>
        <v>Hey Harper 여성용 DNA 방수 진주 시계</v>
      </c>
      <c r="F4336" s="1" t="str">
        <f>IFERROR(__xludf.DUMMYFUNCTION("CONCATENATE(GOOGLETRANSLATE(C4336, ""en"", ""ja""))"),"Hey Harper レディース DNA 防水パール ウォッチ")</f>
        <v>Hey Harper レディース DNA 防水パール ウォッチ</v>
      </c>
    </row>
    <row r="4337" ht="15.75" customHeight="1">
      <c r="A4337" s="1">
        <v>6613.0</v>
      </c>
      <c r="B4337" s="1" t="s">
        <v>15</v>
      </c>
      <c r="C4337" s="1" t="s">
        <v>3747</v>
      </c>
      <c r="D4337" s="1" t="str">
        <f>IFERROR(__xludf.DUMMYFUNCTION("CONCATENATE(GOOGLETRANSLATE(C4337, ""en"", ""zh-cn""))"),"Anne Klein 女士金色金属黑钻套装")</f>
        <v>Anne Klein 女士金色金属黑钻套装</v>
      </c>
      <c r="E4337" s="1" t="str">
        <f>IFERROR(__xludf.DUMMYFUNCTION("CONCATENATE(GOOGLETRANSLATE(C4337, ""en"", ""ko""))"),"Anne Klein 여성용 골드 메탈 블랙 다이아몬드 세트")</f>
        <v>Anne Klein 여성용 골드 메탈 블랙 다이아몬드 세트</v>
      </c>
      <c r="F4337" s="1" t="str">
        <f>IFERROR(__xludf.DUMMYFUNCTION("CONCATENATE(GOOGLETRANSLATE(C4337, ""en"", ""ja""))"),"Anne Klein レディース ゴールド メタル ブラック ダイヤモンド セット")</f>
        <v>Anne Klein レディース ゴールド メタル ブラック ダイヤモンド セット</v>
      </c>
    </row>
    <row r="4338" ht="15.75" customHeight="1">
      <c r="A4338" s="1">
        <v>6616.0</v>
      </c>
      <c r="B4338" s="1" t="s">
        <v>15</v>
      </c>
      <c r="C4338" s="1" t="s">
        <v>3748</v>
      </c>
      <c r="D4338" s="1" t="str">
        <f>IFERROR(__xludf.DUMMYFUNCTION("CONCATENATE(GOOGLETRANSLATE(C4338, ""en"", ""zh-cn""))"),"卡地亚 Panthère 女士不锈钢钻石腕表")</f>
        <v>卡地亚 Panthère 女士不锈钢钻石腕表</v>
      </c>
      <c r="E4338" s="1" t="str">
        <f>IFERROR(__xludf.DUMMYFUNCTION("CONCATENATE(GOOGLETRANSLATE(C4338, ""en"", ""ko""))"),"Cartier Panthère 여성용 스테인레스 스틸 다이아몬드 시계")</f>
        <v>Cartier Panthère 여성용 스테인레스 스틸 다이아몬드 시계</v>
      </c>
      <c r="F4338" s="1" t="str">
        <f>IFERROR(__xludf.DUMMYFUNCTION("CONCATENATE(GOOGLETRANSLATE(C4338, ""en"", ""ja""))"),"カルティエ パンテール レディース ステンレススチール ダイヤモンド ウォッチ")</f>
        <v>カルティエ パンテール レディース ステンレススチール ダイヤモンド ウォッチ</v>
      </c>
    </row>
    <row r="4339" ht="15.75" customHeight="1">
      <c r="A4339" s="1">
        <v>6623.0</v>
      </c>
      <c r="B4339" s="1" t="s">
        <v>15</v>
      </c>
      <c r="C4339" s="1" t="s">
        <v>3749</v>
      </c>
      <c r="D4339" s="1" t="str">
        <f>IFERROR(__xludf.DUMMYFUNCTION("CONCATENATE(GOOGLETRANSLATE(C4339, ""en"", ""zh-cn""))"),"Fossil 女士戒指手表")</f>
        <v>Fossil 女士戒指手表</v>
      </c>
      <c r="E4339" s="1" t="str">
        <f>IFERROR(__xludf.DUMMYFUNCTION("CONCATENATE(GOOGLETRANSLATE(C4339, ""en"", ""ko""))"),"화석 여성용 반지 시계")</f>
        <v>화석 여성용 반지 시계</v>
      </c>
      <c r="F4339" s="1" t="str">
        <f>IFERROR(__xludf.DUMMYFUNCTION("CONCATENATE(GOOGLETRANSLATE(C4339, ""en"", ""ja""))"),"Fossil レディース リングウォッチ")</f>
        <v>Fossil レディース リングウォッチ</v>
      </c>
    </row>
    <row r="4340" ht="15.75" customHeight="1">
      <c r="A4340" s="1">
        <v>6629.0</v>
      </c>
      <c r="B4340" s="1" t="s">
        <v>15</v>
      </c>
      <c r="C4340" s="1" t="s">
        <v>3750</v>
      </c>
      <c r="D4340" s="1" t="str">
        <f>IFERROR(__xludf.DUMMYFUNCTION("CONCATENATE(GOOGLETRANSLATE(C4340, ""en"", ""zh-cn""))"),"Berny 女士复古椭圆形石英手表")</f>
        <v>Berny 女士复古椭圆形石英手表</v>
      </c>
      <c r="E4340" s="1" t="str">
        <f>IFERROR(__xludf.DUMMYFUNCTION("CONCATENATE(GOOGLETRANSLATE(C4340, ""en"", ""ko""))"),"Berny 여성용 빈티지 타원형 쿼츠 시계")</f>
        <v>Berny 여성용 빈티지 타원형 쿼츠 시계</v>
      </c>
      <c r="F4340" s="1" t="str">
        <f>IFERROR(__xludf.DUMMYFUNCTION("CONCATENATE(GOOGLETRANSLATE(C4340, ""en"", ""ja""))"),"Berny レディース ヴィンテージ オーバル クォーツ時計")</f>
        <v>Berny レディース ヴィンテージ オーバル クォーツ時計</v>
      </c>
    </row>
    <row r="4341" ht="15.75" customHeight="1">
      <c r="A4341" s="1">
        <v>6634.0</v>
      </c>
      <c r="B4341" s="1" t="s">
        <v>15</v>
      </c>
      <c r="C4341" s="1" t="s">
        <v>3751</v>
      </c>
      <c r="D4341" s="1" t="str">
        <f>IFERROR(__xludf.DUMMYFUNCTION("CONCATENATE(GOOGLETRANSLATE(C4341, ""en"", ""zh-cn""))"),"Timex 男士计时腕表")</f>
        <v>Timex 男士计时腕表</v>
      </c>
      <c r="E4341" s="1" t="str">
        <f>IFERROR(__xludf.DUMMYFUNCTION("CONCATENATE(GOOGLETRANSLATE(C4341, ""en"", ""ko""))"),"타이멕스 남성용 크로노그래프 시계")</f>
        <v>타이멕스 남성용 크로노그래프 시계</v>
      </c>
      <c r="F4341" s="1" t="str">
        <f>IFERROR(__xludf.DUMMYFUNCTION("CONCATENATE(GOOGLETRANSLATE(C4341, ""en"", ""ja""))"),"タイメックス メンズ クロノグラフ ウォッチ")</f>
        <v>タイメックス メンズ クロノグラフ ウォッチ</v>
      </c>
    </row>
    <row r="4342" ht="15.75" customHeight="1">
      <c r="A4342" s="1">
        <v>6663.0</v>
      </c>
      <c r="B4342" s="1" t="s">
        <v>15</v>
      </c>
      <c r="C4342" s="1" t="s">
        <v>3752</v>
      </c>
      <c r="D4342" s="1" t="str">
        <f>IFERROR(__xludf.DUMMYFUNCTION("CONCATENATE(GOOGLETRANSLATE(C4342, ""en"", ""zh-cn""))"),"EOQIFJM 通用手机支架")</f>
        <v>EOQIFJM 通用手机支架</v>
      </c>
      <c r="E4342" s="1" t="str">
        <f>IFERROR(__xludf.DUMMYFUNCTION("CONCATENATE(GOOGLETRANSLATE(C4342, ""en"", ""ko""))"),"EOQIFJM 범용 휴대폰 스탠드")</f>
        <v>EOQIFJM 범용 휴대폰 스탠드</v>
      </c>
      <c r="F4342" s="1" t="str">
        <f>IFERROR(__xludf.DUMMYFUNCTION("CONCATENATE(GOOGLETRANSLATE(C4342, ""en"", ""ja""))"),"EOQIFJM ユニバーサル携帯電話スタンド")</f>
        <v>EOQIFJM ユニバーサル携帯電話スタンド</v>
      </c>
    </row>
    <row r="4343" ht="15.75" customHeight="1">
      <c r="A4343" s="1">
        <v>6664.0</v>
      </c>
      <c r="B4343" s="1" t="s">
        <v>15</v>
      </c>
      <c r="C4343" s="1" t="s">
        <v>3753</v>
      </c>
      <c r="D4343" s="1" t="str">
        <f>IFERROR(__xludf.DUMMYFUNCTION("CONCATENATE(GOOGLETRANSLATE(C4343, ""en"", ""zh-cn""))"),"LOVEHANDLE 通用手机手柄，适用于智能手机和迷你平板电脑 - 手持手机支架 - 兼容无线充电 - 美国制造 - 实心")</f>
        <v>LOVEHANDLE 通用手机手柄，适用于智能手机和迷你平板电脑 - 手持手机支架 - 兼容无线充电 - 美国制造 - 实心</v>
      </c>
      <c r="E4343" s="1" t="str">
        <f>IFERROR(__xludf.DUMMYFUNCTION("CONCATENATE(GOOGLETRANSLATE(C4343, ""en"", ""ko""))"),"LOVEHANDLE 스마트폰 및 미니 태블릿용 범용 휴대폰 그립 - 손용 휴대폰 홀더 - 무선 충전 호환 - 미국산 - 솔리드")</f>
        <v>LOVEHANDLE 스마트폰 및 미니 태블릿용 범용 휴대폰 그립 - 손용 휴대폰 홀더 - 무선 충전 호환 - 미국산 - 솔리드</v>
      </c>
      <c r="F4343" s="1" t="str">
        <f>IFERROR(__xludf.DUMMYFUNCTION("CONCATENATE(GOOGLETRANSLATE(C4343, ""en"", ""ja""))"),"LOVEHANDLE スマートフォン &amp; ミニタブレット用ユニバーサル電話グリップ - 手持ち用電話ホルダー - ワイヤレス充電対応 - 米国製 - ソリッド")</f>
        <v>LOVEHANDLE スマートフォン &amp; ミニタブレット用ユニバーサル電話グリップ - 手持ち用電話ホルダー - ワイヤレス充電対応 - 米国製 - ソリッド</v>
      </c>
    </row>
    <row r="4344" ht="15.75" customHeight="1">
      <c r="A4344" s="1">
        <v>6667.0</v>
      </c>
      <c r="B4344" s="1" t="s">
        <v>15</v>
      </c>
      <c r="C4344" s="1" t="s">
        <v>3754</v>
      </c>
      <c r="D4344" s="1" t="str">
        <f>IFERROR(__xludf.DUMMYFUNCTION("CONCATENATE(GOOGLETRANSLATE(C4344, ""en"", ""zh-cn""))"),"SINJIMORU 贴式电话卡夹，带现金存储空间")</f>
        <v>SINJIMORU 贴式电话卡夹，带现金存储空间</v>
      </c>
      <c r="E4344" s="1" t="str">
        <f>IFERROR(__xludf.DUMMYFUNCTION("CONCATENATE(GOOGLETRANSLATE(C4344, ""en"", ""ko""))"),"신지모루 현금 보관용 부착형 휴대폰 카드 홀더")</f>
        <v>신지모루 현금 보관용 부착형 휴대폰 카드 홀더</v>
      </c>
      <c r="F4344" s="1" t="str">
        <f>IFERROR(__xludf.DUMMYFUNCTION("CONCATENATE(GOOGLETRANSLATE(C4344, ""en"", ""ja""))"),"SINJIMORU 貼り付け式テレホンカードホルダー 現金収納付き")</f>
        <v>SINJIMORU 貼り付け式テレホンカードホルダー 現金収納付き</v>
      </c>
    </row>
    <row r="4345" ht="15.75" customHeight="1">
      <c r="A4345" s="1">
        <v>6675.0</v>
      </c>
      <c r="B4345" s="1" t="s">
        <v>15</v>
      </c>
      <c r="C4345" s="1" t="s">
        <v>3755</v>
      </c>
      <c r="D4345" s="1" t="str">
        <f>IFERROR(__xludf.DUMMYFUNCTION("CONCATENATE(GOOGLETRANSLATE(C4345, ""en"", ""zh-cn""))"),"CASETiFY 卵石纹手机带 - 灰色")</f>
        <v>CASETiFY 卵石纹手机带 - 灰色</v>
      </c>
      <c r="E4345" s="1" t="str">
        <f>IFERROR(__xludf.DUMMYFUNCTION("CONCATENATE(GOOGLETRANSLATE(C4345, ""en"", ""ko""))"),"CASETiFY 페블 휴대폰 스트랩 - 그레이지")</f>
        <v>CASETiFY 페블 휴대폰 스트랩 - 그레이지</v>
      </c>
      <c r="F4345" s="1" t="str">
        <f>IFERROR(__xludf.DUMMYFUNCTION("CONCATENATE(GOOGLETRANSLATE(C4345, ""en"", ""ja""))"),"CASETiFY ペブルド フォン ストラップ - グレージュ")</f>
        <v>CASETiFY ペブルド フォン ストラップ - グレージュ</v>
      </c>
    </row>
    <row r="4346" ht="15.75" customHeight="1">
      <c r="A4346" s="1">
        <v>6689.0</v>
      </c>
      <c r="B4346" s="1" t="s">
        <v>15</v>
      </c>
      <c r="C4346" s="1" t="s">
        <v>3756</v>
      </c>
      <c r="D4346" s="1" t="str">
        <f>IFERROR(__xludf.DUMMYFUNCTION("CONCATENATE(GOOGLETRANSLATE(C4346, ""en"", ""zh-cn""))"),"PopSockets PopWallet+ 手机钱包")</f>
        <v>PopSockets PopWallet+ 手机钱包</v>
      </c>
      <c r="E4346" s="1" t="str">
        <f>IFERROR(__xludf.DUMMYFUNCTION("CONCATENATE(GOOGLETRANSLATE(C4346, ""en"", ""ko""))"),"PopSockets PopWallet+ 휴대폰 지갑")</f>
        <v>PopSockets PopWallet+ 휴대폰 지갑</v>
      </c>
      <c r="F4346" s="1" t="str">
        <f>IFERROR(__xludf.DUMMYFUNCTION("CONCATENATE(GOOGLETRANSLATE(C4346, ""en"", ""ja""))"),"PopSockets PopWallet+ 電話ウォレット")</f>
        <v>PopSockets PopWallet+ 電話ウォレット</v>
      </c>
    </row>
    <row r="4347" ht="15.75" customHeight="1">
      <c r="A4347" s="1">
        <v>6694.0</v>
      </c>
      <c r="B4347" s="1" t="s">
        <v>15</v>
      </c>
      <c r="C4347" s="1" t="s">
        <v>3757</v>
      </c>
      <c r="D4347" s="1" t="str">
        <f>IFERROR(__xludf.DUMMYFUNCTION("CONCATENATE(GOOGLETRANSLATE(C4347, ""en"", ""zh-cn""))"),"Frigidaire Gallery 30 电灶 GCRE3060BF")</f>
        <v>Frigidaire Gallery 30 电灶 GCRE3060BF</v>
      </c>
      <c r="E4347" s="1" t="str">
        <f>IFERROR(__xludf.DUMMYFUNCTION("CONCATENATE(GOOGLETRANSLATE(C4347, ""en"", ""ko""))"),"Frigidaire 갤러리 30 전기 범위 GCRE3060BF")</f>
        <v>Frigidaire 갤러리 30 전기 범위 GCRE3060BF</v>
      </c>
      <c r="F4347" s="1" t="str">
        <f>IFERROR(__xludf.DUMMYFUNCTION("CONCATENATE(GOOGLETRANSLATE(C4347, ""en"", ""ja""))"),"フリジデア ギャラリー 30 電気レンジ GCRE3060BF")</f>
        <v>フリジデア ギャラリー 30 電気レンジ GCRE3060BF</v>
      </c>
    </row>
    <row r="4348" ht="15.75" customHeight="1">
      <c r="A4348" s="1">
        <v>6698.0</v>
      </c>
      <c r="B4348" s="1" t="s">
        <v>15</v>
      </c>
      <c r="C4348" s="1" t="s">
        <v>3758</v>
      </c>
      <c r="D4348" s="1" t="str">
        <f>IFERROR(__xludf.DUMMYFUNCTION("CONCATENATE(GOOGLETRANSLATE(C4348, ""en"", ""zh-cn""))"),"SMEG 滴滤式咖啡机")</f>
        <v>SMEG 滴滤式咖啡机</v>
      </c>
      <c r="E4348" s="1" t="str">
        <f>IFERROR(__xludf.DUMMYFUNCTION("CONCATENATE(GOOGLETRANSLATE(C4348, ""en"", ""ko""))"),"스메그 드립 커피 머신")</f>
        <v>스메그 드립 커피 머신</v>
      </c>
      <c r="F4348" s="1" t="str">
        <f>IFERROR(__xludf.DUMMYFUNCTION("CONCATENATE(GOOGLETRANSLATE(C4348, ""en"", ""ja""))"),"スメグ ドリップコーヒーマシン")</f>
        <v>スメグ ドリップコーヒーマシン</v>
      </c>
    </row>
    <row r="4349" ht="15.75" customHeight="1">
      <c r="A4349" s="1">
        <v>6707.0</v>
      </c>
      <c r="B4349" s="1" t="s">
        <v>15</v>
      </c>
      <c r="C4349" s="1" t="s">
        <v>3759</v>
      </c>
      <c r="D4349" s="1" t="str">
        <f>IFERROR(__xludf.DUMMYFUNCTION("CONCATENATE(GOOGLETRANSLATE(C4349, ""en"", ""zh-cn""))"),"CT1002-47 黑色和木质吊扇带遥控和灯光套件，优雅吊坠，适合餐厅酒吧、家居装饰")</f>
        <v>CT1002-47 黑色和木质吊扇带遥控和灯光套件，优雅吊坠，适合餐厅酒吧、家居装饰</v>
      </c>
      <c r="E4349" s="1" t="str">
        <f>IFERROR(__xludf.DUMMYFUNCTION("CONCATENATE(GOOGLETRANSLATE(C4349, ""en"", ""ko""))"),"CT1002-47 원격 및 조명 키트가 포함된 검정색과 목재 색상의 매력 천장 팬, 다이닝 룸 바, 홈 장식용 우아한 펜던트")</f>
        <v>CT1002-47 원격 및 조명 키트가 포함된 검정색과 목재 색상의 매력 천장 팬, 다이닝 룸 바, 홈 장식용 우아한 펜던트</v>
      </c>
      <c r="F4349" s="1" t="str">
        <f>IFERROR(__xludf.DUMMYFUNCTION("CONCATENATE(GOOGLETRANSLATE(C4349, ""en"", ""ja""))"),"CT1002-47 ブラックとウッドカラーのチャームシーリングファン、リモコンとライトキット付き、エレガントなペンダント、ダイニングルームバー、家の装飾用")</f>
        <v>CT1002-47 ブラックとウッドカラーのチャームシーリングファン、リモコンとライトキット付き、エレガントなペンダント、ダイニングルームバー、家の装飾用</v>
      </c>
    </row>
    <row r="4350" ht="15.75" customHeight="1">
      <c r="A4350" s="1">
        <v>6719.0</v>
      </c>
      <c r="B4350" s="1" t="s">
        <v>15</v>
      </c>
      <c r="C4350" s="1" t="s">
        <v>3760</v>
      </c>
      <c r="D4350" s="1" t="str">
        <f>IFERROR(__xludf.DUMMYFUNCTION("CONCATENATE(GOOGLETRANSLATE(C4350, ""en"", ""zh-cn""))"),"Haden Heritage 2 片烤面包机")</f>
        <v>Haden Heritage 2 片烤面包机</v>
      </c>
      <c r="E4350" s="1" t="str">
        <f>IFERROR(__xludf.DUMMYFUNCTION("CONCATENATE(GOOGLETRANSLATE(C4350, ""en"", ""ko""))"),"Haden Heritage 2슬라이스 토스터")</f>
        <v>Haden Heritage 2슬라이스 토스터</v>
      </c>
      <c r="F4350" s="1" t="str">
        <f>IFERROR(__xludf.DUMMYFUNCTION("CONCATENATE(GOOGLETRANSLATE(C4350, ""en"", ""ja""))"),"Haden Heritage 2スライス トースター")</f>
        <v>Haden Heritage 2スライス トースター</v>
      </c>
    </row>
    <row r="4351" ht="15.75" customHeight="1">
      <c r="A4351" s="1">
        <v>6723.0</v>
      </c>
      <c r="B4351" s="1" t="s">
        <v>15</v>
      </c>
      <c r="C4351" s="1" t="s">
        <v>3761</v>
      </c>
      <c r="D4351" s="1" t="str">
        <f>IFERROR(__xludf.DUMMYFUNCTION("CONCATENATE(GOOGLETRANSLATE(C4351, ""en"", ""zh-cn""))"),"热点 4.0 立方米英尺容量清洗机，带不锈钢篮、冷加和水位控制")</f>
        <v>热点 4.0 立方米英尺容量清洗机，带不锈钢篮、冷加和水位控制</v>
      </c>
      <c r="E4351" s="1" t="str">
        <f>IFERROR(__xludf.DUMMYFUNCTION("CONCATENATE(GOOGLETRANSLATE(C4351, ""en"", ""ko""))"),"핫포인트 4.0cu. ft. 스테인레스 스틸 바구니, 콜드 ​​플러스 및 수위 조절 기능이 있는 용량 세탁기")</f>
        <v>핫포인트 4.0cu. ft. 스테인레스 스틸 바구니, 콜드 ​​플러스 및 수위 조절 기능이 있는 용량 세탁기</v>
      </c>
      <c r="F4351" s="1" t="str">
        <f>IFERROR(__xludf.DUMMYFUNCTION("CONCATENATE(GOOGLETRANSLATE(C4351, ""en"", ""ja""))"),"ホットポイント4.0立方メートル。ステンレススチールバスケット、Cold Plus、水位制御付き容量フィート洗濯機")</f>
        <v>ホットポイント4.0立方メートル。ステンレススチールバスケット、Cold Plus、水位制御付き容量フィート洗濯機</v>
      </c>
    </row>
    <row r="4352" ht="15.75" customHeight="1">
      <c r="A4352" s="1">
        <v>6725.0</v>
      </c>
      <c r="B4352" s="1" t="s">
        <v>15</v>
      </c>
      <c r="C4352" s="1" t="s">
        <v>3762</v>
      </c>
      <c r="D4352" s="1" t="str">
        <f>IFERROR(__xludf.DUMMYFUNCTION("CONCATENATE(GOOGLETRANSLATE(C4352, ""en"", ""zh-cn""))"),"格兰仕 3.1 立方英尺复古迷你冰箱连冰柜")</f>
        <v>格兰仕 3.1 立方英尺复古迷你冰箱连冰柜</v>
      </c>
      <c r="E4352" s="1" t="str">
        <f>IFERROR(__xludf.DUMMYFUNCTION("CONCATENATE(GOOGLETRANSLATE(C4352, ""en"", ""ko""))"),"Galanz 3.1 Cu ft 레트로 미니 냉장고(냉동고 포함)")</f>
        <v>Galanz 3.1 Cu ft 레트로 미니 냉장고(냉동고 포함)</v>
      </c>
      <c r="F4352" s="1" t="str">
        <f>IFERROR(__xludf.DUMMYFUNCTION("CONCATENATE(GOOGLETRANSLATE(C4352, ""en"", ""ja""))"),"Galanz 3.1 立方フィート レトロ ミニ冷蔵庫 冷凍庫付き")</f>
        <v>Galanz 3.1 立方フィート レトロ ミニ冷蔵庫 冷凍庫付き</v>
      </c>
    </row>
    <row r="4353" ht="15.75" customHeight="1">
      <c r="A4353" s="1">
        <v>6729.0</v>
      </c>
      <c r="B4353" s="1" t="s">
        <v>15</v>
      </c>
      <c r="C4353" s="1" t="s">
        <v>3763</v>
      </c>
      <c r="D4353" s="1" t="str">
        <f>IFERROR(__xludf.DUMMYFUNCTION("CONCATENATE(GOOGLETRANSLATE(C4353, ""en"", ""zh-cn""))"),"Smeg Estetica 50 年代风格过滤咖啡机")</f>
        <v>Smeg Estetica 50 年代风格过滤咖啡机</v>
      </c>
      <c r="E4353" s="1" t="str">
        <f>IFERROR(__xludf.DUMMYFUNCTION("CONCATENATE(GOOGLETRANSLATE(C4353, ""en"", ""ko""))"),"Smeg Estetica 50년대 스타일 필터 커피 머신")</f>
        <v>Smeg Estetica 50년대 스타일 필터 커피 머신</v>
      </c>
      <c r="F4353" s="1" t="str">
        <f>IFERROR(__xludf.DUMMYFUNCTION("CONCATENATE(GOOGLETRANSLATE(C4353, ""en"", ""ja""))"),"Smeg Estetica 50 年代スタイルのフィルターコーヒーマシン")</f>
        <v>Smeg Estetica 50 年代スタイルのフィルターコーヒーマシン</v>
      </c>
    </row>
    <row r="4354" ht="15.75" customHeight="1">
      <c r="A4354" s="1">
        <v>6732.0</v>
      </c>
      <c r="B4354" s="1" t="s">
        <v>15</v>
      </c>
      <c r="C4354" s="1" t="s">
        <v>3764</v>
      </c>
      <c r="D4354" s="1" t="str">
        <f>IFERROR(__xludf.DUMMYFUNCTION("CONCATENATE(GOOGLETRANSLATE(C4354, ""en"", ""zh-cn""))"),"Herbalosophy 生物素含摩洛哥坚果油和维生素 B7 洗发水和护发素套装")</f>
        <v>Herbalosophy 生物素含摩洛哥坚果油和维生素 B7 洗发水和护发素套装</v>
      </c>
      <c r="E4354" s="1" t="str">
        <f>IFERROR(__xludf.DUMMYFUNCTION("CONCATENATE(GOOGLETRANSLATE(C4354, ""en"", ""ko""))"),"아르간 오일과 비타민 B7이 함유된 허벌로소피 비오틴 샴푸 &amp; 컨디셔너 세트")</f>
        <v>아르간 오일과 비타민 B7이 함유된 허벌로소피 비오틴 샴푸 &amp; 컨디셔너 세트</v>
      </c>
      <c r="F4354" s="1" t="str">
        <f>IFERROR(__xludf.DUMMYFUNCTION("CONCATENATE(GOOGLETRANSLATE(C4354, ""en"", ""ja""))"),"Herbalosophy ビオチン アルガン オイルとビタミン B7 シャンプー &amp; コンディショナー セット")</f>
        <v>Herbalosophy ビオチン アルガン オイルとビタミン B7 シャンプー &amp; コンディショナー セット</v>
      </c>
    </row>
    <row r="4355" ht="15.75" customHeight="1">
      <c r="A4355" s="1">
        <v>6735.0</v>
      </c>
      <c r="B4355" s="1" t="s">
        <v>15</v>
      </c>
      <c r="C4355" s="1" t="s">
        <v>3765</v>
      </c>
      <c r="D4355" s="1" t="str">
        <f>IFERROR(__xludf.DUMMYFUNCTION("CONCATENATE(GOOGLETRANSLATE(C4355, ""en"", ""zh-cn""))"),"香草杏仁洗发水")</f>
        <v>香草杏仁洗发水</v>
      </c>
      <c r="E4355" s="1" t="str">
        <f>IFERROR(__xludf.DUMMYFUNCTION("CONCATENATE(GOOGLETRANSLATE(C4355, ""en"", ""ko""))"),"바닐라 &amp; 아몬드 샴푸")</f>
        <v>바닐라 &amp; 아몬드 샴푸</v>
      </c>
      <c r="F4355" s="1" t="str">
        <f>IFERROR(__xludf.DUMMYFUNCTION("CONCATENATE(GOOGLETRANSLATE(C4355, ""en"", ""ja""))"),"バニラ＆アーモンド シャンプー")</f>
        <v>バニラ＆アーモンド シャンプー</v>
      </c>
    </row>
    <row r="4356" ht="15.75" customHeight="1">
      <c r="A4356" s="1">
        <v>6740.0</v>
      </c>
      <c r="B4356" s="1" t="s">
        <v>15</v>
      </c>
      <c r="C4356" s="1" t="s">
        <v>3766</v>
      </c>
      <c r="D4356" s="1" t="str">
        <f>IFERROR(__xludf.DUMMYFUNCTION("CONCATENATE(GOOGLETRANSLATE(C4356, ""en"", ""zh-cn""))"),"Nature's Truth 头发、皮肤和指甲含生物素")</f>
        <v>Nature's Truth 头发、皮肤和指甲含生物素</v>
      </c>
      <c r="E4356" s="1" t="str">
        <f>IFERROR(__xludf.DUMMYFUNCTION("CONCATENATE(GOOGLETRANSLATE(C4356, ""en"", ""ko""))"),"비오틴이 함유된 Nature's Truth 모발, 피부, 손톱")</f>
        <v>비오틴이 함유된 Nature's Truth 모발, 피부, 손톱</v>
      </c>
      <c r="F4356" s="1" t="str">
        <f>IFERROR(__xludf.DUMMYFUNCTION("CONCATENATE(GOOGLETRANSLATE(C4356, ""en"", ""ja""))"),"Nature's Truth ビオチンによる髪、肌、爪")</f>
        <v>Nature's Truth ビオチンによる髪、肌、爪</v>
      </c>
    </row>
    <row r="4357" ht="15.75" customHeight="1">
      <c r="A4357" s="1">
        <v>6753.0</v>
      </c>
      <c r="B4357" s="1" t="s">
        <v>15</v>
      </c>
      <c r="C4357" s="1" t="s">
        <v>3767</v>
      </c>
      <c r="D4357" s="1" t="str">
        <f>IFERROR(__xludf.DUMMYFUNCTION("CONCATENATE(GOOGLETRANSLATE(C4357, ""en"", ""zh-cn""))"),"玫瑰果护发素")</f>
        <v>玫瑰果护发素</v>
      </c>
      <c r="E4357" s="1" t="str">
        <f>IFERROR(__xludf.DUMMYFUNCTION("CONCATENATE(GOOGLETRANSLATE(C4357, ""en"", ""ko""))"),"로즈힙 컨디셔너")</f>
        <v>로즈힙 컨디셔너</v>
      </c>
      <c r="F4357" s="1" t="str">
        <f>IFERROR(__xludf.DUMMYFUNCTION("CONCATENATE(GOOGLETRANSLATE(C4357, ""en"", ""ja""))"),"ローズヒップコンディショナー")</f>
        <v>ローズヒップコンディショナー</v>
      </c>
    </row>
    <row r="4358" ht="15.75" customHeight="1">
      <c r="A4358" s="1">
        <v>6761.0</v>
      </c>
      <c r="B4358" s="1" t="s">
        <v>15</v>
      </c>
      <c r="C4358" s="1" t="s">
        <v>3768</v>
      </c>
      <c r="D4358" s="1" t="str">
        <f>IFERROR(__xludf.DUMMYFUNCTION("CONCATENATE(GOOGLETRANSLATE(C4358, ""en"", ""zh-cn""))"),"澳洲奇迹保湿洗发水和护发素套装")</f>
        <v>澳洲奇迹保湿洗发水和护发素套装</v>
      </c>
      <c r="E4358" s="1" t="str">
        <f>IFERROR(__xludf.DUMMYFUNCTION("CONCATENATE(GOOGLETRANSLATE(C4358, ""en"", ""ko""))"),"오지 미라클 모이스트 샴푸 및 컨디셔너 헤어 세트")</f>
        <v>오지 미라클 모이스트 샴푸 및 컨디셔너 헤어 세트</v>
      </c>
      <c r="F4358" s="1" t="str">
        <f>IFERROR(__xludf.DUMMYFUNCTION("CONCATENATE(GOOGLETRANSLATE(C4358, ""en"", ""ja""))"),"オージー ミラクル モイスト シャンプー＆コンディショナー ヘアセット")</f>
        <v>オージー ミラクル モイスト シャンプー＆コンディショナー ヘアセット</v>
      </c>
    </row>
    <row r="4359" ht="15.75" customHeight="1">
      <c r="A4359" s="1">
        <v>6768.0</v>
      </c>
      <c r="B4359" s="1" t="s">
        <v>15</v>
      </c>
      <c r="C4359" s="1" t="s">
        <v>3769</v>
      </c>
      <c r="D4359" s="1" t="str">
        <f>IFERROR(__xludf.DUMMYFUNCTION("CONCATENATE(GOOGLETRANSLATE(C4359, ""en"", ""zh-cn""))"),"YOGI'S GIFT 庆祝健康草本护发组合套装（500 克/17.65 盎司） |含有阿育吠陀粉末的发膜：Amla、Reetha、Shikakai、Brahmi、")</f>
        <v>YOGI'S GIFT 庆祝健康草本护发组合套装（500 克/17.65 盎司） |含有阿育吠陀粉末的发膜：Amla、Reetha、Shikakai、Brahmi、</v>
      </c>
      <c r="E4359" s="1" t="str">
        <f>IFERROR(__xludf.DUMMYFUNCTION("CONCATENATE(GOOGLETRANSLATE(C4359, ""en"", ""ko""))"),"YOGI'S GIFT 건강 축하 허브 헤어 케어 콤보 팩 (500g/17.65oz) | 아유르베다 파우더가 함유된 헤어 마스크: Amla, Reetha, Shikakai, Brahmi,")</f>
        <v>YOGI'S GIFT 건강 축하 허브 헤어 케어 콤보 팩 (500g/17.65oz) | 아유르베다 파우더가 함유된 헤어 마스크: Amla, Reetha, Shikakai, Brahmi,</v>
      </c>
      <c r="F4359" s="1" t="str">
        <f>IFERROR(__xludf.DUMMYFUNCTION("CONCATENATE(GOOGLETRANSLATE(C4359, ""en"", ""ja""))"),"YOGI'S GIFT セレブレーティング ヘルス ハーバル ヘアケア コンボ パック (500g/17.65oz) |アーユルヴェーダパウダー入りヘアマスク：アムラ、リータ、シカカイ、ブラーミ、")</f>
        <v>YOGI'S GIFT セレブレーティング ヘルス ハーバル ヘアケア コンボ パック (500g/17.65oz) |アーユルヴェーダパウダー入りヘアマスク：アムラ、リータ、シカカイ、ブラーミ、</v>
      </c>
    </row>
    <row r="4360" ht="15.75" customHeight="1">
      <c r="A4360" s="1">
        <v>6771.0</v>
      </c>
      <c r="B4360" s="1" t="s">
        <v>15</v>
      </c>
      <c r="C4360" s="1" t="s">
        <v>3309</v>
      </c>
      <c r="D4360" s="1" t="str">
        <f>IFERROR(__xludf.DUMMYFUNCTION("CONCATENATE(GOOGLETRANSLATE(C4360, ""en"", ""zh-cn""))"),"美发目标丰盈功能")</f>
        <v>美发目标丰盈功能</v>
      </c>
      <c r="E4360" s="1" t="str">
        <f>IFERROR(__xludf.DUMMYFUNCTION("CONCATENATE(GOOGLETRANSLATE(C4360, ""en"", ""ko""))"),"뷰티 헤어 골 볼류마이징 기능")</f>
        <v>뷰티 헤어 골 볼류마이징 기능</v>
      </c>
      <c r="F4360" s="1" t="str">
        <f>IFERROR(__xludf.DUMMYFUNCTION("CONCATENATE(GOOGLETRANSLATE(C4360, ""en"", ""ja""))"),"美髪ゴールのボリュームアップの機能")</f>
        <v>美髪ゴールのボリュームアップの機能</v>
      </c>
    </row>
    <row r="4361" ht="15.75" customHeight="1">
      <c r="A4361" s="1">
        <v>6783.0</v>
      </c>
      <c r="B4361" s="1" t="s">
        <v>15</v>
      </c>
      <c r="C4361" s="1" t="s">
        <v>3770</v>
      </c>
      <c r="D4361" s="1" t="str">
        <f>IFERROR(__xludf.DUMMYFUNCTION("CONCATENATE(GOOGLETRANSLATE(C4361, ""en"", ""zh-cn""))"),"天然第一有机苹果醋整理冲洗")</f>
        <v>天然第一有机苹果醋整理冲洗</v>
      </c>
      <c r="E4361" s="1" t="str">
        <f>IFERROR(__xludf.DUMMYFUNCTION("CONCATENATE(GOOGLETRANSLATE(C4361, ""en"", ""ko""))"),"내추럴 퍼스트 유기농 사과 식초 마무리 린스")</f>
        <v>내추럴 퍼스트 유기농 사과 식초 마무리 린스</v>
      </c>
      <c r="F4361" s="1" t="str">
        <f>IFERROR(__xludf.DUMMYFUNCTION("CONCATENATE(GOOGLETRANSLATE(C4361, ""en"", ""ja""))"),"ナチュラルファースト オーガニックアップルサイダービネガー フィニッシュリンス")</f>
        <v>ナチュラルファースト オーガニックアップルサイダービネガー フィニッシュリンス</v>
      </c>
    </row>
    <row r="4362" ht="15.75" customHeight="1">
      <c r="A4362" s="1">
        <v>6793.0</v>
      </c>
      <c r="B4362" s="1" t="s">
        <v>15</v>
      </c>
      <c r="C4362" s="1" t="s">
        <v>3771</v>
      </c>
      <c r="D4362" s="1" t="str">
        <f>IFERROR(__xludf.DUMMYFUNCTION("CONCATENATE(GOOGLETRANSLATE(C4362, ""en"", ""zh-cn""))"),"OGX 浓密饱满 + 生物素和胶原蛋白超强丰盈洗发水 + 护发素，含维生素 B7 和水解小麦蛋白，适合细发")</f>
        <v>OGX 浓密饱满 + 生物素和胶原蛋白超强丰盈洗发水 + 护发素，含维生素 B7 和水解小麦蛋白，适合细发</v>
      </c>
      <c r="E4362" s="1" t="str">
        <f>IFERROR(__xludf.DUMMYFUNCTION("CONCATENATE(GOOGLETRANSLATE(C4362, ""en"", ""ko""))"),"OGX Thick &amp; Full + 비오틴 &amp; 콜라겐 엑스트라 스트렝스 볼류마이징 샴푸 + 가는 모발을 위한 비타민 B7 및 가수분해 밀 단백질 함유 컨디셔너")</f>
        <v>OGX Thick &amp; Full + 비오틴 &amp; 콜라겐 엑스트라 스트렝스 볼류마이징 샴푸 + 가는 모발을 위한 비타민 B7 및 가수분해 밀 단백질 함유 컨디셔너</v>
      </c>
      <c r="F4362" s="1" t="str">
        <f>IFERROR(__xludf.DUMMYFUNCTION("CONCATENATE(GOOGLETRANSLATE(C4362, ""en"", ""ja""))"),"OGX シック &amp; フル + ビオチン &amp; コラーゲン エクストラストレングス ボリュームアップ シャンプー + ビタミン B7 と加水分解小麦タンパク質を配合した細い髪用コンディショナー")</f>
        <v>OGX シック &amp; フル + ビオチン &amp; コラーゲン エクストラストレングス ボリュームアップ シャンプー + ビタミン B7 と加水分解小麦タンパク質を配合した細い髪用コンディショナー</v>
      </c>
    </row>
    <row r="4363" ht="15.75" customHeight="1">
      <c r="A4363" s="1">
        <v>6794.0</v>
      </c>
      <c r="B4363" s="1" t="s">
        <v>15</v>
      </c>
      <c r="C4363" s="1" t="s">
        <v>3772</v>
      </c>
      <c r="D4363" s="1" t="str">
        <f>IFERROR(__xludf.DUMMYFUNCTION("CONCATENATE(GOOGLETRANSLATE(C4363, ""en"", ""zh-cn""))"),"Luseta 生物素和胶原蛋白护发素")</f>
        <v>Luseta 生物素和胶原蛋白护发素</v>
      </c>
      <c r="E4363" s="1" t="str">
        <f>IFERROR(__xludf.DUMMYFUNCTION("CONCATENATE(GOOGLETRANSLATE(C4363, ""en"", ""ko""))"),"루세타 비오틴 &amp; 콜라겐 컨디셔너")</f>
        <v>루세타 비오틴 &amp; 콜라겐 컨디셔너</v>
      </c>
      <c r="F4363" s="1" t="str">
        <f>IFERROR(__xludf.DUMMYFUNCTION("CONCATENATE(GOOGLETRANSLATE(C4363, ""en"", ""ja""))"),"ルセタ ビオチン &amp; コラーゲン コンディショナー")</f>
        <v>ルセタ ビオチン &amp; コラーゲン コンディショナー</v>
      </c>
    </row>
    <row r="4364" ht="15.75" customHeight="1">
      <c r="A4364" s="1">
        <v>6800.0</v>
      </c>
      <c r="B4364" s="1" t="s">
        <v>15</v>
      </c>
      <c r="C4364" s="1" t="s">
        <v>3773</v>
      </c>
      <c r="D4364" s="1" t="str">
        <f>IFERROR(__xludf.DUMMYFUNCTION("CONCATENATE(GOOGLETRANSLATE(C4364, ""en"", ""zh-cn""))"),"Hairfluence - 含生物素、烟酸、胶原蛋白，健康皮肤、头发和指甲")</f>
        <v>Hairfluence - 含生物素、烟酸、胶原蛋白，健康皮肤、头发和指甲</v>
      </c>
      <c r="E4364" s="1" t="str">
        <f>IFERROR(__xludf.DUMMYFUNCTION("CONCATENATE(GOOGLETRANSLATE(C4364, ""en"", ""ko""))"),"Hairfluence - 비오틴, 니아신, 콜라겐 함유, 건강한 피부, 헤어 &amp; 손톱")</f>
        <v>Hairfluence - 비오틴, 니아신, 콜라겐 함유, 건강한 피부, 헤어 &amp; 손톱</v>
      </c>
      <c r="F4364" s="1" t="str">
        <f>IFERROR(__xludf.DUMMYFUNCTION("CONCATENATE(GOOGLETRANSLATE(C4364, ""en"", ""ja""))"),"Hairfluence - ビオチン、ナイアシン、コラーゲン、健康な肌、髪、爪を配合")</f>
        <v>Hairfluence - ビオチン、ナイアシン、コラーゲン、健康な肌、髪、爪を配合</v>
      </c>
    </row>
    <row r="4365" ht="15.75" customHeight="1">
      <c r="A4365" s="1">
        <v>6804.0</v>
      </c>
      <c r="B4365" s="1" t="s">
        <v>15</v>
      </c>
      <c r="C4365" s="1" t="s">
        <v>3774</v>
      </c>
      <c r="D4365" s="1" t="str">
        <f>IFERROR(__xludf.DUMMYFUNCTION("CONCATENATE(GOOGLETRANSLATE(C4365, ""en"", ""zh-cn""))"),"Maple Holistics 生物素洗发水和护发素套装")</f>
        <v>Maple Holistics 生物素洗发水和护发素套装</v>
      </c>
      <c r="E4365" s="1" t="str">
        <f>IFERROR(__xludf.DUMMYFUNCTION("CONCATENATE(GOOGLETRANSLATE(C4365, ""en"", ""ko""))"),"메이플 홀리스틱스 비오틴 샴푸 및 컨디셔너 세트")</f>
        <v>메이플 홀리스틱스 비오틴 샴푸 및 컨디셔너 세트</v>
      </c>
      <c r="F4365" s="1" t="str">
        <f>IFERROR(__xludf.DUMMYFUNCTION("CONCATENATE(GOOGLETRANSLATE(C4365, ""en"", ""ja""))"),"メープル ホリスティックス ビオチン シャンプーとコンディショナー セット")</f>
        <v>メープル ホリスティックス ビオチン シャンプーとコンディショナー セット</v>
      </c>
    </row>
    <row r="4366" ht="15.75" customHeight="1">
      <c r="A4366" s="1">
        <v>6825.0</v>
      </c>
      <c r="B4366" s="1" t="s">
        <v>15</v>
      </c>
      <c r="C4366" s="1" t="s">
        <v>3775</v>
      </c>
      <c r="D4366" s="1" t="str">
        <f>IFERROR(__xludf.DUMMYFUNCTION("CONCATENATE(GOOGLETRANSLATE(C4366, ""en"", ""zh-cn""))"),"金钱心理学：关于财富、贪婪和幸福的永恒教训")</f>
        <v>金钱心理学：关于财富、贪婪和幸福的永恒教训</v>
      </c>
      <c r="E4366" s="1" t="str">
        <f>IFERROR(__xludf.DUMMYFUNCTION("CONCATENATE(GOOGLETRANSLATE(C4366, ""en"", ""ko""))"),"돈의 심리학: 부, 탐욕, 행복에 대한 시대를 초월한 교훈")</f>
        <v>돈의 심리학: 부, 탐욕, 행복에 대한 시대를 초월한 교훈</v>
      </c>
      <c r="F4366" s="1" t="str">
        <f>IFERROR(__xludf.DUMMYFUNCTION("CONCATENATE(GOOGLETRANSLATE(C4366, ""en"", ""ja""))"),"お金の心理学: 富、貪欲、幸福に関する時代を超えた教訓")</f>
        <v>お金の心理学: 富、貪欲、幸福に関する時代を超えた教訓</v>
      </c>
    </row>
    <row r="4367" ht="15.75" customHeight="1">
      <c r="A4367" s="1">
        <v>6826.0</v>
      </c>
      <c r="B4367" s="1" t="s">
        <v>15</v>
      </c>
      <c r="C4367" s="1" t="s">
        <v>3776</v>
      </c>
      <c r="D4367" s="1" t="str">
        <f>IFERROR(__xludf.DUMMYFUNCTION("CONCATENATE(GOOGLETRANSLATE(C4367, ""en"", ""zh-cn""))"),"荆棘与玫瑰法庭")</f>
        <v>荆棘与玫瑰法庭</v>
      </c>
      <c r="E4367" s="1" t="str">
        <f>IFERROR(__xludf.DUMMYFUNCTION("CONCATENATE(GOOGLETRANSLATE(C4367, ""en"", ""ko""))"),"가시와 장미의 법정")</f>
        <v>가시와 장미의 법정</v>
      </c>
      <c r="F4367" s="1" t="str">
        <f>IFERROR(__xludf.DUMMYFUNCTION("CONCATENATE(GOOGLETRANSLATE(C4367, ""en"", ""ja""))"),"いばらとバラの中庭")</f>
        <v>いばらとバラの中庭</v>
      </c>
    </row>
    <row r="4368" ht="15.75" customHeight="1">
      <c r="A4368" s="1">
        <v>6839.0</v>
      </c>
      <c r="B4368" s="1" t="s">
        <v>15</v>
      </c>
      <c r="C4368" s="1" t="s">
        <v>3777</v>
      </c>
      <c r="D4368" s="1" t="str">
        <f>IFERROR(__xludf.DUMMYFUNCTION("CONCATENATE(GOOGLETRANSLATE(C4368, ""en"", ""zh-cn""))"),"房间")</f>
        <v>房间</v>
      </c>
      <c r="E4368" s="1" t="str">
        <f>IFERROR(__xludf.DUMMYFUNCTION("CONCATENATE(GOOGLETRANSLATE(C4368, ""en"", ""ko""))"),"방")</f>
        <v>방</v>
      </c>
      <c r="F4368" s="1" t="str">
        <f>IFERROR(__xludf.DUMMYFUNCTION("CONCATENATE(GOOGLETRANSLATE(C4368, ""en"", ""ja""))"),"部屋")</f>
        <v>部屋</v>
      </c>
    </row>
    <row r="4369" ht="15.75" customHeight="1">
      <c r="A4369" s="1">
        <v>6841.0</v>
      </c>
      <c r="B4369" s="1" t="s">
        <v>15</v>
      </c>
      <c r="C4369" s="1" t="s">
        <v>3778</v>
      </c>
      <c r="D4369" s="1" t="str">
        <f>IFERROR(__xludf.DUMMYFUNCTION("CONCATENATE(GOOGLETRANSLATE(C4369, ""en"", ""zh-cn""))"),"从我们开始：一本小说")</f>
        <v>从我们开始：一本小说</v>
      </c>
      <c r="E4369" s="1" t="str">
        <f>IFERROR(__xludf.DUMMYFUNCTION("CONCATENATE(GOOGLETRANSLATE(C4369, ""en"", ""ko""))"),"그것은 우리로부터 시작됩니다: 소설")</f>
        <v>그것은 우리로부터 시작됩니다: 소설</v>
      </c>
      <c r="F4369" s="1" t="str">
        <f>IFERROR(__xludf.DUMMYFUNCTION("CONCATENATE(GOOGLETRANSLATE(C4369, ""en"", ""ja""))"),"それは私たちから始まる: 小説")</f>
        <v>それは私たちから始まる: 小説</v>
      </c>
    </row>
    <row r="4370" ht="15.75" customHeight="1">
      <c r="A4370" s="1">
        <v>6855.0</v>
      </c>
      <c r="B4370" s="1" t="s">
        <v>15</v>
      </c>
      <c r="C4370" s="1" t="s">
        <v>3779</v>
      </c>
      <c r="D4370" s="1" t="str">
        <f>IFERROR(__xludf.DUMMYFUNCTION("CONCATENATE(GOOGLETRANSLATE(C4370, ""en"", ""zh-cn""))"),"索尼 PlayStation Store 蝴蝶结礼品卡")</f>
        <v>索尼 PlayStation Store 蝴蝶结礼品卡</v>
      </c>
      <c r="E4370" s="1" t="str">
        <f>IFERROR(__xludf.DUMMYFUNCTION("CONCATENATE(GOOGLETRANSLATE(C4370, ""en"", ""ko""))"),"Sony PlayStation Store 보우 기프트 카드")</f>
        <v>Sony PlayStation Store 보우 기프트 카드</v>
      </c>
      <c r="F4370" s="1" t="str">
        <f>IFERROR(__xludf.DUMMYFUNCTION("CONCATENATE(GOOGLETRANSLATE(C4370, ""en"", ""ja""))"),"Sony PlayStation Store バウ ギフトカード")</f>
        <v>Sony PlayStation Store バウ ギフトカード</v>
      </c>
    </row>
    <row r="4371" ht="15.75" customHeight="1">
      <c r="A4371" s="1">
        <v>6858.0</v>
      </c>
      <c r="B4371" s="1" t="s">
        <v>15</v>
      </c>
      <c r="C4371" s="1" t="s">
        <v>3780</v>
      </c>
      <c r="D4371" s="1" t="str">
        <f>IFERROR(__xludf.DUMMYFUNCTION("CONCATENATE(GOOGLETRANSLATE(C4371, ""en"", ""zh-cn""))"),"150 美元 PlayStation 商店礼品卡 [数字代码]")</f>
        <v>150 美元 PlayStation 商店礼品卡 [数字代码]</v>
      </c>
      <c r="E4371" s="1" t="str">
        <f>IFERROR(__xludf.DUMMYFUNCTION("CONCATENATE(GOOGLETRANSLATE(C4371, ""en"", ""ko""))"),"$150 PlayStation Store 기프트 카드 [디지털 코드]")</f>
        <v>$150 PlayStation Store 기프트 카드 [디지털 코드]</v>
      </c>
      <c r="F4371" s="1" t="str">
        <f>IFERROR(__xludf.DUMMYFUNCTION("CONCATENATE(GOOGLETRANSLATE(C4371, ""en"", ""ja""))"),"$150 PlayStation Store ギフトカード [デジタルコード]")</f>
        <v>$150 PlayStation Store ギフトカード [デジタルコード]</v>
      </c>
    </row>
    <row r="4372" ht="15.75" customHeight="1">
      <c r="A4372" s="1">
        <v>6867.0</v>
      </c>
      <c r="B4372" s="1" t="s">
        <v>15</v>
      </c>
      <c r="C4372" s="1" t="s">
        <v>3781</v>
      </c>
      <c r="D4372" s="1" t="str">
        <f>IFERROR(__xludf.DUMMYFUNCTION("CONCATENATE(GOOGLETRANSLATE(C4372, ""en"", ""zh-cn""))"),"刺客信条幻影豪华版")</f>
        <v>刺客信条幻影豪华版</v>
      </c>
      <c r="E4372" s="1" t="str">
        <f>IFERROR(__xludf.DUMMYFUNCTION("CONCATENATE(GOOGLETRANSLATE(C4372, ""en"", ""ko""))"),"Assassin's Creed Mirage 디럭스 에디션")</f>
        <v>Assassin's Creed Mirage 디럭스 에디션</v>
      </c>
      <c r="F4372" s="1" t="str">
        <f>IFERROR(__xludf.DUMMYFUNCTION("CONCATENATE(GOOGLETRANSLATE(C4372, ""en"", ""ja""))"),"アサシン クリード ミラージュ デラックス エディション")</f>
        <v>アサシン クリード ミラージュ デラックス エディション</v>
      </c>
    </row>
    <row r="4373" ht="15.75" customHeight="1">
      <c r="A4373" s="1">
        <v>6869.0</v>
      </c>
      <c r="B4373" s="1" t="s">
        <v>15</v>
      </c>
      <c r="C4373" s="1" t="s">
        <v>3782</v>
      </c>
      <c r="D4373" s="1" t="str">
        <f>IFERROR(__xludf.DUMMYFUNCTION("CONCATENATE(GOOGLETRANSLATE(C4373, ""en"", ""zh-cn""))"),"Sony Destiny 2：包含数字豪华内容 - 电子产品")</f>
        <v>Sony Destiny 2：包含数字豪华内容 - 电子产品</v>
      </c>
      <c r="E4373" s="1" t="str">
        <f>IFERROR(__xludf.DUMMYFUNCTION("CONCATENATE(GOOGLETRANSLATE(C4373, ""en"", ""ko""))"),"Sony Destiny 2: 디지털 디럭스 콘텐츠 포함 - 전자제품")</f>
        <v>Sony Destiny 2: 디지털 디럭스 콘텐츠 포함 - 전자제품</v>
      </c>
      <c r="F4373" s="1" t="str">
        <f>IFERROR(__xludf.DUMMYFUNCTION("CONCATENATE(GOOGLETRANSLATE(C4373, ""en"", ""ja""))"),"Sony Destiny 2: デジタル デラックス コンテンツが付属 - 電子機器")</f>
        <v>Sony Destiny 2: デジタル デラックス コンテンツが付属 - 電子機器</v>
      </c>
    </row>
    <row r="4374" ht="15.75" customHeight="1">
      <c r="A4374" s="1">
        <v>6886.0</v>
      </c>
      <c r="B4374" s="1" t="s">
        <v>15</v>
      </c>
      <c r="C4374" s="1" t="s">
        <v>3783</v>
      </c>
      <c r="D4374" s="1" t="str">
        <f>IFERROR(__xludf.DUMMYFUNCTION("CONCATENATE(GOOGLETRANSLATE(C4374, ""en"", ""zh-cn""))"),"浪人的崛起")</f>
        <v>浪人的崛起</v>
      </c>
      <c r="E4374" s="1" t="str">
        <f>IFERROR(__xludf.DUMMYFUNCTION("CONCATENATE(GOOGLETRANSLATE(C4374, ""en"", ""ko""))"),"로닌의 부상")</f>
        <v>로닌의 부상</v>
      </c>
      <c r="F4374" s="1" t="str">
        <f>IFERROR(__xludf.DUMMYFUNCTION("CONCATENATE(GOOGLETRANSLATE(C4374, ""en"", ""ja""))"),"ローニンの台頭")</f>
        <v>ローニンの台頭</v>
      </c>
    </row>
    <row r="4375" ht="15.75" customHeight="1">
      <c r="A4375" s="1">
        <v>6901.0</v>
      </c>
      <c r="B4375" s="1" t="s">
        <v>15</v>
      </c>
      <c r="C4375" s="1" t="s">
        <v>3784</v>
      </c>
      <c r="D4375" s="1" t="str">
        <f>IFERROR(__xludf.DUMMYFUNCTION("CONCATENATE(GOOGLETRANSLATE(C4375, ""en"", ""zh-cn""))"),"Apple 礼品卡 3 美元 - Apple Key - 美国")</f>
        <v>Apple 礼品卡 3 美元 - Apple Key - 美国</v>
      </c>
      <c r="E4375" s="1" t="str">
        <f>IFERROR(__xludf.DUMMYFUNCTION("CONCATENATE(GOOGLETRANSLATE(C4375, ""en"", ""ko""))"),"Apple 기프트 카드 3 USD - Apple 키 - 미국")</f>
        <v>Apple 기프트 카드 3 USD - Apple 키 - 미국</v>
      </c>
      <c r="F4375" s="1" t="str">
        <f>IFERROR(__xludf.DUMMYFUNCTION("CONCATENATE(GOOGLETRANSLATE(C4375, ""en"", ""ja""))"),"Apple ギフトカード 3 USD - Apple Key - 米国")</f>
        <v>Apple ギフトカード 3 USD - Apple Key - 米国</v>
      </c>
    </row>
    <row r="4376" ht="15.75" customHeight="1">
      <c r="A4376" s="1">
        <v>6922.0</v>
      </c>
      <c r="B4376" s="1" t="s">
        <v>15</v>
      </c>
      <c r="C4376" s="1" t="s">
        <v>3785</v>
      </c>
      <c r="D4376" s="1" t="str">
        <f>IFERROR(__xludf.DUMMYFUNCTION("CONCATENATE(GOOGLETRANSLATE(C4376, ""en"", ""zh-cn""))"),"250 美元苹果礼品卡")</f>
        <v>250 美元苹果礼品卡</v>
      </c>
      <c r="E4376" s="1" t="str">
        <f>IFERROR(__xludf.DUMMYFUNCTION("CONCATENATE(GOOGLETRANSLATE(C4376, ""en"", ""ko""))"),"$250 애플 기프트 카드")</f>
        <v>$250 애플 기프트 카드</v>
      </c>
      <c r="F4376" s="1" t="str">
        <f>IFERROR(__xludf.DUMMYFUNCTION("CONCATENATE(GOOGLETRANSLATE(C4376, ""en"", ""ja""))"),"250ドルのアップルギフトカード")</f>
        <v>250ドルのアップルギフトカード</v>
      </c>
    </row>
    <row r="4377" ht="15.75" customHeight="1">
      <c r="A4377" s="1">
        <v>6925.0</v>
      </c>
      <c r="B4377" s="1" t="s">
        <v>15</v>
      </c>
      <c r="C4377" s="1" t="s">
        <v>3786</v>
      </c>
      <c r="D4377" s="1" t="str">
        <f>IFERROR(__xludf.DUMMYFUNCTION("CONCATENATE(GOOGLETRANSLATE(C4377, ""en"", ""zh-cn""))"),"购买 100 美元的美国 Apple Music 礼品卡 - 电子邮件发送")</f>
        <v>购买 100 美元的美国 Apple Music 礼品卡 - 电子邮件发送</v>
      </c>
      <c r="E4377" s="1" t="str">
        <f>IFERROR(__xludf.DUMMYFUNCTION("CONCATENATE(GOOGLETRANSLATE(C4377, ""en"", ""ko""))"),"$100 상당의 미국 Apple Music 기프트 카드 구매 - 이메일 배송")</f>
        <v>$100 상당의 미국 Apple Music 기프트 카드 구매 - 이메일 배송</v>
      </c>
      <c r="F4377" s="1" t="str">
        <f>IFERROR(__xludf.DUMMYFUNCTION("CONCATENATE(GOOGLETRANSLATE(C4377, ""en"", ""ja""))"),"100 ドルの Apple Music ギフト カードを購入 - 電子メール配信")</f>
        <v>100 ドルの Apple Music ギフト カードを購入 - 電子メール配信</v>
      </c>
    </row>
    <row r="4378" ht="15.75" customHeight="1">
      <c r="A4378" s="1">
        <v>6932.0</v>
      </c>
      <c r="B4378" s="1" t="s">
        <v>15</v>
      </c>
      <c r="C4378" s="1" t="s">
        <v>3787</v>
      </c>
      <c r="D4378" s="1" t="str">
        <f>IFERROR(__xludf.DUMMYFUNCTION("CONCATENATE(GOOGLETRANSLATE(C4378, ""en"", ""zh-cn""))"),"博福特")</f>
        <v>博福特</v>
      </c>
      <c r="E4378" s="1" t="str">
        <f>IFERROR(__xludf.DUMMYFUNCTION("CONCATENATE(GOOGLETRANSLATE(C4378, ""en"", ""ko""))"),"보퍼트")</f>
        <v>보퍼트</v>
      </c>
      <c r="F4378" s="1" t="str">
        <f>IFERROR(__xludf.DUMMYFUNCTION("CONCATENATE(GOOGLETRANSLATE(C4378, ""en"", ""ja""))"),"ビューフォート")</f>
        <v>ビューフォート</v>
      </c>
    </row>
    <row r="4379" ht="15.75" customHeight="1">
      <c r="A4379" s="1">
        <v>6951.0</v>
      </c>
      <c r="B4379" s="1" t="s">
        <v>15</v>
      </c>
      <c r="C4379" s="1" t="s">
        <v>3788</v>
      </c>
      <c r="D4379" s="1" t="str">
        <f>IFERROR(__xludf.DUMMYFUNCTION("CONCATENATE(GOOGLETRANSLATE(C4379, ""en"", ""zh-cn""))"),"西奥多·布恩：同谋 [电子书]")</f>
        <v>西奥多·布恩：同谋 [电子书]</v>
      </c>
      <c r="E4379" s="1" t="str">
        <f>IFERROR(__xludf.DUMMYFUNCTION("CONCATENATE(GOOGLETRANSLATE(C4379, ""en"", ""ko""))"),"Theodore Boone: 공범자 [eBook]")</f>
        <v>Theodore Boone: 공범자 [eBook]</v>
      </c>
      <c r="F4379" s="1" t="str">
        <f>IFERROR(__xludf.DUMMYFUNCTION("CONCATENATE(GOOGLETRANSLATE(C4379, ""en"", ""ja""))"),"セオドア・ブーン: 共犯者 [電子書籍]")</f>
        <v>セオドア・ブーン: 共犯者 [電子書籍]</v>
      </c>
    </row>
    <row r="4380" ht="15.75" customHeight="1">
      <c r="A4380" s="1">
        <v>6952.0</v>
      </c>
      <c r="B4380" s="1" t="s">
        <v>15</v>
      </c>
      <c r="C4380" s="1" t="s">
        <v>3789</v>
      </c>
      <c r="D4380" s="1" t="str">
        <f>IFERROR(__xludf.DUMMYFUNCTION("CONCATENATE(GOOGLETRANSLATE(C4380, ""en"", ""zh-cn""))"),"书店灰姑娘电子书")</f>
        <v>书店灰姑娘电子书</v>
      </c>
      <c r="E4380" s="1" t="str">
        <f>IFERROR(__xludf.DUMMYFUNCTION("CONCATENATE(GOOGLETRANSLATE(C4380, ""en"", ""ko""))"),"서점 신데렐라 전자책")</f>
        <v>서점 신데렐라 전자책</v>
      </c>
      <c r="F4380" s="1" t="str">
        <f>IFERROR(__xludf.DUMMYFUNCTION("CONCATENATE(GOOGLETRANSLATE(C4380, ""en"", ""ja""))"),"ブックショップシンデレラ電子書籍")</f>
        <v>ブックショップシンデレラ電子書籍</v>
      </c>
    </row>
    <row r="4381" ht="15.75" customHeight="1">
      <c r="A4381" s="1">
        <v>6953.0</v>
      </c>
      <c r="B4381" s="1" t="s">
        <v>15</v>
      </c>
      <c r="C4381" s="1" t="s">
        <v>3790</v>
      </c>
      <c r="D4381" s="1" t="str">
        <f>IFERROR(__xludf.DUMMYFUNCTION("CONCATENATE(GOOGLETRANSLATE(C4381, ""en"", ""zh-cn""))"),"特快专递；电子书；作者 - E.R.帕斯基")</f>
        <v>特快专递；电子书；作者 - E.R.帕斯基</v>
      </c>
      <c r="E4381" s="1" t="str">
        <f>IFERROR(__xludf.DUMMYFUNCTION("CONCATENATE(GOOGLETRANSLATE(C4381, ""en"", ""ko""))"),"특별 배송; 전자책; 저자 - E. R. 패스키")</f>
        <v>특별 배송; 전자책; 저자 - E. R. 패스키</v>
      </c>
      <c r="F4381" s="1" t="str">
        <f>IFERROR(__xludf.DUMMYFUNCTION("CONCATENATE(GOOGLETRANSLATE(C4381, ""en"", ""ja""))"),"速達;電子書籍;著者 - E.R. パスキー")</f>
        <v>速達;電子書籍;著者 - E.R. パスキー</v>
      </c>
    </row>
    <row r="4382" ht="15.75" customHeight="1">
      <c r="A4382" s="1">
        <v>6958.0</v>
      </c>
      <c r="B4382" s="1" t="s">
        <v>15</v>
      </c>
      <c r="C4382" s="1" t="s">
        <v>3791</v>
      </c>
      <c r="D4382" s="1" t="str">
        <f>IFERROR(__xludf.DUMMYFUNCTION("CONCATENATE(GOOGLETRANSLATE(C4382, ""en"", ""zh-cn""))"),"我们留下了什么：一本小说[电子书]")</f>
        <v>我们留下了什么：一本小说[电子书]</v>
      </c>
      <c r="E4382" s="1" t="str">
        <f>IFERROR(__xludf.DUMMYFUNCTION("CONCATENATE(GOOGLETRANSLATE(C4382, ""en"", ""ko""))"),"우리가 남긴 것: 소설 [eBook]")</f>
        <v>우리가 남긴 것: 소설 [eBook]</v>
      </c>
      <c r="F4382" s="1" t="str">
        <f>IFERROR(__xludf.DUMMYFUNCTION("CONCATENATE(GOOGLETRANSLATE(C4382, ""en"", ""ja""))"),"私たちが残したもの: 小説 [電子書籍]")</f>
        <v>私たちが残したもの: 小説 [電子書籍]</v>
      </c>
    </row>
    <row r="4383" ht="15.75" customHeight="1">
      <c r="A4383" s="1">
        <v>6959.0</v>
      </c>
      <c r="B4383" s="1" t="s">
        <v>15</v>
      </c>
      <c r="C4383" s="1" t="s">
        <v>3792</v>
      </c>
      <c r="D4383" s="1" t="str">
        <f>IFERROR(__xludf.DUMMYFUNCTION("CONCATENATE(GOOGLETRANSLATE(C4383, ""en"", ""zh-cn""))"),"晨光")</f>
        <v>晨光</v>
      </c>
      <c r="E4383" s="1" t="str">
        <f>IFERROR(__xludf.DUMMYFUNCTION("CONCATENATE(GOOGLETRANSLATE(C4383, ""en"", ""ko""))"),"아침의 빛")</f>
        <v>아침의 빛</v>
      </c>
      <c r="F4383" s="1" t="str">
        <f>IFERROR(__xludf.DUMMYFUNCTION("CONCATENATE(GOOGLETRANSLATE(C4383, ""en"", ""ja""))"),"朝の光")</f>
        <v>朝の光</v>
      </c>
    </row>
    <row r="4384" ht="15.75" customHeight="1">
      <c r="A4384" s="1">
        <v>6970.0</v>
      </c>
      <c r="B4384" s="1" t="s">
        <v>15</v>
      </c>
      <c r="C4384" s="1" t="s">
        <v>3793</v>
      </c>
      <c r="D4384" s="1" t="str">
        <f>IFERROR(__xludf.DUMMYFUNCTION("CONCATENATE(GOOGLETRANSLATE(C4384, ""en"", ""zh-cn""))"),"布拉西亚·卡拉马佐夫")</f>
        <v>布拉西亚·卡拉马佐夫</v>
      </c>
      <c r="E4384" s="1" t="str">
        <f>IFERROR(__xludf.DUMMYFUNCTION("CONCATENATE(GOOGLETRANSLATE(C4384, ""en"", ""ko""))"),"브라시아 카라마조프")</f>
        <v>브라시아 카라마조프</v>
      </c>
      <c r="F4384" s="1" t="str">
        <f>IFERROR(__xludf.DUMMYFUNCTION("CONCATENATE(GOOGLETRANSLATE(C4384, ""en"", ""ja""))"),"ブラキア・カラマゾフ")</f>
        <v>ブラキア・カラマゾフ</v>
      </c>
    </row>
    <row r="4385" ht="15.75" customHeight="1">
      <c r="A4385" s="1">
        <v>6980.0</v>
      </c>
      <c r="B4385" s="1" t="s">
        <v>15</v>
      </c>
      <c r="C4385" s="1" t="s">
        <v>3794</v>
      </c>
      <c r="D4385" s="1" t="str">
        <f>IFERROR(__xludf.DUMMYFUNCTION("CONCATENATE(GOOGLETRANSLATE(C4385, ""en"", ""zh-cn""))"),"海贼王奥德赛豪华版")</f>
        <v>海贼王奥德赛豪华版</v>
      </c>
      <c r="E4385" s="1" t="str">
        <f>IFERROR(__xludf.DUMMYFUNCTION("CONCATENATE(GOOGLETRANSLATE(C4385, ""en"", ""ko""))"),"원피스 오디세이 디럭스 에디션")</f>
        <v>원피스 오디세이 디럭스 에디션</v>
      </c>
      <c r="F4385" s="1" t="str">
        <f>IFERROR(__xludf.DUMMYFUNCTION("CONCATENATE(GOOGLETRANSLATE(C4385, ""en"", ""ja""))"),"ワンピース オデッセイ デラックスエディション")</f>
        <v>ワンピース オデッセイ デラックスエディション</v>
      </c>
    </row>
    <row r="4386" ht="15.75" customHeight="1">
      <c r="A4386" s="1">
        <v>6982.0</v>
      </c>
      <c r="B4386" s="1" t="s">
        <v>15</v>
      </c>
      <c r="C4386" s="1" t="s">
        <v>3795</v>
      </c>
      <c r="D4386" s="1" t="str">
        <f>IFERROR(__xludf.DUMMYFUNCTION("CONCATENATE(GOOGLETRANSLATE(C4386, ""en"", ""zh-cn""))"),"育碧 UNO PC")</f>
        <v>育碧 UNO PC</v>
      </c>
      <c r="E4386" s="1" t="str">
        <f>IFERROR(__xludf.DUMMYFUNCTION("CONCATENATE(GOOGLETRANSLATE(C4386, ""en"", ""ko""))"),"유비소프트 우노 PC")</f>
        <v>유비소프트 우노 PC</v>
      </c>
      <c r="F4386" s="1" t="str">
        <f>IFERROR(__xludf.DUMMYFUNCTION("CONCATENATE(GOOGLETRANSLATE(C4386, ""en"", ""ja""))"),"ユービーアイソフト UNO PC")</f>
        <v>ユービーアイソフト UNO PC</v>
      </c>
    </row>
    <row r="4387" ht="15.75" customHeight="1">
      <c r="A4387" s="1">
        <v>6989.0</v>
      </c>
      <c r="B4387" s="1" t="s">
        <v>15</v>
      </c>
      <c r="C4387" s="1" t="s">
        <v>3796</v>
      </c>
      <c r="D4387" s="1" t="str">
        <f>IFERROR(__xludf.DUMMYFUNCTION("CONCATENATE(GOOGLETRANSLATE(C4387, ""en"", ""zh-cn""))"),"嘉年华游戏")</f>
        <v>嘉年华游戏</v>
      </c>
      <c r="E4387" s="1" t="str">
        <f>IFERROR(__xludf.DUMMYFUNCTION("CONCATENATE(GOOGLETRANSLATE(C4387, ""en"", ""ko""))"),"카니발 게임")</f>
        <v>카니발 게임</v>
      </c>
      <c r="F4387" s="1" t="str">
        <f>IFERROR(__xludf.DUMMYFUNCTION("CONCATENATE(GOOGLETRANSLATE(C4387, ""en"", ""ja""))"),"カーニバル ゲーム")</f>
        <v>カーニバル ゲーム</v>
      </c>
    </row>
    <row r="4388" ht="15.75" customHeight="1">
      <c r="A4388" s="1">
        <v>6995.0</v>
      </c>
      <c r="B4388" s="1" t="s">
        <v>15</v>
      </c>
      <c r="C4388" s="1" t="s">
        <v>3797</v>
      </c>
      <c r="D4388" s="1" t="str">
        <f>IFERROR(__xludf.DUMMYFUNCTION("CONCATENATE(GOOGLETRANSLATE(C4388, ""en"", ""zh-cn""))"),"恶魔城高级合集")</f>
        <v>恶魔城高级合集</v>
      </c>
      <c r="E4388" s="1" t="str">
        <f>IFERROR(__xludf.DUMMYFUNCTION("CONCATENATE(GOOGLETRANSLATE(C4388, ""en"", ""ko""))"),"캐슬바니아 어드밴스 컬렉션")</f>
        <v>캐슬바니아 어드밴스 컬렉션</v>
      </c>
      <c r="F4388" s="1" t="str">
        <f>IFERROR(__xludf.DUMMYFUNCTION("CONCATENATE(GOOGLETRANSLATE(C4388, ""en"", ""ja""))"),"悪魔城ドラキュラ アドバンスコレクション")</f>
        <v>悪魔城ドラキュラ アドバンスコレクション</v>
      </c>
    </row>
    <row r="4389" ht="15.75" customHeight="1">
      <c r="A4389" s="1">
        <v>7003.0</v>
      </c>
      <c r="B4389" s="1" t="s">
        <v>15</v>
      </c>
      <c r="C4389" s="1" t="s">
        <v>3798</v>
      </c>
      <c r="D4389" s="1" t="str">
        <f>IFERROR(__xludf.DUMMYFUNCTION("CONCATENATE(GOOGLETRANSLATE(C4389, ""en"", ""zh-cn""))"),"Nintendo Switch Online 个人扩展会员礼品卡")</f>
        <v>Nintendo Switch Online 个人扩展会员礼品卡</v>
      </c>
      <c r="E4389" s="1" t="str">
        <f>IFERROR(__xludf.DUMMYFUNCTION("CONCATENATE(GOOGLETRANSLATE(C4389, ""en"", ""ko""))"),"Nintendo Switch 온라인 개별 확장 멤버십 기프트 카드")</f>
        <v>Nintendo Switch 온라인 개별 확장 멤버십 기프트 카드</v>
      </c>
      <c r="F4389" s="1" t="str">
        <f>IFERROR(__xludf.DUMMYFUNCTION("CONCATENATE(GOOGLETRANSLATE(C4389, ""en"", ""ja""))"),"Nintendo Switch Online 個人拡張メンバーシップギフトカード")</f>
        <v>Nintendo Switch Online 個人拡張メンバーシップギフトカード</v>
      </c>
    </row>
    <row r="4390" ht="15.75" customHeight="1">
      <c r="A4390" s="1">
        <v>7008.0</v>
      </c>
      <c r="B4390" s="1" t="s">
        <v>15</v>
      </c>
      <c r="C4390" s="1" t="s">
        <v>3799</v>
      </c>
      <c r="D4390" s="1" t="str">
        <f>IFERROR(__xludf.DUMMYFUNCTION("CONCATENATE(GOOGLETRANSLATE(C4390, ""en"", ""zh-cn""))"),"礼物之地 任天堂 Switch")</f>
        <v>礼物之地 任天堂 Switch</v>
      </c>
      <c r="E4390" s="1" t="str">
        <f>IFERROR(__xludf.DUMMYFUNCTION("CONCATENATE(GOOGLETRANSLATE(C4390, ""en"", ""ko""))"),"Giftlands 닌텐도 스위치")</f>
        <v>Giftlands 닌텐도 스위치</v>
      </c>
      <c r="F4390" s="1" t="str">
        <f>IFERROR(__xludf.DUMMYFUNCTION("CONCATENATE(GOOGLETRANSLATE(C4390, ""en"", ""ja""))"),"ギフトランド Nintendo Switch")</f>
        <v>ギフトランド Nintendo Switch</v>
      </c>
    </row>
    <row r="4391" ht="15.75" customHeight="1">
      <c r="A4391" s="1">
        <v>7012.0</v>
      </c>
      <c r="B4391" s="1" t="s">
        <v>15</v>
      </c>
      <c r="C4391" s="1" t="s">
        <v>3800</v>
      </c>
      <c r="D4391" s="1" t="str">
        <f>IFERROR(__xludf.DUMMYFUNCTION("CONCATENATE(GOOGLETRANSLATE(C4391, ""en"", ""zh-cn""))"),"阿迪达斯女式三条纹打底裤")</f>
        <v>阿迪达斯女式三条纹打底裤</v>
      </c>
      <c r="E4391" s="1" t="str">
        <f>IFERROR(__xludf.DUMMYFUNCTION("CONCATENATE(GOOGLETRANSLATE(C4391, ""en"", ""ko""))"),"아디다스 여성용 3-스트라이프 레깅스")</f>
        <v>아디다스 여성용 3-스트라이프 레깅스</v>
      </c>
      <c r="F4391" s="1" t="str">
        <f>IFERROR(__xludf.DUMMYFUNCTION("CONCATENATE(GOOGLETRANSLATE(C4391, ""en"", ""ja""))"),"Adidas レディース 3 ストライプ レギンス")</f>
        <v>Adidas レディース 3 ストライプ レギンス</v>
      </c>
    </row>
    <row r="4392" ht="15.75" customHeight="1">
      <c r="A4392" s="1">
        <v>7020.0</v>
      </c>
      <c r="B4392" s="1" t="s">
        <v>15</v>
      </c>
      <c r="C4392" s="1" t="s">
        <v>3801</v>
      </c>
      <c r="D4392" s="1" t="str">
        <f>IFERROR(__xludf.DUMMYFUNCTION("CONCATENATE(GOOGLETRANSLATE(C4392, ""en"", ""zh-cn""))"),"阿迪达斯 (adidas) 女式 Farm Tiro 运动上衣")</f>
        <v>阿迪达斯 (adidas) 女式 Farm Tiro 运动上衣</v>
      </c>
      <c r="E4392" s="1" t="str">
        <f>IFERROR(__xludf.DUMMYFUNCTION("CONCATENATE(GOOGLETRANSLATE(C4392, ""en"", ""ko""))"),"adidas 여성용 팜 티로 트랙 탑")</f>
        <v>adidas 여성용 팜 티로 트랙 탑</v>
      </c>
      <c r="F4392" s="1" t="str">
        <f>IFERROR(__xludf.DUMMYFUNCTION("CONCATENATE(GOOGLETRANSLATE(C4392, ""en"", ""ja""))"),"アディダス ウィメンズ ファーム ティロ トラック トップ")</f>
        <v>アディダス ウィメンズ ファーム ティロ トラック トップ</v>
      </c>
    </row>
    <row r="4393" ht="15.75" customHeight="1">
      <c r="A4393" s="1">
        <v>7023.0</v>
      </c>
      <c r="B4393" s="1" t="s">
        <v>15</v>
      </c>
      <c r="C4393" s="1" t="s">
        <v>3802</v>
      </c>
      <c r="D4393" s="1" t="str">
        <f>IFERROR(__xludf.DUMMYFUNCTION("CONCATENATE(GOOGLETRANSLATE(C4393, ""en"", ""zh-cn""))"),"阿迪达斯 (adidas) 女式 Cloudfoam Pure 低帮跑鞋")</f>
        <v>阿迪达斯 (adidas) 女式 Cloudfoam Pure 低帮跑鞋</v>
      </c>
      <c r="E4393" s="1" t="str">
        <f>IFERROR(__xludf.DUMMYFUNCTION("CONCATENATE(GOOGLETRANSLATE(C4393, ""en"", ""ko""))"),"아디다스 여성용 Cloudfoam 퓨어 로우탑 러닝화")</f>
        <v>아디다스 여성용 Cloudfoam 퓨어 로우탑 러닝화</v>
      </c>
      <c r="F4393" s="1" t="str">
        <f>IFERROR(__xludf.DUMMYFUNCTION("CONCATENATE(GOOGLETRANSLATE(C4393, ""en"", ""ja""))"),"アディダス レディース クラウドフォーム ピュア ロートップ ランニング シューズ")</f>
        <v>アディダス レディース クラウドフォーム ピュア ロートップ ランニング シューズ</v>
      </c>
    </row>
    <row r="4394" ht="15.75" customHeight="1">
      <c r="A4394" s="1">
        <v>7040.0</v>
      </c>
      <c r="B4394" s="1" t="s">
        <v>15</v>
      </c>
      <c r="C4394" s="1" t="s">
        <v>3803</v>
      </c>
      <c r="D4394" s="1" t="str">
        <f>IFERROR(__xludf.DUMMYFUNCTION("CONCATENATE(GOOGLETRANSLATE(C4394, ""en"", ""zh-cn""))"),"阿迪达斯 (adidas) 男士 Tiro 25 Essentials 训练裤")</f>
        <v>阿迪达斯 (adidas) 男士 Tiro 25 Essentials 训练裤</v>
      </c>
      <c r="E4394" s="1" t="str">
        <f>IFERROR(__xludf.DUMMYFUNCTION("CONCATENATE(GOOGLETRANSLATE(C4394, ""en"", ""ko""))"),"아디다스 남성 Tiro 25 에센셜 트레이닝 팬츠")</f>
        <v>아디다스 남성 Tiro 25 에센셜 트레이닝 팬츠</v>
      </c>
      <c r="F4394" s="1" t="str">
        <f>IFERROR(__xludf.DUMMYFUNCTION("CONCATENATE(GOOGLETRANSLATE(C4394, ""en"", ""ja""))"),"アディダス メンズ ティロ 25 エッセンシャル トレーニング パンツ")</f>
        <v>アディダス メンズ ティロ 25 エッセンシャル トレーニング パンツ</v>
      </c>
    </row>
    <row r="4395" ht="15.75" customHeight="1">
      <c r="A4395" s="1">
        <v>7045.0</v>
      </c>
      <c r="B4395" s="1" t="s">
        <v>15</v>
      </c>
      <c r="C4395" s="1" t="s">
        <v>3804</v>
      </c>
      <c r="D4395" s="1" t="str">
        <f>IFERROR(__xludf.DUMMYFUNCTION("CONCATENATE(GOOGLETRANSLATE(C4395, ""en"", ""zh-cn""))"),"阿迪达斯男式设计 2 Move 3 条纹 Primeblue 短裤")</f>
        <v>阿迪达斯男式设计 2 Move 3 条纹 Primeblue 短裤</v>
      </c>
      <c r="E4395" s="1" t="str">
        <f>IFERROR(__xludf.DUMMYFUNCTION("CONCATENATE(GOOGLETRANSLATE(C4395, ""en"", ""ko""))"),"Adidas 남성용 디자인 2 Move 3-스트라이프 프라임블루 반바지")</f>
        <v>Adidas 남성용 디자인 2 Move 3-스트라이프 프라임블루 반바지</v>
      </c>
      <c r="F4395" s="1" t="str">
        <f>IFERROR(__xludf.DUMMYFUNCTION("CONCATENATE(GOOGLETRANSLATE(C4395, ""en"", ""ja""))"),"Adidas メンズ デザイン 2 ムーブ 3 ストライプ プライムブルー ショーツ")</f>
        <v>Adidas メンズ デザイン 2 ムーブ 3 ストライプ プライムブルー ショーツ</v>
      </c>
    </row>
    <row r="4396" ht="15.75" customHeight="1">
      <c r="A4396" s="1">
        <v>7061.0</v>
      </c>
      <c r="B4396" s="1" t="s">
        <v>15</v>
      </c>
      <c r="C4396" s="1" t="s">
        <v>3805</v>
      </c>
      <c r="D4396" s="1" t="str">
        <f>IFERROR(__xludf.DUMMYFUNCTION("CONCATENATE(GOOGLETRANSLATE(C4396, ""en"", ""zh-cn""))"),"ASICS 男士徽标运动短裤")</f>
        <v>ASICS 男士徽标运动短裤</v>
      </c>
      <c r="E4396" s="1" t="str">
        <f>IFERROR(__xludf.DUMMYFUNCTION("CONCATENATE(GOOGLETRANSLATE(C4396, ""en"", ""ko""))"),"ASICS 남성 로고 스웨트 반바지")</f>
        <v>ASICS 남성 로고 스웨트 반바지</v>
      </c>
      <c r="F4396" s="1" t="str">
        <f>IFERROR(__xludf.DUMMYFUNCTION("CONCATENATE(GOOGLETRANSLATE(C4396, ""en"", ""ja""))"),"[アシックス] ロゴ スウェット ショーツ メンズ")</f>
        <v>[アシックス] ロゴ スウェット ショーツ メンズ</v>
      </c>
    </row>
    <row r="4397" ht="15.75" customHeight="1">
      <c r="A4397" s="1">
        <v>7069.0</v>
      </c>
      <c r="B4397" s="1" t="s">
        <v>15</v>
      </c>
      <c r="C4397" s="1" t="s">
        <v>3806</v>
      </c>
      <c r="D4397" s="1" t="str">
        <f>IFERROR(__xludf.DUMMYFUNCTION("CONCATENATE(GOOGLETRANSLATE(C4397, ""en"", ""zh-cn""))"),"ASICS 我的跑步 T 恤")</f>
        <v>ASICS 我的跑步 T 恤</v>
      </c>
      <c r="E4397" s="1" t="str">
        <f>IFERROR(__xludf.DUMMYFUNCTION("CONCATENATE(GOOGLETRANSLATE(C4397, ""en"", ""ko""))"),"아식스 마이 런 티셔츠")</f>
        <v>아식스 마이 런 티셔츠</v>
      </c>
      <c r="F4397" s="1" t="str">
        <f>IFERROR(__xludf.DUMMYFUNCTION("CONCATENATE(GOOGLETRANSLATE(C4397, ""en"", ""ja""))"),"アシックス マイ ラン ティー")</f>
        <v>アシックス マイ ラン ティー</v>
      </c>
    </row>
    <row r="4398" ht="15.75" customHeight="1">
      <c r="A4398" s="1">
        <v>7077.0</v>
      </c>
      <c r="B4398" s="1" t="s">
        <v>15</v>
      </c>
      <c r="C4398" s="1" t="s">
        <v>3807</v>
      </c>
      <c r="D4398" s="1" t="str">
        <f>IFERROR(__xludf.DUMMYFUNCTION("CONCATENATE(GOOGLETRANSLATE(C4398, ""en"", ""zh-cn""))"),"Asics 男士长袖核心上衣")</f>
        <v>Asics 男士长袖核心上衣</v>
      </c>
      <c r="E4398" s="1" t="str">
        <f>IFERROR(__xludf.DUMMYFUNCTION("CONCATENATE(GOOGLETRANSLATE(C4398, ""en"", ""ko""))"),"아식스 남성 긴팔 코어 탑")</f>
        <v>아식스 남성 긴팔 코어 탑</v>
      </c>
      <c r="F4398" s="1" t="str">
        <f>IFERROR(__xludf.DUMMYFUNCTION("CONCATENATE(GOOGLETRANSLATE(C4398, ""en"", ""ja""))"),"アシックス メンズ 長袖コアトップ")</f>
        <v>アシックス メンズ 長袖コアトップ</v>
      </c>
    </row>
    <row r="4399" ht="15.75" customHeight="1">
      <c r="A4399" s="1">
        <v>7093.0</v>
      </c>
      <c r="B4399" s="1" t="s">
        <v>15</v>
      </c>
      <c r="C4399" s="1" t="s">
        <v>3808</v>
      </c>
      <c r="D4399" s="1" t="str">
        <f>IFERROR(__xludf.DUMMYFUNCTION("CONCATENATE(GOOGLETRANSLATE(C4399, ""en"", ""zh-cn""))"),"体操鲨鱼 | United We Sweat 口袋打底裤")</f>
        <v>体操鲨鱼 | United We Sweat 口袋打底裤</v>
      </c>
      <c r="E4399" s="1" t="str">
        <f>IFERROR(__xludf.DUMMYFUNCTION("CONCATENATE(GOOGLETRANSLATE(C4399, ""en"", ""ko""))"),"짐샤크 | United We Sweat 포켓 레깅스")</f>
        <v>짐샤크 | United We Sweat 포켓 레깅스</v>
      </c>
      <c r="F4399" s="1" t="str">
        <f>IFERROR(__xludf.DUMMYFUNCTION("CONCATENATE(GOOGLETRANSLATE(C4399, ""en"", ""ja""))"),"ジムシャーク | United We スウェット ポケット レギンス")</f>
        <v>ジムシャーク | United We スウェット ポケット レギンス</v>
      </c>
    </row>
    <row r="4400" ht="15.75" customHeight="1">
      <c r="A4400" s="1">
        <v>7101.0</v>
      </c>
      <c r="B4400" s="1" t="s">
        <v>15</v>
      </c>
      <c r="C4400" s="1" t="s">
        <v>3809</v>
      </c>
      <c r="D4400" s="1" t="str">
        <f>IFERROR(__xludf.DUMMYFUNCTION("CONCATENATE(GOOGLETRANSLATE(C4400, ""en"", ""zh-cn""))"),"Gymshark 女式日常无缝弹力梭织打底裤")</f>
        <v>Gymshark 女式日常无缝弹力梭织打底裤</v>
      </c>
      <c r="E4400" s="1" t="str">
        <f>IFERROR(__xludf.DUMMYFUNCTION("CONCATENATE(GOOGLETRANSLATE(C4400, ""en"", ""ko""))"),"Gymshark 여성용 데일리 심리스 스트레치 우븐 레깅스")</f>
        <v>Gymshark 여성용 데일리 심리스 스트레치 우븐 레깅스</v>
      </c>
      <c r="F4400" s="1" t="str">
        <f>IFERROR(__xludf.DUMMYFUNCTION("CONCATENATE(GOOGLETRANSLATE(C4400, ""en"", ""ja""))"),"Gymshark レディース エブリデイ シームレス ストレッチ織りレギンス")</f>
        <v>Gymshark レディース エブリデイ シームレス ストレッチ織りレギンス</v>
      </c>
    </row>
    <row r="4401" ht="15.75" customHeight="1">
      <c r="A4401" s="1">
        <v>7104.0</v>
      </c>
      <c r="B4401" s="1" t="s">
        <v>15</v>
      </c>
      <c r="C4401" s="1" t="s">
        <v>3052</v>
      </c>
      <c r="D4401" s="1" t="str">
        <f>IFERROR(__xludf.DUMMYFUNCTION("CONCATENATE(GOOGLETRANSLATE(C4401, ""en"", ""zh-cn""))"),"Gymshark Lift 无缝紧身裤")</f>
        <v>Gymshark Lift 无缝紧身裤</v>
      </c>
      <c r="E4401" s="1" t="str">
        <f>IFERROR(__xludf.DUMMYFUNCTION("CONCATENATE(GOOGLETRANSLATE(C4401, ""en"", ""ko""))"),"Gymshark 리프트 심리스 레깅스")</f>
        <v>Gymshark 리프트 심리스 레깅스</v>
      </c>
      <c r="F4401" s="1" t="str">
        <f>IFERROR(__xludf.DUMMYFUNCTION("CONCATENATE(GOOGLETRANSLATE(C4401, ""en"", ""ja""))"),"Gymshark リフト シームレス レギンス")</f>
        <v>Gymshark リフト シームレス レギンス</v>
      </c>
    </row>
    <row r="4402" ht="15.75" customHeight="1">
      <c r="A4402" s="1">
        <v>7107.0</v>
      </c>
      <c r="B4402" s="1" t="s">
        <v>15</v>
      </c>
      <c r="C4402" s="1" t="s">
        <v>3810</v>
      </c>
      <c r="D4402" s="1" t="str">
        <f>IFERROR(__xludf.DUMMYFUNCTION("CONCATENATE(GOOGLETRANSLATE(C4402, ""en"", ""zh-cn""))"),"Gymshark Lift 无缝拉链夹克")</f>
        <v>Gymshark Lift 无缝拉链夹克</v>
      </c>
      <c r="E4402" s="1" t="str">
        <f>IFERROR(__xludf.DUMMYFUNCTION("CONCATENATE(GOOGLETRANSLATE(C4402, ""en"", ""ko""))"),"Gymshark 리프트 심리스 집업 재킷")</f>
        <v>Gymshark 리프트 심리스 집업 재킷</v>
      </c>
      <c r="F4402" s="1" t="str">
        <f>IFERROR(__xludf.DUMMYFUNCTION("CONCATENATE(GOOGLETRANSLATE(C4402, ""en"", ""ja""))"),"ジムシャーク リフト シームレス ジップアップ ジャケット")</f>
        <v>ジムシャーク リフト シームレス ジップアップ ジャケット</v>
      </c>
    </row>
    <row r="4403" ht="15.75" customHeight="1">
      <c r="A4403" s="1">
        <v>7110.0</v>
      </c>
      <c r="B4403" s="1" t="s">
        <v>15</v>
      </c>
      <c r="C4403" s="1" t="s">
        <v>3811</v>
      </c>
      <c r="D4403" s="1" t="str">
        <f>IFERROR(__xludf.DUMMYFUNCTION("CONCATENATE(GOOGLETRANSLATE(C4403, ""en"", ""zh-cn""))"),"Gymshark Lifting Essentials 图案拉绒超大慢跑裤")</f>
        <v>Gymshark Lifting Essentials 图案拉绒超大慢跑裤</v>
      </c>
      <c r="E4403" s="1" t="str">
        <f>IFERROR(__xludf.DUMMYFUNCTION("CONCATENATE(GOOGLETRANSLATE(C4403, ""en"", ""ko""))"),"Gymshark Lifting Essentials 그래픽 브러시드 오버사이즈 조거팬츠")</f>
        <v>Gymshark Lifting Essentials 그래픽 브러시드 오버사이즈 조거팬츠</v>
      </c>
      <c r="F4403" s="1" t="str">
        <f>IFERROR(__xludf.DUMMYFUNCTION("CONCATENATE(GOOGLETRANSLATE(C4403, ""en"", ""ja""))"),"Gymshark リフティング エッセンシャル グラフィック ブラッシュド オーバーサイズ ジョガー")</f>
        <v>Gymshark リフティング エッセンシャル グラフィック ブラッシュド オーバーサイズ ジョガー</v>
      </c>
    </row>
    <row r="4404" ht="15.75" customHeight="1">
      <c r="A4404" s="1">
        <v>7123.0</v>
      </c>
      <c r="B4404" s="1" t="s">
        <v>15</v>
      </c>
      <c r="C4404" s="1" t="s">
        <v>3812</v>
      </c>
      <c r="D4404" s="1" t="str">
        <f>IFERROR(__xludf.DUMMYFUNCTION("CONCATENATE(GOOGLETRANSLATE(C4404, ""en"", ""zh-cn""))"),"Gymshark 长袖训练上衣")</f>
        <v>Gymshark 长袖训练上衣</v>
      </c>
      <c r="E4404" s="1" t="str">
        <f>IFERROR(__xludf.DUMMYFUNCTION("CONCATENATE(GOOGLETRANSLATE(C4404, ""en"", ""ko""))"),"Gymshark 긴팔 트레이닝 탑")</f>
        <v>Gymshark 긴팔 트레이닝 탑</v>
      </c>
      <c r="F4404" s="1" t="str">
        <f>IFERROR(__xludf.DUMMYFUNCTION("CONCATENATE(GOOGLETRANSLATE(C4404, ""en"", ""ja""))"),"Gymshark 長袖トレーニング トップ")</f>
        <v>Gymshark 長袖トレーニング トップ</v>
      </c>
    </row>
    <row r="4405" ht="15.75" customHeight="1">
      <c r="A4405" s="1">
        <v>7127.0</v>
      </c>
      <c r="B4405" s="1" t="s">
        <v>15</v>
      </c>
      <c r="C4405" s="1" t="s">
        <v>3813</v>
      </c>
      <c r="D4405" s="1" t="str">
        <f>IFERROR(__xludf.DUMMYFUNCTION("CONCATENATE(GOOGLETRANSLATE(C4405, ""en"", ""zh-cn""))"),"Gymshark Vital 无缝 2.0 长袖上衣")</f>
        <v>Gymshark Vital 无缝 2.0 长袖上衣</v>
      </c>
      <c r="E4405" s="1" t="str">
        <f>IFERROR(__xludf.DUMMYFUNCTION("CONCATENATE(GOOGLETRANSLATE(C4405, ""en"", ""ko""))"),"Gymshark Vital Seamless 2.0 긴팔 탑")</f>
        <v>Gymshark Vital Seamless 2.0 긴팔 탑</v>
      </c>
      <c r="F4405" s="1" t="str">
        <f>IFERROR(__xludf.DUMMYFUNCTION("CONCATENATE(GOOGLETRANSLATE(C4405, ""en"", ""ja""))"),"Gymshark バイタル シームレス 2.0 長袖トップ")</f>
        <v>Gymshark バイタル シームレス 2.0 長袖トップ</v>
      </c>
    </row>
    <row r="4406" ht="15.75" customHeight="1">
      <c r="A4406" s="1">
        <v>7131.0</v>
      </c>
      <c r="B4406" s="1" t="s">
        <v>15</v>
      </c>
      <c r="C4406" s="1" t="s">
        <v>3814</v>
      </c>
      <c r="D4406" s="1" t="str">
        <f>IFERROR(__xludf.DUMMYFUNCTION("CONCATENATE(GOOGLETRANSLATE(C4406, ""en"", ""zh-cn""))"),"耐克女式运动服 Phoenix 毛绒高腰阔腿舒适抓绒裤")</f>
        <v>耐克女式运动服 Phoenix 毛绒高腰阔腿舒适抓绒裤</v>
      </c>
      <c r="E4406" s="1" t="str">
        <f>IFERROR(__xludf.DUMMYFUNCTION("CONCATENATE(GOOGLETRANSLATE(C4406, ""en"", ""ko""))"),"나이키 여성 스포츠웨어 피닉스 플러시 하이웨이스트 와이드 레그 아늑한 플리스 팬츠")</f>
        <v>나이키 여성 스포츠웨어 피닉스 플러시 하이웨이스트 와이드 레그 아늑한 플리스 팬츠</v>
      </c>
      <c r="F4406" s="1" t="str">
        <f>IFERROR(__xludf.DUMMYFUNCTION("CONCATENATE(GOOGLETRANSLATE(C4406, ""en"", ""ja""))"),"ナイキ レディース スポーツウェア フェニックス プラッシュ ハイウエスト ワイドレッグ コージー フリース パンツ")</f>
        <v>ナイキ レディース スポーツウェア フェニックス プラッシュ ハイウエスト ワイドレッグ コージー フリース パンツ</v>
      </c>
    </row>
    <row r="4407" ht="15.75" customHeight="1">
      <c r="A4407" s="1">
        <v>7142.0</v>
      </c>
      <c r="B4407" s="1" t="s">
        <v>15</v>
      </c>
      <c r="C4407" s="1" t="s">
        <v>3815</v>
      </c>
      <c r="D4407" s="1" t="str">
        <f>IFERROR(__xludf.DUMMYFUNCTION("CONCATENATE(GOOGLETRANSLATE(C4407, ""en"", ""zh-cn""))"),"耐克女式大号凤凰抓绒运动衫")</f>
        <v>耐克女式大号凤凰抓绒运动衫</v>
      </c>
      <c r="E4407" s="1" t="str">
        <f>IFERROR(__xludf.DUMMYFUNCTION("CONCATENATE(GOOGLETRANSLATE(C4407, ""en"", ""ko""))"),"나이키 여성용 오버사이즈 피닉스 플리스 스웨트셔츠")</f>
        <v>나이키 여성용 오버사이즈 피닉스 플리스 스웨트셔츠</v>
      </c>
      <c r="F4407" s="1" t="str">
        <f>IFERROR(__xludf.DUMMYFUNCTION("CONCATENATE(GOOGLETRANSLATE(C4407, ""en"", ""ja""))"),"ナイキ レディース オーバーサイズ フェニックス フリース スウェットシャツ")</f>
        <v>ナイキ レディース オーバーサイズ フェニックス フリース スウェットシャツ</v>
      </c>
    </row>
    <row r="4408" ht="15.75" customHeight="1">
      <c r="A4408" s="1">
        <v>7145.0</v>
      </c>
      <c r="B4408" s="1" t="s">
        <v>15</v>
      </c>
      <c r="C4408" s="1" t="s">
        <v>3816</v>
      </c>
      <c r="D4408" s="1" t="str">
        <f>IFERROR(__xludf.DUMMYFUNCTION("CONCATENATE(GOOGLETRANSLATE(C4408, ""en"", ""zh-cn""))"),"耐克女式运动装毛绒长裤")</f>
        <v>耐克女式运动装毛绒长裤</v>
      </c>
      <c r="E4408" s="1" t="str">
        <f>IFERROR(__xludf.DUMMYFUNCTION("CONCATENATE(GOOGLETRANSLATE(C4408, ""en"", ""ko""))"),"나이키 여성 스포츠웨어 플러시 팬츠")</f>
        <v>나이키 여성 스포츠웨어 플러시 팬츠</v>
      </c>
      <c r="F4408" s="1" t="str">
        <f>IFERROR(__xludf.DUMMYFUNCTION("CONCATENATE(GOOGLETRANSLATE(C4408, ""en"", ""ja""))"),"ナイキ レディース スポーツウェア プラッシュ パンツ")</f>
        <v>ナイキ レディース スポーツウェア プラッシュ パンツ</v>
      </c>
    </row>
    <row r="4409" ht="15.75" customHeight="1">
      <c r="A4409" s="1">
        <v>7159.0</v>
      </c>
      <c r="B4409" s="1" t="s">
        <v>15</v>
      </c>
      <c r="C4409" s="1" t="s">
        <v>3817</v>
      </c>
      <c r="D4409" s="1" t="str">
        <f>IFERROR(__xludf.DUMMYFUNCTION("CONCATENATE(GOOGLETRANSLATE(C4409, ""en"", ""zh-cn""))"),"耐克男士高科技梭织长裤")</f>
        <v>耐克男士高科技梭织长裤</v>
      </c>
      <c r="E4409" s="1" t="str">
        <f>IFERROR(__xludf.DUMMYFUNCTION("CONCATENATE(GOOGLETRANSLATE(C4409, ""en"", ""ko""))"),"나이키 남성 테크 우븐 팬츠")</f>
        <v>나이키 남성 테크 우븐 팬츠</v>
      </c>
      <c r="F4409" s="1" t="str">
        <f>IFERROR(__xludf.DUMMYFUNCTION("CONCATENATE(GOOGLETRANSLATE(C4409, ""en"", ""ja""))"),"ナイキ メンズ テック ウーブン パンツ")</f>
        <v>ナイキ メンズ テック ウーブン パンツ</v>
      </c>
    </row>
    <row r="4410" ht="15.75" customHeight="1">
      <c r="A4410" s="1">
        <v>7184.0</v>
      </c>
      <c r="B4410" s="1" t="s">
        <v>15</v>
      </c>
      <c r="C4410" s="1" t="s">
        <v>3818</v>
      </c>
      <c r="D4410" s="1" t="str">
        <f>IFERROR(__xludf.DUMMYFUNCTION("CONCATENATE(GOOGLETRANSLATE(C4410, ""en"", ""zh-cn""))"),"Reebok 女式 Active Collective Sky弹力梭织长裤")</f>
        <v>Reebok 女式 Active Collective Sky弹力梭织长裤</v>
      </c>
      <c r="E4410" s="1" t="str">
        <f>IFERROR(__xludf.DUMMYFUNCTION("CONCATENATE(GOOGLETRANSLATE(C4410, ""en"", ""ko""))"),"Reebok 여성 액티브 콜렉티브 스카이스트레치 우븐 팬츠")</f>
        <v>Reebok 여성 액티브 콜렉티브 스카이스트레치 우븐 팬츠</v>
      </c>
      <c r="F4410" s="1" t="str">
        <f>IFERROR(__xludf.DUMMYFUNCTION("CONCATENATE(GOOGLETRANSLATE(C4410, ""en"", ""ja""))"),"Reebok レディース アクティブ コレクティブ スカイストレッチ ウーブン パンツ")</f>
        <v>Reebok レディース アクティブ コレクティブ スカイストレッチ ウーブン パンツ</v>
      </c>
    </row>
    <row r="4411" ht="15.75" customHeight="1">
      <c r="A4411" s="1">
        <v>7188.0</v>
      </c>
      <c r="B4411" s="1" t="s">
        <v>15</v>
      </c>
      <c r="C4411" s="1" t="s">
        <v>3819</v>
      </c>
      <c r="D4411" s="1" t="str">
        <f>IFERROR(__xludf.DUMMYFUNCTION("CONCATENATE(GOOGLETRANSLATE(C4411, ""en"", ""zh-cn""))"),"Reebok 女式 Lux 高腰拼色打底裤")</f>
        <v>Reebok 女式 Lux 高腰拼色打底裤</v>
      </c>
      <c r="E4411" s="1" t="str">
        <f>IFERROR(__xludf.DUMMYFUNCTION("CONCATENATE(GOOGLETRANSLATE(C4411, ""en"", ""ko""))"),"Reebok 여성용 Lux 하이라이즈 컬러블록 레깅스")</f>
        <v>Reebok 여성용 Lux 하이라이즈 컬러블록 레깅스</v>
      </c>
      <c r="F4411" s="1" t="str">
        <f>IFERROR(__xludf.DUMMYFUNCTION("CONCATENATE(GOOGLETRANSLATE(C4411, ""en"", ""ja""))"),"リーボック レディース ラックス ハイライズ カラーブロック レギンス")</f>
        <v>リーボック レディース ラックス ハイライズ カラーブロック レギンス</v>
      </c>
    </row>
    <row r="4412" ht="15.75" customHeight="1">
      <c r="A4412" s="1">
        <v>7191.0</v>
      </c>
      <c r="B4412" s="1" t="s">
        <v>15</v>
      </c>
      <c r="C4412" s="1" t="s">
        <v>3820</v>
      </c>
      <c r="D4412" s="1" t="str">
        <f>IFERROR(__xludf.DUMMYFUNCTION("CONCATENATE(GOOGLETRANSLATE(C4412, ""en"", ""zh-cn""))"),"Reebok 男士 Active Collective DreamBlend 长裤")</f>
        <v>Reebok 男士 Active Collective DreamBlend 长裤</v>
      </c>
      <c r="E4412" s="1" t="str">
        <f>IFERROR(__xludf.DUMMYFUNCTION("CONCATENATE(GOOGLETRANSLATE(C4412, ""en"", ""ko""))"),"Reebok 남성 액티브 콜렉티브 DreamBlend 바지")</f>
        <v>Reebok 남성 액티브 콜렉티브 DreamBlend 바지</v>
      </c>
      <c r="F4412" s="1" t="str">
        <f>IFERROR(__xludf.DUMMYFUNCTION("CONCATENATE(GOOGLETRANSLATE(C4412, ""en"", ""ja""))"),"Reebok メンズ アクティブ コレクティブ ドリームブレンド パンツ")</f>
        <v>Reebok メンズ アクティブ コレクティブ ドリームブレンド パンツ</v>
      </c>
    </row>
    <row r="4413" ht="15.75" customHeight="1">
      <c r="A4413" s="1">
        <v>7216.0</v>
      </c>
      <c r="B4413" s="1" t="s">
        <v>15</v>
      </c>
      <c r="C4413" s="1" t="s">
        <v>1846</v>
      </c>
      <c r="D4413" s="1" t="str">
        <f>IFERROR(__xludf.DUMMYFUNCTION("CONCATENATE(GOOGLETRANSLATE(C4413, ""en"", ""zh-cn""))"),"带抽屉和盖垫的拼图板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4413" s="1" t="str">
        <f>IFERROR(__xludf.DUMMYFUNCTION("CONCATENATE(GOOGLETRANSLATE(C4413, ""en"", ""ko""))"),"서랍과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4413" s="1" t="str">
        <f>IFERROR(__xludf.DUMMYFUNCTION("CONCATENATE(GOOGLETRANSLATE(C4413, ""en"", ""ja""))"),"引き出しとカバー付きパズルボード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4414" ht="15.75" customHeight="1">
      <c r="A4414" s="1">
        <v>7224.0</v>
      </c>
      <c r="B4414" s="1" t="s">
        <v>15</v>
      </c>
      <c r="C4414" s="1" t="s">
        <v>1850</v>
      </c>
      <c r="D4414" s="1" t="str">
        <f>IFERROR(__xludf.DUMMYFUNCTION("CONCATENATE(GOOGLETRANSLATE(C4414, ""en"", ""zh-cn""))"),"GAN 13 磁悬浮磨砂涂层，磁性速度魔方 3x3 无贴纸 56 毫米磁铁魔方拼图玩具，GAN 2022 旗舰")</f>
        <v>GAN 13 磁悬浮磨砂涂层，磁性速度魔方 3x3 无贴纸 56 毫米磁铁魔方拼图玩具，GAN 2022 旗舰</v>
      </c>
      <c r="E4414" s="1" t="str">
        <f>IFERROR(__xludf.DUMMYFUNCTION("CONCATENATE(GOOGLETRANSLATE(C4414, ""en"", ""ko""))"),"GAN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4414" s="1" t="str">
        <f>IFERROR(__xludf.DUMMYFUNCTION("CONCATENATE(GOOGLETRANSLATE(C4414, ""en"", ""ja""))"),"GAN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4415" ht="15.75" customHeight="1">
      <c r="A4415" s="1">
        <v>7231.0</v>
      </c>
      <c r="B4415" s="1" t="s">
        <v>15</v>
      </c>
      <c r="C4415" s="1" t="s">
        <v>1827</v>
      </c>
      <c r="D4415" s="1" t="str">
        <f>IFERROR(__xludf.DUMMYFUNCTION("CONCATENATE(GOOGLETRANSLATE(C4415, ""en"", ""zh-cn""))"),"宁神茶丸 甘麦大枣丸 (1000 茶丸)3383E-MAYWAY by Mayway")</f>
        <v>宁神茶丸 甘麦大枣丸 (1000 茶丸)3383E-MAYWAY by Mayway</v>
      </c>
      <c r="E4415" s="1" t="str">
        <f>IFERROR(__xludf.DUMMYFUNCTION("CONCATENATE(GOOGLETRANSLATE(C4415, ""en"", ""ko""))"),"Calm Spirit Teapills Gan Mai Da Zao Wan (1000 티필)3383E-MAYWAY by Mayway")</f>
        <v>Calm Spirit Teapills Gan Mai Da Zao Wan (1000 티필)3383E-MAYWAY by Mayway</v>
      </c>
      <c r="F4415" s="1" t="str">
        <f>IFERROR(__xludf.DUMMYFUNCTION("CONCATENATE(GOOGLETRANSLATE(C4415, ""en"", ""ja""))"),"Calm Spirit Teapills Gan Mai Da Zao Wan (1000 Teapills)3383E-MAYWAY by Mayway")</f>
        <v>Calm Spirit Teapills Gan Mai Da Zao Wan (1000 Teapills)3383E-MAYWAY by Mayway</v>
      </c>
    </row>
    <row r="4416" ht="15.75" customHeight="1">
      <c r="A4416" s="1">
        <v>7234.0</v>
      </c>
      <c r="B4416" s="1" t="s">
        <v>15</v>
      </c>
      <c r="C4416" s="1" t="s">
        <v>1650</v>
      </c>
      <c r="D4416" s="1" t="str">
        <f>IFERROR(__xludf.DUMMYFUNCTION("CONCATENATE(GOOGLETRANSLATE(C4416, ""en"", ""zh-cn""))"),"SHARGEEK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4416" s="1" t="str">
        <f>IFERROR(__xludf.DUMMYFUNCTION("CONCATENATE(GOOGLETRANSLATE(C4416, ""en"", ""ko""))"),"SHARGEEK의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4416" s="1" t="str">
        <f>IFERROR(__xludf.DUMMYFUNCTION("CONCATENATE(GOOGLETRANSLATE(C4416, ""en"", ""ja""))"),"SHARGEEK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4417" ht="15.75" customHeight="1">
      <c r="A4417" s="1">
        <v>7257.0</v>
      </c>
      <c r="B4417" s="1" t="s">
        <v>15</v>
      </c>
      <c r="C4417" s="1" t="s">
        <v>2846</v>
      </c>
      <c r="D4417" s="1" t="str">
        <f>IFERROR(__xludf.DUMMYFUNCTION("CONCATENATE(GOOGLETRANSLATE(C4417, ""en"", ""zh-cn""))"),"Troy Lee 设计 A3 MIPS 头盔")</f>
        <v>Troy Lee 设计 A3 MIPS 头盔</v>
      </c>
      <c r="E4417" s="1" t="str">
        <f>IFERROR(__xludf.DUMMYFUNCTION("CONCATENATE(GOOGLETRANSLATE(C4417, ""en"", ""ko""))"),"Troy Lee, A3 MIPS 헬멧 디자인")</f>
        <v>Troy Lee, A3 MIPS 헬멧 디자인</v>
      </c>
      <c r="F4417" s="1" t="str">
        <f>IFERROR(__xludf.DUMMYFUNCTION("CONCATENATE(GOOGLETRANSLATE(C4417, ""en"", ""ja""))"),"Troy Lee デザイン A3 MIPS ヘルメット")</f>
        <v>Troy Lee デザイン A3 MIPS ヘルメット</v>
      </c>
    </row>
    <row r="4418" ht="15.75" customHeight="1">
      <c r="A4418" s="1">
        <v>7265.0</v>
      </c>
      <c r="B4418" s="1" t="s">
        <v>15</v>
      </c>
      <c r="C4418" s="1" t="s">
        <v>3821</v>
      </c>
      <c r="D4418" s="1" t="str">
        <f>IFERROR(__xludf.DUMMYFUNCTION("CONCATENATE(GOOGLETRANSLATE(C4418, ""en"", ""zh-cn""))"),"Fluid Master 400a 美标马桶进水阀")</f>
        <v>Fluid Master 400a 美标马桶进水阀</v>
      </c>
      <c r="E4418" s="1" t="str">
        <f>IFERROR(__xludf.DUMMYFUNCTION("CONCATENATE(GOOGLETRANSLATE(C4418, ""en"", ""ko""))"),"미국 표준용 Fluid Master 400a 화장실 물 채우기 밸브")</f>
        <v>미국 표준용 Fluid Master 400a 화장실 물 채우기 밸브</v>
      </c>
      <c r="F4418" s="1" t="str">
        <f>IFERROR(__xludf.DUMMYFUNCTION("CONCATENATE(GOOGLETRANSLATE(C4418, ""en"", ""ja""))"),"アメリカ規格用流体マスター 400a トイレ水充填バルブ")</f>
        <v>アメリカ規格用流体マスター 400a トイレ水充填バルブ</v>
      </c>
    </row>
    <row r="4419" ht="15.75" customHeight="1">
      <c r="A4419" s="1">
        <v>7271.0</v>
      </c>
      <c r="B4419" s="1" t="s">
        <v>15</v>
      </c>
      <c r="C4419" s="1" t="s">
        <v>3822</v>
      </c>
      <c r="D4419" s="1" t="str">
        <f>IFERROR(__xludf.DUMMYFUNCTION("CONCATENATE(GOOGLETRANSLATE(C4419, ""en"", ""zh-cn""))"),"Fluidmaster 比蜡更好 无蜡马桶垫片")</f>
        <v>Fluidmaster 比蜡更好 无蜡马桶垫片</v>
      </c>
      <c r="E4419" s="1" t="str">
        <f>IFERROR(__xludf.DUMMYFUNCTION("CONCATENATE(GOOGLETRANSLATE(C4419, ""en"", ""ko""))"),"왁스 없는 변기 개스킷보다 우수한 Fluidmaster")</f>
        <v>왁스 없는 변기 개스킷보다 우수한 Fluidmaster</v>
      </c>
      <c r="F4419" s="1" t="str">
        <f>IFERROR(__xludf.DUMMYFUNCTION("CONCATENATE(GOOGLETRANSLATE(C4419, ""en"", ""ja""))"),"Fluidmaster はワックスよりも優れています ワックスフリーのトイレ用ガスケット")</f>
        <v>Fluidmaster はワックスよりも優れています ワックスフリーのトイレ用ガスケット</v>
      </c>
    </row>
    <row r="4420" ht="15.75" customHeight="1">
      <c r="A4420" s="1">
        <v>7280.0</v>
      </c>
      <c r="B4420" s="1" t="s">
        <v>15</v>
      </c>
      <c r="C4420" s="1" t="s">
        <v>3823</v>
      </c>
      <c r="D4420" s="1" t="str">
        <f>IFERROR(__xludf.DUMMYFUNCTION("CONCATENATE(GOOGLETRANSLATE(C4420, ""en"", ""zh-cn""))"),"Fluidmaster PRO45H Pro 系列可调节填充阀")</f>
        <v>Fluidmaster PRO45H Pro 系列可调节填充阀</v>
      </c>
      <c r="E4420" s="1" t="str">
        <f>IFERROR(__xludf.DUMMYFUNCTION("CONCATENATE(GOOGLETRANSLATE(C4420, ""en"", ""ko""))"),"Fluidmaster PRO45H Pro 시리즈 조절식 충전 밸브")</f>
        <v>Fluidmaster PRO45H Pro 시리즈 조절식 충전 밸브</v>
      </c>
      <c r="F4420" s="1" t="str">
        <f>IFERROR(__xludf.DUMMYFUNCTION("CONCATENATE(GOOGLETRANSLATE(C4420, ""en"", ""ja""))"),"Fluidmaster PRO45H プロ シリーズ調整可能な充填バルブ")</f>
        <v>Fluidmaster PRO45H プロ シリーズ調整可能な充填バルブ</v>
      </c>
    </row>
    <row r="4421" ht="15.75" customHeight="1">
      <c r="A4421" s="1">
        <v>7291.0</v>
      </c>
      <c r="B4421" s="1" t="s">
        <v>15</v>
      </c>
      <c r="C4421" s="1" t="s">
        <v>3824</v>
      </c>
      <c r="D4421" s="1" t="str">
        <f>IFERROR(__xludf.DUMMYFUNCTION("CONCATENATE(GOOGLETRANSLATE(C4421, ""en"", ""zh-cn""))"),"Fluidmaster PerforMAX 马桶进水阀")</f>
        <v>Fluidmaster PerforMAX 马桶进水阀</v>
      </c>
      <c r="E4421" s="1" t="str">
        <f>IFERROR(__xludf.DUMMYFUNCTION("CONCATENATE(GOOGLETRANSLATE(C4421, ""en"", ""ko""))"),"Fluidmaster PerforMAX 변기 채우기 밸브")</f>
        <v>Fluidmaster PerforMAX 변기 채우기 밸브</v>
      </c>
      <c r="F4421" s="1" t="str">
        <f>IFERROR(__xludf.DUMMYFUNCTION("CONCATENATE(GOOGLETRANSLATE(C4421, ""en"", ""ja""))"),"Fluidmaster PerforMAX トイレ充填バルブ")</f>
        <v>Fluidmaster PerforMAX トイレ充填バルブ</v>
      </c>
    </row>
    <row r="4422" ht="15.75" customHeight="1">
      <c r="A4422" s="1">
        <v>7296.0</v>
      </c>
      <c r="B4422" s="1" t="s">
        <v>15</v>
      </c>
      <c r="C4422" s="1" t="s">
        <v>3825</v>
      </c>
      <c r="D4422" s="1" t="str">
        <f>IFERROR(__xludf.DUMMYFUNCTION("CONCATENATE(GOOGLETRANSLATE(C4422, ""en"", ""zh-cn""))"),"Fluidmaster PRO550K 双冲式 双冲式改装阀门套件")</f>
        <v>Fluidmaster PRO550K 双冲式 双冲式改装阀门套件</v>
      </c>
      <c r="E4422" s="1" t="str">
        <f>IFERROR(__xludf.DUMMYFUNCTION("CONCATENATE(GOOGLETRANSLATE(C4422, ""en"", ""ko""))"),"Fluidmaster PRO550K Duo 플러시 이중 플러시 개조 밸브 키트")</f>
        <v>Fluidmaster PRO550K Duo 플러시 이중 플러시 개조 밸브 키트</v>
      </c>
      <c r="F4422" s="1" t="str">
        <f>IFERROR(__xludf.DUMMYFUNCTION("CONCATENATE(GOOGLETRANSLATE(C4422, ""en"", ""ja""))"),"Fluidmaster PRO550K デュオ フラッシュ デュアル フラッシュ レトロフィット バルブ キット")</f>
        <v>Fluidmaster PRO550K デュオ フラッシュ デュアル フラッシュ レトロフィット バルブ キット</v>
      </c>
    </row>
    <row r="4423" ht="15.75" customHeight="1">
      <c r="A4423" s="1">
        <v>7310.0</v>
      </c>
      <c r="B4423" s="1" t="s">
        <v>15</v>
      </c>
      <c r="C4423" s="1" t="s">
        <v>3826</v>
      </c>
      <c r="D4423" s="1" t="str">
        <f>IFERROR(__xludf.DUMMYFUNCTION("CONCATENATE(GOOGLETRANSLATE(C4423, ""en"", ""zh-cn""))"),"Homfa 浴室壁镜柜，27.6 X 23.6 英寸多用途")</f>
        <v>Homfa 浴室壁镜柜，27.6 X 23.6 英寸多用途</v>
      </c>
      <c r="E4423" s="1" t="str">
        <f>IFERROR(__xludf.DUMMYFUNCTION("CONCATENATE(GOOGLETRANSLATE(C4423, ""en"", ""ko""))"),"Homfa 욕실 벽 거울 캐비닛, 27.6 X 23.6인치 다목적")</f>
        <v>Homfa 욕실 벽 거울 캐비닛, 27.6 X 23.6인치 다목적</v>
      </c>
      <c r="F4423" s="1" t="str">
        <f>IFERROR(__xludf.DUMMYFUNCTION("CONCATENATE(GOOGLETRANSLATE(C4423, ""en"", ""ja""))"),"Homfa バスルームウォールミラーキャビネット、27.6 X 23.6インチ多目的")</f>
        <v>Homfa バスルームウォールミラーキャビネット、27.6 X 23.6インチ多目的</v>
      </c>
    </row>
    <row r="4424" ht="15.75" customHeight="1">
      <c r="A4424" s="1">
        <v>7317.0</v>
      </c>
      <c r="B4424" s="1" t="s">
        <v>15</v>
      </c>
      <c r="C4424" s="1" t="s">
        <v>3827</v>
      </c>
      <c r="D4424" s="1" t="str">
        <f>IFERROR(__xludf.DUMMYFUNCTION("CONCATENATE(GOOGLETRANSLATE(C4424, ""en"", ""zh-cn""))"),"Homfa 现代木质独立式浴室储物柜")</f>
        <v>Homfa 现代木质独立式浴室储物柜</v>
      </c>
      <c r="E4424" s="1" t="str">
        <f>IFERROR(__xludf.DUMMYFUNCTION("CONCATENATE(GOOGLETRANSLATE(C4424, ""en"", ""ko""))"),"Homfa 현대 목조 독립형 욕실 보관 캐비닛")</f>
        <v>Homfa 현대 목조 독립형 욕실 보관 캐비닛</v>
      </c>
      <c r="F4424" s="1" t="str">
        <f>IFERROR(__xludf.DUMMYFUNCTION("CONCATENATE(GOOGLETRANSLATE(C4424, ""en"", ""ja""))"),"Homfa モダンな木製自立型バスルーム収納キャビネット")</f>
        <v>Homfa モダンな木製自立型バスルーム収納キャビネット</v>
      </c>
    </row>
    <row r="4425" ht="15.75" customHeight="1">
      <c r="A4425" s="1">
        <v>7323.0</v>
      </c>
      <c r="B4425" s="1" t="s">
        <v>15</v>
      </c>
      <c r="C4425" s="1" t="s">
        <v>3828</v>
      </c>
      <c r="D4425" s="1" t="str">
        <f>IFERROR(__xludf.DUMMYFUNCTION("CONCATENATE(GOOGLETRANSLATE(C4425, ""en"", ""zh-cn""))"),"Homcom 水槽下浴室柜")</f>
        <v>Homcom 水槽下浴室柜</v>
      </c>
      <c r="E4425" s="1" t="str">
        <f>IFERROR(__xludf.DUMMYFUNCTION("CONCATENATE(GOOGLETRANSLATE(C4425, ""en"", ""ko""))"),"Homcom 언더싱크 욕실 캐비닛")</f>
        <v>Homcom 언더싱크 욕실 캐비닛</v>
      </c>
      <c r="F4425" s="1" t="str">
        <f>IFERROR(__xludf.DUMMYFUNCTION("CONCATENATE(GOOGLETRANSLATE(C4425, ""en"", ""ja""))"),"Homcom アンダーシンクバスルームキャビネット")</f>
        <v>Homcom アンダーシンクバスルームキャビネット</v>
      </c>
    </row>
    <row r="4426" ht="15.75" customHeight="1">
      <c r="A4426" s="1">
        <v>7343.0</v>
      </c>
      <c r="B4426" s="1" t="s">
        <v>15</v>
      </c>
      <c r="C4426" s="1" t="s">
        <v>3829</v>
      </c>
      <c r="D4426" s="1" t="str">
        <f>IFERROR(__xludf.DUMMYFUNCTION("CONCATENATE(GOOGLETRANSLATE(C4426, ""en"", ""zh-cn""))"),"Ktaxon浴室药柜")</f>
        <v>Ktaxon浴室药柜</v>
      </c>
      <c r="E4426" s="1" t="str">
        <f>IFERROR(__xludf.DUMMYFUNCTION("CONCATENATE(GOOGLETRANSLATE(C4426, ""en"", ""ko""))"),"Ktaxon 욕실 약장")</f>
        <v>Ktaxon 욕실 약장</v>
      </c>
      <c r="F4426" s="1" t="str">
        <f>IFERROR(__xludf.DUMMYFUNCTION("CONCATENATE(GOOGLETRANSLATE(C4426, ""en"", ""ja""))"),"Ktaxon バスルーム薬品キャビネット")</f>
        <v>Ktaxon バスルーム薬品キャビネット</v>
      </c>
    </row>
    <row r="4427" ht="15.75" customHeight="1">
      <c r="A4427" s="1">
        <v>7347.0</v>
      </c>
      <c r="B4427" s="1" t="s">
        <v>15</v>
      </c>
      <c r="C4427" s="1" t="s">
        <v>3830</v>
      </c>
      <c r="D4427" s="1" t="str">
        <f>IFERROR(__xludf.DUMMYFUNCTION("CONCATENATE(GOOGLETRANSLATE(C4427, ""en"", ""zh-cn""))"),"Ktaxon 浴室梳妆柜")</f>
        <v>Ktaxon 浴室梳妆柜</v>
      </c>
      <c r="E4427" s="1" t="str">
        <f>IFERROR(__xludf.DUMMYFUNCTION("CONCATENATE(GOOGLETRANSLATE(C4427, ""en"", ""ko""))"),"Ktaxon 욕실 세면대 캐비닛")</f>
        <v>Ktaxon 욕실 세면대 캐비닛</v>
      </c>
      <c r="F4427" s="1" t="str">
        <f>IFERROR(__xludf.DUMMYFUNCTION("CONCATENATE(GOOGLETRANSLATE(C4427, ""en"", ""ja""))"),"Ktaxon 洗面化粧台キャビネット")</f>
        <v>Ktaxon 洗面化粧台キャビネット</v>
      </c>
    </row>
    <row r="4428" ht="15.75" customHeight="1">
      <c r="A4428" s="1">
        <v>7349.0</v>
      </c>
      <c r="B4428" s="1" t="s">
        <v>15</v>
      </c>
      <c r="C4428" s="1" t="s">
        <v>3831</v>
      </c>
      <c r="D4428" s="1" t="str">
        <f>IFERROR(__xludf.DUMMYFUNCTION("CONCATENATE(GOOGLETRANSLATE(C4428, ""en"", ""zh-cn""))"),"Ktaxon 木质浴室壁挂药柜")</f>
        <v>Ktaxon 木质浴室壁挂药柜</v>
      </c>
      <c r="E4428" s="1" t="str">
        <f>IFERROR(__xludf.DUMMYFUNCTION("CONCATENATE(GOOGLETRANSLATE(C4428, ""en"", ""ko""))"),"Ktaxon 나무 욕실 벽 약장")</f>
        <v>Ktaxon 나무 욕실 벽 약장</v>
      </c>
      <c r="F4428" s="1" t="str">
        <f>IFERROR(__xludf.DUMMYFUNCTION("CONCATENATE(GOOGLETRANSLATE(C4428, ""en"", ""ja""))"),"Ktaxon 木製バスルーム壁薬キャビネット")</f>
        <v>Ktaxon 木製バスルーム壁薬キャビネット</v>
      </c>
    </row>
    <row r="4429" ht="15.75" customHeight="1">
      <c r="A4429" s="1">
        <v>7352.0</v>
      </c>
      <c r="B4429" s="1" t="s">
        <v>15</v>
      </c>
      <c r="C4429" s="1" t="s">
        <v>2953</v>
      </c>
      <c r="D4429" s="1" t="str">
        <f>IFERROR(__xludf.DUMMYFUNCTION("CONCATENATE(GOOGLETRANSLATE(C4429, ""en"", ""zh-cn""))"),"大型浴室地柜，带 4 个抽屉和单门")</f>
        <v>大型浴室地柜，带 4 个抽屉和单门</v>
      </c>
      <c r="E4429" s="1" t="str">
        <f>IFERROR(__xludf.DUMMYFUNCTION("CONCATENATE(GOOGLETRANSLATE(C4429, ""en"", ""ko""))"),"4개의 서랍과 단일 도어가 있는 대형 욕실 바닥 캐비닛")</f>
        <v>4개의 서랍과 단일 도어가 있는 대형 욕실 바닥 캐비닛</v>
      </c>
      <c r="F4429" s="1" t="str">
        <f>IFERROR(__xludf.DUMMYFUNCTION("CONCATENATE(GOOGLETRANSLATE(C4429, ""en"", ""ja""))"),"4 つの引き出しと 1 つのドアを備えた大型バスルーム フロア キャビネット")</f>
        <v>4 つの引き出しと 1 つのドアを備えた大型バスルーム フロア キャビネット</v>
      </c>
    </row>
    <row r="4430" ht="15.75" customHeight="1">
      <c r="A4430" s="1">
        <v>7356.0</v>
      </c>
      <c r="B4430" s="1" t="s">
        <v>15</v>
      </c>
      <c r="C4430" s="1" t="s">
        <v>3832</v>
      </c>
      <c r="D4430" s="1" t="str">
        <f>IFERROR(__xludf.DUMMYFUNCTION("CONCATENATE(GOOGLETRANSLATE(C4430, ""en"", ""zh-cn""))"),"35.4 英寸浴室梳妆台")</f>
        <v>35.4 英寸浴室梳妆台</v>
      </c>
      <c r="E4430" s="1" t="str">
        <f>IFERROR(__xludf.DUMMYFUNCTION("CONCATENATE(GOOGLETRANSLATE(C4430, ""en"", ""ko""))"),"35.4인치 욕실 세면대 캐비닛")</f>
        <v>35.4인치 욕실 세면대 캐비닛</v>
      </c>
      <c r="F4430" s="1" t="str">
        <f>IFERROR(__xludf.DUMMYFUNCTION("CONCATENATE(GOOGLETRANSLATE(C4430, ""en"", ""ja""))"),"35.4 インチの洗面化粧台キャビネット")</f>
        <v>35.4 インチの洗面化粧台キャビネット</v>
      </c>
    </row>
    <row r="4431" ht="15.75" customHeight="1">
      <c r="A4431" s="1">
        <v>7359.0</v>
      </c>
      <c r="B4431" s="1" t="s">
        <v>15</v>
      </c>
      <c r="C4431" s="1" t="s">
        <v>3833</v>
      </c>
      <c r="D4431" s="1" t="str">
        <f>IFERROR(__xludf.DUMMYFUNCTION("CONCATENATE(GOOGLETRANSLATE(C4431, ""en"", ""zh-cn""))"),"Ktaxon 高浴室储物柜收纳柜")</f>
        <v>Ktaxon 高浴室储物柜收纳柜</v>
      </c>
      <c r="E4431" s="1" t="str">
        <f>IFERROR(__xludf.DUMMYFUNCTION("CONCATENATE(GOOGLETRANSLATE(C4431, ""en"", ""ko""))"),"Ktaxon 키가 큰 욕실 보관 캐비닛 정리함")</f>
        <v>Ktaxon 키가 큰 욕실 보관 캐비닛 정리함</v>
      </c>
      <c r="F4431" s="1" t="str">
        <f>IFERROR(__xludf.DUMMYFUNCTION("CONCATENATE(GOOGLETRANSLATE(C4431, ""en"", ""ja""))"),"Ktaxon トールバスルーム収納キャビネットオーガナイザー")</f>
        <v>Ktaxon トールバスルーム収納キャビネットオーガナイザー</v>
      </c>
    </row>
    <row r="4432" ht="15.75" customHeight="1">
      <c r="A4432" s="1">
        <v>7372.0</v>
      </c>
      <c r="B4432" s="1" t="s">
        <v>15</v>
      </c>
      <c r="C4432" s="1" t="s">
        <v>3834</v>
      </c>
      <c r="D4432" s="1" t="str">
        <f>IFERROR(__xludf.DUMMYFUNCTION("CONCATENATE(GOOGLETRANSLATE(C4432, ""en"", ""zh-cn""))"),"VASAGLE 高大浴室柜")</f>
        <v>VASAGLE 高大浴室柜</v>
      </c>
      <c r="E4432" s="1" t="str">
        <f>IFERROR(__xludf.DUMMYFUNCTION("CONCATENATE(GOOGLETRANSLATE(C4432, ""en"", ""ko""))"),"VASAGLE 키 큰 욕실 캐비닛")</f>
        <v>VASAGLE 키 큰 욕실 캐비닛</v>
      </c>
      <c r="F4432" s="1" t="str">
        <f>IFERROR(__xludf.DUMMYFUNCTION("CONCATENATE(GOOGLETRANSLATE(C4432, ""en"", ""ja""))"),"VASAGLE トールバスルームキャビネット")</f>
        <v>VASAGLE トールバスルームキャビネット</v>
      </c>
    </row>
    <row r="4433" ht="15.75" customHeight="1">
      <c r="A4433" s="1">
        <v>7373.0</v>
      </c>
      <c r="B4433" s="1" t="s">
        <v>15</v>
      </c>
      <c r="C4433" s="1" t="s">
        <v>3835</v>
      </c>
      <c r="D4433" s="1" t="str">
        <f>IFERROR(__xludf.DUMMYFUNCTION("CONCATENATE(GOOGLETRANSLATE(C4433, ""en"", ""zh-cn""))"),"Design House Wyndham 24 英寸单人独立式梳妆柜")</f>
        <v>Design House Wyndham 24 英寸单人独立式梳妆柜</v>
      </c>
      <c r="E4433" s="1" t="str">
        <f>IFERROR(__xludf.DUMMYFUNCTION("CONCATENATE(GOOGLETRANSLATE(C4433, ""en"", ""ko""))"),"디자인 하우스 윈덤 24인치 싱글 독립형 화장대 캐비닛")</f>
        <v>디자인 하우스 윈덤 24인치 싱글 독립형 화장대 캐비닛</v>
      </c>
      <c r="F4433" s="1" t="str">
        <f>IFERROR(__xludf.DUMMYFUNCTION("CONCATENATE(GOOGLETRANSLATE(C4433, ""en"", ""ja""))"),"Design House Wyndham 24 インチ シングル自立型洗面化粧台キャビネット")</f>
        <v>Design House Wyndham 24 インチ シングル自立型洗面化粧台キャビネット</v>
      </c>
    </row>
    <row r="4434" ht="15.75" customHeight="1">
      <c r="A4434" s="1">
        <v>7375.0</v>
      </c>
      <c r="B4434" s="1" t="s">
        <v>15</v>
      </c>
      <c r="C4434" s="1" t="s">
        <v>3836</v>
      </c>
      <c r="D4434" s="1" t="str">
        <f>IFERROR(__xludf.DUMMYFUNCTION("CONCATENATE(GOOGLETRANSLATE(C4434, ""en"", ""zh-cn""))"),"24"" 浴室梳妆柜（不带水槽）")</f>
        <v>24" 浴室梳妆柜（不带水槽）</v>
      </c>
      <c r="E4434" s="1" t="str">
        <f>IFERROR(__xludf.DUMMYFUNCTION("CONCATENATE(GOOGLETRANSLATE(C4434, ""en"", ""ko""))"),"24인치 세면대 없는 욕실 세면대 캐비닛")</f>
        <v>24인치 세면대 없는 욕실 세면대 캐비닛</v>
      </c>
      <c r="F4434" s="1" t="str">
        <f>IFERROR(__xludf.DUMMYFUNCTION("CONCATENATE(GOOGLETRANSLATE(C4434, ""en"", ""ja""))"),"24 インチ 洗面化粧台キャビネット シンクなし")</f>
        <v>24 インチ 洗面化粧台キャビネット シンクなし</v>
      </c>
    </row>
    <row r="4435" ht="15.75" customHeight="1">
      <c r="A4435" s="1">
        <v>7389.0</v>
      </c>
      <c r="B4435" s="1" t="s">
        <v>15</v>
      </c>
      <c r="C4435" s="1" t="s">
        <v>3837</v>
      </c>
      <c r="D4435" s="1" t="str">
        <f>IFERROR(__xludf.DUMMYFUNCTION("CONCATENATE(GOOGLETRANSLATE(C4435, ""en"", ""zh-cn""))"),"Brita On 自来水过滤系统")</f>
        <v>Brita On 自来水过滤系统</v>
      </c>
      <c r="E4435" s="1" t="str">
        <f>IFERROR(__xludf.DUMMYFUNCTION("CONCATENATE(GOOGLETRANSLATE(C4435, ""en"", ""ko""))"),"브리타 온 수돗물 여과 시스템")</f>
        <v>브리타 온 수돗물 여과 시스템</v>
      </c>
      <c r="F4435" s="1" t="str">
        <f>IFERROR(__xludf.DUMMYFUNCTION("CONCATENATE(GOOGLETRANSLATE(C4435, ""en"", ""ja""))"),"Brita On 水道水濾過システム")</f>
        <v>Brita On 水道水濾過システム</v>
      </c>
    </row>
    <row r="4436" ht="15.75" customHeight="1">
      <c r="A4436" s="1">
        <v>7390.0</v>
      </c>
      <c r="B4436" s="1" t="s">
        <v>15</v>
      </c>
      <c r="C4436" s="1" t="s">
        <v>3838</v>
      </c>
      <c r="D4436" s="1" t="str">
        <f>IFERROR(__xludf.DUMMYFUNCTION("CONCATENATE(GOOGLETRANSLATE(C4436, ""en"", ""zh-cn""))"),"Brita Elite 冰箱友好型 27 杯过滤饮水机，带 2 个过滤器")</f>
        <v>Brita Elite 冰箱友好型 27 杯过滤饮水机，带 2 个过滤器</v>
      </c>
      <c r="E4436" s="1" t="str">
        <f>IFERROR(__xludf.DUMMYFUNCTION("CONCATENATE(GOOGLETRANSLATE(C4436, ""en"", ""ko""))"),"브리타 엘리트 냉장고 친화적인 27컵 필터 워터 디스펜서(필터 2개 포함)")</f>
        <v>브리타 엘리트 냉장고 친화적인 27컵 필터 워터 디스펜서(필터 2개 포함)</v>
      </c>
      <c r="F4436" s="1" t="str">
        <f>IFERROR(__xludf.DUMMYFUNCTION("CONCATENATE(GOOGLETRANSLATE(C4436, ""en"", ""ja""))"),"Brita Elite 冷蔵庫対応 27 カップ フィルター付きウォーターディスペンサー フィルター 2 個付き")</f>
        <v>Brita Elite 冷蔵庫対応 27 カップ フィルター付きウォーターディスペンサー フィルター 2 個付き</v>
      </c>
    </row>
    <row r="4437" ht="15.75" customHeight="1">
      <c r="A4437" s="1">
        <v>7391.0</v>
      </c>
      <c r="B4437" s="1" t="s">
        <v>15</v>
      </c>
      <c r="C4437" s="1" t="s">
        <v>3839</v>
      </c>
      <c r="D4437" s="1" t="str">
        <f>IFERROR(__xludf.DUMMYFUNCTION("CONCATENATE(GOOGLETRANSLATE(C4437, ""en"", ""zh-cn""))"),"Brita 超大 27 杯 UltraMax 过滤饮水机，带过滤器 - 灰色：水过滤，手洗，翻盖")</f>
        <v>Brita 超大 27 杯 UltraMax 过滤饮水机，带过滤器 - 灰色：水过滤，手洗，翻盖</v>
      </c>
      <c r="E4437" s="1" t="str">
        <f>IFERROR(__xludf.DUMMYFUNCTION("CONCATENATE(GOOGLETRANSLATE(C4437, ""en"", ""ko""))"),"브리타 초대형 27컵 울트라맥스 정수기(필터 포함) - 회색: 정수기, 손세탁, 플립형 뚜껑")</f>
        <v>브리타 초대형 27컵 울트라맥스 정수기(필터 포함) - 회색: 정수기, 손세탁, 플립형 뚜껑</v>
      </c>
      <c r="F4437" s="1" t="str">
        <f>IFERROR(__xludf.DUMMYFUNCTION("CONCATENATE(GOOGLETRANSLATE(C4437, ""en"", ""ja""))"),"Brita 特大 27 カップ UltraMax フィルター付きウォーターディスペンサー フィルター付き - グレー: 水ろ過、手洗い、フリップトップ蓋")</f>
        <v>Brita 特大 27 カップ UltraMax フィルター付きウォーターディスペンサー フィルター付き - グレー: 水ろ過、手洗い、フリップトップ蓋</v>
      </c>
    </row>
    <row r="4438" ht="15.75" customHeight="1">
      <c r="A4438" s="1">
        <v>7398.0</v>
      </c>
      <c r="B4438" s="1" t="s">
        <v>15</v>
      </c>
      <c r="C4438" s="1" t="s">
        <v>3840</v>
      </c>
      <c r="D4438" s="1" t="str">
        <f>IFERROR(__xludf.DUMMYFUNCTION("CONCATENATE(GOOGLETRANSLATE(C4438, ""en"", ""zh-cn""))"),"Brita Total 360 2 级饮用水过滤系统")</f>
        <v>Brita Total 360 2 级饮用水过滤系统</v>
      </c>
      <c r="E4438" s="1" t="str">
        <f>IFERROR(__xludf.DUMMYFUNCTION("CONCATENATE(GOOGLETRANSLATE(C4438, ""en"", ""ko""))"),"브리타 토탈 360 2단 식수 정수 시스템")</f>
        <v>브리타 토탈 360 2단 식수 정수 시스템</v>
      </c>
      <c r="F4438" s="1" t="str">
        <f>IFERROR(__xludf.DUMMYFUNCTION("CONCATENATE(GOOGLETRANSLATE(C4438, ""en"", ""ja""))"),"Brita Total 360 2 段階飲料水ろ過システム")</f>
        <v>Brita Total 360 2 段階飲料水ろ過システム</v>
      </c>
    </row>
    <row r="4439" ht="15.75" customHeight="1">
      <c r="A4439" s="1">
        <v>7400.0</v>
      </c>
      <c r="B4439" s="1" t="s">
        <v>15</v>
      </c>
      <c r="C4439" s="1" t="s">
        <v>3841</v>
      </c>
      <c r="D4439" s="1" t="str">
        <f>IFERROR(__xludf.DUMMYFUNCTION("CONCATENATE(GOOGLETRANSLATE(C4439, ""en"", ""zh-cn""))"),"Brita 大号 Tahoe 滤水罐 50686")</f>
        <v>Brita 大号 Tahoe 滤水罐 50686</v>
      </c>
      <c r="E4439" s="1" t="str">
        <f>IFERROR(__xludf.DUMMYFUNCTION("CONCATENATE(GOOGLETRANSLATE(C4439, ""en"", ""ko""))"),"브리타 대형 타호 정수 필터 투수 50686")</f>
        <v>브리타 대형 타호 정수 필터 투수 50686</v>
      </c>
      <c r="F4439" s="1" t="str">
        <f>IFERROR(__xludf.DUMMYFUNCTION("CONCATENATE(GOOGLETRANSLATE(C4439, ""en"", ""ja""))"),"ブリタ ラージ タホ 浄水器 ピッチャー 50686")</f>
        <v>ブリタ ラージ タホ 浄水器 ピッチャー 50686</v>
      </c>
    </row>
    <row r="4440" ht="15.75" customHeight="1">
      <c r="A4440" s="1">
        <v>7407.0</v>
      </c>
      <c r="B4440" s="1" t="s">
        <v>15</v>
      </c>
      <c r="C4440" s="1" t="s">
        <v>3842</v>
      </c>
      <c r="D4440" s="1" t="str">
        <f>IFERROR(__xludf.DUMMYFUNCTION("CONCATENATE(GOOGLETRANSLATE(C4440, ""en"", ""zh-cn""))"),"Brita 27 杯水过滤系统")</f>
        <v>Brita 27 杯水过滤系统</v>
      </c>
      <c r="E4440" s="1" t="str">
        <f>IFERROR(__xludf.DUMMYFUNCTION("CONCATENATE(GOOGLETRANSLATE(C4440, ""en"", ""ko""))"),"브리타 27컵 정수 필터 시스템")</f>
        <v>브리타 27컵 정수 필터 시스템</v>
      </c>
      <c r="F4440" s="1" t="str">
        <f>IFERROR(__xludf.DUMMYFUNCTION("CONCATENATE(GOOGLETRANSLATE(C4440, ""en"", ""ja""))"),"Brita 27 カップ浄水フィルター システム")</f>
        <v>Brita 27 カップ浄水フィルター システム</v>
      </c>
    </row>
    <row r="4441" ht="15.75" customHeight="1">
      <c r="A4441" s="1">
        <v>7416.0</v>
      </c>
      <c r="B4441" s="1" t="s">
        <v>15</v>
      </c>
      <c r="C4441" s="1" t="s">
        <v>3843</v>
      </c>
      <c r="D4441" s="1" t="str">
        <f>IFERROR(__xludf.DUMMYFUNCTION("CONCATENATE(GOOGLETRANSLATE(C4441, ""en"", ""zh-cn""))"),"Brita 18 杯 Ultramax 饮水机")</f>
        <v>Brita 18 杯 Ultramax 饮水机</v>
      </c>
      <c r="E4441" s="1" t="str">
        <f>IFERROR(__xludf.DUMMYFUNCTION("CONCATENATE(GOOGLETRANSLATE(C4441, ""en"", ""ko""))"),"브리타 18컵 울트라맥스 워터 디스펜서")</f>
        <v>브리타 18컵 울트라맥스 워터 디스펜서</v>
      </c>
      <c r="F4441" s="1" t="str">
        <f>IFERROR(__xludf.DUMMYFUNCTION("CONCATENATE(GOOGLETRANSLATE(C4441, ""en"", ""ja""))"),"Brita 18カップ ウルトラマックス ウォーターディスペンサー")</f>
        <v>Brita 18カップ ウルトラマックス ウォーターディスペンサー</v>
      </c>
    </row>
    <row r="4442" ht="15.75" customHeight="1">
      <c r="A4442" s="1">
        <v>7434.0</v>
      </c>
      <c r="B4442" s="1" t="s">
        <v>15</v>
      </c>
      <c r="C4442" s="1" t="s">
        <v>3844</v>
      </c>
      <c r="D4442" s="1" t="str">
        <f>IFERROR(__xludf.DUMMYFUNCTION("CONCATENATE(GOOGLETRANSLATE(C4442, ""en"", ""zh-cn""))"),"PUR 水龙头安装水过滤系统")</f>
        <v>PUR 水龙头安装水过滤系统</v>
      </c>
      <c r="E4442" s="1" t="str">
        <f>IFERROR(__xludf.DUMMYFUNCTION("CONCATENATE(GOOGLETRANSLATE(C4442, ""en"", ""ko""))"),"PUR 수도꼭지 장착형 물 여과 시스템")</f>
        <v>PUR 수도꼭지 장착형 물 여과 시스템</v>
      </c>
      <c r="F4442" s="1" t="str">
        <f>IFERROR(__xludf.DUMMYFUNCTION("CONCATENATE(GOOGLETRANSLATE(C4442, ""en"", ""ja""))"),"PUR 蛇口マウント水ろ過システム")</f>
        <v>PUR 蛇口マウント水ろ過システム</v>
      </c>
    </row>
    <row r="4443" ht="15.75" customHeight="1">
      <c r="A4443" s="1">
        <v>7450.0</v>
      </c>
      <c r="B4443" s="1" t="s">
        <v>15</v>
      </c>
      <c r="C4443" s="1" t="s">
        <v>3845</v>
      </c>
      <c r="D4443" s="1" t="str">
        <f>IFERROR(__xludf.DUMMYFUNCTION("CONCATENATE(GOOGLETRANSLATE(C4443, ""en"", ""zh-cn""))"),"SimPure Y7W 台面式反渗透水过滤净化系统")</f>
        <v>SimPure Y7W 台面式反渗透水过滤净化系统</v>
      </c>
      <c r="E4443" s="1" t="str">
        <f>IFERROR(__xludf.DUMMYFUNCTION("CONCATENATE(GOOGLETRANSLATE(C4443, ""en"", ""ko""))"),"SimPure Y7W 조리대 역삼투 정수 여과 정화 시스템")</f>
        <v>SimPure Y7W 조리대 역삼투 정수 여과 정화 시스템</v>
      </c>
      <c r="F4443" s="1" t="str">
        <f>IFERROR(__xludf.DUMMYFUNCTION("CONCATENATE(GOOGLETRANSLATE(C4443, ""en"", ""ja""))"),"SimPure Y7W カウンタートップ逆浸透水ろ過浄化システム")</f>
        <v>SimPure Y7W カウンタートップ逆浸透水ろ過浄化システム</v>
      </c>
    </row>
    <row r="4444" ht="15.75" customHeight="1">
      <c r="A4444" s="1">
        <v>7455.0</v>
      </c>
      <c r="B4444" s="1" t="s">
        <v>15</v>
      </c>
      <c r="C4444" s="1" t="s">
        <v>3846</v>
      </c>
      <c r="D4444" s="1" t="str">
        <f>IFERROR(__xludf.DUMMYFUNCTION("CONCATENATE(GOOGLETRANSLATE(C4444, ""en"", ""zh-cn""))"),"PUR 3 级水槽下通用反渗透水过滤系统")</f>
        <v>PUR 3 级水槽下通用反渗透水过滤系统</v>
      </c>
      <c r="E4444" s="1" t="str">
        <f>IFERROR(__xludf.DUMMYFUNCTION("CONCATENATE(GOOGLETRANSLATE(C4444, ""en"", ""ko""))"),"PUR 3단계 언더싱크 범용 역삼투 정수 시스템")</f>
        <v>PUR 3단계 언더싱크 범용 역삼투 정수 시스템</v>
      </c>
      <c r="F4444" s="1" t="str">
        <f>IFERROR(__xludf.DUMMYFUNCTION("CONCATENATE(GOOGLETRANSLATE(C4444, ""en"", ""ja""))"),"PUR 3 段階アンダーシンクユニバーサル逆浸透水ろ過システム")</f>
        <v>PUR 3 段階アンダーシンクユニバーサル逆浸透水ろ過システム</v>
      </c>
    </row>
    <row r="4445" ht="15.75" customHeight="1">
      <c r="A4445" s="1">
        <v>7460.0</v>
      </c>
      <c r="B4445" s="1" t="s">
        <v>15</v>
      </c>
      <c r="C4445" s="1" t="s">
        <v>3847</v>
      </c>
      <c r="D4445" s="1" t="str">
        <f>IFERROR(__xludf.DUMMYFUNCTION("CONCATENATE(GOOGLETRANSLATE(C4445, ""en"", ""zh-cn""))"),"聚氨酯 88 盎司蓝白水过滤壶 - 编号 PPT111W")</f>
        <v>聚氨酯 88 盎司蓝白水过滤壶 - 编号 PPT111W</v>
      </c>
      <c r="E4445" s="1" t="str">
        <f>IFERROR(__xludf.DUMMYFUNCTION("CONCATENATE(GOOGLETRANSLATE(C4445, ""en"", ""ko""))"),"PUR 88온스 BlueWhite 정수용 투수 - No. PPT111W")</f>
        <v>PUR 88온스 BlueWhite 정수용 투수 - No. PPT111W</v>
      </c>
      <c r="F4445" s="1" t="str">
        <f>IFERROR(__xludf.DUMMYFUNCTION("CONCATENATE(GOOGLETRANSLATE(C4445, ""en"", ""ja""))"),"ピュア 88オンスBlueWhite 浄水ピッチャー No.PPT111W")</f>
        <v>ピュア 88オンスBlueWhite 浄水ピッチャー No.PPT111W</v>
      </c>
    </row>
    <row r="4446" ht="15.75" customHeight="1">
      <c r="A4446" s="1">
        <v>7475.0</v>
      </c>
      <c r="B4446" s="1" t="s">
        <v>15</v>
      </c>
      <c r="C4446" s="1" t="s">
        <v>3848</v>
      </c>
      <c r="D4446" s="1" t="str">
        <f>IFERROR(__xludf.DUMMYFUNCTION("CONCATENATE(GOOGLETRANSLATE(C4446, ""en"", ""zh-cn""))"),"将纤维疗法等同于规律性")</f>
        <v>将纤维疗法等同于规律性</v>
      </c>
      <c r="E4446" s="1" t="str">
        <f>IFERROR(__xludf.DUMMYFUNCTION("CONCATENATE(GOOGLETRANSLATE(C4446, ""en"", ""ko""))"),"규칙성을 위한 동일 섬유 요법")</f>
        <v>규칙성을 위한 동일 섬유 요법</v>
      </c>
      <c r="F4446" s="1" t="str">
        <f>IFERROR(__xludf.DUMMYFUNCTION("CONCATENATE(GOOGLETRANSLATE(C4446, ""en"", ""ja""))"),"繊維療法を規則正しいものとみなす")</f>
        <v>繊維療法を規則正しいものとみなす</v>
      </c>
    </row>
    <row r="4447" ht="15.75" customHeight="1">
      <c r="A4447" s="1">
        <v>7532.0</v>
      </c>
      <c r="B4447" s="1" t="s">
        <v>15</v>
      </c>
      <c r="C4447" s="1" t="s">
        <v>3849</v>
      </c>
      <c r="D4447" s="1" t="str">
        <f>IFERROR(__xludf.DUMMYFUNCTION("CONCATENATE(GOOGLETRANSLATE(C4447, ""en"", ""zh-cn""))"),"Hi-pro-pac 角蛋白强效蛋白护理剂 8 盎司 235 毫升（3 包）")</f>
        <v>Hi-pro-pac 角蛋白强效蛋白护理剂 8 盎司 235 毫升（3 包）</v>
      </c>
      <c r="E4447" s="1" t="str">
        <f>IFERROR(__xludf.DUMMYFUNCTION("CONCATENATE(GOOGLETRANSLATE(C4447, ""en"", ""ko""))"),"하이프로팩 ​​케라틴 인텐스 프로틴 트리트먼트 8온스 235ml(3팩)")</f>
        <v>하이프로팩 ​​케라틴 인텐스 프로틴 트리트먼트 8온스 235ml(3팩)</v>
      </c>
      <c r="F4447" s="1" t="str">
        <f>IFERROR(__xludf.DUMMYFUNCTION("CONCATENATE(GOOGLETRANSLATE(C4447, ""en"", ""ja""))"),"Hi-pro-pac ケラチン インテンス プロテイン トリートメント 8 オンス 235ml (3 パック)")</f>
        <v>Hi-pro-pac ケラチン インテンス プロテイン トリートメント 8 オンス 235ml (3 パック)</v>
      </c>
    </row>
    <row r="4448" ht="15.75" customHeight="1">
      <c r="A4448" s="1">
        <v>7539.0</v>
      </c>
      <c r="B4448" s="1" t="s">
        <v>15</v>
      </c>
      <c r="C4448" s="1" t="s">
        <v>3850</v>
      </c>
      <c r="D4448" s="1" t="str">
        <f>IFERROR(__xludf.DUMMYFUNCTION("CONCATENATE(GOOGLETRANSLATE(C4448, ""en"", ""zh-cn""))"),"Joico K-Pak H.K.P 液体蛋白质化学完美剂")</f>
        <v>Joico K-Pak H.K.P 液体蛋白质化学完美剂</v>
      </c>
      <c r="E4448" s="1" t="str">
        <f>IFERROR(__xludf.DUMMYFUNCTION("CONCATENATE(GOOGLETRANSLATE(C4448, ""en"", ""ko""))"),"Joico K-Pak H.K.P 액체 단백질 케미컬 퍼펙터")</f>
        <v>Joico K-Pak H.K.P 액체 단백질 케미컬 퍼펙터</v>
      </c>
      <c r="F4448" s="1" t="str">
        <f>IFERROR(__xludf.DUMMYFUNCTION("CONCATENATE(GOOGLETRANSLATE(C4448, ""en"", ""ja""))"),"Joico K-Pak H.K.P リキッドプロテイン ケミカルパーフェクター")</f>
        <v>Joico K-Pak H.K.P リキッドプロテイン ケミカルパーフェクター</v>
      </c>
    </row>
    <row r="4449" ht="15.75" customHeight="1">
      <c r="A4449" s="1">
        <v>7540.0</v>
      </c>
      <c r="B4449" s="1" t="s">
        <v>15</v>
      </c>
      <c r="C4449" s="1" t="s">
        <v>3851</v>
      </c>
      <c r="D4449" s="1" t="str">
        <f>IFERROR(__xludf.DUMMYFUNCTION("CONCATENATE(GOOGLETRANSLATE(C4449, ""en"", ""zh-cn""))"),"Hi Pro Pac 澳洲坚果油滋养洗发水")</f>
        <v>Hi Pro Pac 澳洲坚果油滋养洗发水</v>
      </c>
      <c r="E4449" s="1" t="str">
        <f>IFERROR(__xludf.DUMMYFUNCTION("CONCATENATE(GOOGLETRANSLATE(C4449, ""en"", ""ko""))"),"하이프로팩 ​​마카다미아 넛 오일 너리싱 샴푸")</f>
        <v>하이프로팩 ​​마카다미아 넛 오일 너리싱 샴푸</v>
      </c>
      <c r="F4449" s="1" t="str">
        <f>IFERROR(__xludf.DUMMYFUNCTION("CONCATENATE(GOOGLETRANSLATE(C4449, ""en"", ""ja""))"),"ハイプロパック マカダミアナッツオイルナリッシングシャンプー")</f>
        <v>ハイプロパック マカダミアナッツオイルナリッシングシャンプー</v>
      </c>
    </row>
    <row r="4450" ht="15.75" customHeight="1">
      <c r="A4450" s="1">
        <v>7543.0</v>
      </c>
      <c r="B4450" s="1" t="s">
        <v>15</v>
      </c>
      <c r="C4450" s="1" t="s">
        <v>3424</v>
      </c>
      <c r="D4450" s="1" t="str">
        <f>IFERROR(__xludf.DUMMYFUNCTION("CONCATENATE(GOOGLETRANSLATE(C4450, ""en"", ""zh-cn""))"),"露得清顽固痤疮面部护理")</f>
        <v>露得清顽固痤疮面部护理</v>
      </c>
      <c r="E4450" s="1" t="str">
        <f>IFERROR(__xludf.DUMMYFUNCTION("CONCATENATE(GOOGLETRANSLATE(C4450, ""en"", ""ko""))"),"뉴트로지나 완고한 여드름 페이셜 트리트먼트")</f>
        <v>뉴트로지나 완고한 여드름 페이셜 트리트먼트</v>
      </c>
      <c r="F4450" s="1" t="str">
        <f>IFERROR(__xludf.DUMMYFUNCTION("CONCATENATE(GOOGLETRANSLATE(C4450, ""en"", ""ja""))"),"ニュートロジーナ 頑固なニキビフェイシャルトリートメント")</f>
        <v>ニュートロジーナ 頑固なニキビフェイシャルトリートメント</v>
      </c>
    </row>
    <row r="4451" ht="15.75" customHeight="1">
      <c r="A4451" s="1">
        <v>7559.0</v>
      </c>
      <c r="B4451" s="1" t="s">
        <v>15</v>
      </c>
      <c r="C4451" s="1" t="s">
        <v>3852</v>
      </c>
      <c r="D4451" s="1" t="str">
        <f>IFERROR(__xludf.DUMMYFUNCTION("CONCATENATE(GOOGLETRANSLATE(C4451, ""en"", ""zh-cn""))"),"露得清 (Neutrogena) 可见修复再生霜，含视黄醇 + 肽，用于抗衰老、皱纹和细纹 - 50 克")</f>
        <v>露得清 (Neutrogena) 可见修复再生霜，含视黄醇 + 肽，用于抗衰老、皱纹和细纹 - 50 克</v>
      </c>
      <c r="E4451" s="1" t="str">
        <f>IFERROR(__xludf.DUMMYFUNCTION("CONCATENATE(GOOGLETRANSLATE(C4451, ""en"", ""ko""))"),"뉴트로지나 비저블 리페어 재생 크림(레티놀 + 펩타이드 포함) 노화 방지, 주름 및 잔주름 개선 - 50 gm")</f>
        <v>뉴트로지나 비저블 리페어 재생 크림(레티놀 + 펩타이드 포함) 노화 방지, 주름 및 잔주름 개선 - 50 gm</v>
      </c>
      <c r="F4451" s="1" t="str">
        <f>IFERROR(__xludf.DUMMYFUNCTION("CONCATENATE(GOOGLETRANSLATE(C4451, ""en"", ""ja""))"),"ニュートロジーナ アンチエイジング、シワ、小じわのためのレチノール + ペプチド配合のビジブルリペア再生クリーム - 50 gm")</f>
        <v>ニュートロジーナ アンチエイジング、シワ、小じわのためのレチノール + ペプチド配合のビジブルリペア再生クリーム - 50 gm</v>
      </c>
    </row>
    <row r="4452" ht="15.75" customHeight="1">
      <c r="A4452" s="1">
        <v>7574.0</v>
      </c>
      <c r="B4452" s="1" t="s">
        <v>15</v>
      </c>
      <c r="C4452" s="1" t="s">
        <v>3853</v>
      </c>
      <c r="D4452" s="1" t="str">
        <f>IFERROR(__xludf.DUMMYFUNCTION("CONCATENATE(GOOGLETRANSLATE(C4452, ""en"", ""zh-cn""))"),"Neutrogena Norwegische FORMEL Sofort Einziehende Feuchtigkeitscreme，200 毫升霜")</f>
        <v>Neutrogena Norwegische FORMEL Sofort Einziehende Feuchtigkeitscreme，200 毫升霜</v>
      </c>
      <c r="E4452" s="1" t="str">
        <f>IFERROR(__xludf.DUMMYFUNCTION("CONCATENATE(GOOGLETRANSLATE(C4452, ""en"", ""ko""))"),"Neutrogena Norwegische FORMEL Sofort Einziehende Feuchtigkeitscreme, 200ml 크림")</f>
        <v>Neutrogena Norwegische FORMEL Sofort Einziehende Feuchtigkeitscreme, 200ml 크림</v>
      </c>
      <c r="F4452" s="1" t="str">
        <f>IFERROR(__xludf.DUMMYFUNCTION("CONCATENATE(GOOGLETRANSLATE(C4452, ""en"", ""ja""))"),"Neutrogena Norwegische FORMEL Sofort Einziehende Feuchtigkeitscreme、200 ml クリーム")</f>
        <v>Neutrogena Norwegische FORMEL Sofort Einziehende Feuchtigkeitscreme、200 ml クリーム</v>
      </c>
    </row>
    <row r="4453" ht="15.75" customHeight="1">
      <c r="A4453" s="1">
        <v>7577.0</v>
      </c>
      <c r="B4453" s="1" t="s">
        <v>15</v>
      </c>
      <c r="C4453" s="1" t="s">
        <v>3854</v>
      </c>
      <c r="D4453" s="1" t="str">
        <f>IFERROR(__xludf.DUMMYFUNCTION("CONCATENATE(GOOGLETRANSLATE(C4453, ""en"", ""zh-cn""))"),"露得清非常干燥和受损的脚霜")</f>
        <v>露得清非常干燥和受损的脚霜</v>
      </c>
      <c r="E4453" s="1" t="str">
        <f>IFERROR(__xludf.DUMMYFUNCTION("CONCATENATE(GOOGLETRANSLATE(C4453, ""en"", ""ko""))"),"뉴트로지나 베리 드라이 앤 데미지 피트 크림")</f>
        <v>뉴트로지나 베리 드라이 앤 데미지 피트 크림</v>
      </c>
      <c r="F4453" s="1" t="str">
        <f>IFERROR(__xludf.DUMMYFUNCTION("CONCATENATE(GOOGLETRANSLATE(C4453, ""en"", ""ja""))"),"ニュートロジーナ ベリードライ＆ダメージフィートクリーム")</f>
        <v>ニュートロジーナ ベリードライ＆ダメージフィートクリーム</v>
      </c>
    </row>
    <row r="4454" ht="15.75" customHeight="1">
      <c r="A4454" s="1">
        <v>7581.0</v>
      </c>
      <c r="B4454" s="1" t="s">
        <v>15</v>
      </c>
      <c r="C4454" s="1" t="s">
        <v>2056</v>
      </c>
      <c r="D4454" s="1" t="str">
        <f>IFERROR(__xludf.DUMMYFUNCTION("CONCATENATE(GOOGLETRANSLATE(C4454, ""en"", ""zh-cn""))"),"Neutrogena 强效修护身体乳 400 毫升")</f>
        <v>Neutrogena 强效修护身体乳 400 毫升</v>
      </c>
      <c r="E4454" s="1" t="str">
        <f>IFERROR(__xludf.DUMMYFUNCTION("CONCATENATE(GOOGLETRANSLATE(C4454, ""en"", ""ko""))"),"뉴트로지나 인텐스 리페어 바디 밀크 400 ml")</f>
        <v>뉴트로지나 인텐스 리페어 바디 밀크 400 ml</v>
      </c>
      <c r="F4454" s="1" t="str">
        <f>IFERROR(__xludf.DUMMYFUNCTION("CONCATENATE(GOOGLETRANSLATE(C4454, ""en"", ""ja""))"),"ニュートロジーナ インテンス リペア ボディミルク 400ml")</f>
        <v>ニュートロジーナ インテンス リペア ボディミルク 400ml</v>
      </c>
    </row>
    <row r="4455" ht="15.75" customHeight="1">
      <c r="A4455" s="1">
        <v>7587.0</v>
      </c>
      <c r="B4455" s="1" t="s">
        <v>15</v>
      </c>
      <c r="C4455" s="1" t="s">
        <v>2050</v>
      </c>
      <c r="D4455" s="1" t="str">
        <f>IFERROR(__xludf.DUMMYFUNCTION("CONCATENATE(GOOGLETRANSLATE(C4455, ""en"", ""zh-cn""))"),"Neutrogena On the Spot 痤疮治疗，0.75 盎司 - 1 个 - 0.75 盎司 |卡韦尔")</f>
        <v>Neutrogena On the Spot 痤疮治疗，0.75 盎司 - 1 个 - 0.75 盎司 |卡韦尔</v>
      </c>
      <c r="E4455" s="1" t="str">
        <f>IFERROR(__xludf.DUMMYFUNCTION("CONCATENATE(GOOGLETRANSLATE(C4455, ""en"", ""ko""))"),"Neutrogena 온더 스팟 여드름 치료, 0.75온스 - 각 1개 - 0.75온스 | 케어웰")</f>
        <v>Neutrogena 온더 스팟 여드름 치료, 0.75온스 - 각 1개 - 0.75온스 | 케어웰</v>
      </c>
      <c r="F4455" s="1" t="str">
        <f>IFERROR(__xludf.DUMMYFUNCTION("CONCATENATE(GOOGLETRANSLATE(C4455, ""en"", ""ja""))"),"ニュートロジーナ オン ザ スポット アクネ トリートメント、0.75 オンス - 各 1 個 - 0.75 オンス |ケアウェル")</f>
        <v>ニュートロジーナ オン ザ スポット アクネ トリートメント、0.75 オンス - 各 1 個 - 0.75 オンス |ケアウェル</v>
      </c>
    </row>
    <row r="4456" ht="15.75" customHeight="1">
      <c r="A4456" s="1">
        <v>7588.0</v>
      </c>
      <c r="B4456" s="1" t="s">
        <v>15</v>
      </c>
      <c r="C4456" s="1" t="s">
        <v>2053</v>
      </c>
      <c r="D4456" s="1" t="str">
        <f>IFERROR(__xludf.DUMMYFUNCTION("CONCATENATE(GOOGLETRANSLATE(C4456, ""en"", ""zh-cn""))"),"露得清三重修护保湿霜 SPF 25")</f>
        <v>露得清三重修护保湿霜 SPF 25</v>
      </c>
      <c r="E4456" s="1" t="str">
        <f>IFERROR(__xludf.DUMMYFUNCTION("CONCATENATE(GOOGLETRANSLATE(C4456, ""en"", ""ko""))"),"뉴트로지나 트리플 에이지 리페어 모이스처라이저 SPF 25")</f>
        <v>뉴트로지나 트리플 에이지 리페어 모이스처라이저 SPF 25</v>
      </c>
      <c r="F4456" s="1" t="str">
        <f>IFERROR(__xludf.DUMMYFUNCTION("CONCATENATE(GOOGLETRANSLATE(C4456, ""en"", ""ja""))"),"ニュートロジーナ トリプル エイジ リペア モイスチャライザー SPF 25")</f>
        <v>ニュートロジーナ トリプル エイジ リペア モイスチャライザー SPF 25</v>
      </c>
    </row>
    <row r="4457" ht="15.75" customHeight="1">
      <c r="A4457" s="1">
        <v>7621.0</v>
      </c>
      <c r="B4457" s="1" t="s">
        <v>15</v>
      </c>
      <c r="C4457" s="1" t="s">
        <v>3855</v>
      </c>
      <c r="D4457" s="1" t="str">
        <f>IFERROR(__xludf.DUMMYFUNCTION("CONCATENATE(GOOGLETRANSLATE(C4457, ""en"", ""zh-cn""))"),"Neutrogena 舒适润唇膏深层保湿 300ml")</f>
        <v>Neutrogena 舒适润唇膏深层保湿 300ml</v>
      </c>
      <c r="E4457" s="1" t="str">
        <f>IFERROR(__xludf.DUMMYFUNCTION("CONCATENATE(GOOGLETRANSLATE(C4457, ""en"", ""ko""))"),"뉴트로지나 컴포트 밤 딥 하이드레이션 300ml")</f>
        <v>뉴트로지나 컴포트 밤 딥 하이드레이션 300ml</v>
      </c>
      <c r="F4457" s="1" t="str">
        <f>IFERROR(__xludf.DUMMYFUNCTION("CONCATENATE(GOOGLETRANSLATE(C4457, ""en"", ""ja""))"),"ニュートロジーナ コンフォート バーム ディープ ハイドレーション 300ml")</f>
        <v>ニュートロジーナ コンフォート バーム ディープ ハイドレーション 300ml</v>
      </c>
    </row>
    <row r="4458" ht="15.75" customHeight="1">
      <c r="A4458" s="1">
        <v>7623.0</v>
      </c>
      <c r="B4458" s="1" t="s">
        <v>15</v>
      </c>
      <c r="C4458" s="1" t="s">
        <v>2051</v>
      </c>
      <c r="D4458" s="1" t="str">
        <f>IFERROR(__xludf.DUMMYFUNCTION("CONCATENATE(GOOGLETRANSLATE(C4458, ""en"", ""zh-cn""))"),"露得清快速紧致胶原蛋白三重提升面部精华液")</f>
        <v>露得清快速紧致胶原蛋白三重提升面部精华液</v>
      </c>
      <c r="E4458" s="1" t="str">
        <f>IFERROR(__xludf.DUMMYFUNCTION("CONCATENATE(GOOGLETRANSLATE(C4458, ""en"", ""ko""))"),"뉴트로지나 래피드 퍼밍 콜라겐 트리플 리프트 페이스 세럼")</f>
        <v>뉴트로지나 래피드 퍼밍 콜라겐 트리플 리프트 페이스 세럼</v>
      </c>
      <c r="F4458" s="1" t="str">
        <f>IFERROR(__xludf.DUMMYFUNCTION("CONCATENATE(GOOGLETRANSLATE(C4458, ""en"", ""ja""))"),"ニュートロジーナ ラピッド ファーミング コラーゲン トリプル リフト フェイス セラム")</f>
        <v>ニュートロジーナ ラピッド ファーミング コラーゲン トリプル リフト フェイス セラム</v>
      </c>
    </row>
    <row r="4459" ht="15.75" customHeight="1">
      <c r="A4459" s="1">
        <v>7653.0</v>
      </c>
      <c r="B4459" s="1" t="s">
        <v>15</v>
      </c>
      <c r="C4459" s="1" t="s">
        <v>3856</v>
      </c>
      <c r="D4459" s="1" t="str">
        <f>IFERROR(__xludf.DUMMYFUNCTION("CONCATENATE(GOOGLETRANSLATE(C4459, ""en"", ""zh-cn""))"),"Arm &amp; Hammer Complete Care 猫用新鲜牙科水添加剂 - 猫口臭牙科护理解决方案，包括猫牙膏酶作用，非常适合猫美容用品，8 液体盎司")</f>
        <v>Arm &amp; Hammer Complete Care 猫用新鲜牙科水添加剂 - 猫口臭牙科护理解决方案，包括猫牙膏酶作用，非常适合猫美容用品，8 液体盎司</v>
      </c>
      <c r="E4459" s="1" t="str">
        <f>IFERROR(__xludf.DUMMYFUNCTION("CONCATENATE(GOOGLETRANSLATE(C4459, ""en"", ""ko""))"),"암 앤 해머 컴플리트 케어 고양이를 위한 신선한 치과 용수 첨가제 - 구취를 위한 고양이 치과 관리 솔루션, 고양이 치약 효소 작용 포함, 고양이 미용 용품에 이상적, 8 Fl Oz")</f>
        <v>암 앤 해머 컴플리트 케어 고양이를 위한 신선한 치과 용수 첨가제 - 구취를 위한 고양이 치과 관리 솔루션, 고양이 치약 효소 작용 포함, 고양이 미용 용품에 이상적, 8 Fl Oz</v>
      </c>
      <c r="F4459" s="1" t="str">
        <f>IFERROR(__xludf.DUMMYFUNCTION("CONCATENATE(GOOGLETRANSLATE(C4459, ""en"", ""ja""))"),"アーム&amp;ハンマー 猫用コンプリートケアフレッシュデンタルウォーター添加剤 - 猫の口臭対策用デンタルケアソリューション、猫用歯磨き粉の酵素作用を含む、猫のグルーミング用品に最適、8液量オンス")</f>
        <v>アーム&amp;ハンマー 猫用コンプリートケアフレッシュデンタルウォーター添加剤 - 猫の口臭対策用デンタルケアソリューション、猫用歯磨き粉の酵素作用を含む、猫のグルーミング用品に最適、8液量オンス</v>
      </c>
    </row>
    <row r="4460" ht="15.75" customHeight="1">
      <c r="A4460" s="1">
        <v>7659.0</v>
      </c>
      <c r="B4460" s="1" t="s">
        <v>15</v>
      </c>
      <c r="C4460" s="1" t="s">
        <v>3857</v>
      </c>
      <c r="D4460" s="1" t="str">
        <f>IFERROR(__xludf.DUMMYFUNCTION("CONCATENATE(GOOGLETRANSLATE(C4460, ""en"", ""zh-cn""))"),"Arm &amp; Hammer 猫咪水晶除臭剂适用于猫咪猫砂盆 - 镇静薰衣草和香草味猫砂除味器 - 水晶气味控制，用于猫杂乱清理 - 宠物家居用品，15 盎司")</f>
        <v>Arm &amp; Hammer 猫咪水晶除臭剂适用于猫咪猫砂盆 - 镇静薰衣草和香草味猫砂除味器 - 水晶气味控制，用于猫杂乱清理 - 宠物家居用品，15 盎司</v>
      </c>
      <c r="E4460" s="1" t="str">
        <f>IFERROR(__xludf.DUMMYFUNCTION("CONCATENATE(GOOGLETRANSLATE(C4460, ""en"", ""ko""))"),"Arm &amp; Hammer 고양이 쓰레기 상자용 고양이 크리스탈 탈취제 - 진정 라벤더 및 바닐라 향이 나는 고양이 쓰레기 냄새 제거기 - 고양이 배설물 청소용 크리스탈 냄새 제어 - 애완동물 가정용품, 15온스")</f>
        <v>Arm &amp; Hammer 고양이 쓰레기 상자용 고양이 크리스탈 탈취제 - 진정 라벤더 및 바닐라 향이 나는 고양이 쓰레기 냄새 제거기 - 고양이 배설물 청소용 크리스탈 냄새 제어 - 애완동물 가정용품, 15온스</v>
      </c>
      <c r="F4460" s="1" t="str">
        <f>IFERROR(__xludf.DUMMYFUNCTION("CONCATENATE(GOOGLETRANSLATE(C4460, ""en"", ""ja""))"),"Arm &amp; Hammer 猫用クリスタル消臭剤 キティトイレ用 - 心を落ち着かせるラベンダーとバニラの香りの猫砂の臭い除去器 - 猫の散らかり掃除用クリスタル臭気コントロール - ペットホーム用品、15オンス")</f>
        <v>Arm &amp; Hammer 猫用クリスタル消臭剤 キティトイレ用 - 心を落ち着かせるラベンダーとバニラの香りの猫砂の臭い除去器 - 猫の散らかり掃除用クリスタル臭気コントロール - ペットホーム用品、15オンス</v>
      </c>
    </row>
    <row r="4461" ht="15.75" customHeight="1">
      <c r="A4461" s="1">
        <v>7662.0</v>
      </c>
      <c r="B4461" s="1" t="s">
        <v>15</v>
      </c>
      <c r="C4461" s="1" t="s">
        <v>3858</v>
      </c>
      <c r="D4461" s="1" t="str">
        <f>IFERROR(__xludf.DUMMYFUNCTION("CONCATENATE(GOOGLETRANSLATE(C4461, ""en"", ""zh-cn""))"),"Arm &amp; Hammer Cloud Control 白金多猫结块猫砂，具有低过敏性淡香味，14 天控制异味，27.5 磅，在线独家配方")</f>
        <v>Arm &amp; Hammer Cloud Control 白金多猫结块猫砂，具有低过敏性淡香味，14 天控制异味，27.5 磅，在线独家配方</v>
      </c>
      <c r="E4461" s="1" t="str">
        <f>IFERROR(__xludf.DUMMYFUNCTION("CONCATENATE(GOOGLETRANSLATE(C4461, ""en"", ""ko""))"),"Arm &amp; Hammer Cloud Control 플래티넘 멀티캣 클럼핑 고양이 모래, 저자극성 가벼운 향기, 14일 냄새 제어, 27.5 lbs, 온라인 독점 포뮬러")</f>
        <v>Arm &amp; Hammer Cloud Control 플래티넘 멀티캣 클럼핑 고양이 모래, 저자극성 가벼운 향기, 14일 냄새 제어, 27.5 lbs, 온라인 독점 포뮬러</v>
      </c>
      <c r="F4461" s="1" t="str">
        <f>IFERROR(__xludf.DUMMYFUNCTION("CONCATENATE(GOOGLETRANSLATE(C4461, ""en"", ""ja""))"),"アーム＆ハンマー クラウド コントロール プラチナ マルチキャット クランプ猫砂 低刺激性の軽い香り、14 日間の臭気コントロール、27.5 ポンド、オンライン限定フォーミュラ")</f>
        <v>アーム＆ハンマー クラウド コントロール プラチナ マルチキャット クランプ猫砂 低刺激性の軽い香り、14 日間の臭気コントロール、27.5 ポンド、オンライン限定フォーミュラ</v>
      </c>
    </row>
    <row r="4462" ht="15.75" customHeight="1">
      <c r="A4462" s="1">
        <v>7687.0</v>
      </c>
      <c r="B4462" s="1" t="s">
        <v>15</v>
      </c>
      <c r="C4462" s="1" t="s">
        <v>3859</v>
      </c>
      <c r="D4462" s="1" t="str">
        <f>IFERROR(__xludf.DUMMYFUNCTION("CONCATENATE(GOOGLETRANSLATE(C4462, ""en"", ""zh-cn""))"),"PetSafe 室内猫门：2 向锁定、室内宠物门瓣 - 适用于猫砂箱或宠物喂食器的有色隐私门、内置门锁、耐用门框、DIY 简易安装、包含硬件套件")</f>
        <v>PetSafe 室内猫门：2 向锁定、室内宠物门瓣 - 适用于猫砂箱或宠物喂食器的有色隐私门、内置门锁、耐用门框、DIY 简易安装、包含硬件套件</v>
      </c>
      <c r="E4462" s="1" t="str">
        <f>IFERROR(__xludf.DUMMYFUNCTION("CONCATENATE(GOOGLETRANSLATE(C4462, ""en"", ""ko""))"),"PetSafe 내부 고양이 도어: 양방향 잠금, 실내 애완동물 도어 플랩 - 고양이 화장실 또는 애완동물 먹이통용 착색 프라이버시 도어, 내장형 도어 잠금 장치, 내구성 있는 도어 프레임, DIY 손쉬운 설치, 하드웨어 키트 포함")</f>
        <v>PetSafe 내부 고양이 도어: 양방향 잠금, 실내 애완동물 도어 플랩 - 고양이 화장실 또는 애완동물 먹이통용 착색 프라이버시 도어, 내장형 도어 잠금 장치, 내구성 있는 도어 프레임, DIY 손쉬운 설치, 하드웨어 키트 포함</v>
      </c>
      <c r="F4462" s="1" t="str">
        <f>IFERROR(__xludf.DUMMYFUNCTION("CONCATENATE(GOOGLETRANSLATE(C4462, ""en"", ""ja""))"),"PetSafe インテリア猫ドア: 2 ウェイロック、屋内ペットドアフラップ - 猫のトイレまたはペットフィーダー用の着色プライバシードア、内蔵ドアロック、耐久性のあるドアフレーム、DIY 簡単取り付け、ハードウェアキット付属")</f>
        <v>PetSafe インテリア猫ドア: 2 ウェイロック、屋内ペットドアフラップ - 猫のトイレまたはペットフィーダー用の着色プライバシードア、内蔵ドアロック、耐久性のあるドアフレーム、DIY 簡単取り付け、ハードウェアキット付属</v>
      </c>
    </row>
    <row r="4463" ht="15.75" customHeight="1">
      <c r="A4463" s="1">
        <v>7693.0</v>
      </c>
      <c r="B4463" s="1" t="s">
        <v>15</v>
      </c>
      <c r="C4463" s="1" t="s">
        <v>3860</v>
      </c>
      <c r="D4463" s="1" t="str">
        <f>IFERROR(__xludf.DUMMYFUNCTION("CONCATENATE(GOOGLETRANSLATE(C4463, ""en"", ""zh-cn""))"),"PetSafe Drinkwell 替换泡沫过滤器 - 与用于饮水机的 PetSafe 陶瓷和不锈钢宠物饮水器兼容，2 件装 (PAC00-13711)")</f>
        <v>PetSafe Drinkwell 替换泡沫过滤器 - 与用于饮水机的 PetSafe 陶瓷和不锈钢宠物饮水器兼容，2 件装 (PAC00-13711)</v>
      </c>
      <c r="E4463" s="1" t="str">
        <f>IFERROR(__xludf.DUMMYFUNCTION("CONCATENATE(GOOGLETRANSLATE(C4463, ""en"", ""ko""))"),"PetSafe Drinkwell 교체용 폼 필터 - 워터 디스펜서용 PetSafe 세라믹 및 스테인리스 스틸 애완동물 분수와 호환 가능, 2팩(PAC00-13711)")</f>
        <v>PetSafe Drinkwell 교체용 폼 필터 - 워터 디스펜서용 PetSafe 세라믹 및 스테인리스 스틸 애완동물 분수와 호환 가능, 2팩(PAC00-13711)</v>
      </c>
      <c r="F4463" s="1" t="str">
        <f>IFERROR(__xludf.DUMMYFUNCTION("CONCATENATE(GOOGLETRANSLATE(C4463, ""en"", ""ja""))"),"PetSafe ドリンクウェル交換用泡フィルター - PetSafe セラミックおよびステンレススチールのウォーターディスペンサー用ペットファウンテンと互換性あり、2 パック (PAC00-13711)")</f>
        <v>PetSafe ドリンクウェル交換用泡フィルター - PetSafe セラミックおよびステンレススチールのウォーターディスペンサー用ペットファウンテンと互換性あり、2 パック (PAC00-13711)</v>
      </c>
    </row>
    <row r="4464" ht="15.75" customHeight="1">
      <c r="A4464" s="1">
        <v>7702.0</v>
      </c>
      <c r="B4464" s="1" t="s">
        <v>15</v>
      </c>
      <c r="C4464" s="1" t="s">
        <v>3861</v>
      </c>
      <c r="D4464" s="1" t="str">
        <f>IFERROR(__xludf.DUMMYFUNCTION("CONCATENATE(GOOGLETRANSLATE(C4464, ""en"", ""zh-cn""))"),"MidWest Homes for Pets 替换橡胶板条箱脚，大号，黑色，4 件装，FEET-4L")</f>
        <v>MidWest Homes for Pets 替换橡胶板条箱脚，大号，黑色，4 件装，FEET-4L</v>
      </c>
      <c r="E4464" s="1" t="str">
        <f>IFERROR(__xludf.DUMMYFUNCTION("CONCATENATE(GOOGLETRANSLATE(C4464, ""en"", ""ko""))"),"애완동물 교체용 고무 상자 발을 위한 MidWest 주택, 대형, 검정색, 4개 팩, FEET-4L")</f>
        <v>애완동물 교체용 고무 상자 발을 위한 MidWest 주택, 대형, 검정색, 4개 팩, FEET-4L</v>
      </c>
      <c r="F4464" s="1" t="str">
        <f>IFERROR(__xludf.DUMMYFUNCTION("CONCATENATE(GOOGLETRANSLATE(C4464, ""en"", ""ja""))"),"MidWest Homes for Pets 交換用ゴムクレートフィート、ラージ、ブラック、4 個パック、FEET-4L")</f>
        <v>MidWest Homes for Pets 交換用ゴムクレートフィート、ラージ、ブラック、4 個パック、FEET-4L</v>
      </c>
    </row>
    <row r="4465" ht="15.75" customHeight="1">
      <c r="A4465" s="1">
        <v>7724.0</v>
      </c>
      <c r="B4465" s="1" t="s">
        <v>15</v>
      </c>
      <c r="C4465" s="1" t="s">
        <v>3862</v>
      </c>
      <c r="D4465" s="1" t="str">
        <f>IFERROR(__xludf.DUMMYFUNCTION("CONCATENATE(GOOGLETRANSLATE(C4465, ""en"", ""zh-cn""))"),"PetSafe 滑动玻璃宠物门安全杆 - 易于安装 - 锁定您的滑动玻璃狗门 - 与 PetSafe 滑动玻璃宠物门兼容 - 适用于宽度达 72 英寸的滑动玻璃门")</f>
        <v>PetSafe 滑动玻璃宠物门安全杆 - 易于安装 - 锁定您的滑动玻璃狗门 - 与 PetSafe 滑动玻璃宠物门兼容 - 适用于宽度达 72 英寸的滑动玻璃门</v>
      </c>
      <c r="E4465" s="1" t="str">
        <f>IFERROR(__xludf.DUMMYFUNCTION("CONCATENATE(GOOGLETRANSLATE(C4465, ""en"", ""ko""))"),"PetSafe 슬라이딩 유리 애완동물 도어 보안 바 - 간편한 설치 - 슬라이딩 유리 도어 잠금 장치 개 도어 - PetSafe 슬라이딩 유리 애완동물 도어와 호환 가능 - 최대 72폭의 슬라이딩 유리 도어용")</f>
        <v>PetSafe 슬라이딩 유리 애완동물 도어 보안 바 - 간편한 설치 - 슬라이딩 유리 도어 잠금 장치 개 도어 - PetSafe 슬라이딩 유리 애완동물 도어와 호환 가능 - 최대 72폭의 슬라이딩 유리 도어용</v>
      </c>
      <c r="F4465" s="1" t="str">
        <f>IFERROR(__xludf.DUMMYFUNCTION("CONCATENATE(GOOGLETRANSLATE(C4465, ""en"", ""ja""))"),"PetSafe スライドガラスペットドアセキュリティバー - 取り付け簡単 - 犬用ガラススライドドアをロック - PetSafe スライドガラスペットドアと互換性あり - 幅 72 までのスライドガラスドアに対応")</f>
        <v>PetSafe スライドガラスペットドアセキュリティバー - 取り付け簡単 - 犬用ガラススライドドアをロック - PetSafe スライドガラスペットドアと互換性あり - 幅 72 までのスライドガラスドアに対応</v>
      </c>
    </row>
    <row r="4466" ht="15.75" customHeight="1">
      <c r="A4466" s="1">
        <v>7739.0</v>
      </c>
      <c r="B4466" s="1" t="s">
        <v>15</v>
      </c>
      <c r="C4466" s="1" t="s">
        <v>2067</v>
      </c>
      <c r="D4466" s="1" t="str">
        <f>IFERROR(__xludf.DUMMYFUNCTION("CONCATENATE(GOOGLETRANSLATE(C4466, ""en"", ""zh-cn""))"),"PetSafe 海边宠物饮水器（60 盎司/1.8 升水容量）不锈钢猫饮水器，有助于防止宠物痤疮、划伤和防锈材料")</f>
        <v>PetSafe 海边宠物饮水器（60 盎司/1.8 升水容量）不锈钢猫饮水器，有助于防止宠物痤疮、划伤和防锈材料</v>
      </c>
      <c r="E4466" s="1" t="str">
        <f>IFERROR(__xludf.DUMMYFUNCTION("CONCATENATE(GOOGLETRANSLATE(C4466, ""en"", ""ko""))"),"PetSafe 해변 애완동물 분수(60온스/1.8L 용량) 스테인레스 스틸 고양이 분수, 애완동물의 여드름, 긁힘 및 녹 방지 소재 방지에 도움")</f>
        <v>PetSafe 해변 애완동물 분수(60온스/1.8L 용량) 스테인레스 스틸 고양이 분수, 애완동물의 여드름, 긁힘 및 녹 방지 소재 방지에 도움</v>
      </c>
      <c r="F4466" s="1" t="str">
        <f>IFERROR(__xludf.DUMMYFUNCTION("CONCATENATE(GOOGLETRANSLATE(C4466, ""en"", ""ja""))"),"PetSafe シーサイド ペット ウォーター ファウンテン (60 オンス/1.8L 水容量) ステンレス鋼の猫用ウォーター ファウンテン、ペットのニキビを防ぎ、傷や錆びにくい素材を使用")</f>
        <v>PetSafe シーサイド ペット ウォーター ファウンテン (60 オンス/1.8L 水容量) ステンレス鋼の猫用ウォーター ファウンテン、ペットのニキビを防ぎ、傷や錆びにくい素材を使用</v>
      </c>
    </row>
    <row r="4467" ht="15.75" customHeight="1">
      <c r="A4467" s="1">
        <v>7740.0</v>
      </c>
      <c r="B4467" s="1" t="s">
        <v>15</v>
      </c>
      <c r="C4467" s="1" t="s">
        <v>3863</v>
      </c>
      <c r="D4467" s="1" t="str">
        <f>IFERROR(__xludf.DUMMYFUNCTION("CONCATENATE(GOOGLETRANSLATE(C4467, ""en"", ""zh-cn""))"),"PetSafe Chilly Penguin，小型犬可冷冻狗玩具，填充和冷冻，可填充零食的冷冻狗玩具，法国香草味，互动宠物拼图，适合无聊或分离焦虑，小号")</f>
        <v>PetSafe Chilly Penguin，小型犬可冷冻狗玩具，填充和冷冻，可填充零食的冷冻狗玩具，法国香草味，互动宠物拼图，适合无聊或分离焦虑，小号</v>
      </c>
      <c r="E4467" s="1" t="str">
        <f>IFERROR(__xludf.DUMMYFUNCTION("CONCATENATE(GOOGLETRANSLATE(C4467, ""en"", ""ko""))"),"PetSafe Chilly Penguin, 작은 개를 위한 냉동 가능한 개 장난감, 채우고 얼리는 것, 간식으로 채울 수 있는 냉동 개 장난감, 프렌치 바닐라 향, 지루함이나 분리 불안을 위한 대화형 애완 동물 퍼즐, 소형")</f>
        <v>PetSafe Chilly Penguin, 작은 개를 위한 냉동 가능한 개 장난감, 채우고 얼리는 것, 간식으로 채울 수 있는 냉동 개 장난감, 프렌치 바닐라 향, 지루함이나 분리 불안을 위한 대화형 애완 동물 퍼즐, 소형</v>
      </c>
      <c r="F4467" s="1" t="str">
        <f>IFERROR(__xludf.DUMMYFUNCTION("CONCATENATE(GOOGLETRANSLATE(C4467, ""en"", ""ja""))"),"PetSafe チリーペンギン、小型犬用冷凍可能犬用おもちゃ、詰めて冷凍、おやつを詰める冷凍犬用おもちゃ、フレンチバニラの香り、退屈や分離不安のためのインタラクティブペットパズル、S")</f>
        <v>PetSafe チリーペンギン、小型犬用冷凍可能犬用おもちゃ、詰めて冷凍、おやつを詰める冷凍犬用おもちゃ、フレンチバニラの香り、退屈や分離不安のためのインタラクティブペットパズル、S</v>
      </c>
    </row>
    <row r="4468" ht="15.75" customHeight="1">
      <c r="A4468" s="1">
        <v>7754.0</v>
      </c>
      <c r="B4468" s="1" t="s">
        <v>15</v>
      </c>
      <c r="C4468" s="1" t="s">
        <v>3864</v>
      </c>
      <c r="D4468" s="1" t="str">
        <f>IFERROR(__xludf.DUMMYFUNCTION("CONCATENATE(GOOGLETRANSLATE(C4468, ""en"", ""zh-cn""))"),"Aqueon 珊瑚礁就绪水族馆 125 加仑")</f>
        <v>Aqueon 珊瑚礁就绪水族馆 125 加仑</v>
      </c>
      <c r="E4468" s="1" t="str">
        <f>IFERROR(__xludf.DUMMYFUNCTION("CONCATENATE(GOOGLETRANSLATE(C4468, ""en"", ""ko""))"),"Aqueon 리프 레디 수족관 125갤런")</f>
        <v>Aqueon 리프 레디 수족관 125갤런</v>
      </c>
      <c r="F4468" s="1" t="str">
        <f>IFERROR(__xludf.DUMMYFUNCTION("CONCATENATE(GOOGLETRANSLATE(C4468, ""en"", ""ja""))"),"アクアオン リーフレディ アクアリウム 125 ガロン")</f>
        <v>アクアオン リーフレディ アクアリウム 125 ガロン</v>
      </c>
    </row>
    <row r="4469" ht="15.75" customHeight="1">
      <c r="A4469" s="1">
        <v>7756.0</v>
      </c>
      <c r="B4469" s="1" t="s">
        <v>15</v>
      </c>
      <c r="C4469" s="1" t="s">
        <v>3865</v>
      </c>
      <c r="D4469" s="1" t="str">
        <f>IFERROR(__xludf.DUMMYFUNCTION("CONCATENATE(GOOGLETRANSLATE(C4469, ""en"", ""zh-cn""))"),"Aqueon 75 加仑水族箱")</f>
        <v>Aqueon 75 加仑水族箱</v>
      </c>
      <c r="E4469" s="1" t="str">
        <f>IFERROR(__xludf.DUMMYFUNCTION("CONCATENATE(GOOGLETRANSLATE(C4469, ""en"", ""ko""))"),"Aqueon 75 갤런 수족관")</f>
        <v>Aqueon 75 갤런 수족관</v>
      </c>
      <c r="F4469" s="1" t="str">
        <f>IFERROR(__xludf.DUMMYFUNCTION("CONCATENATE(GOOGLETRANSLATE(C4469, ""en"", ""ja""))"),"アクアオン 75 ガロン水族館")</f>
        <v>アクアオン 75 ガロン水族館</v>
      </c>
    </row>
    <row r="4470" ht="15.75" customHeight="1">
      <c r="A4470" s="1">
        <v>7758.0</v>
      </c>
      <c r="B4470" s="1" t="s">
        <v>15</v>
      </c>
      <c r="C4470" s="1" t="s">
        <v>3866</v>
      </c>
      <c r="D4470" s="1" t="str">
        <f>IFERROR(__xludf.DUMMYFUNCTION("CONCATENATE(GOOGLETRANSLATE(C4470, ""en"", ""zh-cn""))"),"Aqueon 20 加仑高水族箱")</f>
        <v>Aqueon 20 加仑高水族箱</v>
      </c>
      <c r="E4470" s="1" t="str">
        <f>IFERROR(__xludf.DUMMYFUNCTION("CONCATENATE(GOOGLETRANSLATE(C4470, ""en"", ""ko""))"),"Aqueon 20 갤런 하이 아쿠아리움")</f>
        <v>Aqueon 20 갤런 하이 아쿠아리움</v>
      </c>
      <c r="F4470" s="1" t="str">
        <f>IFERROR(__xludf.DUMMYFUNCTION("CONCATENATE(GOOGLETRANSLATE(C4470, ""en"", ""ja""))"),"Aqueon 20 ガロン ハイ アクアリウム")</f>
        <v>Aqueon 20 ガロン ハイ アクアリウム</v>
      </c>
    </row>
    <row r="4471" ht="15.75" customHeight="1">
      <c r="A4471" s="1">
        <v>7790.0</v>
      </c>
      <c r="B4471" s="1" t="s">
        <v>15</v>
      </c>
      <c r="C4471" s="1" t="s">
        <v>3867</v>
      </c>
      <c r="D4471" s="1" t="str">
        <f>IFERROR(__xludf.DUMMYFUNCTION("CONCATENATE(GOOGLETRANSLATE(C4471, ""en"", ""zh-cn""))"),"TetraFauna ReptoFilter 适用于青蛙、蝾螈和海龟")</f>
        <v>TetraFauna ReptoFilter 适用于青蛙、蝾螈和海龟</v>
      </c>
      <c r="E4471" s="1" t="str">
        <f>IFERROR(__xludf.DUMMYFUNCTION("CONCATENATE(GOOGLETRANSLATE(C4471, ""en"", ""ko""))"),"개구리, 영원, 거북이를 위한 TetraFauna ReptoFilter")</f>
        <v>개구리, 영원, 거북이를 위한 TetraFauna ReptoFilter</v>
      </c>
      <c r="F4471" s="1" t="str">
        <f>IFERROR(__xludf.DUMMYFUNCTION("CONCATENATE(GOOGLETRANSLATE(C4471, ""en"", ""ja""))"),"カエル、イモリ、カメ用 TetraFauna レプトフィルター")</f>
        <v>カエル、イモリ、カメ用 TetraFauna レプトフィルター</v>
      </c>
    </row>
    <row r="4472" ht="15.75" customHeight="1">
      <c r="A4472" s="1">
        <v>7798.0</v>
      </c>
      <c r="B4472" s="1" t="s">
        <v>15</v>
      </c>
      <c r="C4472" s="1" t="s">
        <v>3868</v>
      </c>
      <c r="D4472" s="1" t="str">
        <f>IFERROR(__xludf.DUMMYFUNCTION("CONCATENATE(GOOGLETRANSLATE(C4472, ""en"", ""zh-cn""))"),"适用于水族箱的利乐碳过滤器，适合 Whisper EX 过滤器，清洁水族箱水，4 片")</f>
        <v>适用于水族箱的利乐碳过滤器，适合 Whisper EX 过滤器，清洁水族箱水，4 片</v>
      </c>
      <c r="E4472" s="1" t="str">
        <f>IFERROR(__xludf.DUMMYFUNCTION("CONCATENATE(GOOGLETRANSLATE(C4472, ""en"", ""ko""))"),"수족관용 테트라 탄소 필터, Whisper EX 필터에 적합, 수족관 물 청소, 4개")</f>
        <v>수족관용 테트라 탄소 필터, Whisper EX 필터에 적합, 수족관 물 청소, 4개</v>
      </c>
      <c r="F4472" s="1" t="str">
        <f>IFERROR(__xludf.DUMMYFUNCTION("CONCATENATE(GOOGLETRANSLATE(C4472, ""en"", ""ja""))"),"テトラ 水槽用カーボンフィルター ウィスパーEXフィルター対応 水槽水をきれいに 4枚入")</f>
        <v>テトラ 水槽用カーボンフィルター ウィスパーEXフィルター対応 水槽水をきれいに 4枚入</v>
      </c>
    </row>
    <row r="4473" ht="15.75" customHeight="1">
      <c r="A4473" s="1">
        <v>7807.0</v>
      </c>
      <c r="B4473" s="1" t="s">
        <v>15</v>
      </c>
      <c r="C4473" s="1" t="s">
        <v>3869</v>
      </c>
      <c r="D4473" s="1" t="str">
        <f>IFERROR(__xludf.DUMMYFUNCTION("CONCATENATE(GOOGLETRANSLATE(C4473, ""en"", ""zh-cn""))"),"Wonder &amp; Wise Hi-Lo 活动桌")</f>
        <v>Wonder &amp; Wise Hi-Lo 活动桌</v>
      </c>
      <c r="E4473" s="1" t="str">
        <f>IFERROR(__xludf.DUMMYFUNCTION("CONCATENATE(GOOGLETRANSLATE(C4473, ""en"", ""ko""))"),"Wonder &amp; Wise Hi-Lo 활동 테이블")</f>
        <v>Wonder &amp; Wise Hi-Lo 활동 테이블</v>
      </c>
      <c r="F4473" s="1" t="str">
        <f>IFERROR(__xludf.DUMMYFUNCTION("CONCATENATE(GOOGLETRANSLATE(C4473, ""en"", ""ja""))"),"Wonder &amp; Wise Hi-Lo アクティビティ テーブル")</f>
        <v>Wonder &amp; Wise Hi-Lo アクティビティ テーブル</v>
      </c>
    </row>
    <row r="4474" ht="15.75" customHeight="1">
      <c r="A4474" s="1">
        <v>7833.0</v>
      </c>
      <c r="B4474" s="1" t="s">
        <v>15</v>
      </c>
      <c r="C4474" s="1" t="s">
        <v>3870</v>
      </c>
      <c r="D4474" s="1" t="str">
        <f>IFERROR(__xludf.DUMMYFUNCTION("CONCATENATE(GOOGLETRANSLATE(C4474, ""en"", ""zh-cn""))"),"Costway 儿童多功能游戏桌")</f>
        <v>Costway 儿童多功能游戏桌</v>
      </c>
      <c r="E4474" s="1" t="str">
        <f>IFERROR(__xludf.DUMMYFUNCTION("CONCATENATE(GOOGLETRANSLATE(C4474, ""en"", ""ko""))"),"Costway 키즈 멀티 액티비티 플레이 테이블")</f>
        <v>Costway 키즈 멀티 액티비티 플레이 테이블</v>
      </c>
      <c r="F4474" s="1" t="str">
        <f>IFERROR(__xludf.DUMMYFUNCTION("CONCATENATE(GOOGLETRANSLATE(C4474, ""en"", ""ja""))"),"Costway キッズ マルチ アクティビティ プレイ テーブル")</f>
        <v>Costway キッズ マルチ アクティビティ プレイ テーブル</v>
      </c>
    </row>
    <row r="4475" ht="15.75" customHeight="1">
      <c r="A4475" s="1">
        <v>7837.0</v>
      </c>
      <c r="B4475" s="1" t="s">
        <v>15</v>
      </c>
      <c r="C4475" s="1" t="s">
        <v>3871</v>
      </c>
      <c r="D4475" s="1" t="str">
        <f>IFERROR(__xludf.DUMMYFUNCTION("CONCATENATE(GOOGLETRANSLATE(C4475, ""en"", ""zh-cn""))"),"54'' Nest 活动桌")</f>
        <v>54'' Nest 活动桌</v>
      </c>
      <c r="E4475" s="1" t="str">
        <f>IFERROR(__xludf.DUMMYFUNCTION("CONCATENATE(GOOGLETRANSLATE(C4475, ""en"", ""ko""))"),"54'' Nest 활동 표")</f>
        <v>54'' Nest 활동 표</v>
      </c>
      <c r="F4475" s="1" t="str">
        <f>IFERROR(__xludf.DUMMYFUNCTION("CONCATENATE(GOOGLETRANSLATE(C4475, ""en"", ""ja""))"),"54インチ ネストアクティビティテーブル")</f>
        <v>54インチ ネストアクティビティテーブル</v>
      </c>
    </row>
    <row r="4476" ht="15.75" customHeight="1">
      <c r="A4476" s="1">
        <v>7838.0</v>
      </c>
      <c r="B4476" s="1" t="s">
        <v>15</v>
      </c>
      <c r="C4476" s="1" t="s">
        <v>3872</v>
      </c>
      <c r="D4476" s="1" t="str">
        <f>IFERROR(__xludf.DUMMYFUNCTION("CONCATENATE(GOOGLETRANSLATE(C4476, ""en"", ""zh-cn""))"),"Avenlur Cordia 活动桌椅套装")</f>
        <v>Avenlur Cordia 活动桌椅套装</v>
      </c>
      <c r="E4476" s="1" t="str">
        <f>IFERROR(__xludf.DUMMYFUNCTION("CONCATENATE(GOOGLETRANSLATE(C4476, ""en"", ""ko""))"),"Avenlur Cordia 활동 테이블 및 의자 세트")</f>
        <v>Avenlur Cordia 활동 테이블 및 의자 세트</v>
      </c>
      <c r="F4476" s="1" t="str">
        <f>IFERROR(__xludf.DUMMYFUNCTION("CONCATENATE(GOOGLETRANSLATE(C4476, ""en"", ""ja""))"),"Avenlur Cordia アクティビティ テーブルとチェア セット")</f>
        <v>Avenlur Cordia アクティビティ テーブルとチェア セット</v>
      </c>
    </row>
    <row r="4477" ht="15.75" customHeight="1">
      <c r="A4477" s="1">
        <v>7841.0</v>
      </c>
      <c r="B4477" s="1" t="s">
        <v>15</v>
      </c>
      <c r="C4477" s="1" t="s">
        <v>3873</v>
      </c>
      <c r="D4477" s="1" t="str">
        <f>IFERROR(__xludf.DUMMYFUNCTION("CONCATENATE(GOOGLETRANSLATE(C4477, ""en"", ""zh-cn""))"),"Humble Crew 儿童二合一圆形活动桌和 2 张椅子套装")</f>
        <v>Humble Crew 儿童二合一圆形活动桌和 2 张椅子套装</v>
      </c>
      <c r="E4477" s="1" t="str">
        <f>IFERROR(__xludf.DUMMYFUNCTION("CONCATENATE(GOOGLETRANSLATE(C4477, ""en"", ""ko""))"),"Humble Crew Kids 2-in-1 원형 활동 테이블 및 의자 2개 세트")</f>
        <v>Humble Crew Kids 2-in-1 원형 활동 테이블 및 의자 2개 세트</v>
      </c>
      <c r="F4477" s="1" t="str">
        <f>IFERROR(__xludf.DUMMYFUNCTION("CONCATENATE(GOOGLETRANSLATE(C4477, ""en"", ""ja""))"),"Humble Crew キッズ 2-in-1 ラウンド アクティビティ テーブルとチェア 2 脚セット")</f>
        <v>Humble Crew キッズ 2-in-1 ラウンド アクティビティ テーブルとチェア 2 脚セット</v>
      </c>
    </row>
    <row r="4478" ht="15.75" customHeight="1">
      <c r="A4478" s="1">
        <v>7846.0</v>
      </c>
      <c r="B4478" s="1" t="s">
        <v>15</v>
      </c>
      <c r="C4478" s="1" t="s">
        <v>3874</v>
      </c>
      <c r="D4478" s="1" t="str">
        <f>IFERROR(__xludf.DUMMYFUNCTION("CONCATENATE(GOOGLETRANSLATE(C4478, ""en"", ""zh-cn""))"),"ECR4Kids 干擦方形活动桌，带 2 张椅子，可调节")</f>
        <v>ECR4Kids 干擦方形活动桌，带 2 张椅子，可调节</v>
      </c>
      <c r="E4478" s="1" t="str">
        <f>IFERROR(__xludf.DUMMYFUNCTION("CONCATENATE(GOOGLETRANSLATE(C4478, ""en"", ""ko""))"),"ECR4Kids Dry-Erase Square 활동 테이블(의자 2개 및 조절 가능)")</f>
        <v>ECR4Kids Dry-Erase Square 활동 테이블(의자 2개 및 조절 가능)</v>
      </c>
      <c r="F4478" s="1" t="str">
        <f>IFERROR(__xludf.DUMMYFUNCTION("CONCATENATE(GOOGLETRANSLATE(C4478, ""en"", ""ja""))"),"ECR4Kids ホワイトボード スクエア アクティビティ テーブル 椅子 2 脚付き、調節可能")</f>
        <v>ECR4Kids ホワイトボード スクエア アクティビティ テーブル 椅子 2 脚付き、調節可能</v>
      </c>
    </row>
    <row r="4479" ht="15.75" customHeight="1">
      <c r="A4479" s="1">
        <v>7847.0</v>
      </c>
      <c r="B4479" s="1" t="s">
        <v>15</v>
      </c>
      <c r="C4479" s="1" t="s">
        <v>3875</v>
      </c>
      <c r="D4479" s="1" t="str">
        <f>IFERROR(__xludf.DUMMYFUNCTION("CONCATENATE(GOOGLETRANSLATE(C4479, ""en"", ""zh-cn""))"),"终身紧凑型折叠桌 280488")</f>
        <v>终身紧凑型折叠桌 280488</v>
      </c>
      <c r="E4479" s="1" t="str">
        <f>IFERROR(__xludf.DUMMYFUNCTION("CONCATENATE(GOOGLETRANSLATE(C4479, ""en"", ""ko""))"),"평생 컴팩트 접이식 테이블 280488")</f>
        <v>평생 컴팩트 접이식 테이블 280488</v>
      </c>
      <c r="F4479" s="1" t="str">
        <f>IFERROR(__xludf.DUMMYFUNCTION("CONCATENATE(GOOGLETRANSLATE(C4479, ""en"", ""ja""))"),"ライフタイムコンパクト折りたたみテーブル 280488")</f>
        <v>ライフタイムコンパクト折りたたみテーブル 280488</v>
      </c>
    </row>
    <row r="4480" ht="15.75" customHeight="1">
      <c r="A4480" s="1">
        <v>7848.0</v>
      </c>
      <c r="B4480" s="1" t="s">
        <v>15</v>
      </c>
      <c r="C4480" s="1" t="s">
        <v>3876</v>
      </c>
      <c r="D4480" s="1" t="str">
        <f>IFERROR(__xludf.DUMMYFUNCTION("CONCATENATE(GOOGLETRANSLATE(C4480, ""en"", ""zh-cn""))"),"Go Time Gear Life 帐篷 紧急求生避难所")</f>
        <v>Go Time Gear Life 帐篷 紧急求生避难所</v>
      </c>
      <c r="E4480" s="1" t="str">
        <f>IFERROR(__xludf.DUMMYFUNCTION("CONCATENATE(GOOGLETRANSLATE(C4480, ""en"", ""ko""))"),"이동 기어 라이프 텐트 긴급 생존 대피소")</f>
        <v>이동 기어 라이프 텐트 긴급 생존 대피소</v>
      </c>
      <c r="F4480" s="1" t="str">
        <f>IFERROR(__xludf.DUMMYFUNCTION("CONCATENATE(GOOGLETRANSLATE(C4480, ""en"", ""ja""))"),"ゴータイムギア ライフテント 緊急サバイバルシェルター")</f>
        <v>ゴータイムギア ライフテント 緊急サバイバルシェルター</v>
      </c>
    </row>
    <row r="4481" ht="15.75" customHeight="1">
      <c r="A4481" s="1">
        <v>7861.0</v>
      </c>
      <c r="B4481" s="1" t="s">
        <v>15</v>
      </c>
      <c r="C4481" s="1" t="s">
        <v>3877</v>
      </c>
      <c r="D4481" s="1" t="str">
        <f>IFERROR(__xludf.DUMMYFUNCTION("CONCATENATE(GOOGLETRANSLATE(C4481, ""en"", ""zh-cn""))"),"Quechua Arpenaz 4.1，家庭露营帐篷，4 人，黑色")</f>
        <v>Quechua Arpenaz 4.1，家庭露营帐篷，4 人，黑色</v>
      </c>
      <c r="E4481" s="1" t="str">
        <f>IFERROR(__xludf.DUMMYFUNCTION("CONCATENATE(GOOGLETRANSLATE(C4481, ""en"", ""ko""))"),"케추아 아르페나즈 4.1, 가족용 캠핑 텐트, 4인용 블랙")</f>
        <v>케추아 아르페나즈 4.1, 가족용 캠핑 텐트, 4인용 블랙</v>
      </c>
      <c r="F4481" s="1" t="str">
        <f>IFERROR(__xludf.DUMMYFUNCTION("CONCATENATE(GOOGLETRANSLATE(C4481, ""en"", ""ja""))"),"Quechua Arpenaz 4.1、ファミリー キャンプ テント、4 人用、ブラック")</f>
        <v>Quechua Arpenaz 4.1、ファミリー キャンプ テント、4 人用、ブラック</v>
      </c>
    </row>
    <row r="4482" ht="15.75" customHeight="1">
      <c r="A4482" s="1">
        <v>7863.0</v>
      </c>
      <c r="B4482" s="1" t="s">
        <v>15</v>
      </c>
      <c r="C4482" s="1" t="s">
        <v>3878</v>
      </c>
      <c r="D4482" s="1" t="str">
        <f>IFERROR(__xludf.DUMMYFUNCTION("CONCATENATE(GOOGLETRANSLATE(C4482, ""en"", ""zh-cn""))"),"带机架安装的硬壳屋顶帐篷")</f>
        <v>带机架安装的硬壳屋顶帐篷</v>
      </c>
      <c r="E4482" s="1" t="str">
        <f>IFERROR(__xludf.DUMMYFUNCTION("CONCATENATE(GOOGLETRANSLATE(C4482, ""en"", ""ko""))"),"랙 마운트가 포함된 하드쉘 루프탑 텐트")</f>
        <v>랙 마운트가 포함된 하드쉘 루프탑 텐트</v>
      </c>
      <c r="F4482" s="1" t="str">
        <f>IFERROR(__xludf.DUMMYFUNCTION("CONCATENATE(GOOGLETRANSLATE(C4482, ""en"", ""ja""))"),"ラックマウント付きハードシェルルーフトップテント")</f>
        <v>ラックマウント付きハードシェルルーフトップテント</v>
      </c>
    </row>
    <row r="4483" ht="15.75" customHeight="1">
      <c r="A4483" s="1">
        <v>7864.0</v>
      </c>
      <c r="B4483" s="1" t="s">
        <v>15</v>
      </c>
      <c r="C4483" s="1" t="s">
        <v>3879</v>
      </c>
      <c r="D4483" s="1" t="str">
        <f>IFERROR(__xludf.DUMMYFUNCTION("CONCATENATE(GOOGLETRANSLATE(C4483, ""en"", ""zh-cn""))"),"POMOLY Dome X4 独立式圆顶热帐篷")</f>
        <v>POMOLY Dome X4 独立式圆顶热帐篷</v>
      </c>
      <c r="E4483" s="1" t="str">
        <f>IFERROR(__xludf.DUMMYFUNCTION("CONCATENATE(GOOGLETRANSLATE(C4483, ""en"", ""ko""))"),"POMOLY Dome X4 독립형 돔 핫 텐트")</f>
        <v>POMOLY Dome X4 독립형 돔 핫 텐트</v>
      </c>
      <c r="F4483" s="1" t="str">
        <f>IFERROR(__xludf.DUMMYFUNCTION("CONCATENATE(GOOGLETRANSLATE(C4483, ""en"", ""ja""))"),"ポモリ ドーム X4 自立式ドーム ホット テント")</f>
        <v>ポモリ ドーム X4 自立式ドーム ホット テント</v>
      </c>
    </row>
    <row r="4484" ht="15.75" customHeight="1">
      <c r="A4484" s="1">
        <v>7872.0</v>
      </c>
      <c r="B4484" s="1" t="s">
        <v>15</v>
      </c>
      <c r="C4484" s="1" t="s">
        <v>3880</v>
      </c>
      <c r="D4484" s="1" t="str">
        <f>IFERROR(__xludf.DUMMYFUNCTION("CONCATENATE(GOOGLETRANSLATE(C4484, ""en"", ""zh-cn""))"),"KingCamp 露营方形 SUV 帐篷")</f>
        <v>KingCamp 露营方形 SUV 帐篷</v>
      </c>
      <c r="E4484" s="1" t="str">
        <f>IFERROR(__xludf.DUMMYFUNCTION("CONCATENATE(GOOGLETRANSLATE(C4484, ""en"", ""ko""))"),"KingCamp 캠핑 스퀘어 SUV 텐트")</f>
        <v>KingCamp 캠핑 스퀘어 SUV 텐트</v>
      </c>
      <c r="F4484" s="1" t="str">
        <f>IFERROR(__xludf.DUMMYFUNCTION("CONCATENATE(GOOGLETRANSLATE(C4484, ""en"", ""ja""))"),"KingCamp キャンピング スクエア SUV テント")</f>
        <v>KingCamp キャンピング スクエア SUV テント</v>
      </c>
    </row>
    <row r="4485" ht="15.75" customHeight="1">
      <c r="A4485" s="1">
        <v>7884.0</v>
      </c>
      <c r="B4485" s="1" t="s">
        <v>15</v>
      </c>
      <c r="C4485" s="1" t="s">
        <v>3881</v>
      </c>
      <c r="D4485" s="1" t="str">
        <f>IFERROR(__xludf.DUMMYFUNCTION("CONCATENATE(GOOGLETRANSLATE(C4485, ""en"", ""zh-cn""))"),"Cabela's 阿拉斯加导游模型测地线 8 人帐篷")</f>
        <v>Cabela's 阿拉斯加导游模型测地线 8 人帐篷</v>
      </c>
      <c r="E4485" s="1" t="str">
        <f>IFERROR(__xludf.DUMMYFUNCTION("CONCATENATE(GOOGLETRANSLATE(C4485, ""en"", ""ko""))"),"Cabela의 알래스카 가이드 모델 측지선 8인용 텐트")</f>
        <v>Cabela의 알래스카 가이드 모델 측지선 8인용 텐트</v>
      </c>
      <c r="F4485" s="1" t="str">
        <f>IFERROR(__xludf.DUMMYFUNCTION("CONCATENATE(GOOGLETRANSLATE(C4485, ""en"", ""ja""))"),"カベラズ アラスカン ガイド モデル 測地線 8 人用テント")</f>
        <v>カベラズ アラスカン ガイド モデル 測地線 8 人用テント</v>
      </c>
    </row>
    <row r="4486" ht="15.75" customHeight="1">
      <c r="A4486" s="1">
        <v>7891.0</v>
      </c>
      <c r="B4486" s="1" t="s">
        <v>15</v>
      </c>
      <c r="C4486" s="1" t="s">
        <v>3882</v>
      </c>
      <c r="D4486" s="1" t="str">
        <f>IFERROR(__xludf.DUMMYFUNCTION("CONCATENATE(GOOGLETRANSLATE(C4486, ""en"", ""zh-cn""))"),"Ozark Trail 28 件套高级露营组合套装")</f>
        <v>Ozark Trail 28 件套高级露营组合套装</v>
      </c>
      <c r="E4486" s="1" t="str">
        <f>IFERROR(__xludf.DUMMYFUNCTION("CONCATENATE(GOOGLETRANSLATE(C4486, ""en"", ""ko""))"),"오자크 트레일 28피스 프리미엄 캠핑 콤보 세트")</f>
        <v>오자크 트레일 28피스 프리미엄 캠핑 콤보 세트</v>
      </c>
      <c r="F4486" s="1" t="str">
        <f>IFERROR(__xludf.DUMMYFUNCTION("CONCATENATE(GOOGLETRANSLATE(C4486, ""en"", ""ja""))"),"オザーク トレイル 28 点プレミアム キャンプ コンボ セット")</f>
        <v>オザーク トレイル 28 点プレミアム キャンプ コンボ セット</v>
      </c>
    </row>
    <row r="4487" ht="15.75" customHeight="1">
      <c r="A4487" s="1">
        <v>7894.0</v>
      </c>
      <c r="B4487" s="1" t="s">
        <v>15</v>
      </c>
      <c r="C4487" s="1" t="s">
        <v>3883</v>
      </c>
      <c r="D4487" s="1" t="str">
        <f>IFERROR(__xludf.DUMMYFUNCTION("CONCATENATE(GOOGLETRANSLATE(C4487, ""en"", ""zh-cn""))"),"GCI 户外自由式摇椅便携式摇椅")</f>
        <v>GCI 户外自由式摇椅便携式摇椅</v>
      </c>
      <c r="E4487" s="1" t="str">
        <f>IFERROR(__xludf.DUMMYFUNCTION("CONCATENATE(GOOGLETRANSLATE(C4487, ""en"", ""ko""))"),"GCI 야외 프리스타일 로커 휴대용 흔들의자")</f>
        <v>GCI 야외 프리스타일 로커 휴대용 흔들의자</v>
      </c>
      <c r="F4487" s="1" t="str">
        <f>IFERROR(__xludf.DUMMYFUNCTION("CONCATENATE(GOOGLETRANSLATE(C4487, ""en"", ""ja""))"),"GCI アウトドア フリースタイル ロッカー ポータブル ロッキング チェア")</f>
        <v>GCI アウトドア フリースタイル ロッカー ポータブル ロッキング チェア</v>
      </c>
    </row>
    <row r="4488" ht="15.75" customHeight="1">
      <c r="A4488" s="1">
        <v>7902.0</v>
      </c>
      <c r="B4488" s="1" t="s">
        <v>15</v>
      </c>
      <c r="C4488" s="1" t="s">
        <v>3884</v>
      </c>
      <c r="D4488" s="1" t="str">
        <f>IFERROR(__xludf.DUMMYFUNCTION("CONCATENATE(GOOGLETRANSLATE(C4488, ""en"", ""zh-cn""))"),"Ozark Trail 15' x 15' 8 人豪华露营钟形帐篷，带灯串")</f>
        <v>Ozark Trail 15' x 15' 8 人豪华露营钟形帐篷，带灯串</v>
      </c>
      <c r="E4488" s="1" t="str">
        <f>IFERROR(__xludf.DUMMYFUNCTION("CONCATENATE(GOOGLETRANSLATE(C4488, ""en"", ""ko""))"),"Ozark Trail 15' x 15' 8인용 글램핑 벨 텐트(스트링 조명 포함)")</f>
        <v>Ozark Trail 15' x 15' 8인용 글램핑 벨 텐트(스트링 조명 포함)</v>
      </c>
      <c r="F4488" s="1" t="str">
        <f>IFERROR(__xludf.DUMMYFUNCTION("CONCATENATE(GOOGLETRANSLATE(C4488, ""en"", ""ja""))"),"オザーク トレイル 15 フィート x 15 フィート 8 人用グランピング ベルテント ストリングライト付き")</f>
        <v>オザーク トレイル 15 フィート x 15 フィート 8 人用グランピング ベルテント ストリングライト付き</v>
      </c>
    </row>
    <row r="4489" ht="15.75" customHeight="1">
      <c r="A4489" s="1">
        <v>7907.0</v>
      </c>
      <c r="B4489" s="1" t="s">
        <v>15</v>
      </c>
      <c r="C4489" s="1" t="s">
        <v>3885</v>
      </c>
      <c r="D4489" s="1" t="str">
        <f>IFERROR(__xludf.DUMMYFUNCTION("CONCATENATE(GOOGLETRANSLATE(C4489, ""en"", ""zh-cn""))"),"Ozark Trail 7 人 2 合 1 屏蔽屋连接帐篷，带 2 扇门")</f>
        <v>Ozark Trail 7 人 2 合 1 屏蔽屋连接帐篷，带 2 扇门</v>
      </c>
      <c r="E4489" s="1" t="str">
        <f>IFERROR(__xludf.DUMMYFUNCTION("CONCATENATE(GOOGLETRANSLATE(C4489, ""en"", ""ko""))"),"오자크 트레일 7인용 2-in-1 스크린 하우스 연결 텐트(도어 2개 포함)")</f>
        <v>오자크 트레일 7인용 2-in-1 스크린 하우스 연결 텐트(도어 2개 포함)</v>
      </c>
      <c r="F4489" s="1" t="str">
        <f>IFERROR(__xludf.DUMMYFUNCTION("CONCATENATE(GOOGLETRANSLATE(C4489, ""en"", ""ja""))"),"オザーク トレイル 7 人用 2-in-1 スクリーン ハウス コネクト テント 2 ドア付き")</f>
        <v>オザーク トレイル 7 人用 2-in-1 スクリーン ハウス コネクト テント 2 ドア付き</v>
      </c>
    </row>
    <row r="4490" ht="15.75" customHeight="1">
      <c r="A4490" s="1">
        <v>7927.0</v>
      </c>
      <c r="B4490" s="1" t="s">
        <v>15</v>
      </c>
      <c r="C4490" s="1" t="s">
        <v>3886</v>
      </c>
      <c r="D4490" s="1" t="str">
        <f>IFERROR(__xludf.DUMMYFUNCTION("CONCATENATE(GOOGLETRANSLATE(C4490, ""en"", ""zh-cn""))"),"Auto Drive 通用型汽车遮阳板")</f>
        <v>Auto Drive 通用型汽车遮阳板</v>
      </c>
      <c r="E4490" s="1" t="str">
        <f>IFERROR(__xludf.DUMMYFUNCTION("CONCATENATE(GOOGLETRANSLATE(C4490, ""en"", ""ko""))"),"자동차 바이저의 자동 드라이브 유니버설 핏")</f>
        <v>자동차 바이저의 자동 드라이브 유니버설 핏</v>
      </c>
      <c r="F4490" s="1" t="str">
        <f>IFERROR(__xludf.DUMMYFUNCTION("CONCATENATE(GOOGLETRANSLATE(C4490, ""en"", ""ja""))"),"Auto Drive カーバイザーにユニバーサルフィット")</f>
        <v>Auto Drive カーバイザーにユニバーサルフィット</v>
      </c>
    </row>
    <row r="4491" ht="15.75" customHeight="1">
      <c r="A4491" s="1">
        <v>7932.0</v>
      </c>
      <c r="B4491" s="1" t="s">
        <v>15</v>
      </c>
      <c r="C4491" s="1" t="s">
        <v>3887</v>
      </c>
      <c r="D4491" s="1" t="str">
        <f>IFERROR(__xludf.DUMMYFUNCTION("CONCATENATE(GOOGLETRANSLATE(C4491, ""en"", ""zh-cn""))"),"自动驾驶可扩展汽车衣架杆")</f>
        <v>自动驾驶可扩展汽车衣架杆</v>
      </c>
      <c r="E4491" s="1" t="str">
        <f>IFERROR(__xludf.DUMMYFUNCTION("CONCATENATE(GOOGLETRANSLATE(C4491, ""en"", ""ko""))"),"자동 구동 확장형 자동차 옷 걸이 바")</f>
        <v>자동 구동 확장형 자동차 옷 걸이 바</v>
      </c>
      <c r="F4491" s="1" t="str">
        <f>IFERROR(__xludf.DUMMYFUNCTION("CONCATENATE(GOOGLETRANSLATE(C4491, ""en"", ""ja""))"),"自動ドライブ拡張可能な車用ハンガー バー")</f>
        <v>自動ドライブ拡張可能な車用ハンガー バー</v>
      </c>
    </row>
    <row r="4492" ht="15.75" customHeight="1">
      <c r="A4492" s="1">
        <v>7942.0</v>
      </c>
      <c r="B4492" s="1" t="s">
        <v>15</v>
      </c>
      <c r="C4492" s="1" t="s">
        <v>3888</v>
      </c>
      <c r="D4492" s="1" t="str">
        <f>IFERROR(__xludf.DUMMYFUNCTION("CONCATENATE(GOOGLETRANSLATE(C4492, ""en"", ""zh-cn""))"),"自动驾驶通用汽车套件")</f>
        <v>自动驾驶通用汽车套件</v>
      </c>
      <c r="E4492" s="1" t="str">
        <f>IFERROR(__xludf.DUMMYFUNCTION("CONCATENATE(GOOGLETRANSLATE(C4492, ""en"", ""ko""))"),"자동 드라이브 범용 자동차 키트")</f>
        <v>자동 드라이브 범용 자동차 키트</v>
      </c>
      <c r="F4492" s="1" t="str">
        <f>IFERROR(__xludf.DUMMYFUNCTION("CONCATENATE(GOOGLETRANSLATE(C4492, ""en"", ""ja""))"),"オートドライブユニバーサルカーキット")</f>
        <v>オートドライブユニバーサルカーキット</v>
      </c>
    </row>
    <row r="4493" ht="15.75" customHeight="1">
      <c r="A4493" s="1">
        <v>7948.0</v>
      </c>
      <c r="B4493" s="1" t="s">
        <v>15</v>
      </c>
      <c r="C4493" s="1" t="s">
        <v>3889</v>
      </c>
      <c r="D4493" s="1" t="str">
        <f>IFERROR(__xludf.DUMMYFUNCTION("CONCATENATE(GOOGLETRANSLATE(C4493, ""en"", ""zh-cn""))"),"适合驾驶员的公路紧凑型可旋转前座整理器")</f>
        <v>适合驾驶员的公路紧凑型可旋转前座整理器</v>
      </c>
      <c r="E4493" s="1" t="str">
        <f>IFERROR(__xludf.DUMMYFUNCTION("CONCATENATE(GOOGLETRANSLATE(C4493, ""en"", ""ko""))"),"운전자를 위한 하이 로드 컴팩트 스윙어웨이 앞좌석 정리함")</f>
        <v>운전자를 위한 하이 로드 컴팩트 스윙어웨이 앞좌석 정리함</v>
      </c>
      <c r="F4493" s="1" t="str">
        <f>IFERROR(__xludf.DUMMYFUNCTION("CONCATENATE(GOOGLETRANSLATE(C4493, ""en"", ""ja""))"),"ハイロードコンパクトスイングアウェイフロントシートオーガナイザードライバー用")</f>
        <v>ハイロードコンパクトスイングアウェイフロントシートオーガナイザードライバー用</v>
      </c>
    </row>
    <row r="4494" ht="15.75" customHeight="1">
      <c r="A4494" s="1">
        <v>7955.0</v>
      </c>
      <c r="B4494" s="1" t="s">
        <v>15</v>
      </c>
      <c r="C4494" s="1" t="s">
        <v>3890</v>
      </c>
      <c r="D4494" s="1" t="str">
        <f>IFERROR(__xludf.DUMMYFUNCTION("CONCATENATE(GOOGLETRANSLATE(C4494, ""en"", ""zh-cn""))"),"AutoDrive 12 伏车窗风扇和除雾器")</f>
        <v>AutoDrive 12 伏车窗风扇和除雾器</v>
      </c>
      <c r="E4494" s="1" t="str">
        <f>IFERROR(__xludf.DUMMYFUNCTION("CONCATENATE(GOOGLETRANSLATE(C4494, ""en"", ""ko""))"),"AutoDrive 12볼트 창문 팬 및 안개 제거 장치")</f>
        <v>AutoDrive 12볼트 창문 팬 및 안개 제거 장치</v>
      </c>
      <c r="F4494" s="1" t="str">
        <f>IFERROR(__xludf.DUMMYFUNCTION("CONCATENATE(GOOGLETRANSLATE(C4494, ""en"", ""ja""))"),"AutoDrive 12 ボルト ウィンドウ ファンおよびデフォッガー")</f>
        <v>AutoDrive 12 ボルト ウィンドウ ファンおよびデフォッガー</v>
      </c>
    </row>
    <row r="4495" ht="15.75" customHeight="1">
      <c r="A4495" s="1">
        <v>7956.0</v>
      </c>
      <c r="B4495" s="1" t="s">
        <v>15</v>
      </c>
      <c r="C4495" s="1" t="s">
        <v>3891</v>
      </c>
      <c r="D4495" s="1" t="str">
        <f>IFERROR(__xludf.DUMMYFUNCTION("CONCATENATE(GOOGLETRANSLATE(C4495, ""en"", ""zh-cn""))"),"EzyDog 驱狗汽车背带")</f>
        <v>EzyDog 驱狗汽车背带</v>
      </c>
      <c r="E4495" s="1" t="str">
        <f>IFERROR(__xludf.DUMMYFUNCTION("CONCATENATE(GOOGLETRANSLATE(C4495, ""en"", ""ko""))"),"EzyDog 드라이브 개 자동차 하네스")</f>
        <v>EzyDog 드라이브 개 자동차 하네스</v>
      </c>
      <c r="F4495" s="1" t="str">
        <f>IFERROR(__xludf.DUMMYFUNCTION("CONCATENATE(GOOGLETRANSLATE(C4495, ""en"", ""ja""))"),"EzyDog Drive 犬用カーハーネス")</f>
        <v>EzyDog Drive 犬用カーハーネス</v>
      </c>
    </row>
    <row r="4496" ht="15.75" customHeight="1">
      <c r="A4496" s="1">
        <v>7958.0</v>
      </c>
      <c r="B4496" s="1" t="s">
        <v>15</v>
      </c>
      <c r="C4496" s="1" t="s">
        <v>3892</v>
      </c>
      <c r="D4496" s="1" t="str">
        <f>IFERROR(__xludf.DUMMYFUNCTION("CONCATENATE(GOOGLETRANSLATE(C4496, ""en"", ""zh-cn""))"),"Shein 7 件女士闪亮汽车配件")</f>
        <v>Shein 7 件女士闪亮汽车配件</v>
      </c>
      <c r="E4496" s="1" t="str">
        <f>IFERROR(__xludf.DUMMYFUNCTION("CONCATENATE(GOOGLETRANSLATE(C4496, ""en"", ""ko""))"),"Shein 7pcs 여성용 블링 자동차 액세서리")</f>
        <v>Shein 7pcs 여성용 블링 자동차 액세서리</v>
      </c>
      <c r="F4496" s="1" t="str">
        <f>IFERROR(__xludf.DUMMYFUNCTION("CONCATENATE(GOOGLETRANSLATE(C4496, ""en"", ""ja""))"),"Shein 女性用ブリンブリンカーアクセサリー 7 個")</f>
        <v>Shein 女性用ブリンブリンカーアクセサリー 7 個</v>
      </c>
    </row>
    <row r="4497" ht="15.75" customHeight="1">
      <c r="A4497" s="1">
        <v>7959.0</v>
      </c>
      <c r="B4497" s="1" t="s">
        <v>15</v>
      </c>
      <c r="C4497" s="1" t="s">
        <v>3893</v>
      </c>
      <c r="D4497" s="1" t="str">
        <f>IFERROR(__xludf.DUMMYFUNCTION("CONCATENATE(GOOGLETRANSLATE(C4497, ""en"", ""zh-cn""))"),"Auto Drive 通用型 4 件套蝴蝶套座椅方向盘")</f>
        <v>Auto Drive 通用型 4 件套蝴蝶套座椅方向盘</v>
      </c>
      <c r="E4497" s="1" t="str">
        <f>IFERROR(__xludf.DUMMYFUNCTION("CONCATENATE(GOOGLETRANSLATE(C4497, ""en"", ""ko""))"),"자동 구동 범용 맞춤 4피스 버터플라이 커버 시트 스티어링 휠")</f>
        <v>자동 구동 범용 맞춤 4피스 버터플라이 커버 시트 스티어링 휠</v>
      </c>
      <c r="F4497" s="1" t="str">
        <f>IFERROR(__xludf.DUMMYFUNCTION("CONCATENATE(GOOGLETRANSLATE(C4497, ""en"", ""ja""))"),"オートドライブ ユニバーサルフィット 4ピース バタフライ カバー シート ステアリング ホイール")</f>
        <v>オートドライブ ユニバーサルフィット 4ピース バタフライ カバー シート ステアリング ホイール</v>
      </c>
    </row>
    <row r="4498" ht="15.75" customHeight="1">
      <c r="A4498" s="1">
        <v>7966.0</v>
      </c>
      <c r="B4498" s="1" t="s">
        <v>15</v>
      </c>
      <c r="C4498" s="1" t="s">
        <v>3894</v>
      </c>
      <c r="D4498" s="1" t="str">
        <f>IFERROR(__xludf.DUMMYFUNCTION("CONCATENATE(GOOGLETRANSLATE(C4498, ""en"", ""zh-cn""))"),"自动驾驶方向盘套")</f>
        <v>自动驾驶方向盘套</v>
      </c>
      <c r="E4498" s="1" t="str">
        <f>IFERROR(__xludf.DUMMYFUNCTION("CONCATENATE(GOOGLETRANSLATE(C4498, ""en"", ""ko""))"),"자동 운전 스티어링 휠 커버")</f>
        <v>자동 운전 스티어링 휠 커버</v>
      </c>
      <c r="F4498" s="1" t="str">
        <f>IFERROR(__xludf.DUMMYFUNCTION("CONCATENATE(GOOGLETRANSLATE(C4498, ""en"", ""ja""))"),"オートドライブステアリングホイールカバー")</f>
        <v>オートドライブステアリングホイールカバー</v>
      </c>
    </row>
    <row r="4499" ht="15.75" customHeight="1">
      <c r="A4499" s="1">
        <v>7994.0</v>
      </c>
      <c r="B4499" s="1" t="s">
        <v>15</v>
      </c>
      <c r="C4499" s="1" t="s">
        <v>3895</v>
      </c>
      <c r="D4499" s="1" t="str">
        <f>IFERROR(__xludf.DUMMYFUNCTION("CONCATENATE(GOOGLETRANSLATE(C4499, ""en"", ""zh-cn""))"),"Armor All原装防护海绵")</f>
        <v>Armor All原装防护海绵</v>
      </c>
      <c r="E4499" s="1" t="str">
        <f>IFERROR(__xludf.DUMMYFUNCTION("CONCATENATE(GOOGLETRANSLATE(C4499, ""en"", ""ko""))"),"갑옷 모든 오리지널 보호 스폰지")</f>
        <v>갑옷 모든 오리지널 보호 스폰지</v>
      </c>
      <c r="F4499" s="1" t="str">
        <f>IFERROR(__xludf.DUMMYFUNCTION("CONCATENATE(GOOGLETRANSLATE(C4499, ""en"", ""ja""))"),"アーマーオールオリジナルプロテクタントスポンジ")</f>
        <v>アーマーオールオリジナルプロテクタントスポンジ</v>
      </c>
    </row>
    <row r="4500" ht="15.75" customHeight="1">
      <c r="A4500" s="1">
        <v>7999.0</v>
      </c>
      <c r="B4500" s="1" t="s">
        <v>15</v>
      </c>
      <c r="C4500" s="1" t="s">
        <v>3896</v>
      </c>
      <c r="D4500" s="1" t="str">
        <f>IFERROR(__xludf.DUMMYFUNCTION("CONCATENATE(GOOGLETRANSLATE(C4500, ""en"", ""zh-cn""))"),"铠甲全干毛巾")</f>
        <v>铠甲全干毛巾</v>
      </c>
      <c r="E4500" s="1" t="str">
        <f>IFERROR(__xludf.DUMMYFUNCTION("CONCATENATE(GOOGLETRANSLATE(C4500, ""en"", ""ko""))"),"갑옷 모든 건조 수건")</f>
        <v>갑옷 모든 건조 수건</v>
      </c>
      <c r="F4500" s="1" t="str">
        <f>IFERROR(__xludf.DUMMYFUNCTION("CONCATENATE(GOOGLETRANSLATE(C4500, ""en"", ""ja""))"),"アーマーオール ドライタオル")</f>
        <v>アーマーオール ドライタオル</v>
      </c>
    </row>
    <row r="4501" ht="15.75" customHeight="1">
      <c r="A4501" s="1">
        <v>8001.0</v>
      </c>
      <c r="B4501" s="1" t="s">
        <v>15</v>
      </c>
      <c r="C4501" s="1" t="s">
        <v>3897</v>
      </c>
      <c r="D4501" s="1" t="str">
        <f>IFERROR(__xludf.DUMMYFUNCTION("CONCATENATE(GOOGLETRANSLATE(C4501, ""en"", ""zh-cn""))"),"Armor All Original 防护剂，4 盎司瓶装，Dollar Tree")</f>
        <v>Armor All Original 防护剂，4 盎司瓶装，Dollar Tree</v>
      </c>
      <c r="E4501" s="1" t="str">
        <f>IFERROR(__xludf.DUMMYFUNCTION("CONCATENATE(GOOGLETRANSLATE(C4501, ""en"", ""ko""))"),"Armor All Original Protectant, 4온스 병, Dollar Tree")</f>
        <v>Armor All Original Protectant, 4온스 병, Dollar Tree</v>
      </c>
      <c r="F4501" s="1" t="str">
        <f>IFERROR(__xludf.DUMMYFUNCTION("CONCATENATE(GOOGLETRANSLATE(C4501, ""en"", ""ja""))"),"アーマーオールオリジナルプロテクタント、ダラーツリーの4オンスボトル")</f>
        <v>アーマーオールオリジナルプロテクタント、ダラーツリーの4オンスボトル</v>
      </c>
    </row>
    <row r="4502" ht="15.75" customHeight="1">
      <c r="A4502" s="1">
        <v>8008.0</v>
      </c>
      <c r="B4502" s="1" t="s">
        <v>15</v>
      </c>
      <c r="C4502" s="1" t="s">
        <v>3898</v>
      </c>
      <c r="D4502" s="1" t="str">
        <f>IFERROR(__xludf.DUMMYFUNCTION("CONCATENATE(GOOGLETRANSLATE(C4502, ""en"", ""zh-cn""))"),"佳得乐橙色解渴剂 28 液体盎司瓶装")</f>
        <v>佳得乐橙色解渴剂 28 液体盎司瓶装</v>
      </c>
      <c r="E4502" s="1" t="str">
        <f>IFERROR(__xludf.DUMMYFUNCTION("CONCATENATE(GOOGLETRANSLATE(C4502, ""en"", ""ko""))"),"게토레이 오렌지 갈증 해소제 28개 필드 온스 병")</f>
        <v>게토레이 오렌지 갈증 해소제 28개 필드 온스 병</v>
      </c>
      <c r="F4502" s="1" t="str">
        <f>IFERROR(__xludf.DUMMYFUNCTION("CONCATENATE(GOOGLETRANSLATE(C4502, ""en"", ""ja""))"),"ゲータレード オレンジ サースト クエンチャー 28 Fld Oz ボトル")</f>
        <v>ゲータレード オレンジ サースト クエンチャー 28 Fld Oz ボトル</v>
      </c>
    </row>
    <row r="4503" ht="15.75" customHeight="1">
      <c r="A4503" s="1">
        <v>8014.0</v>
      </c>
      <c r="B4503" s="1" t="s">
        <v>15</v>
      </c>
      <c r="C4503" s="1" t="s">
        <v>3899</v>
      </c>
      <c r="D4503" s="1" t="str">
        <f>IFERROR(__xludf.DUMMYFUNCTION("CONCATENATE(GOOGLETRANSLATE(C4503, ""en"", ""zh-cn""))"),"佳得乐经典解渴剂")</f>
        <v>佳得乐经典解渴剂</v>
      </c>
      <c r="E4503" s="1" t="str">
        <f>IFERROR(__xludf.DUMMYFUNCTION("CONCATENATE(GOOGLETRANSLATE(C4503, ""en"", ""ko""))"),"게토레이 클래식 갈증 해소제")</f>
        <v>게토레이 클래식 갈증 해소제</v>
      </c>
      <c r="F4503" s="1" t="str">
        <f>IFERROR(__xludf.DUMMYFUNCTION("CONCATENATE(GOOGLETRANSLATE(C4503, ""en"", ""ja""))"),"ゲータレード クラシック サースト クエンチャー")</f>
        <v>ゲータレード クラシック サースト クエンチャー</v>
      </c>
    </row>
    <row r="4504" ht="15.75" customHeight="1">
      <c r="A4504" s="1">
        <v>8019.0</v>
      </c>
      <c r="B4504" s="1" t="s">
        <v>15</v>
      </c>
      <c r="C4504" s="1" t="s">
        <v>3900</v>
      </c>
      <c r="D4504" s="1" t="str">
        <f>IFERROR(__xludf.DUMMYFUNCTION("CONCATENATE(GOOGLETRANSLATE(C4504, ""en"", ""zh-cn""))"),"佳得乐冰霜冰川樱桃解渴剂")</f>
        <v>佳得乐冰霜冰川樱桃解渴剂</v>
      </c>
      <c r="E4504" s="1" t="str">
        <f>IFERROR(__xludf.DUMMYFUNCTION("CONCATENATE(GOOGLETRANSLATE(C4504, ""en"", ""ko""))"),"게토레이 프로스트 빙하 체리 갈증 해소제")</f>
        <v>게토레이 프로스트 빙하 체리 갈증 해소제</v>
      </c>
      <c r="F4504" s="1" t="str">
        <f>IFERROR(__xludf.DUMMYFUNCTION("CONCATENATE(GOOGLETRANSLATE(C4504, ""en"", ""ja""))"),"ゲータレード フロスト グレイシャー チェリー サースト クエンチャー")</f>
        <v>ゲータレード フロスト グレイシャー チェリー サースト クエンチャー</v>
      </c>
    </row>
    <row r="4505" ht="15.75" customHeight="1">
      <c r="A4505" s="1">
        <v>8022.0</v>
      </c>
      <c r="B4505" s="1" t="s">
        <v>15</v>
      </c>
      <c r="C4505" s="1" t="s">
        <v>3901</v>
      </c>
      <c r="D4505" s="1" t="str">
        <f>IFERROR(__xludf.DUMMYFUNCTION("CONCATENATE(GOOGLETRANSLATE(C4505, ""en"", ""zh-cn""))"),"佳得乐 G 系列解渴剂，水果潘趣酒 - 28 液量盎司瓶装")</f>
        <v>佳得乐 G 系列解渴剂，水果潘趣酒 - 28 液量盎司瓶装</v>
      </c>
      <c r="E4505" s="1" t="str">
        <f>IFERROR(__xludf.DUMMYFUNCTION("CONCATENATE(GOOGLETRANSLATE(C4505, ""en"", ""ko""))"),"게토레이 G 시리즈 갈증 해소제, 과일 펀치 - 28 fl oz 병")</f>
        <v>게토레이 G 시리즈 갈증 해소제, 과일 펀치 - 28 fl oz 병</v>
      </c>
      <c r="F4505" s="1" t="str">
        <f>IFERROR(__xludf.DUMMYFUNCTION("CONCATENATE(GOOGLETRANSLATE(C4505, ""en"", ""ja""))"),"ゲータレード G シリーズ サースト クエンチャー、フルーツ ポンチ - 28 液量オンスのボトル")</f>
        <v>ゲータレード G シリーズ サースト クエンチャー、フルーツ ポンチ - 28 液量オンスのボトル</v>
      </c>
    </row>
    <row r="4506" ht="15.75" customHeight="1">
      <c r="A4506" s="1">
        <v>8039.0</v>
      </c>
      <c r="B4506" s="1" t="s">
        <v>15</v>
      </c>
      <c r="C4506" s="1" t="s">
        <v>3902</v>
      </c>
      <c r="D4506" s="1" t="str">
        <f>IFERROR(__xludf.DUMMYFUNCTION("CONCATENATE(GOOGLETRANSLATE(C4506, ""en"", ""zh-cn""))"),"佳得乐烈瓜解渴剂（32 液量盎司）")</f>
        <v>佳得乐烈瓜解渴剂（32 液量盎司）</v>
      </c>
      <c r="E4506" s="1" t="str">
        <f>IFERROR(__xludf.DUMMYFUNCTION("CONCATENATE(GOOGLETRANSLATE(C4506, ""en"", ""ko""))"),"게토레이 피어스 멜론 갈증 해소제(32액량 온스)")</f>
        <v>게토레이 피어스 멜론 갈증 해소제(32액량 온스)</v>
      </c>
      <c r="F4506" s="1" t="str">
        <f>IFERROR(__xludf.DUMMYFUNCTION("CONCATENATE(GOOGLETRANSLATE(C4506, ""en"", ""ja""))"),"ゲータレード フィアース メロン サースト クエンチャー (32 液量オンス)")</f>
        <v>ゲータレード フィアース メロン サースト クエンチャー (32 液量オンス)</v>
      </c>
    </row>
    <row r="4507" ht="15.75" customHeight="1">
      <c r="A4507" s="1">
        <v>8045.0</v>
      </c>
      <c r="B4507" s="1" t="s">
        <v>15</v>
      </c>
      <c r="C4507" s="1" t="s">
        <v>3903</v>
      </c>
      <c r="D4507" s="1" t="str">
        <f>IFERROR(__xludf.DUMMYFUNCTION("CONCATENATE(GOOGLETRANSLATE(C4507, ""en"", ""zh-cn""))"),"佳得乐 20 盎司 24 包装")</f>
        <v>佳得乐 20 盎司 24 包装</v>
      </c>
      <c r="E4507" s="1" t="str">
        <f>IFERROR(__xludf.DUMMYFUNCTION("CONCATENATE(GOOGLETRANSLATE(C4507, ""en"", ""ko""))"),"게토레이 20온스 24팩 케이스")</f>
        <v>게토레이 20온스 24팩 케이스</v>
      </c>
      <c r="F4507" s="1" t="str">
        <f>IFERROR(__xludf.DUMMYFUNCTION("CONCATENATE(GOOGLETRANSLATE(C4507, ""en"", ""ja""))"),"ゲータレード 20オンス 24個パック ケース")</f>
        <v>ゲータレード 20オンス 24個パック ケース</v>
      </c>
    </row>
    <row r="4508" ht="15.75" customHeight="1">
      <c r="A4508" s="1">
        <v>8047.0</v>
      </c>
      <c r="B4508" s="1" t="s">
        <v>15</v>
      </c>
      <c r="C4508" s="1" t="s">
        <v>3904</v>
      </c>
      <c r="D4508" s="1" t="str">
        <f>IFERROR(__xludf.DUMMYFUNCTION("CONCATENATE(GOOGLETRANSLATE(C4508, ""en"", ""zh-cn""))"),"宴会脆皮炸鸡家庭装")</f>
        <v>宴会脆皮炸鸡家庭装</v>
      </c>
      <c r="E4508" s="1" t="str">
        <f>IFERROR(__xludf.DUMMYFUNCTION("CONCATENATE(GOOGLETRANSLATE(C4508, ""en"", ""ko""))"),"연회 크리스피치킨 패밀리팩")</f>
        <v>연회 크리스피치킨 패밀리팩</v>
      </c>
      <c r="F4508" s="1" t="str">
        <f>IFERROR(__xludf.DUMMYFUNCTION("CONCATENATE(GOOGLETRANSLATE(C4508, ""en"", ""ja""))"),"宴会クリスピーチキン ファミリーパック")</f>
        <v>宴会クリスピーチキン ファミリーパック</v>
      </c>
    </row>
    <row r="4509" ht="15.75" customHeight="1">
      <c r="A4509" s="1">
        <v>8050.0</v>
      </c>
      <c r="B4509" s="1" t="s">
        <v>15</v>
      </c>
      <c r="C4509" s="1" t="s">
        <v>2128</v>
      </c>
      <c r="D4509" s="1" t="str">
        <f>IFERROR(__xludf.DUMMYFUNCTION("CONCATENATE(GOOGLETRANSLATE(C4509, ""en"", ""zh-cn""))"),"宴会脆皮炸鸡什锦片")</f>
        <v>宴会脆皮炸鸡什锦片</v>
      </c>
      <c r="E4509" s="1" t="str">
        <f>IFERROR(__xludf.DUMMYFUNCTION("CONCATENATE(GOOGLETRANSLATE(C4509, ""en"", ""ko""))"),"연회 크리스피 치킨 모둠조각")</f>
        <v>연회 크리스피 치킨 모둠조각</v>
      </c>
      <c r="F4509" s="1" t="str">
        <f>IFERROR(__xludf.DUMMYFUNCTION("CONCATENATE(GOOGLETRANSLATE(C4509, ""en"", ""ja""))"),"宴会用クリスピーチキン盛り合わせ")</f>
        <v>宴会用クリスピーチキン盛り合わせ</v>
      </c>
    </row>
    <row r="4510" ht="15.75" customHeight="1">
      <c r="A4510" s="1">
        <v>8053.0</v>
      </c>
      <c r="B4510" s="1" t="s">
        <v>15</v>
      </c>
      <c r="C4510" s="1" t="s">
        <v>3475</v>
      </c>
      <c r="D4510" s="1" t="str">
        <f>IFERROR(__xludf.DUMMYFUNCTION("CONCATENATE(GOOGLETRANSLATE(C4510, ""en"", ""zh-cn""))"),"宴会肉饼餐")</f>
        <v>宴会肉饼餐</v>
      </c>
      <c r="E4510" s="1" t="str">
        <f>IFERROR(__xludf.DUMMYFUNCTION("CONCATENATE(GOOGLETRANSLATE(C4510, ""en"", ""ko""))"),"연회용 미트로프 식사")</f>
        <v>연회용 미트로프 식사</v>
      </c>
      <c r="F4510" s="1" t="str">
        <f>IFERROR(__xludf.DUMMYFUNCTION("CONCATENATE(GOOGLETRANSLATE(C4510, ""en"", ""ja""))"),"宴会ミートローフ膳")</f>
        <v>宴会ミートローフ膳</v>
      </c>
    </row>
    <row r="4511" ht="15.75" customHeight="1">
      <c r="A4511" s="1">
        <v>8061.0</v>
      </c>
      <c r="B4511" s="1" t="s">
        <v>15</v>
      </c>
      <c r="C4511" s="1" t="s">
        <v>3905</v>
      </c>
      <c r="D4511" s="1" t="str">
        <f>IFERROR(__xludf.DUMMYFUNCTION("CONCATENATE(GOOGLETRANSLATE(C4511, ""en"", ""zh-cn""))"),"宴会超级肉类冷冻肉饼")</f>
        <v>宴会超级肉类冷冻肉饼</v>
      </c>
      <c r="E4511" s="1" t="str">
        <f>IFERROR(__xludf.DUMMYFUNCTION("CONCATENATE(GOOGLETRANSLATE(C4511, ""en"", ""ko""))"),"연회 메가 미트 냉동 미트로프")</f>
        <v>연회 메가 미트 냉동 미트로프</v>
      </c>
      <c r="F4511" s="1" t="str">
        <f>IFERROR(__xludf.DUMMYFUNCTION("CONCATENATE(GOOGLETRANSLATE(C4511, ""en"", ""ja""))"),"バンケットメガミート冷凍ミートローフ")</f>
        <v>バンケットメガミート冷凍ミートローフ</v>
      </c>
    </row>
    <row r="4512" ht="15.75" customHeight="1">
      <c r="A4512" s="1">
        <v>8065.0</v>
      </c>
      <c r="B4512" s="1" t="s">
        <v>15</v>
      </c>
      <c r="C4512" s="1" t="s">
        <v>3906</v>
      </c>
      <c r="D4512" s="1" t="str">
        <f>IFERROR(__xludf.DUMMYFUNCTION("CONCATENATE(GOOGLETRANSLATE(C4512, ""en"", ""zh-cn""))"),"宴会经典炸鸡餐")</f>
        <v>宴会经典炸鸡餐</v>
      </c>
      <c r="E4512" s="1" t="str">
        <f>IFERROR(__xludf.DUMMYFUNCTION("CONCATENATE(GOOGLETRANSLATE(C4512, ""en"", ""ko""))"),"연회 클래식치킨 후라이드치킨 정식")</f>
        <v>연회 클래식치킨 후라이드치킨 정식</v>
      </c>
      <c r="F4512" s="1" t="str">
        <f>IFERROR(__xludf.DUMMYFUNCTION("CONCATENATE(GOOGLETRANSLATE(C4512, ""en"", ""ja""))"),"宴会クラシックチキンフライドチキン膳")</f>
        <v>宴会クラシックチキンフライドチキン膳</v>
      </c>
    </row>
    <row r="4513" ht="15.75" customHeight="1">
      <c r="A4513" s="1">
        <v>8066.0</v>
      </c>
      <c r="B4513" s="1" t="s">
        <v>15</v>
      </c>
      <c r="C4513" s="1" t="s">
        <v>3907</v>
      </c>
      <c r="D4513" s="1" t="str">
        <f>IFERROR(__xludf.DUMMYFUNCTION("CONCATENATE(GOOGLETRANSLATE(C4513, ""en"", ""zh-cn""))"),"宴会布朗'N Sere 法式吐司早餐（5.07 盎司） |迪尔伯格")</f>
        <v>宴会布朗'N Sere 法式吐司早餐（5.07 盎司） |迪尔伯格</v>
      </c>
      <c r="E4513" s="1" t="str">
        <f>IFERROR(__xludf.DUMMYFUNCTION("CONCATENATE(GOOGLETRANSLATE(C4513, ""en"", ""ko""))"),"연회 브라운 앤 서브 프렌치 토스트 브렉퍼스트 (5.07 온스) | 디에베르그스")</f>
        <v>연회 브라운 앤 서브 프렌치 토스트 브렉퍼스트 (5.07 온스) | 디에베르그스</v>
      </c>
      <c r="F4513" s="1" t="str">
        <f>IFERROR(__xludf.DUMMYFUNCTION("CONCATENATE(GOOGLETRANSLATE(C4513, ""en"", ""ja""))"),"Banquet Brown 'N Serve フレンチ トースト ブレックファスト (5.07 オンス) |ディアベルグス")</f>
        <v>Banquet Brown 'N Serve フレンチ トースト ブレックファスト (5.07 オンス) |ディアベルグス</v>
      </c>
    </row>
    <row r="4514" ht="15.75" customHeight="1">
      <c r="A4514" s="1">
        <v>8073.0</v>
      </c>
      <c r="B4514" s="1" t="s">
        <v>15</v>
      </c>
      <c r="C4514" s="1" t="s">
        <v>2584</v>
      </c>
      <c r="D4514" s="1" t="str">
        <f>IFERROR(__xludf.DUMMYFUNCTION("CONCATENATE(GOOGLETRANSLATE(C4514, ""en"", ""zh-cn""))"),"宴会经典炸牛排餐鸡肉 10 盎司。")</f>
        <v>宴会经典炸牛排餐鸡肉 10 盎司。</v>
      </c>
      <c r="E4514" s="1" t="str">
        <f>IFERROR(__xludf.DUMMYFUNCTION("CONCATENATE(GOOGLETRANSLATE(C4514, ""en"", ""ko""))"),"연회 클래식 쇠고기 스테이크 식사 닭고기 10 oz.")</f>
        <v>연회 클래식 쇠고기 스테이크 식사 닭고기 10 oz.</v>
      </c>
      <c r="F4514" s="1" t="str">
        <f>IFERROR(__xludf.DUMMYFUNCTION("CONCATENATE(GOOGLETRANSLATE(C4514, ""en"", ""ja""))"),"Banquet Classic フライドビーフステーキミールチキン 10オンス")</f>
        <v>Banquet Classic フライドビーフステーキミールチキン 10オンス</v>
      </c>
    </row>
    <row r="4515" ht="15.75" customHeight="1">
      <c r="A4515" s="1">
        <v>8082.0</v>
      </c>
      <c r="B4515" s="1" t="s">
        <v>15</v>
      </c>
      <c r="C4515" s="1" t="s">
        <v>3477</v>
      </c>
      <c r="D4515" s="1" t="str">
        <f>IFERROR(__xludf.DUMMYFUNCTION("CONCATENATE(GOOGLETRANSLATE(C4515, ""en"", ""zh-cn""))"),"宴会大餐索尔兹伯里牛排")</f>
        <v>宴会大餐索尔兹伯里牛排</v>
      </c>
      <c r="E4515" s="1" t="str">
        <f>IFERROR(__xludf.DUMMYFUNCTION("CONCATENATE(GOOGLETRANSLATE(C4515, ""en"", ""ko""))"),"연회 메가밀 솔즈베리 스테이크")</f>
        <v>연회 메가밀 솔즈베리 스테이크</v>
      </c>
      <c r="F4515" s="1" t="str">
        <f>IFERROR(__xludf.DUMMYFUNCTION("CONCATENATE(GOOGLETRANSLATE(C4515, ""en"", ""ja""))"),"宴会メガミール ソールズベリーステーキ")</f>
        <v>宴会メガミール ソールズベリーステーキ</v>
      </c>
    </row>
    <row r="4516" ht="15.75" customHeight="1">
      <c r="A4516" s="1">
        <v>8085.0</v>
      </c>
      <c r="B4516" s="1" t="s">
        <v>15</v>
      </c>
      <c r="C4516" s="1" t="s">
        <v>3908</v>
      </c>
      <c r="D4516" s="1" t="str">
        <f>IFERROR(__xludf.DUMMYFUNCTION("CONCATENATE(GOOGLETRANSLATE(C4516, ""en"", ""zh-cn""))"),"宴会大餐冷冻索尔兹伯里牛排晚餐")</f>
        <v>宴会大餐冷冻索尔兹伯里牛排晚餐</v>
      </c>
      <c r="E4516" s="1" t="str">
        <f>IFERROR(__xludf.DUMMYFUNCTION("CONCATENATE(GOOGLETRANSLATE(C4516, ""en"", ""ko""))"),"연회 메가 식사 냉동 솔즈베리 스테이크 디너")</f>
        <v>연회 메가 식사 냉동 솔즈베리 스테이크 디너</v>
      </c>
      <c r="F4516" s="1" t="str">
        <f>IFERROR(__xludf.DUMMYFUNCTION("CONCATENATE(GOOGLETRANSLATE(C4516, ""en"", ""ja""))"),"宴会メガミール冷凍ソールズベリーステーキディナー")</f>
        <v>宴会メガミール冷凍ソールズベリーステーキディナー</v>
      </c>
    </row>
    <row r="4517" ht="15.75" customHeight="1">
      <c r="A4517" s="1">
        <v>8086.0</v>
      </c>
      <c r="B4517" s="1" t="s">
        <v>15</v>
      </c>
      <c r="C4517" s="1" t="s">
        <v>3909</v>
      </c>
      <c r="D4517" s="1" t="str">
        <f>IFERROR(__xludf.DUMMYFUNCTION("CONCATENATE(GOOGLETRANSLATE(C4517, ""en"", ""zh-cn""))"),"宴会、家庭式烘焙、奶油鸡肉和饼干，28.10 盎司盒装（3 件装）")</f>
        <v>宴会、家庭式烘焙、奶油鸡肉和饼干，28.10 盎司盒装（3 件装）</v>
      </c>
      <c r="E4517" s="1" t="str">
        <f>IFERROR(__xludf.DUMMYFUNCTION("CONCATENATE(GOOGLETRANSLATE(C4517, ""en"", ""ko""))"),"연회, 홈스타일 베이크, 크리미 치킨 &amp; 비스킷, 28.10oz 박스(3팩)")</f>
        <v>연회, 홈스타일 베이크, 크리미 치킨 &amp; 비스킷, 28.10oz 박스(3팩)</v>
      </c>
      <c r="F4517" s="1" t="str">
        <f>IFERROR(__xludf.DUMMYFUNCTION("CONCATENATE(GOOGLETRANSLATE(C4517, ""en"", ""ja""))"),"Banquet、ホームスタイル ベイク、クリーミー チキン &amp; ビスケット、28.10オンス ボックス (3 個パック)")</f>
        <v>Banquet、ホームスタイル ベイク、クリーミー チキン &amp; ビスケット、28.10オンス ボックス (3 個パック)</v>
      </c>
    </row>
    <row r="4518" ht="15.75" customHeight="1">
      <c r="A4518" s="1">
        <v>8092.0</v>
      </c>
      <c r="B4518" s="1" t="s">
        <v>15</v>
      </c>
      <c r="C4518" s="1" t="s">
        <v>3472</v>
      </c>
      <c r="D4518" s="1" t="str">
        <f>IFERROR(__xludf.DUMMYFUNCTION("CONCATENATE(GOOGLETRANSLATE(C4518, ""en"", ""zh-cn""))"),"家庭宴会索尔兹伯里牛排和棕色肉汁")</f>
        <v>家庭宴会索尔兹伯里牛排和棕色肉汁</v>
      </c>
      <c r="E4518" s="1" t="str">
        <f>IFERROR(__xludf.DUMMYFUNCTION("CONCATENATE(GOOGLETRANSLATE(C4518, ""en"", ""ko""))"),"연회 가족용 솔즈베리 스테이크 &amp; 브라운 그레이비")</f>
        <v>연회 가족용 솔즈베리 스테이크 &amp; 브라운 그레이비</v>
      </c>
      <c r="F4518" s="1" t="str">
        <f>IFERROR(__xludf.DUMMYFUNCTION("CONCATENATE(GOOGLETRANSLATE(C4518, ""en"", ""ja""))"),"バンケット ファミリーサイズ ソールズベリー ステーキ &amp; ブラウン グレービー")</f>
        <v>バンケット ファミリーサイズ ソールズベリー ステーキ &amp; ブラウン グレービー</v>
      </c>
    </row>
    <row r="4519" ht="15.75" customHeight="1">
      <c r="A4519" s="1">
        <v>8112.0</v>
      </c>
      <c r="B4519" s="1" t="s">
        <v>15</v>
      </c>
      <c r="C4519" s="1" t="s">
        <v>3910</v>
      </c>
      <c r="D4519" s="1" t="str">
        <f>IFERROR(__xludf.DUMMYFUNCTION("CONCATENATE(GOOGLETRANSLATE(C4519, ""en"", ""zh-cn""))"),"亚当斯家乡集市宴鸡条餐")</f>
        <v>亚当斯家乡集市宴鸡条餐</v>
      </c>
      <c r="E4519" s="1" t="str">
        <f>IFERROR(__xludf.DUMMYFUNCTION("CONCATENATE(GOOGLETRANSLATE(C4519, ""en"", ""ko""))"),"아담스 고향시장 연회 치킨 스트립 식사")</f>
        <v>아담스 고향시장 연회 치킨 스트립 식사</v>
      </c>
      <c r="F4519" s="1" t="str">
        <f>IFERROR(__xludf.DUMMYFUNCTION("CONCATENATE(GOOGLETRANSLATE(C4519, ""en"", ""ja""))"),"アダムズ ホームタウン マーケット バンケット チキン ストリップ料理")</f>
        <v>アダムズ ホームタウン マーケット バンケット チキン ストリップ料理</v>
      </c>
    </row>
    <row r="4520" ht="15.75" customHeight="1">
      <c r="A4520" s="1">
        <v>8118.0</v>
      </c>
      <c r="B4520" s="1" t="s">
        <v>15</v>
      </c>
      <c r="C4520" s="1" t="s">
        <v>3911</v>
      </c>
      <c r="D4520" s="1" t="str">
        <f>IFERROR(__xludf.DUMMYFUNCTION("CONCATENATE(GOOGLETRANSLATE(C4520, ""en"", ""zh-cn""))"),"新鲜太平洋蓝鳍金枪鱼赤美")</f>
        <v>新鲜太平洋蓝鳍金枪鱼赤美</v>
      </c>
      <c r="E4520" s="1" t="str">
        <f>IFERROR(__xludf.DUMMYFUNCTION("CONCATENATE(GOOGLETRANSLATE(C4520, ""en"", ""ko""))"),"신선한 태평양 참다랑어 아카미")</f>
        <v>신선한 태평양 참다랑어 아카미</v>
      </c>
      <c r="F4520" s="1" t="str">
        <f>IFERROR(__xludf.DUMMYFUNCTION("CONCATENATE(GOOGLETRANSLATE(C4520, ""en"", ""ja""))"),"新鮮本マグロ赤身")</f>
        <v>新鮮本マグロ赤身</v>
      </c>
    </row>
    <row r="4521" ht="15.75" customHeight="1">
      <c r="A4521" s="1">
        <v>8124.0</v>
      </c>
      <c r="B4521" s="1" t="s">
        <v>15</v>
      </c>
      <c r="C4521" s="1" t="s">
        <v>3912</v>
      </c>
      <c r="D4521" s="1" t="str">
        <f>IFERROR(__xludf.DUMMYFUNCTION("CONCATENATE(GOOGLETRANSLATE(C4521, ""en"", ""zh-cn""))"),"蓝鳍金枪鱼“Chutoro”生鱼片")</f>
        <v>蓝鳍金枪鱼“Chutoro”生鱼片</v>
      </c>
      <c r="E4521" s="1" t="str">
        <f>IFERROR(__xludf.DUMMYFUNCTION("CONCATENATE(GOOGLETRANSLATE(C4521, ""en"", ""ko""))"),"참다랑어 '츄토로' 사시미")</f>
        <v>참다랑어 '츄토로' 사시미</v>
      </c>
      <c r="F4521" s="1" t="str">
        <f>IFERROR(__xludf.DUMMYFUNCTION("CONCATENATE(GOOGLETRANSLATE(C4521, ""en"", ""ja""))"),"本マグロ中トロ刺身")</f>
        <v>本マグロ中トロ刺身</v>
      </c>
    </row>
    <row r="4522" ht="15.75" customHeight="1">
      <c r="A4522" s="1">
        <v>8128.0</v>
      </c>
      <c r="B4522" s="1" t="s">
        <v>15</v>
      </c>
      <c r="C4522" s="1" t="s">
        <v>3913</v>
      </c>
      <c r="D4522" s="1" t="str">
        <f>IFERROR(__xludf.DUMMYFUNCTION("CONCATENATE(GOOGLETRANSLATE(C4522, ""en"", ""zh-cn""))"),"超值 100% 纯牛肉汉堡，75% 瘦肉/25% 脂肪 8 磅 30 克拉 - 30 克拉 箱")</f>
        <v>超值 100% 纯牛肉汉堡，75% 瘦肉/25% 脂肪 8 磅 30 克拉 - 30 克拉 箱</v>
      </c>
      <c r="E4522" s="1" t="str">
        <f>IFERROR(__xludf.DUMMYFUNCTION("CONCATENATE(GOOGLETRANSLATE(C4522, ""en"", ""ko""))"),"훌륭한 가치 100% 순수 쇠고기 버거, 75% 살코기/25% 지방 8lb 30ct - 30ct 케이스")</f>
        <v>훌륭한 가치 100% 순수 쇠고기 버거, 75% 살코기/25% 지방 8lb 30ct - 30ct 케이스</v>
      </c>
      <c r="F4522" s="1" t="str">
        <f>IFERROR(__xludf.DUMMYFUNCTION("CONCATENATE(GOOGLETRANSLATE(C4522, ""en"", ""ja""))"),"お買い得な 100% ピュアビーフバーガー、赤身 75%/脂肪 25% 8 ポンド 30ct - 30ct ケース")</f>
        <v>お買い得な 100% ピュアビーフバーガー、赤身 75%/脂肪 25% 8 ポンド 30ct - 30ct ケース</v>
      </c>
    </row>
    <row r="4523" ht="15.75" customHeight="1">
      <c r="A4523" s="1">
        <v>8130.0</v>
      </c>
      <c r="B4523" s="1" t="s">
        <v>15</v>
      </c>
      <c r="C4523" s="1" t="s">
        <v>3914</v>
      </c>
      <c r="D4523" s="1" t="str">
        <f>IFERROR(__xludf.DUMMYFUNCTION("CONCATENATE(GOOGLETRANSLATE(C4523, ""en"", ""zh-cn""))"),"超值牛肉饼")</f>
        <v>超值牛肉饼</v>
      </c>
      <c r="E4523" s="1" t="str">
        <f>IFERROR(__xludf.DUMMYFUNCTION("CONCATENATE(GOOGLETRANSLATE(C4523, ""en"", ""ko""))"),"추가 가치 쇠고기 패티")</f>
        <v>추가 가치 쇠고기 패티</v>
      </c>
      <c r="F4523" s="1" t="str">
        <f>IFERROR(__xludf.DUMMYFUNCTION("CONCATENATE(GOOGLETRANSLATE(C4523, ""en"", ""ja""))"),"エクストラバリュービーフパティ")</f>
        <v>エクストラバリュービーフパティ</v>
      </c>
    </row>
    <row r="4524" ht="15.75" customHeight="1">
      <c r="A4524" s="1">
        <v>8137.0</v>
      </c>
      <c r="B4524" s="1" t="s">
        <v>15</v>
      </c>
      <c r="C4524" s="1" t="s">
        <v>3915</v>
      </c>
      <c r="D4524" s="1" t="str">
        <f>IFERROR(__xludf.DUMMYFUNCTION("CONCATENATE(GOOGLETRANSLATE(C4524, ""en"", ""zh-cn""))"),"（8 包）超值原味午餐肉，高蛋白，12 盎司铝罐")</f>
        <v>（8 包）超值原味午餐肉，高蛋白，12 盎司铝罐</v>
      </c>
      <c r="E4524" s="1" t="str">
        <f>IFERROR(__xludf.DUMMYFUNCTION("CONCATENATE(GOOGLETRANSLATE(C4524, ""en"", ""ko""))"),"(8팩) 훌륭한 가치의 오리지널 런천 미트, 고단백, 12온스 알루미늄 캔")</f>
        <v>(8팩) 훌륭한 가치의 오리지널 런천 미트, 고단백, 12온스 알루미늄 캔</v>
      </c>
      <c r="F4524" s="1" t="str">
        <f>IFERROR(__xludf.DUMMYFUNCTION("CONCATENATE(GOOGLETRANSLATE(C4524, ""en"", ""ja""))"),"(8 パック) お買い得なオリジナル ランチョンミート、高タンパク質、12 オンスのアルミニウム缶")</f>
        <v>(8 パック) お買い得なオリジナル ランチョンミート、高タンパク質、12 オンスのアルミニウム缶</v>
      </c>
    </row>
    <row r="4525" ht="15.75" customHeight="1">
      <c r="A4525" s="1">
        <v>8145.0</v>
      </c>
      <c r="B4525" s="1" t="s">
        <v>15</v>
      </c>
      <c r="C4525" s="1" t="s">
        <v>3916</v>
      </c>
      <c r="D4525" s="1" t="str">
        <f>IFERROR(__xludf.DUMMYFUNCTION("CONCATENATE(GOOGLETRANSLATE(C4525, ""en"", ""zh-cn""))"),"伟大的美国斯威鱼片")</f>
        <v>伟大的美国斯威鱼片</v>
      </c>
      <c r="E4525" s="1" t="str">
        <f>IFERROR(__xludf.DUMMYFUNCTION("CONCATENATE(GOOGLETRANSLATE(C4525, ""en"", ""ko""))"),"그레이트 아메리칸 스와이 필레")</f>
        <v>그레이트 아메리칸 스와이 필레</v>
      </c>
      <c r="F4525" s="1" t="str">
        <f>IFERROR(__xludf.DUMMYFUNCTION("CONCATENATE(GOOGLETRANSLATE(C4525, ""en"", ""ja""))"),"グレートアメリカンスワイフィレ")</f>
        <v>グレートアメリカンスワイフィレ</v>
      </c>
    </row>
    <row r="4526" ht="15.75" customHeight="1">
      <c r="A4526" s="1">
        <v>8162.0</v>
      </c>
      <c r="B4526" s="1" t="s">
        <v>15</v>
      </c>
      <c r="C4526" s="1" t="s">
        <v>3917</v>
      </c>
      <c r="D4526" s="1" t="str">
        <f>IFERROR(__xludf.DUMMYFUNCTION("CONCATENATE(GOOGLETRANSLATE(C4526, ""en"", ""zh-cn""))"),"新鲜市场牛排配戈贡佐拉奶油餐")</f>
        <v>新鲜市场牛排配戈贡佐拉奶油餐</v>
      </c>
      <c r="E4526" s="1" t="str">
        <f>IFERROR(__xludf.DUMMYFUNCTION("CONCATENATE(GOOGLETRANSLATE(C4526, ""en"", ""ko""))"),"고르곤졸라 크림 식사를 곁들인 프레시 마켓 스테이크")</f>
        <v>고르곤졸라 크림 식사를 곁들인 프레시 마켓 스테이크</v>
      </c>
      <c r="F4526" s="1" t="str">
        <f>IFERROR(__xludf.DUMMYFUNCTION("CONCATENATE(GOOGLETRANSLATE(C4526, ""en"", ""ja""))"),"フレッシュマーケットステーキ ゴルゴンゾーラクリーム添え")</f>
        <v>フレッシュマーケットステーキ ゴルゴンゾーラクリーム添え</v>
      </c>
    </row>
    <row r="4527" ht="15.75" customHeight="1">
      <c r="A4527" s="1">
        <v>8168.0</v>
      </c>
      <c r="B4527" s="1" t="s">
        <v>15</v>
      </c>
      <c r="C4527" s="1" t="s">
        <v>3918</v>
      </c>
      <c r="D4527" s="1" t="str">
        <f>IFERROR(__xludf.DUMMYFUNCTION("CONCATENATE(GOOGLETRANSLATE(C4527, ""en"", ""zh-cn""))"),"Dowinx 游戏椅")</f>
        <v>Dowinx 游戏椅</v>
      </c>
      <c r="E4527" s="1" t="str">
        <f>IFERROR(__xludf.DUMMYFUNCTION("CONCATENATE(GOOGLETRANSLATE(C4527, ""en"", ""ko""))"),"Dowinx 게이밍 의자")</f>
        <v>Dowinx 게이밍 의자</v>
      </c>
      <c r="F4527" s="1" t="str">
        <f>IFERROR(__xludf.DUMMYFUNCTION("CONCATENATE(GOOGLETRANSLATE(C4527, ""en"", ""ja""))"),"Dowinx ゲーミングチェア")</f>
        <v>Dowinx ゲーミングチェア</v>
      </c>
    </row>
    <row r="4528" ht="15.75" customHeight="1">
      <c r="A4528" s="1">
        <v>8182.0</v>
      </c>
      <c r="B4528" s="1" t="s">
        <v>15</v>
      </c>
      <c r="C4528" s="1" t="s">
        <v>3919</v>
      </c>
      <c r="D4528" s="1" t="str">
        <f>IFERROR(__xludf.DUMMYFUNCTION("CONCATENATE(GOOGLETRANSLATE(C4528, ""en"", ""zh-cn""))"),"Dowinx 6689L 电竞椅")</f>
        <v>Dowinx 6689L 电竞椅</v>
      </c>
      <c r="E4528" s="1" t="str">
        <f>IFERROR(__xludf.DUMMYFUNCTION("CONCATENATE(GOOGLETRANSLATE(C4528, ""en"", ""ko""))"),"Dowinx 6689L 게이밍 의자")</f>
        <v>Dowinx 6689L 게이밍 의자</v>
      </c>
      <c r="F4528" s="1" t="str">
        <f>IFERROR(__xludf.DUMMYFUNCTION("CONCATENATE(GOOGLETRANSLATE(C4528, ""en"", ""ja""))"),"Dowinx 6689L ゲーミングチェア")</f>
        <v>Dowinx 6689L ゲーミングチェア</v>
      </c>
    </row>
    <row r="4529" ht="15.75" customHeight="1">
      <c r="A4529" s="1">
        <v>8198.0</v>
      </c>
      <c r="B4529" s="1" t="s">
        <v>15</v>
      </c>
      <c r="C4529" s="1" t="s">
        <v>3920</v>
      </c>
      <c r="D4529" s="1" t="str">
        <f>IFERROR(__xludf.DUMMYFUNCTION("CONCATENATE(GOOGLETRANSLATE(C4529, ""en"", ""zh-cn""))"),"Dowinx 游戏椅带加热按摩腰部支撑，符合人体工程学的电脑椅带袋装弹簧垫，可调节斜倚游戏椅")</f>
        <v>Dowinx 游戏椅带加热按摩腰部支撑，符合人体工程学的电脑椅带袋装弹簧垫，可调节斜倚游戏椅</v>
      </c>
      <c r="E4529" s="1" t="str">
        <f>IFERROR(__xludf.DUMMYFUNCTION("CONCATENATE(GOOGLETRANSLATE(C4529, ""en"", ""ko""))"),"가열식 마사지 요추 지지대가 있는 Dowinx 게임 의자, 포켓 스프링 쿠션이 있는 인체 공학적 컴퓨터 의자, 조절 가능한 리클라이닝 게임 의자")</f>
        <v>가열식 마사지 요추 지지대가 있는 Dowinx 게임 의자, 포켓 스프링 쿠션이 있는 인체 공학적 컴퓨터 의자, 조절 가능한 리클라이닝 게임 의자</v>
      </c>
      <c r="F4529" s="1" t="str">
        <f>IFERROR(__xludf.DUMMYFUNCTION("CONCATENATE(GOOGLETRANSLATE(C4529, ""en"", ""ja""))"),"Dowinx ゲーミングチェア 加熱マッサージランバーサポート付き 人間工学に基づいたコンピューターチェア ポケットスプリングクッション付き リクライニングゲームチェア 調節可能")</f>
        <v>Dowinx ゲーミングチェア 加熱マッサージランバーサポート付き 人間工学に基づいたコンピューターチェア ポケットスプリングクッション付き リクライニングゲームチェア 調節可能</v>
      </c>
    </row>
    <row r="4530" ht="15.75" customHeight="1">
      <c r="A4530" s="1">
        <v>8216.0</v>
      </c>
      <c r="B4530" s="1" t="s">
        <v>15</v>
      </c>
      <c r="C4530" s="1" t="s">
        <v>3921</v>
      </c>
      <c r="D4530" s="1" t="str">
        <f>IFERROR(__xludf.DUMMYFUNCTION("CONCATENATE(GOOGLETRANSLATE(C4530, ""en"", ""zh-cn""))"),"PRX Performance 家庭健身器材套装情侣 Prime 套餐")</f>
        <v>PRX Performance 家庭健身器材套装情侣 Prime 套餐</v>
      </c>
      <c r="E4530" s="1" t="str">
        <f>IFERROR(__xludf.DUMMYFUNCTION("CONCATENATE(GOOGLETRANSLATE(C4530, ""en"", ""ko""))"),"PRX Performance 홈 체육관 장비 세트 커플용 프라임 패키지")</f>
        <v>PRX Performance 홈 체육관 장비 세트 커플용 프라임 패키지</v>
      </c>
      <c r="F4530" s="1" t="str">
        <f>IFERROR(__xludf.DUMMYFUNCTION("CONCATENATE(GOOGLETRANSLATE(C4530, ""en"", ""ja""))"),"PRX パフォーマンス ホームジム機器セット カップル プライム パッケージ")</f>
        <v>PRX パフォーマンス ホームジム機器セット カップル プライム パッケージ</v>
      </c>
    </row>
    <row r="4531" ht="15.75" customHeight="1">
      <c r="A4531" s="1">
        <v>8219.0</v>
      </c>
      <c r="B4531" s="1" t="s">
        <v>15</v>
      </c>
      <c r="C4531" s="1" t="s">
        <v>3922</v>
      </c>
      <c r="D4531" s="1" t="str">
        <f>IFERROR(__xludf.DUMMYFUNCTION("CONCATENATE(GOOGLETRANSLATE(C4531, ""en"", ""zh-cn""))"),"Ritkeep 家用举重训练系统功能性肌肉锻炼家用健身房史密斯机带配重片 PMAX-5600 Pro")</f>
        <v>Ritkeep 家用举重训练系统功能性肌肉锻炼家用健身房史密斯机带配重片 PMAX-5600 Pro</v>
      </c>
      <c r="E4531" s="1" t="str">
        <f>IFERROR(__xludf.DUMMYFUNCTION("CONCATENATE(GOOGLETRANSLATE(C4531, ""en"", ""ko""))"),"Ritkeep 홈 웨이트 세트 훈련 시스템 기능성 근육 스트라이크 홈 체육관 스미스 머신 웨이트 스택 PMAX-5600 Pro")</f>
        <v>Ritkeep 홈 웨이트 세트 훈련 시스템 기능성 근육 스트라이크 홈 체육관 스미스 머신 웨이트 스택 PMAX-5600 Pro</v>
      </c>
      <c r="F4531" s="1" t="str">
        <f>IFERROR(__xludf.DUMMYFUNCTION("CONCATENATE(GOOGLETRANSLATE(C4531, ""en"", ""ja""))"),"Ritkeep ホームウェイトセット トレーニングシステム ファンクショナルマッスルストライク ホームジム スミスマシン ウェイトスタック付き PMAX-5600 Pro")</f>
        <v>Ritkeep ホームウェイトセット トレーニングシステム ファンクショナルマッスルストライク ホームジム スミスマシン ウェイトスタック付き PMAX-5600 Pro</v>
      </c>
    </row>
    <row r="4532" ht="15.75" customHeight="1">
      <c r="A4532" s="1">
        <v>8220.0</v>
      </c>
      <c r="B4532" s="1" t="s">
        <v>15</v>
      </c>
      <c r="C4532" s="1" t="s">
        <v>3923</v>
      </c>
      <c r="D4532" s="1" t="str">
        <f>IFERROR(__xludf.DUMMYFUNCTION("CONCATENATE(GOOGLETRANSLATE(C4532, ""en"", ""zh-cn""))"),"Fitter First Core Strength Pro Fitter 3D 交叉训练器")</f>
        <v>Fitter First Core Strength Pro Fitter 3D 交叉训练器</v>
      </c>
      <c r="E4532" s="1" t="str">
        <f>IFERROR(__xludf.DUMMYFUNCTION("CONCATENATE(GOOGLETRANSLATE(C4532, ""en"", ""ko""))"),"피터 퍼스트 코어 스트렝스 프로 피터 3D 크로스 트레이너")</f>
        <v>피터 퍼스트 코어 스트렝스 프로 피터 3D 크로스 트레이너</v>
      </c>
      <c r="F4532" s="1" t="str">
        <f>IFERROR(__xludf.DUMMYFUNCTION("CONCATENATE(GOOGLETRANSLATE(C4532, ""en"", ""ja""))"),"フィッター ファースト コア ストレングス プロ フィッター 3D クロス トレーナー")</f>
        <v>フィッター ファースト コア ストレングス プロ フィッター 3D クロス トレーナー</v>
      </c>
    </row>
    <row r="4533" ht="15.75" customHeight="1">
      <c r="A4533" s="1">
        <v>8223.0</v>
      </c>
      <c r="B4533" s="1" t="s">
        <v>15</v>
      </c>
      <c r="C4533" s="1" t="s">
        <v>3924</v>
      </c>
      <c r="D4533" s="1" t="str">
        <f>IFERROR(__xludf.DUMMYFUNCTION("CONCATENATE(GOOGLETRANSLATE(C4533, ""en"", ""zh-cn""))"),"Force USA C10 多合一功能训练器史密斯机动力架")</f>
        <v>Force USA C10 多合一功能训练器史密斯机动力架</v>
      </c>
      <c r="E4533" s="1" t="str">
        <f>IFERROR(__xludf.DUMMYFUNCTION("CONCATENATE(GOOGLETRANSLATE(C4533, ""en"", ""ko""))"),"Force USA C10 올인원 기능성 트레이너 스미스 머신 파워 랙")</f>
        <v>Force USA C10 올인원 기능성 트레이너 스미스 머신 파워 랙</v>
      </c>
      <c r="F4533" s="1" t="str">
        <f>IFERROR(__xludf.DUMMYFUNCTION("CONCATENATE(GOOGLETRANSLATE(C4533, ""en"", ""ja""))"),"Force USA C10 オールインワン ファンクショナル トレーナー スミスマシン パワーラック")</f>
        <v>Force USA C10 オールインワン ファンクショナル トレーナー スミスマシン パワーラック</v>
      </c>
    </row>
    <row r="4534" ht="15.75" customHeight="1">
      <c r="A4534" s="1">
        <v>8224.0</v>
      </c>
      <c r="B4534" s="1" t="s">
        <v>15</v>
      </c>
      <c r="C4534" s="1" t="s">
        <v>3925</v>
      </c>
      <c r="D4534" s="1" t="str">
        <f>IFERROR(__xludf.DUMMYFUNCTION("CONCATENATE(GOOGLETRANSLATE(C4534, ""en"", ""zh-cn""))"),"Fitkicks 女式赚取现货可折叠水鞋")</f>
        <v>Fitkicks 女式赚取现货可折叠水鞋</v>
      </c>
      <c r="E4534" s="1" t="str">
        <f>IFERROR(__xludf.DUMMYFUNCTION("CONCATENATE(GOOGLETRANSLATE(C4534, ""en"", ""ko""))"),"Fitkicks 여성용 접이식 워터 슈즈")</f>
        <v>Fitkicks 여성용 접이식 워터 슈즈</v>
      </c>
      <c r="F4534" s="1" t="str">
        <f>IFERROR(__xludf.DUMMYFUNCTION("CONCATENATE(GOOGLETRANSLATE(C4534, ""en"", ""ja""))"),"Fitkicks レディース Earn Your Spot 折りたたみ式ウォーター シューズ")</f>
        <v>Fitkicks レディース Earn Your Spot 折りたたみ式ウォーター シューズ</v>
      </c>
    </row>
    <row r="4535" ht="15.75" customHeight="1">
      <c r="A4535" s="1">
        <v>8233.0</v>
      </c>
      <c r="B4535" s="1" t="s">
        <v>15</v>
      </c>
      <c r="C4535" s="1" t="s">
        <v>3926</v>
      </c>
      <c r="D4535" s="1" t="str">
        <f>IFERROR(__xludf.DUMMYFUNCTION("CONCATENATE(GOOGLETRANSLATE(C4535, ""en"", ""zh-cn""))"),"Fitrx SmartBell 全身健身房重量板")</f>
        <v>Fitrx SmartBell 全身健身房重量板</v>
      </c>
      <c r="E4535" s="1" t="str">
        <f>IFERROR(__xludf.DUMMYFUNCTION("CONCATENATE(GOOGLETRANSLATE(C4535, ""en"", ""ko""))"),"Fitrx SmartBell 토탈 바디 짐 웨이트 플레이트")</f>
        <v>Fitrx SmartBell 토탈 바디 짐 웨이트 플레이트</v>
      </c>
      <c r="F4535" s="1" t="str">
        <f>IFERROR(__xludf.DUMMYFUNCTION("CONCATENATE(GOOGLETRANSLATE(C4535, ""en"", ""ja""))"),"Fitrx SmartBell トータルボディジムウェイトプレート")</f>
        <v>Fitrx SmartBell トータルボディジムウェイトプレート</v>
      </c>
    </row>
    <row r="4536" ht="15.75" customHeight="1">
      <c r="A4536" s="1">
        <v>8238.0</v>
      </c>
      <c r="B4536" s="1" t="s">
        <v>15</v>
      </c>
      <c r="C4536" s="1" t="s">
        <v>3927</v>
      </c>
      <c r="D4536" s="1" t="str">
        <f>IFERROR(__xludf.DUMMYFUNCTION("CONCATENATE(GOOGLETRANSLATE(C4536, ""en"", ""zh-cn""))"),"FitRx SmartBell，家庭健身房快速选择可调哑铃，5-52.5 磅。重量，黑色，单，")</f>
        <v>FitRx SmartBell，家庭健身房快速选择可调哑铃，5-52.5 磅。重量，黑色，单，</v>
      </c>
      <c r="E4536" s="1" t="str">
        <f>IFERROR(__xludf.DUMMYFUNCTION("CONCATENATE(GOOGLETRANSLATE(C4536, ""en"", ""ko""))"),"FitRx SmartBell, 홈 체육관용 빠른 선택 조절식 덤벨, 5-52.5파운드. 무게, 검정색, 싱글,")</f>
        <v>FitRx SmartBell, 홈 체육관용 빠른 선택 조절식 덤벨, 5-52.5파운드. 무게, 검정색, 싱글,</v>
      </c>
      <c r="F4536" s="1" t="str">
        <f>IFERROR(__xludf.DUMMYFUNCTION("CONCATENATE(GOOGLETRANSLATE(C4536, ""en"", ""ja""))"),"FitRx SmartBell、ホームジム用クイックセレクト調節可能なダンベル、5-52.5ポンド。重量, 黒, シングル,")</f>
        <v>FitRx SmartBell、ホームジム用クイックセレクト調節可能なダンベル、5-52.5ポンド。重量, 黒, シングル,</v>
      </c>
    </row>
    <row r="4537" ht="15.75" customHeight="1">
      <c r="A4537" s="1">
        <v>8242.0</v>
      </c>
      <c r="B4537" s="1" t="s">
        <v>15</v>
      </c>
      <c r="C4537" s="1" t="s">
        <v>3928</v>
      </c>
      <c r="D4537" s="1" t="str">
        <f>IFERROR(__xludf.DUMMYFUNCTION("CONCATENATE(GOOGLETRANSLATE(C4537, ""en"", ""zh-cn""))"),"FitRX Pro 手持式治疗敲击按摩枪")</f>
        <v>FitRX Pro 手持式治疗敲击按摩枪</v>
      </c>
      <c r="E4537" s="1" t="str">
        <f>IFERROR(__xludf.DUMMYFUNCTION("CONCATENATE(GOOGLETRANSLATE(C4537, ""en"", ""ko""))"),"FitRX Pro 휴대용 ​​치료용 타악기 마사지 건")</f>
        <v>FitRX Pro 휴대용 ​​치료용 타악기 마사지 건</v>
      </c>
      <c r="F4537" s="1" t="str">
        <f>IFERROR(__xludf.DUMMYFUNCTION("CONCATENATE(GOOGLETRANSLATE(C4537, ""en"", ""ja""))"),"FitRX Pro ハンドヘルド治療パーカッション マッサージ ガン")</f>
        <v>FitRX Pro ハンドヘルド治療パーカッション マッサージ ガン</v>
      </c>
    </row>
    <row r="4538" ht="15.75" customHeight="1">
      <c r="A4538" s="1">
        <v>8245.0</v>
      </c>
      <c r="B4538" s="1" t="s">
        <v>15</v>
      </c>
      <c r="C4538" s="1" t="s">
        <v>3929</v>
      </c>
      <c r="D4538" s="1" t="str">
        <f>IFERROR(__xludf.DUMMYFUNCTION("CONCATENATE(GOOGLETRANSLATE(C4538, ""en"", ""zh-cn""))"),"GR8FLEX 女子高性能健身房，共有超过 100 项锻炼项目")</f>
        <v>GR8FLEX 女子高性能健身房，共有超过 100 项锻炼项目</v>
      </c>
      <c r="E4538" s="1" t="str">
        <f>IFERROR(__xludf.DUMMYFUNCTION("CONCATENATE(GOOGLETRANSLATE(C4538, ""en"", ""ko""))"),"총 100개 이상의 운동 운동을 제공하는 GR8FLEX 여성용 고성능 체육관")</f>
        <v>총 100개 이상의 운동 운동을 제공하는 GR8FLEX 여성용 고성능 체육관</v>
      </c>
      <c r="F4538" s="1" t="str">
        <f>IFERROR(__xludf.DUMMYFUNCTION("CONCATENATE(GOOGLETRANSLATE(C4538, ""en"", ""ja""))"),"GR8FLEX 合計 100 以上のワークアウトエクササイズを備えた女性用ハイパフォーマンスジム")</f>
        <v>GR8FLEX 合計 100 以上のワークアウトエクササイズを備えた女性用ハイパフォーマンスジム</v>
      </c>
    </row>
    <row r="4539" ht="15.75" customHeight="1">
      <c r="A4539" s="1">
        <v>8258.0</v>
      </c>
      <c r="B4539" s="1" t="s">
        <v>15</v>
      </c>
      <c r="C4539" s="1" t="s">
        <v>3930</v>
      </c>
      <c r="D4539" s="1" t="str">
        <f>IFERROR(__xludf.DUMMYFUNCTION("CONCATENATE(GOOGLETRANSLATE(C4539, ""en"", ""zh-cn""))"),"Fitvids 软壶铃")</f>
        <v>Fitvids 软壶铃</v>
      </c>
      <c r="E4539" s="1" t="str">
        <f>IFERROR(__xludf.DUMMYFUNCTION("CONCATENATE(GOOGLETRANSLATE(C4539, ""en"", ""ko""))"),"Fitvids 소프트 케틀벨")</f>
        <v>Fitvids 소프트 케틀벨</v>
      </c>
      <c r="F4539" s="1" t="str">
        <f>IFERROR(__xludf.DUMMYFUNCTION("CONCATENATE(GOOGLETRANSLATE(C4539, ""en"", ""ja""))"),"Fitvids ソフトケトルベル")</f>
        <v>Fitvids ソフトケトルベル</v>
      </c>
    </row>
    <row r="4540" ht="15.75" customHeight="1">
      <c r="A4540" s="1">
        <v>8262.0</v>
      </c>
      <c r="B4540" s="1" t="s">
        <v>15</v>
      </c>
      <c r="C4540" s="1" t="s">
        <v>3931</v>
      </c>
      <c r="D4540" s="1" t="str">
        <f>IFERROR(__xludf.DUMMYFUNCTION("CONCATENATE(GOOGLETRANSLATE(C4540, ""en"", ""zh-cn""))"),"Inspire Fitness CG3 家庭健身房功能训练器")</f>
        <v>Inspire Fitness CG3 家庭健身房功能训练器</v>
      </c>
      <c r="E4540" s="1" t="str">
        <f>IFERROR(__xludf.DUMMYFUNCTION("CONCATENATE(GOOGLETRANSLATE(C4540, ""en"", ""ko""))"),"인스파이어 피트니스 CG3 홈짐 기능성 트레이너")</f>
        <v>인스파이어 피트니스 CG3 홈짐 기능성 트레이너</v>
      </c>
      <c r="F4540" s="1" t="str">
        <f>IFERROR(__xludf.DUMMYFUNCTION("CONCATENATE(GOOGLETRANSLATE(C4540, ""en"", ""ja""))"),"Inspire Fitness CG3 ホームジム ファンクショナル トレーナー")</f>
        <v>Inspire Fitness CG3 ホームジム ファンクショナル トレーナー</v>
      </c>
    </row>
    <row r="4541" ht="15.75" customHeight="1">
      <c r="A4541" s="1">
        <v>8264.0</v>
      </c>
      <c r="B4541" s="1" t="s">
        <v>15</v>
      </c>
      <c r="C4541" s="1" t="s">
        <v>3932</v>
      </c>
      <c r="D4541" s="1" t="str">
        <f>IFERROR(__xludf.DUMMYFUNCTION("CONCATENATE(GOOGLETRANSLATE(C4541, ""en"", ""zh-cn""))"),"2 件 Fitvids 家用健身房举重板 12 磅 Lx750/800/900 (24")</f>
        <v>2 件 Fitvids 家用健身房举重板 12 磅 Lx750/800/900 (24</v>
      </c>
      <c r="E4541" s="1" t="str">
        <f>IFERROR(__xludf.DUMMYFUNCTION("CONCATENATE(GOOGLETRANSLATE(C4541, ""en"", ""ko""))"),"Fitvids 홈 짐 스테이션 웨이트 플레이트 12파운드 Lx750/800/900(24개) 수량 2개")</f>
        <v>Fitvids 홈 짐 스테이션 웨이트 플레이트 12파운드 Lx750/800/900(24개) 수량 2개</v>
      </c>
      <c r="F4541" s="1" t="str">
        <f>IFERROR(__xludf.DUMMYFUNCTION("CONCATENATE(GOOGLETRANSLATE(C4541, ""en"", ""ja""))"),"2 個 Fitvids ホームジムステーションウェイトプレート 12 ポンド Lx750/800/900 (24)")</f>
        <v>2 個 Fitvids ホームジムステーションウェイトプレート 12 ポンド Lx750/800/900 (24)</v>
      </c>
    </row>
    <row r="4542" ht="15.75" customHeight="1">
      <c r="A4542" s="1">
        <v>8269.0</v>
      </c>
      <c r="B4542" s="1" t="s">
        <v>15</v>
      </c>
      <c r="C4542" s="1" t="s">
        <v>3933</v>
      </c>
      <c r="D4542" s="1" t="str">
        <f>IFERROR(__xludf.DUMMYFUNCTION("CONCATENATE(GOOGLETRANSLATE(C4542, ""en"", ""zh-cn""))"),"Fitvids 封装运动和健身六角哑铃")</f>
        <v>Fitvids 封装运动和健身六角哑铃</v>
      </c>
      <c r="E4542" s="1" t="str">
        <f>IFERROR(__xludf.DUMMYFUNCTION("CONCATENATE(GOOGLETRANSLATE(C4542, ""en"", ""ko""))"),"Fitvids 내장형 운동 및 피트니스 육각형 덤벨")</f>
        <v>Fitvids 내장형 운동 및 피트니스 육각형 덤벨</v>
      </c>
      <c r="F4542" s="1" t="str">
        <f>IFERROR(__xludf.DUMMYFUNCTION("CONCATENATE(GOOGLETRANSLATE(C4542, ""en"", ""ja""))"),"Fitvids ケース付きエクササイズ &amp; フィットネス ヘックス ダンベル")</f>
        <v>Fitvids ケース付きエクササイズ &amp; フィットネス ヘックス ダンベル</v>
      </c>
    </row>
    <row r="4543" ht="15.75" customHeight="1">
      <c r="A4543" s="1">
        <v>8270.0</v>
      </c>
      <c r="B4543" s="1" t="s">
        <v>15</v>
      </c>
      <c r="C4543" s="1" t="s">
        <v>3934</v>
      </c>
      <c r="D4543" s="1" t="str">
        <f>IFERROR(__xludf.DUMMYFUNCTION("CONCATENATE(GOOGLETRANSLATE(C4543, ""en"", ""zh-cn""))"),"Gymshark Everyday 无缝紧身圆领 T 恤")</f>
        <v>Gymshark Everyday 无缝紧身圆领 T 恤</v>
      </c>
      <c r="E4543" s="1" t="str">
        <f>IFERROR(__xludf.DUMMYFUNCTION("CONCATENATE(GOOGLETRANSLATE(C4543, ""en"", ""ko""))"),"Gymshark Everyday 심리스 타이트 핏 크루넥 티셔츠")</f>
        <v>Gymshark Everyday 심리스 타이트 핏 크루넥 티셔츠</v>
      </c>
      <c r="F4543" s="1" t="str">
        <f>IFERROR(__xludf.DUMMYFUNCTION("CONCATENATE(GOOGLETRANSLATE(C4543, ""en"", ""ja""))"),"Gymshark Everyday シームレス タイト フィット クルーネック T シャツ")</f>
        <v>Gymshark Everyday シームレス タイト フィット クルーネック T シャツ</v>
      </c>
    </row>
    <row r="4544" ht="15.75" customHeight="1">
      <c r="A4544" s="1">
        <v>8274.0</v>
      </c>
      <c r="B4544" s="1" t="s">
        <v>15</v>
      </c>
      <c r="C4544" s="1" t="s">
        <v>3935</v>
      </c>
      <c r="D4544" s="1" t="str">
        <f>IFERROR(__xludf.DUMMYFUNCTION("CONCATENATE(GOOGLETRANSLATE(C4544, ""en"", ""zh-cn""))"),"Fitvids 台下椭圆机")</f>
        <v>Fitvids 台下椭圆机</v>
      </c>
      <c r="E4544" s="1" t="str">
        <f>IFERROR(__xludf.DUMMYFUNCTION("CONCATENATE(GOOGLETRANSLATE(C4544, ""en"", ""ko""))"),"Fitvids 책상 밑 타원형 기계")</f>
        <v>Fitvids 책상 밑 타원형 기계</v>
      </c>
      <c r="F4544" s="1" t="str">
        <f>IFERROR(__xludf.DUMMYFUNCTION("CONCATENATE(GOOGLETRANSLATE(C4544, ""en"", ""ja""))"),"Fitvids デスク下楕円形マシン")</f>
        <v>Fitvids デスク下楕円形マシン</v>
      </c>
    </row>
    <row r="4545" ht="15.75" customHeight="1">
      <c r="A4545" s="1">
        <v>8275.0</v>
      </c>
      <c r="B4545" s="1" t="s">
        <v>15</v>
      </c>
      <c r="C4545" s="1" t="s">
        <v>3936</v>
      </c>
      <c r="D4545" s="1" t="str">
        <f>IFERROR(__xludf.DUMMYFUNCTION("CONCATENATE(GOOGLETRANSLATE(C4545, ""en"", ""zh-cn""))"),"Fitvids 拼图运动垫，带 Eva 泡沫互锁瓷砖，适合 Mma，")</f>
        <v>Fitvids 拼图运动垫，带 Eva 泡沫互锁瓷砖，适合 Mma，</v>
      </c>
      <c r="E4545" s="1" t="str">
        <f>IFERROR(__xludf.DUMMYFUNCTION("CONCATENATE(GOOGLETRANSLATE(C4545, ""en"", ""ko""))"),"Mma용 Eva 폼 연동 타일이 포함된 Fitvids 퍼즐 운동 매트,")</f>
        <v>Mma용 Eva 폼 연동 타일이 포함된 Fitvids 퍼즐 운동 매트,</v>
      </c>
      <c r="F4545" s="1" t="str">
        <f>IFERROR(__xludf.DUMMYFUNCTION("CONCATENATE(GOOGLETRANSLATE(C4545, ""en"", ""ja""))"),"Fitvids パズル エクササイズ マット、EVA フォーム連動タイル付き、MMA 用、")</f>
        <v>Fitvids パズル エクササイズ マット、EVA フォーム連動タイル付き、MMA 用、</v>
      </c>
    </row>
    <row r="4546" ht="15.75" customHeight="1">
      <c r="A4546" s="1">
        <v>8284.0</v>
      </c>
      <c r="B4546" s="1" t="s">
        <v>15</v>
      </c>
      <c r="C4546" s="1" t="s">
        <v>3937</v>
      </c>
      <c r="D4546" s="1" t="str">
        <f>IFERROR(__xludf.DUMMYFUNCTION("CONCATENATE(GOOGLETRANSLATE(C4546, ""en"", ""zh-cn""))"),"Fitvids 水平板和奥林匹克杆架钢制整理器")</f>
        <v>Fitvids 水平板和奥林匹克杆架钢制整理器</v>
      </c>
      <c r="E4546" s="1" t="str">
        <f>IFERROR(__xludf.DUMMYFUNCTION("CONCATENATE(GOOGLETRANSLATE(C4546, ""en"", ""ko""))"),"Fitvids 수평 플레이트 및 강철이 포함된 올림픽 바 랙 정리함")</f>
        <v>Fitvids 수평 플레이트 및 강철이 포함된 올림픽 바 랙 정리함</v>
      </c>
      <c r="F4546" s="1" t="str">
        <f>IFERROR(__xludf.DUMMYFUNCTION("CONCATENATE(GOOGLETRANSLATE(C4546, ""en"", ""ja""))"),"Fitvids 水平プレートとスチール製オリンピック バー ラック オーガナイザー")</f>
        <v>Fitvids 水平プレートとスチール製オリンピック バー ラック オーガナイザー</v>
      </c>
    </row>
    <row r="4547" ht="15.75" customHeight="1">
      <c r="A4547" s="1">
        <v>8287.0</v>
      </c>
      <c r="B4547" s="1" t="s">
        <v>15</v>
      </c>
      <c r="C4547" s="1" t="s">
        <v>3938</v>
      </c>
      <c r="D4547" s="1" t="str">
        <f>IFERROR(__xludf.DUMMYFUNCTION("CONCATENATE(GOOGLETRANSLATE(C4547, ""en"", ""zh-cn""))"),"有机黑麦谷物种子")</f>
        <v>有机黑麦谷物种子</v>
      </c>
      <c r="E4547" s="1" t="str">
        <f>IFERROR(__xludf.DUMMYFUNCTION("CONCATENATE(GOOGLETRANSLATE(C4547, ""en"", ""ko""))"),"유기농 호밀 곡물 씨앗")</f>
        <v>유기농 호밀 곡물 씨앗</v>
      </c>
      <c r="F4547" s="1" t="str">
        <f>IFERROR(__xludf.DUMMYFUNCTION("CONCATENATE(GOOGLETRANSLATE(C4547, ""en"", ""ja""))"),"有機ライ麦種子")</f>
        <v>有機ライ麦種子</v>
      </c>
    </row>
    <row r="4548" ht="15.75" customHeight="1">
      <c r="A4548" s="1">
        <v>8295.0</v>
      </c>
      <c r="B4548" s="1" t="s">
        <v>15</v>
      </c>
      <c r="C4548" s="1" t="s">
        <v>3939</v>
      </c>
      <c r="D4548" s="1" t="str">
        <f>IFERROR(__xludf.DUMMYFUNCTION("CONCATENATE(GOOGLETRANSLATE(C4548, ""en"", ""zh-cn""))"),"糖枫种子")</f>
        <v>糖枫种子</v>
      </c>
      <c r="E4548" s="1" t="str">
        <f>IFERROR(__xludf.DUMMYFUNCTION("CONCATENATE(GOOGLETRANSLATE(C4548, ""en"", ""ko""))"),"설탕 단풍나무 씨앗")</f>
        <v>설탕 단풍나무 씨앗</v>
      </c>
      <c r="F4548" s="1" t="str">
        <f>IFERROR(__xludf.DUMMYFUNCTION("CONCATENATE(GOOGLETRANSLATE(C4548, ""en"", ""ja""))"),"サトウカエデの種")</f>
        <v>サトウカエデの種</v>
      </c>
    </row>
    <row r="4549" ht="15.75" customHeight="1">
      <c r="A4549" s="1">
        <v>8297.0</v>
      </c>
      <c r="B4549" s="1" t="s">
        <v>15</v>
      </c>
      <c r="C4549" s="1" t="s">
        <v>3940</v>
      </c>
      <c r="D4549" s="1" t="str">
        <f>IFERROR(__xludf.DUMMYFUNCTION("CONCATENATE(GOOGLETRANSLATE(C4549, ""en"", ""zh-cn""))"),"谷物小麦硬白种子")</f>
        <v>谷物小麦硬白种子</v>
      </c>
      <c r="E4549" s="1" t="str">
        <f>IFERROR(__xludf.DUMMYFUNCTION("CONCATENATE(GOOGLETRANSLATE(C4549, ""en"", ""ko""))"),"곡물 밀 단단한 흰색 씨앗")</f>
        <v>곡물 밀 단단한 흰색 씨앗</v>
      </c>
      <c r="F4549" s="1" t="str">
        <f>IFERROR(__xludf.DUMMYFUNCTION("CONCATENATE(GOOGLETRANSLATE(C4549, ""en"", ""ja""))"),"穀物小麦の硬い白い種子")</f>
        <v>穀物小麦の硬い白い種子</v>
      </c>
    </row>
    <row r="4550" ht="15.75" customHeight="1">
      <c r="A4550" s="1">
        <v>8302.0</v>
      </c>
      <c r="B4550" s="1" t="s">
        <v>15</v>
      </c>
      <c r="C4550" s="1" t="s">
        <v>3941</v>
      </c>
      <c r="D4550" s="1" t="str">
        <f>IFERROR(__xludf.DUMMYFUNCTION("CONCATENATE(GOOGLETRANSLATE(C4550, ""en"", ""zh-cn""))"),"CZ 谷物皇后树植物种子")</f>
        <v>CZ 谷物皇后树植物种子</v>
      </c>
      <c r="E4550" s="1" t="str">
        <f>IFERROR(__xludf.DUMMYFUNCTION("CONCATENATE(GOOGLETRANSLATE(C4550, ""en"", ""ko""))"),"CZ 곡물 황후 나무 식물 씨앗")</f>
        <v>CZ 곡물 황후 나무 식물 씨앗</v>
      </c>
      <c r="F4550" s="1" t="str">
        <f>IFERROR(__xludf.DUMMYFUNCTION("CONCATENATE(GOOGLETRANSLATE(C4550, ""en"", ""ja""))"),"CZグレインエンプレスツリー植物の種子")</f>
        <v>CZグレインエンプレスツリー植物の種子</v>
      </c>
    </row>
    <row r="4551" ht="15.75" customHeight="1">
      <c r="A4551" s="1">
        <v>8308.0</v>
      </c>
      <c r="B4551" s="1" t="s">
        <v>15</v>
      </c>
      <c r="C4551" s="1" t="s">
        <v>3942</v>
      </c>
      <c r="D4551" s="1" t="str">
        <f>IFERROR(__xludf.DUMMYFUNCTION("CONCATENATE(GOOGLETRANSLATE(C4551, ""en"", ""zh-cn""))"),"肯塔基咖啡树")</f>
        <v>肯塔基咖啡树</v>
      </c>
      <c r="E4551" s="1" t="str">
        <f>IFERROR(__xludf.DUMMYFUNCTION("CONCATENATE(GOOGLETRANSLATE(C4551, ""en"", ""ko""))"),"켄터키 커피트리")</f>
        <v>켄터키 커피트리</v>
      </c>
      <c r="F4551" s="1" t="str">
        <f>IFERROR(__xludf.DUMMYFUNCTION("CONCATENATE(GOOGLETRANSLATE(C4551, ""en"", ""ja""))"),"ケンタッキーコーヒーツリー")</f>
        <v>ケンタッキーコーヒーツリー</v>
      </c>
    </row>
    <row r="4552" ht="15.75" customHeight="1">
      <c r="A4552" s="1">
        <v>8324.0</v>
      </c>
      <c r="B4552" s="1" t="s">
        <v>15</v>
      </c>
      <c r="C4552" s="1" t="s">
        <v>3943</v>
      </c>
      <c r="D4552" s="1" t="str">
        <f>IFERROR(__xludf.DUMMYFUNCTION("CONCATENATE(GOOGLETRANSLATE(C4552, ""en"", ""zh-cn""))"),"Outsidepride 桉树银元树种子")</f>
        <v>Outsidepride 桉树银元树种子</v>
      </c>
      <c r="E4552" s="1" t="str">
        <f>IFERROR(__xludf.DUMMYFUNCTION("CONCATENATE(GOOGLETRANSLATE(C4552, ""en"", ""ko""))"),"Outsidepride 유칼립투스 실버 달러 나무 씨앗")</f>
        <v>Outsidepride 유칼립투스 실버 달러 나무 씨앗</v>
      </c>
      <c r="F4552" s="1" t="str">
        <f>IFERROR(__xludf.DUMMYFUNCTION("CONCATENATE(GOOGLETRANSLATE(C4552, ""en"", ""ja""))"),"アウトサイドプライド ユーカリ シルバー ダラー ツリーの種子")</f>
        <v>アウトサイドプライド ユーカリ シルバー ダラー ツリーの種子</v>
      </c>
    </row>
    <row r="4553" ht="15.75" customHeight="1">
      <c r="A4553" s="1">
        <v>3136.0</v>
      </c>
      <c r="B4553" s="1" t="s">
        <v>381</v>
      </c>
      <c r="C4553" s="1" t="s">
        <v>3944</v>
      </c>
      <c r="D4553" s="1" t="str">
        <f>IFERROR(__xludf.DUMMYFUNCTION("CONCATENATE(GOOGLETRANSLATE(C4553, ""en"", ""zh-cn""))"),"3 层木质植物架多层花盆架木质储物架展示架家用办公花园家具")</f>
        <v>3 层木质植物架多层花盆架木质储物架展示架家用办公花园家具</v>
      </c>
      <c r="E4553" s="1" t="str">
        <f>IFERROR(__xludf.DUMMYFUNCTION("CONCATENATE(GOOGLETRANSLATE(C4553, ""en"", ""ko""))"),"3 계층 나무 식물 랙 다층 꽃 냄비 스탠드 나무 스토리지 선반 디스플레이 랙 홈 오피스 정원 가구")</f>
        <v>3 계층 나무 식물 랙 다층 꽃 냄비 스탠드 나무 스토리지 선반 디스플레이 랙 홈 오피스 정원 가구</v>
      </c>
      <c r="F4553" s="1" t="str">
        <f>IFERROR(__xludf.DUMMYFUNCTION("CONCATENATE(GOOGLETRANSLATE(C4553, ""en"", ""ja""))"),"3 段木製植物ラック多層植木鉢スタンド木製収納棚ディスプレイラックホームオフィスガーデン家具")</f>
        <v>3 段木製植物ラック多層植木鉢スタンド木製収納棚ディスプレイラックホームオフィスガーデン家具</v>
      </c>
    </row>
    <row r="4554" ht="15.75" customHeight="1">
      <c r="A4554" s="1">
        <v>3148.0</v>
      </c>
      <c r="B4554" s="1" t="s">
        <v>381</v>
      </c>
      <c r="C4554" s="1" t="s">
        <v>3945</v>
      </c>
      <c r="D4554" s="1" t="str">
        <f>IFERROR(__xludf.DUMMYFUNCTION("CONCATENATE(GOOGLETRANSLATE(C4554, ""en"", ""zh-cn""))"),"【最新版】多功能双紫外线自动消毒器手机消毒盒牙刷儿童餐具内衣口罩消毒工具")</f>
        <v>【最新版】多功能双紫外线自动消毒器手机消毒盒牙刷儿童餐具内衣口罩消毒工具</v>
      </c>
      <c r="E4554" s="1" t="str">
        <f>IFERROR(__xludf.DUMMYFUNCTION("CONCATENATE(GOOGLETRANSLATE(C4554, ""en"", ""ko""))"),"[최신 버전] 다기능 이중 자외선 자동 살균기 휴대 전화 살균 상자 칫솔 어린이 식기 속옷 마스크 소독 도구")</f>
        <v>[최신 버전] 다기능 이중 자외선 자동 살균기 휴대 전화 살균 상자 칫솔 어린이 식기 속옷 마스크 소독 도구</v>
      </c>
      <c r="F4554" s="1" t="str">
        <f>IFERROR(__xludf.DUMMYFUNCTION("CONCATENATE(GOOGLETRANSLATE(C4554, ""en"", ""ja""))"),"[最新バージョン] 多機能デュアル紫外線自動滅菌器携帯電話滅菌ボックス歯ブラシ子供食器下着マスク消毒ツール")</f>
        <v>[最新バージョン] 多機能デュアル紫外線自動滅菌器携帯電話滅菌ボックス歯ブラシ子供食器下着マスク消毒ツール</v>
      </c>
    </row>
    <row r="4555" ht="15.75" customHeight="1">
      <c r="A4555" s="1">
        <v>3160.0</v>
      </c>
      <c r="B4555" s="1" t="s">
        <v>381</v>
      </c>
      <c r="C4555" s="1" t="s">
        <v>3946</v>
      </c>
      <c r="D4555" s="1" t="str">
        <f>IFERROR(__xludf.DUMMYFUNCTION("CONCATENATE(GOOGLETRANSLATE(C4555, ""en"", ""zh-cn""))"),"1 件推泡泡感官玩具蝴蝶形状抗压烦躁玩具缓解器有趣的教育益智玩具成人儿童创意礼物")</f>
        <v>1 件推泡泡感官玩具蝴蝶形状抗压烦躁玩具缓解器有趣的教育益智玩具成人儿童创意礼物</v>
      </c>
      <c r="E4555" s="1" t="str">
        <f>IFERROR(__xludf.DUMMYFUNCTION("CONCATENATE(GOOGLETRANSLATE(C4555, ""en"", ""ko""))"),"1pc 푸시 버블 감각 장난감 나비 모양 안티 스트레스 Fidget 장난감 릴리버 성인을위한 재미있는 교육 퍼즐 장난감 어린이 크리 에이 티브 선물")</f>
        <v>1pc 푸시 버블 감각 장난감 나비 모양 안티 스트레스 Fidget 장난감 릴리버 성인을위한 재미있는 교육 퍼즐 장난감 어린이 크리 에이 티브 선물</v>
      </c>
      <c r="F4555" s="1" t="str">
        <f>IFERROR(__xludf.DUMMYFUNCTION("CONCATENATE(GOOGLETRANSLATE(C4555, ""en"", ""ja""))"),"1pc プッシュバブル感覚おもちゃ蝶の形の抗ストレスフィジェットおもちゃ緩和剤おかしい教育パズルのおもちゃ大人子供のためのクリエイティブギフト")</f>
        <v>1pc プッシュバブル感覚おもちゃ蝶の形の抗ストレスフィジェットおもちゃ緩和剤おかしい教育パズルのおもちゃ大人子供のためのクリエイティブギフト</v>
      </c>
    </row>
    <row r="4556" ht="15.75" customHeight="1">
      <c r="A4556" s="1">
        <v>3162.0</v>
      </c>
      <c r="B4556" s="1" t="s">
        <v>381</v>
      </c>
      <c r="C4556" s="1" t="s">
        <v>3947</v>
      </c>
      <c r="D4556" s="1" t="str">
        <f>IFERROR(__xludf.DUMMYFUNCTION("CONCATENATE(GOOGLETRANSLATE(C4556, ""en"", ""zh-cn""))"),"PTFE 涂层电机丝杠 T8 导程 2/8mm 螺距 2mm POM 螺母适用于 Ender-3 系列/CR-10 系列/Sidewinder 3D 打印机零件")</f>
        <v>PTFE 涂层电机丝杠 T8 导程 2/8mm 螺距 2mm POM 螺母适用于 Ender-3 系列/CR-10 系列/Sidewinder 3D 打印机零件</v>
      </c>
      <c r="E4556" s="1" t="str">
        <f>IFERROR(__xludf.DUMMYFUNCTION("CONCATENATE(GOOGLETRANSLATE(C4556, ""en"", ""ko""))"),"Ender-3 시리즈/CR-10 시리즈/사이드와인더 3D 프린터 부품용 PTFE 코팅 모터 리드 스크류 T8 리드 2/8mm 피치 2mm POM 너트")</f>
        <v>Ender-3 시리즈/CR-10 시리즈/사이드와인더 3D 프린터 부품용 PTFE 코팅 모터 리드 스크류 T8 리드 2/8mm 피치 2mm POM 너트</v>
      </c>
      <c r="F4556" s="1" t="str">
        <f>IFERROR(__xludf.DUMMYFUNCTION("CONCATENATE(GOOGLETRANSLATE(C4556, ""en"", ""ja""))"),"PTFE コーティングされたモーターリードネジ T8 リード 2/8mm ピッチ 2mm POM ナット Ender-3 シリーズ/CR-10 シリーズ/サイドワインダー 3D プリンタ部品用")</f>
        <v>PTFE コーティングされたモーターリードネジ T8 リード 2/8mm ピッチ 2mm POM ナット Ender-3 シリーズ/CR-10 シリーズ/サイドワインダー 3D プリンタ部品用</v>
      </c>
    </row>
    <row r="4557" ht="15.75" customHeight="1">
      <c r="A4557" s="1">
        <v>3194.0</v>
      </c>
      <c r="B4557" s="1" t="s">
        <v>15</v>
      </c>
      <c r="C4557" s="1" t="s">
        <v>3948</v>
      </c>
      <c r="D4557" s="1" t="str">
        <f>IFERROR(__xludf.DUMMYFUNCTION("CONCATENATE(GOOGLETRANSLATE(C4557, ""en"", ""zh-cn""))"),"Hooker Furniture Rhapsody 簇绒软垫雪橇床")</f>
        <v>Hooker Furniture Rhapsody 簇绒软垫雪橇床</v>
      </c>
      <c r="E4557" s="1" t="str">
        <f>IFERROR(__xludf.DUMMYFUNCTION("CONCATENATE(GOOGLETRANSLATE(C4557, ""en"", ""ko""))"),"매춘부 가구 랩소디 술 덮개를 씌운 썰매 침대")</f>
        <v>매춘부 가구 랩소디 술 덮개를 씌운 썰매 침대</v>
      </c>
      <c r="F4557" s="1" t="str">
        <f>IFERROR(__xludf.DUMMYFUNCTION("CONCATENATE(GOOGLETRANSLATE(C4557, ""en"", ""ja""))"),"フッカー家具ラプソディタフト布張りそりベッド")</f>
        <v>フッカー家具ラプソディタフト布張りそりベッド</v>
      </c>
    </row>
    <row r="4558" ht="15.75" customHeight="1">
      <c r="A4558" s="1">
        <v>3204.0</v>
      </c>
      <c r="B4558" s="1" t="s">
        <v>15</v>
      </c>
      <c r="C4558" s="1" t="s">
        <v>3949</v>
      </c>
      <c r="D4558" s="1" t="str">
        <f>IFERROR(__xludf.DUMMYFUNCTION("CONCATENATE(GOOGLETRANSLATE(C4558, ""en"", ""zh-cn""))"),"Jura X8 Platinum 触摸屏自动浓缩咖啡和卡布奇诺咖啡机")</f>
        <v>Jura X8 Platinum 触摸屏自动浓缩咖啡和卡布奇诺咖啡机</v>
      </c>
      <c r="E4558" s="1" t="str">
        <f>IFERROR(__xludf.DUMMYFUNCTION("CONCATENATE(GOOGLETRANSLATE(C4558, ""en"", ""ko""))"),"Jura X8 Platinum 자동 에스프레소 &amp; 카푸치노 머신(터치스크린 포함)")</f>
        <v>Jura X8 Platinum 자동 에스프레소 &amp; 카푸치노 머신(터치스크린 포함)</v>
      </c>
      <c r="F4558" s="1" t="str">
        <f>IFERROR(__xludf.DUMMYFUNCTION("CONCATENATE(GOOGLETRANSLATE(C4558, ""en"", ""ja""))"),"Jura X8 Platinum 自動エスプレッソ &amp; カプチーノ マシン (タッチ スクリーン付き)")</f>
        <v>Jura X8 Platinum 自動エスプレッソ &amp; カプチーノ マシン (タッチ スクリーン付き)</v>
      </c>
    </row>
    <row r="4559" ht="15.75" customHeight="1">
      <c r="A4559" s="1">
        <v>3213.0</v>
      </c>
      <c r="B4559" s="1" t="s">
        <v>15</v>
      </c>
      <c r="C4559" s="1" t="s">
        <v>3950</v>
      </c>
      <c r="D4559" s="1" t="str">
        <f>IFERROR(__xludf.DUMMYFUNCTION("CONCATENATE(GOOGLETRANSLATE(C4559, ""en"", ""zh-cn""))"),"ACME 凡尔赛古玩柜 - - 骨白色")</f>
        <v>ACME 凡尔赛古玩柜 - - 骨白色</v>
      </c>
      <c r="E4559" s="1" t="str">
        <f>IFERROR(__xludf.DUMMYFUNCTION("CONCATENATE(GOOGLETRANSLATE(C4559, ""en"", ""ko""))"),"ACME 베르사유 골동품 캐비닛 - - 본 화이트")</f>
        <v>ACME 베르사유 골동품 캐비닛 - - 본 화이트</v>
      </c>
      <c r="F4559" s="1" t="str">
        <f>IFERROR(__xludf.DUMMYFUNCTION("CONCATENATE(GOOGLETRANSLATE(C4559, ""en"", ""ja""))"),"ACME Versailles Curio Cabinet - - ボーン ホワイト")</f>
        <v>ACME Versailles Curio Cabinet - - ボーン ホワイト</v>
      </c>
    </row>
    <row r="4560" ht="15.75" customHeight="1">
      <c r="A4560" s="1">
        <v>3218.0</v>
      </c>
      <c r="B4560" s="1" t="s">
        <v>15</v>
      </c>
      <c r="C4560" s="1" t="s">
        <v>3951</v>
      </c>
      <c r="D4560" s="1" t="str">
        <f>IFERROR(__xludf.DUMMYFUNCTION("CONCATENATE(GOOGLETRANSLATE(C4560, ""en"", ""zh-cn""))"),"Jura E8 咖啡机 15341 钢琴白")</f>
        <v>Jura E8 咖啡机 15341 钢琴白</v>
      </c>
      <c r="E4560" s="1" t="str">
        <f>IFERROR(__xludf.DUMMYFUNCTION("CONCATENATE(GOOGLETRANSLATE(C4560, ""en"", ""ko""))"),"Jura E8 커피 머신 15341 피아노 화이트")</f>
        <v>Jura E8 커피 머신 15341 피아노 화이트</v>
      </c>
      <c r="F4560" s="1" t="str">
        <f>IFERROR(__xludf.DUMMYFUNCTION("CONCATENATE(GOOGLETRANSLATE(C4560, ""en"", ""ja""))"),"ジュラ E8 コーヒーマシン 15341 ピアノホワイト")</f>
        <v>ジュラ E8 コーヒーマシン 15341 ピアノホワイト</v>
      </c>
    </row>
    <row r="4561" ht="15.75" customHeight="1">
      <c r="A4561" s="1">
        <v>3226.0</v>
      </c>
      <c r="B4561" s="1" t="s">
        <v>15</v>
      </c>
      <c r="C4561" s="1" t="s">
        <v>3952</v>
      </c>
      <c r="D4561" s="1" t="str">
        <f>IFERROR(__xludf.DUMMYFUNCTION("CONCATENATE(GOOGLETRANSLATE(C4561, ""en"", ""zh-cn""))"),"ACME Chantelle 沙发带 3 个枕头 - 53540 - 玫瑰金 PU/织物和珍珠白")</f>
        <v>ACME Chantelle 沙发带 3 个枕头 - 53540 - 玫瑰金 PU/织物和珍珠白</v>
      </c>
      <c r="E4561" s="1" t="str">
        <f>IFERROR(__xludf.DUMMYFUNCTION("CONCATENATE(GOOGLETRANSLATE(C4561, ""en"", ""ko""))"),"ACME 샹텔 소파(베개 3개 포함) - 53540 - 로즈 골드 PU/패브릭 &amp; 펄 화이트")</f>
        <v>ACME 샹텔 소파(베개 3개 포함) - 53540 - 로즈 골드 PU/패브릭 &amp; 펄 화이트</v>
      </c>
      <c r="F4561" s="1" t="str">
        <f>IFERROR(__xludf.DUMMYFUNCTION("CONCATENATE(GOOGLETRANSLATE(C4561, ""en"", ""ja""))"),"ACME シャンテル ソファ 枕 3 個付き - 53540 - ローズゴールド PU/ファブリック &amp; パール ホワイト")</f>
        <v>ACME シャンテル ソファ 枕 3 個付き - 53540 - ローズゴールド PU/ファブリック &amp; パール ホワイト</v>
      </c>
    </row>
    <row r="4562" ht="15.75" customHeight="1">
      <c r="A4562" s="1">
        <v>3229.0</v>
      </c>
      <c r="B4562" s="1" t="s">
        <v>15</v>
      </c>
      <c r="C4562" s="1" t="s">
        <v>3953</v>
      </c>
      <c r="D4562" s="1" t="str">
        <f>IFERROR(__xludf.DUMMYFUNCTION("CONCATENATE(GOOGLETRANSLATE(C4562, ""en"", ""zh-cn""))"),"Jura E8 自动咖啡机（钢琴黑）套装带玻璃奶盒（2 件）")</f>
        <v>Jura E8 自动咖啡机（钢琴黑）套装带玻璃奶盒（2 件）</v>
      </c>
      <c r="E4562" s="1" t="str">
        <f>IFERROR(__xludf.DUMMYFUNCTION("CONCATENATE(GOOGLETRANSLATE(C4562, ""en"", ""ko""))"),"Jura E8 자동 커피머신(피아노 블랙) 유리 우유 용기 번들(2개 품목)")</f>
        <v>Jura E8 자동 커피머신(피아노 블랙) 유리 우유 용기 번들(2개 품목)</v>
      </c>
      <c r="F4562" s="1" t="str">
        <f>IFERROR(__xludf.DUMMYFUNCTION("CONCATENATE(GOOGLETRANSLATE(C4562, ""en"", ""ja""))"),"Jura E8 自動コーヒーマシン (ピアノブラック) ガラスミルクコンテナ付きバンドル (2 アイテム)")</f>
        <v>Jura E8 自動コーヒーマシン (ピアノブラック) ガラスミルクコンテナ付きバンドル (2 アイテム)</v>
      </c>
    </row>
    <row r="4563" ht="15.75" customHeight="1">
      <c r="A4563" s="1">
        <v>3243.0</v>
      </c>
      <c r="B4563" s="1" t="s">
        <v>15</v>
      </c>
      <c r="C4563" s="1" t="s">
        <v>3954</v>
      </c>
      <c r="D4563" s="1" t="str">
        <f>IFERROR(__xludf.DUMMYFUNCTION("CONCATENATE(GOOGLETRANSLATE(C4563, ""en"", ""zh-cn""))"),"Breville BES980XL Oracle 浓缩咖啡机，拉丝不锈钢")</f>
        <v>Breville BES980XL Oracle 浓缩咖啡机，拉丝不锈钢</v>
      </c>
      <c r="E4563" s="1" t="str">
        <f>IFERROR(__xludf.DUMMYFUNCTION("CONCATENATE(GOOGLETRANSLATE(C4563, ""en"", ""ko""))"),"Breville BES980XL 오라클 에스프레소 머신, 브러시드 스테인레스 스틸")</f>
        <v>Breville BES980XL 오라클 에스프레소 머신, 브러시드 스테인레스 스틸</v>
      </c>
      <c r="F4563" s="1" t="str">
        <f>IFERROR(__xludf.DUMMYFUNCTION("CONCATENATE(GOOGLETRANSLATE(C4563, ""en"", ""ja""))"),"Breville BES980XL Oracle エスプレッソ マシン、つや消しステンレス鋼")</f>
        <v>Breville BES980XL Oracle エスプレッソ マシン、つや消しステンレス鋼</v>
      </c>
    </row>
    <row r="4564" ht="15.75" customHeight="1">
      <c r="A4564" s="1">
        <v>3264.0</v>
      </c>
      <c r="B4564" s="1" t="s">
        <v>15</v>
      </c>
      <c r="C4564" s="1" t="s">
        <v>3955</v>
      </c>
      <c r="D4564" s="1" t="str">
        <f>IFERROR(__xludf.DUMMYFUNCTION("CONCATENATE(GOOGLETRANSLATE(C4564, ""en"", ""zh-cn""))"),"Jura E6钢琴白15559")</f>
        <v>Jura E6钢琴白15559</v>
      </c>
      <c r="E4564" s="1" t="str">
        <f>IFERROR(__xludf.DUMMYFUNCTION("CONCATENATE(GOOGLETRANSLATE(C4564, ""en"", ""ko""))"),"쥐라 E6 피아노 화이트 15559")</f>
        <v>쥐라 E6 피아노 화이트 15559</v>
      </c>
      <c r="F4564" s="1" t="str">
        <f>IFERROR(__xludf.DUMMYFUNCTION("CONCATENATE(GOOGLETRANSLATE(C4564, ""en"", ""ja""))"),"ジュラ E6 ピアノホワイト 15559")</f>
        <v>ジュラ E6 ピアノホワイト 15559</v>
      </c>
    </row>
    <row r="4565" ht="15.75" customHeight="1">
      <c r="A4565" s="1">
        <v>3281.0</v>
      </c>
      <c r="B4565" s="1" t="s">
        <v>15</v>
      </c>
      <c r="C4565" s="1" t="s">
        <v>3956</v>
      </c>
      <c r="D4565" s="1" t="str">
        <f>IFERROR(__xludf.DUMMYFUNCTION("CONCATENATE(GOOGLETRANSLATE(C4565, ""en"", ""zh-cn""))"),"Alexent 118英寸5座卧铺组合沙发（钉臂，深灰色）")</f>
        <v>Alexent 118英寸5座卧铺组合沙发（钉臂，深灰色）</v>
      </c>
      <c r="E4565" s="1" t="str">
        <f>IFERROR(__xludf.DUMMYFUNCTION("CONCATENATE(GOOGLETRANSLATE(C4565, ""en"", ""ko""))"),"Alexent 5인용 슬리퍼 단면 소파 118인치(네일암, 다크 그레이)")</f>
        <v>Alexent 5인용 슬리퍼 단면 소파 118인치(네일암, 다크 그레이)</v>
      </c>
      <c r="F4565" s="1" t="str">
        <f>IFERROR(__xludf.DUMMYFUNCTION("CONCATENATE(GOOGLETRANSLATE(C4565, ""en"", ""ja""))"),"Alexent 5 席スリーパーセクションソファ 118 インチ (ネイルアーム、ダークグレー)")</f>
        <v>Alexent 5 席スリーパーセクションソファ 118 インチ (ネイルアーム、ダークグレー)</v>
      </c>
    </row>
    <row r="4566" ht="15.75" customHeight="1">
      <c r="A4566" s="1">
        <v>3299.0</v>
      </c>
      <c r="B4566" s="1" t="s">
        <v>15</v>
      </c>
      <c r="C4566" s="1" t="s">
        <v>3957</v>
      </c>
      <c r="D4566" s="1" t="str">
        <f>IFERROR(__xludf.DUMMYFUNCTION("CONCATENATE(GOOGLETRANSLATE(C4566, ""en"", ""zh-cn""))"),"POLY &amp; BARK Lissie 右组合沙发，积云灰")</f>
        <v>POLY &amp; BARK Lissie 右组合沙发，积云灰</v>
      </c>
      <c r="E4566" s="1" t="str">
        <f>IFERROR(__xludf.DUMMYFUNCTION("CONCATENATE(GOOGLETRANSLATE(C4566, ""en"", ""ko""))"),"POLY &amp; BARK Lissie 오른쪽 단면 소파, Cumulus Grey")</f>
        <v>POLY &amp; BARK Lissie 오른쪽 단면 소파, Cumulus Grey</v>
      </c>
      <c r="F4566" s="1" t="str">
        <f>IFERROR(__xludf.DUMMYFUNCTION("CONCATENATE(GOOGLETRANSLATE(C4566, ""en"", ""ja""))"),"POLY &amp; BARK Lissie 右セクショナルソファ、Cumulus グレー")</f>
        <v>POLY &amp; BARK Lissie 右セクショナルソファ、Cumulus グレー</v>
      </c>
    </row>
    <row r="4567" ht="15.75" customHeight="1">
      <c r="A4567" s="1">
        <v>3304.0</v>
      </c>
      <c r="B4567" s="1" t="s">
        <v>15</v>
      </c>
      <c r="C4567" s="1" t="s">
        <v>3958</v>
      </c>
      <c r="D4567" s="1" t="str">
        <f>IFERROR(__xludf.DUMMYFUNCTION("CONCATENATE(GOOGLETRANSLATE(C4567, ""en"", ""zh-cn""))"),"ACME Vendome 长凳 - - PU 和樱桃木")</f>
        <v>ACME Vendome 长凳 - - PU 和樱桃木</v>
      </c>
      <c r="E4567" s="1" t="str">
        <f>IFERROR(__xludf.DUMMYFUNCTION("CONCATENATE(GOOGLETRANSLATE(C4567, ""en"", ""ko""))"),"ACME 방돔 벤치 - - PU &amp; 체리")</f>
        <v>ACME 방돔 벤치 - - PU &amp; 체리</v>
      </c>
      <c r="F4567" s="1" t="str">
        <f>IFERROR(__xludf.DUMMYFUNCTION("CONCATENATE(GOOGLETRANSLATE(C4567, ""en"", ""ja""))"),"ACME ヴァンドーム ベンチ - - PU &amp; チェリー")</f>
        <v>ACME ヴァンドーム ベンチ - - PU &amp; チェリー</v>
      </c>
    </row>
    <row r="4568" ht="15.75" customHeight="1">
      <c r="A4568" s="1">
        <v>3342.0</v>
      </c>
      <c r="B4568" s="1" t="s">
        <v>15</v>
      </c>
      <c r="C4568" s="1" t="s">
        <v>3959</v>
      </c>
      <c r="D4568" s="1" t="str">
        <f>IFERROR(__xludf.DUMMYFUNCTION("CONCATENATE(GOOGLETRANSLATE(C4568, ""en"", ""zh-cn""))"),"亚马逊品牌 – 铆钉现代沙发，带金属腿，85W，青色天鹅绒")</f>
        <v>亚马逊品牌 – 铆钉现代沙发，带金属腿，85W，青色天鹅绒</v>
      </c>
      <c r="E4568" s="1" t="str">
        <f>IFERROR(__xludf.DUMMYFUNCTION("CONCATENATE(GOOGLETRANSLATE(C4568, ""en"", ""ko""))"),"아마존 브랜드 – 금속 다리가 있는 리벳 모던 소파 소파, 85W, 청록색 벨벳")</f>
        <v>아마존 브랜드 – 금속 다리가 있는 리벳 모던 소파 소파, 85W, 청록색 벨벳</v>
      </c>
      <c r="F4568" s="1" t="str">
        <f>IFERROR(__xludf.DUMMYFUNCTION("CONCATENATE(GOOGLETRANSLATE(C4568, ""en"", ""ja""))"),"Amazonブランド – リベットモダンソファカウチ 金属脚付き、85W、ティールベルベット")</f>
        <v>Amazonブランド – リベットモダンソファカウチ 金属脚付き、85W、ティールベルベット</v>
      </c>
    </row>
    <row r="4569" ht="15.75" customHeight="1">
      <c r="A4569" s="1">
        <v>3345.0</v>
      </c>
      <c r="B4569" s="1" t="s">
        <v>15</v>
      </c>
      <c r="C4569" s="1" t="s">
        <v>3960</v>
      </c>
      <c r="D4569" s="1" t="str">
        <f>IFERROR(__xludf.DUMMYFUNCTION("CONCATENATE(GOOGLETRANSLATE(C4569, ""en"", ""zh-cn""))"),"Serta 沙发全尺寸可转换双人沙发，Java")</f>
        <v>Serta 沙发全尺寸可转换双人沙发，Java</v>
      </c>
      <c r="E4569" s="1" t="str">
        <f>IFERROR(__xludf.DUMMYFUNCTION("CONCATENATE(GOOGLETRANSLATE(C4569, ""en"", ""ko""))"),"Serta 소파 풀 사이즈 컨버터블 Loveseat, Java")</f>
        <v>Serta 소파 풀 사이즈 컨버터블 Loveseat, Java</v>
      </c>
      <c r="F4569" s="1" t="str">
        <f>IFERROR(__xludf.DUMMYFUNCTION("CONCATENATE(GOOGLETRANSLATE(C4569, ""en"", ""ja""))"),"Serta ソファ フルサイズ コンバーチブル ラブシート、Java")</f>
        <v>Serta ソファ フルサイズ コンバーチブル ラブシート、Java</v>
      </c>
    </row>
    <row r="4570" ht="15.75" customHeight="1">
      <c r="A4570" s="1">
        <v>3357.0</v>
      </c>
      <c r="B4570" s="1" t="s">
        <v>15</v>
      </c>
      <c r="C4570" s="1" t="s">
        <v>3961</v>
      </c>
      <c r="D4570" s="1" t="str">
        <f>IFERROR(__xludf.DUMMYFUNCTION("CONCATENATE(GOOGLETRANSLATE(C4570, ""en"", ""zh-cn""))"),"SPINN 浓缩咖啡和咖啡机，智能 WiFi 自动咖啡机，冷萃咖啡机和浓缩咖啡机组合，带可编程离心冲煮和研磨机，兼容供水管，无需补充装，银色")</f>
        <v>SPINN 浓缩咖啡和咖啡机，智能 WiFi 自动咖啡机，冷萃咖啡机和浓缩咖啡机组合，带可编程离心冲煮和研磨机，兼容供水管，无需补充装，银色</v>
      </c>
      <c r="E4570" s="1" t="str">
        <f>IFERROR(__xludf.DUMMYFUNCTION("CONCATENATE(GOOGLETRANSLATE(C4570, ""en"", ""ko""))"),"SPINN 에스프레소 및 커피 머신, 스마트 WiFi 자동 커피 메이커, 프로그래밍 가능한 원심 추출 및 그라인더가 포함된 콜드브루 및 에스프레소 머신 콤보, 물 공급 라인 호환, 리필 없음, 실버")</f>
        <v>SPINN 에스프레소 및 커피 머신, 스마트 WiFi 자동 커피 메이커, 프로그래밍 가능한 원심 추출 및 그라인더가 포함된 콜드브루 및 에스프레소 머신 콤보, 물 공급 라인 호환, 리필 없음, 실버</v>
      </c>
      <c r="F4570" s="1" t="str">
        <f>IFERROR(__xludf.DUMMYFUNCTION("CONCATENATE(GOOGLETRANSLATE(C4570, ""en"", ""ja""))"),"SPINN エスプレッソ&amp;コーヒーマシン、スマートWiFi自動コーヒーメーカー、プログラム可能な遠心抽出&amp;グラインダー付き水出し&amp;エスプレッソマシンコンボ、給水ライン対応、詰め替えなし、シルバー")</f>
        <v>SPINN エスプレッソ&amp;コーヒーマシン、スマートWiFi自動コーヒーメーカー、プログラム可能な遠心抽出&amp;グラインダー付き水出し&amp;エスプレッソマシンコンボ、給水ライン対応、詰め替えなし、シルバー</v>
      </c>
    </row>
    <row r="4571" ht="15.75" customHeight="1">
      <c r="A4571" s="1">
        <v>3362.0</v>
      </c>
      <c r="B4571" s="1" t="s">
        <v>15</v>
      </c>
      <c r="C4571" s="1" t="s">
        <v>3962</v>
      </c>
      <c r="D4571" s="1" t="str">
        <f>IFERROR(__xludf.DUMMYFUNCTION("CONCATENATE(GOOGLETRANSLATE(C4571, ""en"", ""zh-cn""))"),"亚马逊品牌 - Stone &amp; Beam Westview 超深羽绒双人沙发，75.6W，奶油色")</f>
        <v>亚马逊品牌 - Stone &amp; Beam Westview 超深羽绒双人沙发，75.6W，奶油色</v>
      </c>
      <c r="E4571" s="1" t="str">
        <f>IFERROR(__xludf.DUMMYFUNCTION("CONCATENATE(GOOGLETRANSLATE(C4571, ""en"", ""ko""))"),"아마존 브랜드 - Stone &amp; Beam Westview Extra-Deep Down-Filled Loveseat 소파 소파, 75.6W, 크림")</f>
        <v>아마존 브랜드 - Stone &amp; Beam Westview Extra-Deep Down-Filled Loveseat 소파 소파, 75.6W, 크림</v>
      </c>
      <c r="F4571" s="1" t="str">
        <f>IFERROR(__xludf.DUMMYFUNCTION("CONCATENATE(GOOGLETRANSLATE(C4571, ""en"", ""ja""))"),"Amazon ブランド - Stone &amp; Beam Westview エクストラディープダウン充填二​​人掛けソファ カウチ、75.6 W、クリーム")</f>
        <v>Amazon ブランド - Stone &amp; Beam Westview エクストラディープダウン充填二​​人掛けソファ カウチ、75.6 W、クリーム</v>
      </c>
    </row>
    <row r="4572" ht="15.75" customHeight="1">
      <c r="A4572" s="1">
        <v>3364.0</v>
      </c>
      <c r="B4572" s="1" t="s">
        <v>15</v>
      </c>
      <c r="C4572" s="1" t="s">
        <v>3963</v>
      </c>
      <c r="D4572" s="1" t="str">
        <f>IFERROR(__xludf.DUMMYFUNCTION("CONCATENATE(GOOGLETRANSLATE(C4572, ""en"", ""zh-cn""))"),"Naomi Home Freya 超大真皮沙发 - 极致舒适 - 现代真皮沙发 - 中世纪客厅沙发，环保沙发沙发，双面靠垫，浓缩咖啡")</f>
        <v>Naomi Home Freya 超大真皮沙发 - 极致舒适 - 现代真皮沙发 - 中世纪客厅沙发，环保沙发沙发，双面靠垫，浓缩咖啡</v>
      </c>
      <c r="E4572" s="1" t="str">
        <f>IFERROR(__xludf.DUMMYFUNCTION("CONCATENATE(GOOGLETRANSLATE(C4572, ""en"", ""ko""))"),"나오미 홈 프레야 대형 천연 가죽 소파 - 궁극의 편안함 - 현대식 가죽 소파 - 세기 중반 거실 소파, 친환경 소파 소파, 양면 쿠션, 에스프레소")</f>
        <v>나오미 홈 프레야 대형 천연 가죽 소파 - 궁극의 편안함 - 현대식 가죽 소파 - 세기 중반 거실 소파, 친환경 소파 소파, 양면 쿠션, 에스프레소</v>
      </c>
      <c r="F4572" s="1" t="str">
        <f>IFERROR(__xludf.DUMMYFUNCTION("CONCATENATE(GOOGLETRANSLATE(C4572, ""en"", ""ja""))"),"ナオミ ホーム フレイヤ 特大本革ソファ - 究極の快適さ - モダンなレザーソファ - ミッドセンチュリーのリビングルームソファ、環境に優しいソファソファ、リバーシブルクッション、エスプレッソ")</f>
        <v>ナオミ ホーム フレイヤ 特大本革ソファ - 究極の快適さ - モダンなレザーソファ - ミッドセンチュリーのリビングルームソファ、環境に優しいソファソファ、リバーシブルクッション、エスプレッソ</v>
      </c>
    </row>
    <row r="4573" ht="15.75" customHeight="1">
      <c r="A4573" s="1">
        <v>3367.0</v>
      </c>
      <c r="B4573" s="1" t="s">
        <v>15</v>
      </c>
      <c r="C4573" s="1" t="s">
        <v>3964</v>
      </c>
      <c r="D4573" s="1" t="str">
        <f>IFERROR(__xludf.DUMMYFUNCTION("CONCATENATE(GOOGLETRANSLATE(C4573, ""en"", ""zh-cn""))"),"Breville Barista Express 浓缩咖啡机，拉丝不锈钢，BES870XL")</f>
        <v>Breville Barista Express 浓缩咖啡机，拉丝不锈钢，BES870XL</v>
      </c>
      <c r="E4573" s="1" t="str">
        <f>IFERROR(__xludf.DUMMYFUNCTION("CONCATENATE(GOOGLETRANSLATE(C4573, ""en"", ""ko""))"),"브레빌 바리스타 익스프레스 에스프레소 머신, 브러시드 스테인레스 스틸, BES870XL")</f>
        <v>브레빌 바리스타 익스프레스 에스프레소 머신, 브러시드 스테인레스 스틸, BES870XL</v>
      </c>
      <c r="F4573" s="1" t="str">
        <f>IFERROR(__xludf.DUMMYFUNCTION("CONCATENATE(GOOGLETRANSLATE(C4573, ""en"", ""ja""))"),"Breville Barista Express エスプレッソマシン、つや消しステンレススチール、BES870XL")</f>
        <v>Breville Barista Express エスプレッソマシン、つや消しステンレススチール、BES870XL</v>
      </c>
    </row>
    <row r="4574" ht="15.75" customHeight="1">
      <c r="A4574" s="1">
        <v>3400.0</v>
      </c>
      <c r="B4574" s="1" t="s">
        <v>15</v>
      </c>
      <c r="C4574" s="1" t="s">
        <v>2278</v>
      </c>
      <c r="D4574" s="1" t="str">
        <f>IFERROR(__xludf.DUMMYFUNCTION("CONCATENATE(GOOGLETRANSLATE(C4574, ""en"", ""zh-cn""))"),"Casa Andrea Milano 现代组合沙发 L 形天鹅绒沙发，带超宽躺椅，大号，黑色")</f>
        <v>Casa Andrea Milano 现代组合沙发 L 形天鹅绒沙发，带超宽躺椅，大号，黑色</v>
      </c>
      <c r="E4574" s="1" t="str">
        <f>IFERROR(__xludf.DUMMYFUNCTION("CONCATENATE(GOOGLETRANSLATE(C4574, ""en"", ""ko""))"),"Casa Andrea Milano 모던한 단면 소파 L자형 벨벳 소파, 매우 넓은 긴 의자 라운지 포함, 대형, 검정색")</f>
        <v>Casa Andrea Milano 모던한 단면 소파 L자형 벨벳 소파, 매우 넓은 긴 의자 라운지 포함, 대형, 검정색</v>
      </c>
      <c r="F4574" s="1" t="str">
        <f>IFERROR(__xludf.DUMMYFUNCTION("CONCATENATE(GOOGLETRANSLATE(C4574, ""en"", ""ja""))"),"カーサ アンドレア ミラノ モダン セクショナル ソファ L 字型ベルベット カウチ、エクストラワイド長椅子付き、ラージ、ブラック")</f>
        <v>カーサ アンドレア ミラノ モダン セクショナル ソファ L 字型ベルベット カウチ、エクストラワイド長椅子付き、ラージ、ブラック</v>
      </c>
    </row>
    <row r="4575" ht="15.75" customHeight="1">
      <c r="A4575" s="1">
        <v>3414.0</v>
      </c>
      <c r="B4575" s="1" t="s">
        <v>15</v>
      </c>
      <c r="C4575" s="1" t="s">
        <v>3617</v>
      </c>
      <c r="D4575" s="1" t="str">
        <f>IFERROR(__xludf.DUMMYFUNCTION("CONCATENATE(GOOGLETRANSLATE(C4575, ""en"", ""zh-cn""))"),"Lilola Home Zoey 深灰色亚麻可转换沙发床，带侧袋")</f>
        <v>Lilola Home Zoey 深灰色亚麻可转换沙发床，带侧袋</v>
      </c>
      <c r="E4575" s="1" t="str">
        <f>IFERROR(__xludf.DUMMYFUNCTION("CONCATENATE(GOOGLETRANSLATE(C4575, ""en"", ""ko""))"),"Lilola Home Zoey 다크 그레이 리넨 컨버터블 슬리퍼 소파(사이드 포켓 ​​포함)")</f>
        <v>Lilola Home Zoey 다크 그레이 리넨 컨버터블 슬리퍼 소파(사이드 포켓 ​​포함)</v>
      </c>
      <c r="F4575" s="1" t="str">
        <f>IFERROR(__xludf.DUMMYFUNCTION("CONCATENATE(GOOGLETRANSLATE(C4575, ""en"", ""ja""))"),"Lilola Home ゾーイ ダークグレー リネン コンバーチブル スリーパー ソファ サイドポケット付き")</f>
        <v>Lilola Home ゾーイ ダークグレー リネン コンバーチブル スリーパー ソファ サイドポケット付き</v>
      </c>
    </row>
    <row r="4576" ht="15.75" customHeight="1">
      <c r="A4576" s="1">
        <v>3419.0</v>
      </c>
      <c r="B4576" s="1" t="s">
        <v>15</v>
      </c>
      <c r="C4576" s="1" t="s">
        <v>3965</v>
      </c>
      <c r="D4576" s="1" t="str">
        <f>IFERROR(__xludf.DUMMYFUNCTION("CONCATENATE(GOOGLETRANSLATE(C4576, ""en"", ""zh-cn""))"),"飞利浦 2200 系列全自动浓缩咖啡机 - 经典奶泡机，2 种咖啡品种，直观触摸显示屏，黑色，(EP2220/14)")</f>
        <v>飞利浦 2200 系列全自动浓缩咖啡机 - 经典奶泡机，2 种咖啡品种，直观触摸显示屏，黑色，(EP2220/14)</v>
      </c>
      <c r="E4576" s="1" t="str">
        <f>IFERROR(__xludf.DUMMYFUNCTION("CONCATENATE(GOOGLETRANSLATE(C4576, ""en"", ""ko""))"),"PHILIPS 2200 시리즈 전자동 에스프레소 머신 - 클래식 우유 거품기, 2가지 커피 품종, 직관적인 터치 디스플레이, 블랙, (EP2220/14)")</f>
        <v>PHILIPS 2200 시리즈 전자동 에스프레소 머신 - 클래식 우유 거품기, 2가지 커피 품종, 직관적인 터치 디스플레이, 블랙, (EP2220/14)</v>
      </c>
      <c r="F4576" s="1" t="str">
        <f>IFERROR(__xludf.DUMMYFUNCTION("CONCATENATE(GOOGLETRANSLATE(C4576, ""en"", ""ja""))"),"PHILIPS 2200 シリーズ全自動エスプレッソマシン - クラシックミルク泡立て器、2種類のコーヒー、直感的なタッチディスプレイ、ブラック、(EP2220/14)")</f>
        <v>PHILIPS 2200 シリーズ全自動エスプレッソマシン - クラシックミルク泡立て器、2種類のコーヒー、直感的なタッチディスプレイ、ブラック、(EP2220/14)</v>
      </c>
    </row>
    <row r="4577" ht="15.75" customHeight="1">
      <c r="A4577" s="1">
        <v>3426.0</v>
      </c>
      <c r="B4577" s="1" t="s">
        <v>15</v>
      </c>
      <c r="C4577" s="1" t="s">
        <v>3966</v>
      </c>
      <c r="D4577" s="1" t="str">
        <f>IFERROR(__xludf.DUMMYFUNCTION("CONCATENATE(GOOGLETRANSLATE(C4577, ""en"", ""zh-cn""))"),"COSIKIE 带研磨机的浓缩咖啡机，带蒸奶泡器的半自动浓缩咖啡机，多合一浓缩咖啡机 20 酒吧，家用咖啡师卡布奇诺咖啡机（银色）")</f>
        <v>COSIKIE 带研磨机的浓缩咖啡机，带蒸奶泡器的半自动浓缩咖啡机，多合一浓缩咖啡机 20 酒吧，家用咖啡师卡布奇诺咖啡机（银色）</v>
      </c>
      <c r="E4577" s="1" t="str">
        <f>IFERROR(__xludf.DUMMYFUNCTION("CONCATENATE(GOOGLETRANSLATE(C4577, ""en"", ""ko""))"),"COSIKIE 에스프레소 머신(그라인더 포함), 반자동 에스프레소 머신(스티머 우유 거품기 포함), 올인원 에스프레소 커피 머신 20바, 홈 바리스타 카푸치노 커피 메이커(실버)")</f>
        <v>COSIKIE 에스프레소 머신(그라인더 포함), 반자동 에스프레소 머신(스티머 우유 거품기 포함), 올인원 에스프레소 커피 머신 20바, 홈 바리스타 카푸치노 커피 메이커(실버)</v>
      </c>
      <c r="F4577" s="1" t="str">
        <f>IFERROR(__xludf.DUMMYFUNCTION("CONCATENATE(GOOGLETRANSLATE(C4577, ""en"", ""ja""))"),"COSIKIE エスプレッソマシン グラインダー付き 半自動エスプレッソマシン スチーマーミルク泡立て器付き オールインワンエスプレッソコーヒーマシン 20バー ホームバリスタ カプチーノコーヒーメーカー (シルバー)")</f>
        <v>COSIKIE エスプレッソマシン グラインダー付き 半自動エスプレッソマシン スチーマーミルク泡立て器付き オールインワンエスプレッソコーヒーマシン 20バー ホームバリスタ カプチーノコーヒーメーカー (シルバー)</v>
      </c>
    </row>
    <row r="4578" ht="15.75" customHeight="1">
      <c r="A4578" s="1">
        <v>3432.0</v>
      </c>
      <c r="B4578" s="1" t="s">
        <v>15</v>
      </c>
      <c r="C4578" s="1" t="s">
        <v>3967</v>
      </c>
      <c r="D4578" s="1" t="str">
        <f>IFERROR(__xludf.DUMMYFUNCTION("CONCATENATE(GOOGLETRANSLATE(C4578, ""en"", ""zh-cn""))"),"Mjkone 天鹅绒双面沙发床，带大储物躺椅，3 座双面拉出沙发床，L 形组合式沙发床，适用于公寓，客厅，深灰色")</f>
        <v>Mjkone 天鹅绒双面沙发床，带大储物躺椅，3 座双面拉出沙发床，L 形组合式沙发床，适用于公寓，客厅，深灰色</v>
      </c>
      <c r="E4578" s="1" t="str">
        <f>IFERROR(__xludf.DUMMYFUNCTION("CONCATENATE(GOOGLETRANSLATE(C4578, ""en"", ""ko""))"),"Mjkone 벨벳 양면 슬리퍼 소파 소파(대형 수납 의자 포함), 3인용 양면 풀아웃 소파 소파 침대, 아파트용 L자형 단면 슬리퍼 소파 소파, 거실, 다크 그레이")</f>
        <v>Mjkone 벨벳 양면 슬리퍼 소파 소파(대형 수납 의자 포함), 3인용 양면 풀아웃 소파 소파 침대, 아파트용 L자형 단면 슬리퍼 소파 소파, 거실, 다크 그레이</v>
      </c>
      <c r="F4578" s="1" t="str">
        <f>IFERROR(__xludf.DUMMYFUNCTION("CONCATENATE(GOOGLETRANSLATE(C4578, ""en"", ""ja""))"),"Mjkone ベルベットリバーシブルスリーパーソファソファ、大容量収納長椅子付き、3人掛けリバーシブル引き出しソファカウチベッド、L字型セクショナルスリーパーソファソファ、アパート、リビングルーム用、ダークグレー")</f>
        <v>Mjkone ベルベットリバーシブルスリーパーソファソファ、大容量収納長椅子付き、3人掛けリバーシブル引き出しソファカウチベッド、L字型セクショナルスリーパーソファソファ、アパート、リビングルーム用、ダークグレー</v>
      </c>
    </row>
    <row r="4579" ht="15.75" customHeight="1">
      <c r="A4579" s="1">
        <v>3434.0</v>
      </c>
      <c r="B4579" s="1" t="s">
        <v>15</v>
      </c>
      <c r="C4579" s="1" t="s">
        <v>2282</v>
      </c>
      <c r="D4579" s="1" t="str">
        <f>IFERROR(__xludf.DUMMYFUNCTION("CONCATENATE(GOOGLETRANSLATE(C4579, ""en"", ""zh-cn""))"),"FDW 组合组合沙发，L 形沙发可转换沙发 4 座沙发带脚凳客厅卧室办公室，深灰色")</f>
        <v>FDW 组合组合沙发，L 形沙发可转换沙发 4 座沙发带脚凳客厅卧室办公室，深灰色</v>
      </c>
      <c r="E4579" s="1" t="str">
        <f>IFERROR(__xludf.DUMMYFUNCTION("CONCATENATE(GOOGLETRANSLATE(C4579, ""en"", ""ko""))"),"FDW 모듈형 단면 소파 소파, L자형 소파 소파 컨버터블 소파 4인용 소파(거실용 오토만 포함) 침실 사무실, 진한 회색")</f>
        <v>FDW 모듈형 단면 소파 소파, L자형 소파 소파 컨버터블 소파 4인용 소파(거실용 오토만 포함) 침실 사무실, 진한 회색</v>
      </c>
      <c r="F4579" s="1" t="str">
        <f>IFERROR(__xludf.DUMMYFUNCTION("CONCATENATE(GOOGLETRANSLATE(C4579, ""en"", ""ja""))"),"FDW モジュール式セクショナルソファ カウチ、L 字型ソファ カウチ コンバーチブルソファ 4 人掛けソファ オットマン付き リビングルーム ベッドルーム オフィス用 ダークグレー")</f>
        <v>FDW モジュール式セクショナルソファ カウチ、L 字型ソファ カウチ コンバーチブルソファ 4 人掛けソファ オットマン付き リビングルーム ベッドルーム オフィス用 ダークグレー</v>
      </c>
    </row>
    <row r="4580" ht="15.75" customHeight="1">
      <c r="A4580" s="1">
        <v>3436.0</v>
      </c>
      <c r="B4580" s="1" t="s">
        <v>15</v>
      </c>
      <c r="C4580" s="1" t="s">
        <v>3968</v>
      </c>
      <c r="D4580" s="1" t="str">
        <f>IFERROR(__xludf.DUMMYFUNCTION("CONCATENATE(GOOGLETRANSLATE(C4580, ""en"", ""zh-cn""))"),"AMERLIFE 深座沙发-现代雪尼尔沙发，97 宽客厅大号 3 座沙发-超大沙发舒适沙发米色")</f>
        <v>AMERLIFE 深座沙发-现代雪尼尔沙发，97 宽客厅大号 3 座沙发-超大沙发舒适沙发米色</v>
      </c>
      <c r="E4580" s="1" t="str">
        <f>IFERROR(__xludf.DUMMYFUNCTION("CONCATENATE(GOOGLETRANSLATE(C4580, ""en"", ""ko""))"),"AMERLIFE 딥 시트 소파 - 현대식 셔닐 소파 소파, 97 와이드 거실용 대형 3인용 소파 - 대형 소파 편안한 소파 베이지")</f>
        <v>AMERLIFE 딥 시트 소파 - 현대식 셔닐 소파 소파, 97 와이드 거실용 대형 3인용 소파 - 대형 소파 편안한 소파 베이지</v>
      </c>
      <c r="F4580" s="1" t="str">
        <f>IFERROR(__xludf.DUMMYFUNCTION("CONCATENATE(GOOGLETRANSLATE(C4580, ""en"", ""ja""))"),"AMERLIFE 深座ソファ - 現代的なシェニール織ソファ カウチ、幅 97 の大型 3 人掛けソファ、リビングルーム用 - 特大ソファ 快適なソファ ベージュ")</f>
        <v>AMERLIFE 深座ソファ - 現代的なシェニール織ソファ カウチ、幅 97 の大型 3 人掛けソファ、リビングルーム用 - 特大ソファ 快適なソファ ベージュ</v>
      </c>
    </row>
    <row r="4581" ht="15.75" customHeight="1">
      <c r="A4581" s="1">
        <v>3439.0</v>
      </c>
      <c r="B4581" s="1" t="s">
        <v>15</v>
      </c>
      <c r="C4581" s="1" t="s">
        <v>3969</v>
      </c>
      <c r="D4581" s="1" t="str">
        <f>IFERROR(__xludf.DUMMYFUNCTION("CONCATENATE(GOOGLETRANSLATE(C4581, ""en"", ""zh-cn""))"),"Breville BCI600XL 智能勺冰淇淋机，拉丝不锈钢")</f>
        <v>Breville BCI600XL 智能勺冰淇淋机，拉丝不锈钢</v>
      </c>
      <c r="E4581" s="1" t="str">
        <f>IFERROR(__xludf.DUMMYFUNCTION("CONCATENATE(GOOGLETRANSLATE(C4581, ""en"", ""ko""))"),"Breville BCI600XL 스마트 스쿠프 아이스크림 메이커, 브러시드 스테인레스 스틸")</f>
        <v>Breville BCI600XL 스마트 스쿠프 아이스크림 메이커, 브러시드 스테인레스 스틸</v>
      </c>
      <c r="F4581" s="1" t="str">
        <f>IFERROR(__xludf.DUMMYFUNCTION("CONCATENATE(GOOGLETRANSLATE(C4581, ""en"", ""ja""))"),"Breville BCI600XL スマート スクープ アイスクリーム メーカー、ブラッシュステンレススチール")</f>
        <v>Breville BCI600XL スマート スクープ アイスクリーム メーカー、ブラッシュステンレススチール</v>
      </c>
    </row>
    <row r="4582" ht="15.75" customHeight="1">
      <c r="A4582" s="1">
        <v>3465.0</v>
      </c>
      <c r="B4582" s="1" t="s">
        <v>15</v>
      </c>
      <c r="C4582" s="1" t="s">
        <v>3970</v>
      </c>
      <c r="D4582" s="1" t="str">
        <f>IFERROR(__xludf.DUMMYFUNCTION("CONCATENATE(GOOGLETRANSLATE(C4582, ""en"", ""zh-cn""))"),"客厅切斯特菲尔德沙发，3 座天鹅绒沙发家庭影院座椅软垫扶手沙发，适用于卧室、办公室、公寓（深绿色）")</f>
        <v>客厅切斯特菲尔德沙发，3 座天鹅绒沙发家庭影院座椅软垫扶手沙发，适用于卧室、办公室、公寓（深绿色）</v>
      </c>
      <c r="E4582" s="1" t="str">
        <f>IFERROR(__xludf.DUMMYFUNCTION("CONCATENATE(GOOGLETRANSLATE(C4582, ""en"", ""ko""))"),"거실용 체스터필드 소파, 침실, 사무실, 아파트용 3인용 벨벳 소파 홈 시어터 좌석 덮개를 씌운 액센트 암 소파(Drak Green)")</f>
        <v>거실용 체스터필드 소파, 침실, 사무실, 아파트용 3인용 벨벳 소파 홈 시어터 좌석 덮개를 씌운 액센트 암 소파(Drak Green)</v>
      </c>
      <c r="F4582" s="1" t="str">
        <f>IFERROR(__xludf.DUMMYFUNCTION("CONCATENATE(GOOGLETRANSLATE(C4582, ""en"", ""ja""))"),"リビングルーム用チェスターフィールドソファ、3人掛けベルベットカウチホームシアターシート布張りアクセントアームソファ、寝室、オフィス、アパート用 (ドラックグリーン)")</f>
        <v>リビングルーム用チェスターフィールドソファ、3人掛けベルベットカウチホームシアターシート布張りアクセントアームソファ、寝室、オフィス、アパート用 (ドラックグリーン)</v>
      </c>
    </row>
    <row r="4583" ht="15.75" customHeight="1">
      <c r="A4583" s="1">
        <v>3475.0</v>
      </c>
      <c r="B4583" s="1" t="s">
        <v>15</v>
      </c>
      <c r="C4583" s="1" t="s">
        <v>3971</v>
      </c>
      <c r="D4583" s="1" t="str">
        <f>IFERROR(__xludf.DUMMYFUNCTION("CONCATENATE(GOOGLETRANSLATE(C4583, ""en"", ""zh-cn""))"),"Roland V-60HD 高清即插即用视频切换器，带音频，适用于现场活动和流媒体")</f>
        <v>Roland V-60HD 高清即插即用视频切换器，带音频，适用于现场活动和流媒体</v>
      </c>
      <c r="E4583" s="1" t="str">
        <f>IFERROR(__xludf.DUMMYFUNCTION("CONCATENATE(GOOGLETRANSLATE(C4583, ""en"", ""ko""))"),"라이브 이벤트 및 스트리밍용 오디오가 포함된 Roland V-60HD HD 플러그 앤 플레이 비디오 스위처")</f>
        <v>라이브 이벤트 및 스트리밍용 오디오가 포함된 Roland V-60HD HD 플러그 앤 플레이 비디오 스위처</v>
      </c>
      <c r="F4583" s="1" t="str">
        <f>IFERROR(__xludf.DUMMYFUNCTION("CONCATENATE(GOOGLETRANSLATE(C4583, ""en"", ""ja""))"),"Roland V-60HD ライブイベントおよびストリーミング用オーディオ付き HD プラグアンドプレイ ビデオ スイッチャー")</f>
        <v>Roland V-60HD ライブイベントおよびストリーミング用オーディオ付き HD プラグアンドプレイ ビデオ スイッチャー</v>
      </c>
    </row>
    <row r="4584" ht="15.75" customHeight="1">
      <c r="A4584" s="1">
        <v>3479.0</v>
      </c>
      <c r="B4584" s="1" t="s">
        <v>15</v>
      </c>
      <c r="C4584" s="1" t="s">
        <v>3972</v>
      </c>
      <c r="D4584" s="1" t="str">
        <f>IFERROR(__xludf.DUMMYFUNCTION("CONCATENATE(GOOGLETRANSLATE(C4584, ""en"", ""zh-cn""))"),"Lenovo ThinkPad P16 Intel Core i9-12900HX， 16C， 16.0 WUXGA (1920x1200) IPS 300nits 防眩光， NVIDIA RTX A2000 8GB GDDR6， 32GB DDR5 RAM， 1TB NVMe SSD， 背光 KYB， 指纹识别器， Windows Pro")</f>
        <v>Lenovo ThinkPad P16 Intel Core i9-12900HX， 16C， 16.0 WUXGA (1920x1200) IPS 300nits 防眩光， NVIDIA RTX A2000 8GB GDDR6， 32GB DDR5 RAM， 1TB NVMe SSD， 背光 KYB， 指纹识别器， Windows Pro</v>
      </c>
      <c r="E4584" s="1" t="str">
        <f>IFERROR(__xludf.DUMMYFUNCTION("CONCATENATE(GOOGLETRANSLATE(C4584, ""en"", ""ko""))"),"Lenovo ThinkPad P16 Intel Core i9-12900HX, 16C, 16.0 WUXGA(1920x1200) IPS 300nits 눈부심 방지, NVIDIA RTX A2000 8GB GDDR6, 32GB DDR5 RAM, 1TB NVMe SSD, 백라이트 KYB, 지문 판독기, Windows Pro")</f>
        <v>Lenovo ThinkPad P16 Intel Core i9-12900HX, 16C, 16.0 WUXGA(1920x1200) IPS 300nits 눈부심 방지, NVIDIA RTX A2000 8GB GDDR6, 32GB DDR5 RAM, 1TB NVMe SSD, 백라이트 KYB, 지문 판독기, Windows Pro</v>
      </c>
      <c r="F4584" s="1" t="str">
        <f>IFERROR(__xludf.DUMMYFUNCTION("CONCATENATE(GOOGLETRANSLATE(C4584, ""en"", ""ja""))"),"Lenovo ThinkPad P16 Intel Core i9-12900HX、16C、16.0 WUXGA (1920x1200) IPS 300nits アンチグレア、NVIDIA RTX A2000 8GB GDDR6、32GB DDR5 RAM、1TB NVMe SSD、バックライト付き KYB、指紋リーダー、Windows Pro")</f>
        <v>Lenovo ThinkPad P16 Intel Core i9-12900HX、16C、16.0 WUXGA (1920x1200) IPS 300nits アンチグレア、NVIDIA RTX A2000 8GB GDDR6、32GB DDR5 RAM、1TB NVMe SSD、バックライト付き KYB、指紋リーダー、Windows Pro</v>
      </c>
    </row>
    <row r="4585" ht="15.75" customHeight="1">
      <c r="A4585" s="1">
        <v>3480.0</v>
      </c>
      <c r="B4585" s="1" t="s">
        <v>15</v>
      </c>
      <c r="C4585" s="1" t="s">
        <v>3973</v>
      </c>
      <c r="D4585" s="1" t="str">
        <f>IFERROR(__xludf.DUMMYFUNCTION("CONCATENATE(GOOGLETRANSLATE(C4585, ""en"", ""zh-cn""))"),"Lenovo ThinkPad P16 Intel Core i7-12800HX， 16C， 16.0 WQUXGA (3840x2400) IPS 600nits 防眩光， NVIDIA RTX A1000 4GB GDDR6， 64GB DDR5 RAM， 1TB NVMe SSD， 背光 KYB， 指纹识别器， Windows Pro")</f>
        <v>Lenovo ThinkPad P16 Intel Core i7-12800HX， 16C， 16.0 WQUXGA (3840x2400) IPS 600nits 防眩光， NVIDIA RTX A1000 4GB GDDR6， 64GB DDR5 RAM， 1TB NVMe SSD， 背光 KYB， 指纹识别器， Windows Pro</v>
      </c>
      <c r="E4585" s="1" t="str">
        <f>IFERROR(__xludf.DUMMYFUNCTION("CONCATENATE(GOOGLETRANSLATE(C4585, ""en"", ""ko""))"),"Lenovo ThinkPad P16 Intel Core i7-12800HX, 16C, 16.0 WQUXGA(3840x2400) IPS 600니트 눈부심 방지, NVIDIA RTX A1000 4GB GDDR6, 64GB DDR5 RAM, 1TB NVMe SSD, 백라이트 KYB, 지문 판독기, Windows Pro")</f>
        <v>Lenovo ThinkPad P16 Intel Core i7-12800HX, 16C, 16.0 WQUXGA(3840x2400) IPS 600니트 눈부심 방지, NVIDIA RTX A1000 4GB GDDR6, 64GB DDR5 RAM, 1TB NVMe SSD, 백라이트 KYB, 지문 판독기, Windows Pro</v>
      </c>
      <c r="F4585" s="1" t="str">
        <f>IFERROR(__xludf.DUMMYFUNCTION("CONCATENATE(GOOGLETRANSLATE(C4585, ""en"", ""ja""))"),"Lenovo ThinkPad P16 Intel Core i7-12800HX、16C、16.0 WQUXGA (3840x2400) IPS 600nits アンチグレア、NVIDIA RTX A1000 4GB GDDR6、64GB DDR5 RAM、1TB NVMe SSD、バックライト付き KYB、指紋リーダー、Windows Pro")</f>
        <v>Lenovo ThinkPad P16 Intel Core i7-12800HX、16C、16.0 WQUXGA (3840x2400) IPS 600nits アンチグレア、NVIDIA RTX A1000 4GB GDDR6、64GB DDR5 RAM、1TB NVMe SSD、バックライト付き KYB、指紋リーダー、Windows Pro</v>
      </c>
    </row>
    <row r="4586" ht="15.75" customHeight="1">
      <c r="A4586" s="1">
        <v>3489.0</v>
      </c>
      <c r="B4586" s="1" t="s">
        <v>15</v>
      </c>
      <c r="C4586" s="1" t="s">
        <v>3974</v>
      </c>
      <c r="D4586" s="1" t="str">
        <f>IFERROR(__xludf.DUMMYFUNCTION("CONCATENATE(GOOGLETRANSLATE(C4586, ""en"", ""zh-cn""))"),"JYXOIHUB智能板，49英寸数字电子白板和课堂智能板，直播屏幕镜像，数字标牌显示器和广告播放器（仅板）")</f>
        <v>JYXOIHUB智能板，49英寸数字电子白板和课堂智能板，直播屏幕镜像，数字标牌显示器和广告播放器（仅板）</v>
      </c>
      <c r="E4586" s="1" t="str">
        <f>IFERROR(__xludf.DUMMYFUNCTION("CONCATENATE(GOOGLETRANSLATE(C4586, ""en"", ""ko""))"),"JYXOIHUB 스마트 보드, 49인치 디지털 전자 화이트보드 및 교실용 스마트보드, 라이브 스트리밍용 스크린 미러링, 디지털 사이니지 디스플레이 및 광고용 플레이어(보드 전용)")</f>
        <v>JYXOIHUB 스마트 보드, 49인치 디지털 전자 화이트보드 및 교실용 스마트보드, 라이브 스트리밍용 스크린 미러링, 디지털 사이니지 디스플레이 및 광고용 플레이어(보드 전용)</v>
      </c>
      <c r="F4586" s="1" t="str">
        <f>IFERROR(__xludf.DUMMYFUNCTION("CONCATENATE(GOOGLETRANSLATE(C4586, ""en"", ""ja""))"),"JYXOIHUBスマートボード、教室用49インチデジタル電子ホワイトボードおよびスマートボード、ライブストリーミング用スクリーンミラーリング、広告用デジタルサイネージディスプレイおよびプレーヤー(ボードのみ)")</f>
        <v>JYXOIHUBスマートボード、教室用49インチデジタル電子ホワイトボードおよびスマートボード、ライブストリーミング用スクリーンミラーリング、広告用デジタルサイネージディスプレイおよびプレーヤー(ボードのみ)</v>
      </c>
    </row>
    <row r="4587" ht="15.75" customHeight="1">
      <c r="A4587" s="1">
        <v>3491.0</v>
      </c>
      <c r="B4587" s="1" t="s">
        <v>15</v>
      </c>
      <c r="C4587" s="1" t="s">
        <v>3975</v>
      </c>
      <c r="D4587" s="1" t="str">
        <f>IFERROR(__xludf.DUMMYFUNCTION("CONCATENATE(GOOGLETRANSLATE(C4587, ""en"", ""zh-cn""))"),"Armer 55’’ 智能白板 4K 超高清交互式白板 办公和课堂一体机/平板电脑，强大的协作应用生态系统（仅白板）")</f>
        <v>Armer 55’’ 智能白板 4K 超高清交互式白板 办公和课堂一体机/平板电脑，强大的协作应用生态系统（仅白板）</v>
      </c>
      <c r="E4587" s="1" t="str">
        <f>IFERROR(__xludf.DUMMYFUNCTION("CONCATENATE(GOOGLETRANSLATE(C4587, ""en"", ""ko""))"),"Armer 55'' 스마트 보드 4K UHD 대화형 보드 사무실 및 강의실용 컴퓨터/태블릿 일체형, 협업을 위한 강력한 앱 생태계(보드 전용)")</f>
        <v>Armer 55'' 스마트 보드 4K UHD 대화형 보드 사무실 및 강의실용 컴퓨터/태블릿 일체형, 협업을 위한 강력한 앱 생태계(보드 전용)</v>
      </c>
      <c r="F4587" s="1" t="str">
        <f>IFERROR(__xludf.DUMMYFUNCTION("CONCATENATE(GOOGLETRANSLATE(C4587, ""en"", ""ja""))"),"Armer 55 インチ スマート ボード 4K UHD インタラクティブ ボード オフィスおよび教室用オールインワン コンピュータ/タブレット、コラボレーション用の堅牢なアプリ エコシステム (ボードのみ)")</f>
        <v>Armer 55 インチ スマート ボード 4K UHD インタラクティブ ボード オフィスおよび教室用オールインワン コンピュータ/タブレット、コラボレーション用の堅牢なアプリ エコシステム (ボードのみ)</v>
      </c>
    </row>
    <row r="4588" ht="15.75" customHeight="1">
      <c r="A4588" s="1">
        <v>3495.0</v>
      </c>
      <c r="B4588" s="1" t="s">
        <v>15</v>
      </c>
      <c r="C4588" s="1" t="s">
        <v>3976</v>
      </c>
      <c r="D4588" s="1" t="str">
        <f>IFERROR(__xludf.DUMMYFUNCTION("CONCATENATE(GOOGLETRANSLATE(C4588, ""en"", ""zh-cn""))"),"2022 MSI GE76 Raider 17.3 144Hz (Intel 8 核 i7-11800H，64GB RAM，2TB PCIe SSD，RTX 3060)，全高清游戏笔记本电脑，Thunderbolt 4，网络摄像头，RGB 背光，IST HDMI，Windows 10")</f>
        <v>2022 MSI GE76 Raider 17.3 144Hz (Intel 8 核 i7-11800H，64GB RAM，2TB PCIe SSD，RTX 3060)，全高清游戏笔记本电脑，Thunderbolt 4，网络摄像头，RGB 背光，IST HDMI，Windows 10</v>
      </c>
      <c r="E4588" s="1" t="str">
        <f>IFERROR(__xludf.DUMMYFUNCTION("CONCATENATE(GOOGLETRANSLATE(C4588, ""en"", ""ko""))"),"2022 MSI GE76 Raider 17.3 144Hz(Intel 8코어 i7-11800H, 64GB RAM, 2TB PCIe SSD, RTX 3060), FHD 게이밍 노트북, Thunderbolt 4, 웹캠, RGB 백라이트, IST HDMI, Windows 10")</f>
        <v>2022 MSI GE76 Raider 17.3 144Hz(Intel 8코어 i7-11800H, 64GB RAM, 2TB PCIe SSD, RTX 3060), FHD 게이밍 노트북, Thunderbolt 4, 웹캠, RGB 백라이트, IST HDMI, Windows 10</v>
      </c>
      <c r="F4588" s="1" t="str">
        <f>IFERROR(__xludf.DUMMYFUNCTION("CONCATENATE(GOOGLETRANSLATE(C4588, ""en"", ""ja""))"),"2022 MSI GE76 Raider 17.3 144Hz (Intel 8-Core i7-11800H、64GB RAM、2TB PCIe SSD、RTX 3060)、FHD ゲーミング ラップトップ、Thunderbolt 4、Web カメラ、RGB バックライト、IST HDMI、Windows 10")</f>
        <v>2022 MSI GE76 Raider 17.3 144Hz (Intel 8-Core i7-11800H、64GB RAM、2TB PCIe SSD、RTX 3060)、FHD ゲーミング ラップトップ、Thunderbolt 4、Web カメラ、RGB バックライト、IST HDMI、Windows 10</v>
      </c>
    </row>
    <row r="4589" ht="15.75" customHeight="1">
      <c r="A4589" s="1">
        <v>3500.0</v>
      </c>
      <c r="B4589" s="1" t="s">
        <v>15</v>
      </c>
      <c r="C4589" s="1" t="s">
        <v>3977</v>
      </c>
      <c r="D4589" s="1" t="str">
        <f>IFERROR(__xludf.DUMMYFUNCTION("CONCATENATE(GOOGLETRANSLATE(C4589, ""en"", ""zh-cn""))"),"Elite Screens Yard Master 电动，150 英寸户外电动投影仪屏幕防雨 16:9 遥控 8K 4K 超高清 3D 电影院 150 自动投影屏幕")</f>
        <v>Elite Screens Yard Master 电动，150 英寸户外电动投影仪屏幕防雨 16:9 遥控 8K 4K 超高清 3D 电影院 150 自动投影屏幕</v>
      </c>
      <c r="E4589" s="1" t="str">
        <f>IFERROR(__xludf.DUMMYFUNCTION("CONCATENATE(GOOGLETRANSLATE(C4589, ""en"", ""ko""))"),"엘리트 스크린 야드 마스터 전기, 150인치 실외 전동 프로젝터 스크린 빗물 보호 16:9 원격 제어 8K 4K 울트라 HD 3D 영화관 150 자동 프로젝션 스크린")</f>
        <v>엘리트 스크린 야드 마스터 전기, 150인치 실외 전동 프로젝터 스크린 빗물 보호 16:9 원격 제어 8K 4K 울트라 HD 3D 영화관 150 자동 프로젝션 스크린</v>
      </c>
      <c r="F4589" s="1" t="str">
        <f>IFERROR(__xludf.DUMMYFUNCTION("CONCATENATE(GOOGLETRANSLATE(C4589, ""en"", ""ja""))"),"Elite Screens Yard Master Electric、150 インチ屋外電動プロジェクタースクリーン雨水保護 16:9 リモコン 8K 4K ウルトラ HD 3D 映画館 150 自動投影スクリーン")</f>
        <v>Elite Screens Yard Master Electric、150 インチ屋外電動プロジェクタースクリーン雨水保護 16:9 リモコン 8K 4K ウルトラ HD 3D 映画館 150 自動投影スクリーン</v>
      </c>
    </row>
    <row r="4590" ht="15.75" customHeight="1">
      <c r="A4590" s="1">
        <v>3505.0</v>
      </c>
      <c r="B4590" s="1" t="s">
        <v>15</v>
      </c>
      <c r="C4590" s="1" t="s">
        <v>3978</v>
      </c>
      <c r="D4590" s="1" t="str">
        <f>IFERROR(__xludf.DUMMYFUNCTION("CONCATENATE(GOOGLETRANSLATE(C4590, ""en"", ""zh-cn""))"),"Elite Screens Aeon CLR 3 系列，123 英寸投影仪屏幕 Diag 16:9 4K/8K 超高清无边吸顶式环境光抑制固定框架投影仪屏幕家庭影院， AR123H-CLR3")</f>
        <v>Elite Screens Aeon CLR 3 系列，123 英寸投影仪屏幕 Diag 16:9 4K/8K 超高清无边吸顶式环境光抑制固定框架投影仪屏幕家庭影院， AR123H-CLR3</v>
      </c>
      <c r="E4590" s="1" t="str">
        <f>IFERROR(__xludf.DUMMYFUNCTION("CONCATENATE(GOOGLETRANSLATE(C4590, ""en"", ""ko""))"),"엘리트 스크린 Aeon CLR 3 시리즈,123인치 프로젝터 스크린 Diag 16:9 4K/8K Ultra HD Edge Free 천장 주변 조명 거부 고정 프레임 프로젝터 스크린 홈 시어터, AR123H-CLR3")</f>
        <v>엘리트 스크린 Aeon CLR 3 시리즈,123인치 프로젝터 스크린 Diag 16:9 4K/8K Ultra HD Edge Free 천장 주변 조명 거부 고정 프레임 프로젝터 스크린 홈 시어터, AR123H-CLR3</v>
      </c>
      <c r="F4590" s="1" t="str">
        <f>IFERROR(__xludf.DUMMYFUNCTION("CONCATENATE(GOOGLETRANSLATE(C4590, ""en"", ""ja""))"),"Elite Screens AEON CLR 3 シリーズ、123 インチプロジェクタースクリーン Diag 16:9 4K/8K ウルトラ HD エッジフリー天井周囲光拒否固定フレームプロジェクタースクリーンホームシアター、AR123H-CLR3")</f>
        <v>Elite Screens AEON CLR 3 シリーズ、123 インチプロジェクタースクリーン Diag 16:9 4K/8K ウルトラ HD エッジフリー天井周囲光拒否固定フレームプロジェクタースクリーンホームシアター、AR123H-CLR3</v>
      </c>
    </row>
    <row r="4591" ht="15.75" customHeight="1">
      <c r="A4591" s="1">
        <v>3516.0</v>
      </c>
      <c r="B4591" s="1" t="s">
        <v>15</v>
      </c>
      <c r="C4591" s="1" t="s">
        <v>3979</v>
      </c>
      <c r="D4591" s="1" t="str">
        <f>IFERROR(__xludf.DUMMYFUNCTION("CONCATENATE(GOOGLETRANSLATE(C4591, ""en"", ""zh-cn""))"),"HP Envy 笔记本电脑， 17.3 FHD IPS 触摸屏，第 12 代英特尔酷睿 i7-1260P，32GB RAM，1TB PCIe SSD，红外摄像头，背光键盘，Wi-Fi 6，Windows 11 Home，银色")</f>
        <v>HP Envy 笔记本电脑， 17.3 FHD IPS 触摸屏，第 12 代英特尔酷睿 i7-1260P，32GB RAM，1TB PCIe SSD，红外摄像头，背光键盘，Wi-Fi 6，Windows 11 Home，银色</v>
      </c>
      <c r="E4591" s="1" t="str">
        <f>IFERROR(__xludf.DUMMYFUNCTION("CONCATENATE(GOOGLETRANSLATE(C4591, ""en"", ""ko""))"),"HP Envy 노트북, 17.3 FHD IPS 터치스크린, 12세대 인텔 코어 i7-1260P, 32GB RAM, 1TB PCIe SSD, IR 카메라, 백라이트 키보드, Wi-Fi 6, Windows 11 Home, 실버")</f>
        <v>HP Envy 노트북, 17.3 FHD IPS 터치스크린, 12세대 인텔 코어 i7-1260P, 32GB RAM, 1TB PCIe SSD, IR 카메라, 백라이트 키보드, Wi-Fi 6, Windows 11 Home, 실버</v>
      </c>
      <c r="F4591" s="1" t="str">
        <f>IFERROR(__xludf.DUMMYFUNCTION("CONCATENATE(GOOGLETRANSLATE(C4591, ""en"", ""ja""))"),"HP Envy ラップトップ、17.3 FHD IPS タッチスクリーン、第 12 世代 Intel Core i7-1260P、32GB RAM、1TB PCIe SSD、IR カメラ、バックライト付きキーボード、Wi-Fi 6、Windows 11 Home、シルバー")</f>
        <v>HP Envy ラップトップ、17.3 FHD IPS タッチスクリーン、第 12 世代 Intel Core i7-1260P、32GB RAM、1TB PCIe SSD、IR カメラ、バックライト付きキーボード、Wi-Fi 6、Windows 11 Home、シルバー</v>
      </c>
    </row>
    <row r="4592" ht="15.75" customHeight="1">
      <c r="A4592" s="1">
        <v>3523.0</v>
      </c>
      <c r="B4592" s="1" t="s">
        <v>15</v>
      </c>
      <c r="C4592" s="1" t="s">
        <v>3980</v>
      </c>
      <c r="D4592" s="1" t="str">
        <f>IFERROR(__xludf.DUMMYFUNCTION("CONCATENATE(GOOGLETRANSLATE(C4592, ""en"", ""zh-cn""))"),"LG gram (2022) 14Z90Q 超轻薄笔记本电脑， 14 (1920 x 1200) IPS 显示屏， Intel Evo 第 12 代 i7 1260P 处理器， 16GB LPDDR5， 512GB NVMe SSD， 全高清网络摄像头， WiFi 6E， Thunderbolt 4， Windows 11， 灰色")</f>
        <v>LG gram (2022) 14Z90Q 超轻薄笔记本电脑， 14 (1920 x 1200) IPS 显示屏， Intel Evo 第 12 代 i7 1260P 处理器， 16GB LPDDR5， 512GB NVMe SSD， 全高清网络摄像头， WiFi 6E， Thunderbolt 4， Windows 11， 灰色</v>
      </c>
      <c r="E4592" s="1" t="str">
        <f>IFERROR(__xludf.DUMMYFUNCTION("CONCATENATE(GOOGLETRANSLATE(C4592, ""en"", ""ko""))"),"LG 그램(2022) 14Z90Q 초경량 노트북, 14(1920 x 1200) IPS 디스플레이, Intel Evo 12세대 i7 1260P 프로세서, 16GB LPDDR5, 512GB NVMe SSD, FHD 웹캠, WiFi 6E, Thunderbolt 4, Windows 11, 그레이")</f>
        <v>LG 그램(2022) 14Z90Q 초경량 노트북, 14(1920 x 1200) IPS 디스플레이, Intel Evo 12세대 i7 1260P 프로세서, 16GB LPDDR5, 512GB NVMe SSD, FHD 웹캠, WiFi 6E, Thunderbolt 4, Windows 11, 그레이</v>
      </c>
      <c r="F4592" s="1" t="str">
        <f>IFERROR(__xludf.DUMMYFUNCTION("CONCATENATE(GOOGLETRANSLATE(C4592, ""en"", ""ja""))"),"LG gram (2022) 14Z90Q 超軽量ラップトップ、14 (1920 x 1200) IPS ディスプレイ、Intel Evo 第 12 世代 i7 1260P プロセッサー、16GB LPDDR5、512GB NVMe SSD、FHD ウェブカメラ、WiFi 6E、Thunderbolt 4、Windows 11、グレー")</f>
        <v>LG gram (2022) 14Z90Q 超軽量ラップトップ、14 (1920 x 1200) IPS ディスプレイ、Intel Evo 第 12 世代 i7 1260P プロセッサー、16GB LPDDR5、512GB NVMe SSD、FHD ウェブカメラ、WiFi 6E、Thunderbolt 4、Windows 11、グレー</v>
      </c>
    </row>
    <row r="4593" ht="15.75" customHeight="1">
      <c r="A4593" s="1">
        <v>3536.0</v>
      </c>
      <c r="B4593" s="1" t="s">
        <v>15</v>
      </c>
      <c r="C4593" s="1" t="s">
        <v>3981</v>
      </c>
      <c r="D4593" s="1" t="str">
        <f>IFERROR(__xludf.DUMMYFUNCTION("CONCATENATE(GOOGLETRANSLATE(C4593, ""en"", ""zh-cn""))"),"戴尔最新商用笔记本电脑 Latitude 3520，15.6 FHD 显示屏，英特尔 i7-1165G7，32GB RAM，1TB SSD，网络摄像头，USB-C，HDMI，Wi-Fi 6，Windows 11 Pro")</f>
        <v>戴尔最新商用笔记本电脑 Latitude 3520，15.6 FHD 显示屏，英特尔 i7-1165G7，32GB RAM，1TB SSD，网络摄像头，USB-C，HDMI，Wi-Fi 6，Windows 11 Pro</v>
      </c>
      <c r="E4593" s="1" t="str">
        <f>IFERROR(__xludf.DUMMYFUNCTION("CONCATENATE(GOOGLETRANSLATE(C4593, ""en"", ""ko""))"),"Dell 최신 비즈니스 노트북 Latitude 3520, 15.6 FHD 디스플레이, Intel i7-1165G7, 32GB RAM, 1TB SSD, 웹캠, USB-C, HDMI, Wi-Fi 6, Windows 11 Pro")</f>
        <v>Dell 최신 비즈니스 노트북 Latitude 3520, 15.6 FHD 디스플레이, Intel i7-1165G7, 32GB RAM, 1TB SSD, 웹캠, USB-C, HDMI, Wi-Fi 6, Windows 11 Pro</v>
      </c>
      <c r="F4593" s="1" t="str">
        <f>IFERROR(__xludf.DUMMYFUNCTION("CONCATENATE(GOOGLETRANSLATE(C4593, ""en"", ""ja""))"),"デル最新ビジネスノートパソコン Latitude 3520、15.6 FHD ディスプレイ、Intel i7-1165G7、32GB RAM、1TB SSD、ウェブカメラ、USB-C、HDMI、Wi-Fi 6、Windows 11 Pro")</f>
        <v>デル最新ビジネスノートパソコン Latitude 3520、15.6 FHD ディスプレイ、Intel i7-1165G7、32GB RAM、1TB SSD、ウェブカメラ、USB-C、HDMI、Wi-Fi 6、Windows 11 Pro</v>
      </c>
    </row>
    <row r="4594" ht="15.75" customHeight="1">
      <c r="A4594" s="1">
        <v>3538.0</v>
      </c>
      <c r="B4594" s="1" t="s">
        <v>15</v>
      </c>
      <c r="C4594" s="1" t="s">
        <v>3982</v>
      </c>
      <c r="D4594" s="1" t="str">
        <f>IFERROR(__xludf.DUMMYFUNCTION("CONCATENATE(GOOGLETRANSLATE(C4594, ""en"", ""zh-cn""))"),"Akia Screens CLR 和 ALR 投影仪屏幕 123 英寸 16:9 吸顶光抑制和环境光抑制投影屏幕适用于 UST 投影，无边固定框架屏幕 AK-NB123H-CLR2")</f>
        <v>Akia Screens CLR 和 ALR 投影仪屏幕 123 英寸 16:9 吸顶光抑制和环境光抑制投影屏幕适用于 UST 投影，无边固定框架屏幕 AK-NB123H-CLR2</v>
      </c>
      <c r="E4594" s="1" t="str">
        <f>IFERROR(__xludf.DUMMYFUNCTION("CONCATENATE(GOOGLETRANSLATE(C4594, ""en"", ""ko""))"),"Akia 스크린 CLR 및 ALR 프로젝터 스크린 123 인치 16:9 UST 프로젝션용 천장 조명 거부 및 주변 조명 거부 프로젝션 스크린, 가장자리 없는 고정 프레임 스크린 AK-NB123H-CLR2")</f>
        <v>Akia 스크린 CLR 및 ALR 프로젝터 스크린 123 인치 16:9 UST 프로젝션용 천장 조명 거부 및 주변 조명 거부 프로젝션 스크린, 가장자리 없는 고정 프레임 스크린 AK-NB123H-CLR2</v>
      </c>
      <c r="F4594" s="1" t="str">
        <f>IFERROR(__xludf.DUMMYFUNCTION("CONCATENATE(GOOGLETRANSLATE(C4594, ""en"", ""ja""))"),"Akia Screens CLR および ALR プロジェクター スクリーン 123 インチ 16:9 天井光除去および周囲光除去投影スクリーン UST 投影用、エッジフリー固定フレーム スクリーン AK-NB123H-CLR2")</f>
        <v>Akia Screens CLR および ALR プロジェクター スクリーン 123 インチ 16:9 天井光除去および周囲光除去投影スクリーン UST 投影用、エッジフリー固定フレーム スクリーン AK-NB123H-CLR2</v>
      </c>
    </row>
    <row r="4595" ht="15.75" customHeight="1">
      <c r="A4595" s="1">
        <v>3543.0</v>
      </c>
      <c r="B4595" s="1" t="s">
        <v>15</v>
      </c>
      <c r="C4595" s="1" t="s">
        <v>3983</v>
      </c>
      <c r="D4595" s="1" t="str">
        <f>IFERROR(__xludf.DUMMYFUNCTION("CONCATENATE(GOOGLETRANSLATE(C4595, ""en"", ""zh-cn""))"),"Night Owl 16 通道蓝牙视频家庭安全摄像头系统，配备 (12) 个带音频的有线 4K 超高清室内/室外聚光灯摄像头和 2TB 硬盘（最多可扩展至 16 个摄像头）")</f>
        <v>Night Owl 16 通道蓝牙视频家庭安全摄像头系统，配备 (12) 个带音频的有线 4K 超高清室内/室外聚光灯摄像头和 2TB 硬盘（最多可扩展至 16 个摄像头）</v>
      </c>
      <c r="E4595" s="1" t="str">
        <f>IFERROR(__xludf.DUMMYFUNCTION("CONCATENATE(GOOGLETRANSLATE(C4595, ""en"", ""ko""))"),"Night Owl 16채널 Bluetooth 비디오 홈 보안 카메라 시스템(12개)의 유선 4K UHD 실내/실외 스포트라이트 카메라(오디오 및 2TB 하드 드라이브 포함)(최대 16개 카메라로 확장 가능)")</f>
        <v>Night Owl 16채널 Bluetooth 비디오 홈 보안 카메라 시스템(12개)의 유선 4K UHD 실내/실외 스포트라이트 카메라(오디오 및 2TB 하드 드라이브 포함)(최대 16개 카메라로 확장 가능)</v>
      </c>
      <c r="F4595" s="1" t="str">
        <f>IFERROR(__xludf.DUMMYFUNCTION("CONCATENATE(GOOGLETRANSLATE(C4595, ""en"", ""ja""))"),"Night Owl 16 チャンネル Bluetooth ビデオ ホームセキュリティ カメラ システム (12 台) 有線 4K UHD 屋内/屋外スポットライト カメラ (オーディオ付き) および 2TB ハードドライブ (最大 16 台のカメラまで拡張可能)")</f>
        <v>Night Owl 16 チャンネル Bluetooth ビデオ ホームセキュリティ カメラ システム (12 台) 有線 4K UHD 屋内/屋外スポットライト カメラ (オーディオ付き) および 2TB ハードドライブ (最大 16 台のカメラまで拡張可能)</v>
      </c>
    </row>
    <row r="4596" ht="15.75" customHeight="1">
      <c r="A4596" s="1">
        <v>3547.0</v>
      </c>
      <c r="B4596" s="1" t="s">
        <v>15</v>
      </c>
      <c r="C4596" s="1" t="s">
        <v>3984</v>
      </c>
      <c r="D4596" s="1" t="str">
        <f>IFERROR(__xludf.DUMMYFUNCTION("CONCATENATE(GOOGLETRANSLATE(C4596, ""en"", ""zh-cn""))"),"声音设备 MixPre-6 II 便携式 32 位浮点多通道音频录音机/混音器，以及 USB 音频接口")</f>
        <v>声音设备 MixPre-6 II 便携式 32 位浮点多通道音频录音机/混音器，以及 USB 音频接口</v>
      </c>
      <c r="E4596" s="1" t="str">
        <f>IFERROR(__xludf.DUMMYFUNCTION("CONCATENATE(GOOGLETRANSLATE(C4596, ""en"", ""ko""))"),"사운드 장치 MixPre-6 II 휴대용 32비트 부동 다중 채널 오디오 레코더/믹서 및 USB 오디오 인터페이스")</f>
        <v>사운드 장치 MixPre-6 II 휴대용 32비트 부동 다중 채널 오디오 레코더/믹서 및 USB 오디오 인터페이스</v>
      </c>
      <c r="F4596" s="1" t="str">
        <f>IFERROR(__xludf.DUMMYFUNCTION("CONCATENATE(GOOGLETRANSLATE(C4596, ""en"", ""ja""))"),"サウンドデバイス MixPre-6 II ポータブル 32 ビット フロート マルチチャンネル オーディオ レコーダー/ミキサー、および USB オーディオ インターフェイス")</f>
        <v>サウンドデバイス MixPre-6 II ポータブル 32 ビット フロート マルチチャンネル オーディオ レコーダー/ミキサー、および USB オーディオ インターフェイス</v>
      </c>
    </row>
    <row r="4597" ht="15.75" customHeight="1">
      <c r="A4597" s="1">
        <v>3558.0</v>
      </c>
      <c r="B4597" s="1" t="s">
        <v>15</v>
      </c>
      <c r="C4597" s="1" t="s">
        <v>3985</v>
      </c>
      <c r="D4597" s="1" t="str">
        <f>IFERROR(__xludf.DUMMYFUNCTION("CONCATENATE(GOOGLETRANSLATE(C4597, ""en"", ""zh-cn""))"),"华硕 VivoBook 17X 笔记本电脑， 17.3 英寸 FHD 显示屏， Intel Core i7-12700H CPU， Intel Iris Xe 显卡， 16GB RAM， 1TB SSD， 指纹传感器， Windows 11 Home， 静谧蓝， K1703ZA-DS76")</f>
        <v>华硕 VivoBook 17X 笔记本电脑， 17.3 英寸 FHD 显示屏， Intel Core i7-12700H CPU， Intel Iris Xe 显卡， 16GB RAM， 1TB SSD， 指纹传感器， Windows 11 Home， 静谧蓝， K1703ZA-DS76</v>
      </c>
      <c r="E4597" s="1" t="str">
        <f>IFERROR(__xludf.DUMMYFUNCTION("CONCATENATE(GOOGLETRANSLATE(C4597, ""en"", ""ko""))"),"ASUS VivoBook 17X 노트북, 17.3인치 FHD 디스플레이, Intel Core i7-12700H CPU, Intel Iris Xe 그래픽, 16GB RAM, 1TB SSD, 지문 센서, Windows 11 Home, Quiet Blue, K1703ZA-DS76")</f>
        <v>ASUS VivoBook 17X 노트북, 17.3인치 FHD 디스플레이, Intel Core i7-12700H CPU, Intel Iris Xe 그래픽, 16GB RAM, 1TB SSD, 지문 센서, Windows 11 Home, Quiet Blue, K1703ZA-DS76</v>
      </c>
      <c r="F4597" s="1" t="str">
        <f>IFERROR(__xludf.DUMMYFUNCTION("CONCATENATE(GOOGLETRANSLATE(C4597, ""en"", ""ja""))"),"ASUS VivoBook 17X ラップトップ、17.3 インチ FHD ディスプレイ、Intel Core i7-12700H CPU、Intel Iris Xe グラフィックス、16GB RAM、1TB SSD、指紋センサー、Windows 11 Home、クワイエット ブルー、K1703ZA-DS76")</f>
        <v>ASUS VivoBook 17X ラップトップ、17.3 インチ FHD ディスプレイ、Intel Core i7-12700H CPU、Intel Iris Xe グラフィックス、16GB RAM、1TB SSD、指紋センサー、Windows 11 Home、クワイエット ブルー、K1703ZA-DS76</v>
      </c>
    </row>
    <row r="4598" ht="15.75" customHeight="1">
      <c r="A4598" s="1">
        <v>3564.0</v>
      </c>
      <c r="B4598" s="1" t="s">
        <v>15</v>
      </c>
      <c r="C4598" s="1" t="s">
        <v>3986</v>
      </c>
      <c r="D4598" s="1" t="str">
        <f>IFERROR(__xludf.DUMMYFUNCTION("CONCATENATE(GOOGLETRANSLATE(C4598, ""en"", ""zh-cn""))"),"[ZEN] RYZEN 5 定制游戏 RGB 电脑 - 具有可定制电脑规格的 AMD 游戏台式机")</f>
        <v>[ZEN] RYZEN 5 定制游戏 RGB 电脑 - 具有可定制电脑规格的 AMD 游戏台式机</v>
      </c>
      <c r="E4598" s="1" t="str">
        <f>IFERROR(__xludf.DUMMYFUNCTION("CONCATENATE(GOOGLETRANSLATE(C4598, ""en"", ""ko""))"),"[ZEN] RYZEN 5 맞춤형 게이밍 RGB PC - 맞춤형 컴퓨터 사양을 갖춘 AMD 게이밍 데스크탑")</f>
        <v>[ZEN] RYZEN 5 맞춤형 게이밍 RGB PC - 맞춤형 컴퓨터 사양을 갖춘 AMD 게이밍 데스크탑</v>
      </c>
      <c r="F4598" s="1" t="str">
        <f>IFERROR(__xludf.DUMMYFUNCTION("CONCATENATE(GOOGLETRANSLATE(C4598, ""en"", ""ja""))"),"[ZEN] RYZEN 5 カスタム ゲーミング RGB PC - カスタマイズ可能なコンピューター仕様の AMD ゲーミング デスクトップ")</f>
        <v>[ZEN] RYZEN 5 カスタム ゲーミング RGB PC - カスタマイズ可能なコンピューター仕様の AMD ゲーミング デスクトップ</v>
      </c>
    </row>
    <row r="4599" ht="15.75" customHeight="1">
      <c r="A4599" s="1">
        <v>3567.0</v>
      </c>
      <c r="B4599" s="1" t="s">
        <v>15</v>
      </c>
      <c r="C4599" s="1" t="s">
        <v>3987</v>
      </c>
      <c r="D4599" s="1" t="str">
        <f>IFERROR(__xludf.DUMMYFUNCTION("CONCATENATE(GOOGLETRANSLATE(C4599, ""en"", ""zh-cn""))"),"当天交付 [翻新] HP Eliteone 800 G5/G4 24 英寸全高清 选择触摸或非触摸，i7-9700 8 核或 8700 高达 3.3Ghz 16GB DDR4 RAM 512GB SSD 内置网络摄像头 5G Wifi /扬声器 赢取 11,1 年")</f>
        <v>当天交付 [翻新] HP Eliteone 800 G5/G4 24 英寸全高清 选择触摸或非触摸，i7-9700 8 核或 8700 高达 3.3Ghz 16GB DDR4 RAM 512GB SSD 内置网络摄像头 5G Wifi /扬声器 赢取 11,1 年</v>
      </c>
      <c r="E4599" s="1" t="str">
        <f>IFERROR(__xludf.DUMMYFUNCTION("CONCATENATE(GOOGLETRANSLATE(C4599, ""en"", ""ko""))"),"당일 배송 [리퍼브 상품] HP Eliteone 800 G5/G4 24인치 FullHD 터치 또는 비터치 선택, i7-9700 8 코어 또는 8700 최대 3.3Ghz 16GB DDR4 RAM 512GB SSD 내장 웹캠 5G Wifi/스피커 Win 11,1년")</f>
        <v>당일 배송 [리퍼브 상품] HP Eliteone 800 G5/G4 24인치 FullHD 터치 또는 비터치 선택, i7-9700 8 코어 또는 8700 최대 3.3Ghz 16GB DDR4 RAM 512GB SSD 내장 웹캠 5G Wifi/스피커 Win 11,1년</v>
      </c>
      <c r="F4599" s="1" t="str">
        <f>IFERROR(__xludf.DUMMYFUNCTION("CONCATENATE(GOOGLETRANSLATE(C4599, ""en"", ""ja""))"),"即日発送 [整備済] HP Eliteone 800 G5/G4 24 インチ FullHD タッチまたは非タッチを選択、i7-9700 8 コアまたは 8700 最大 3.3Ghz 16GB DDR4 RAM 512GB SSD 内蔵ウェブカメラ 5G Wifi /スピーカー Win 11、1 年")</f>
        <v>即日発送 [整備済] HP Eliteone 800 G5/G4 24 インチ FullHD タッチまたは非タッチを選択、i7-9700 8 コアまたは 8700 最大 3.3Ghz 16GB DDR4 RAM 512GB SSD 内蔵ウェブカメラ 5G Wifi /スピーカー Win 11、1 年</v>
      </c>
    </row>
    <row r="4600" ht="15.75" customHeight="1">
      <c r="A4600" s="1">
        <v>3572.0</v>
      </c>
      <c r="B4600" s="1" t="s">
        <v>15</v>
      </c>
      <c r="C4600" s="1" t="s">
        <v>3988</v>
      </c>
      <c r="D4600" s="1" t="str">
        <f>IFERROR(__xludf.DUMMYFUNCTION("CONCATENATE(GOOGLETRANSLATE(C4600, ""en"", ""zh-cn""))"),"末日决战 Comet Pro 6600 定制 MATX 游戏电脑 | AMD 锐龙 | RX 6600")</f>
        <v>末日决战 Comet Pro 6600 定制 MATX 游戏电脑 | AMD 锐龙 | RX 6600</v>
      </c>
      <c r="E4600" s="1" t="str">
        <f>IFERROR(__xludf.DUMMYFUNCTION("CONCATENATE(GOOGLETRANSLATE(C4600, ""en"", ""ko""))"),"Armaggeddon Comet Pro 6600 맞춤형 MATX 게이밍 PC | AMD 라이젠 | RX 6600")</f>
        <v>Armaggeddon Comet Pro 6600 맞춤형 MATX 게이밍 PC | AMD 라이젠 | RX 6600</v>
      </c>
      <c r="F4600" s="1" t="str">
        <f>IFERROR(__xludf.DUMMYFUNCTION("CONCATENATE(GOOGLETRANSLATE(C4600, ""en"", ""ja""))"),"Armaggeddon Comet Pro 6600 カスタマイズされた MATX ゲーミング PC | AMD ライゼン | RX6600")</f>
        <v>Armaggeddon Comet Pro 6600 カスタマイズされた MATX ゲーミング PC | AMD ライゼン | RX6600</v>
      </c>
    </row>
    <row r="4601" ht="15.75" customHeight="1">
      <c r="A4601" s="1">
        <v>3577.0</v>
      </c>
      <c r="B4601" s="1" t="s">
        <v>15</v>
      </c>
      <c r="C4601" s="1" t="s">
        <v>3989</v>
      </c>
      <c r="D4601" s="1" t="str">
        <f>IFERROR(__xludf.DUMMYFUNCTION("CONCATENATE(GOOGLETRANSLATE(C4601, ""en"", ""zh-cn""))"),"戴尔 Inspiron 灵越 16 5625 小型轻薄便携式笔记本电脑 - 16 英寸 FHD+ (1920 x 1200) 显示屏，AMD Ryzen 7 5825U，16GB DDR4 RAM，512GB SSD，Radeon Graphics，蓝牙，Windows 11 Pro - 银色")</f>
        <v>戴尔 Inspiron 灵越 16 5625 小型轻薄便携式笔记本电脑 - 16 英寸 FHD+ (1920 x 1200) 显示屏，AMD Ryzen 7 5825U，16GB DDR4 RAM，512GB SSD，Radeon Graphics，蓝牙，Windows 11 Pro - 银色</v>
      </c>
      <c r="E4601" s="1" t="str">
        <f>IFERROR(__xludf.DUMMYFUNCTION("CONCATENATE(GOOGLETRANSLATE(C4601, ""en"", ""ko""))"),"Dell Inspiron 16 5625 작고 얇고 가벼운 휴대용 노트북 - 16인치 FHD+(1920 x 1200) 디스플레이, AMD Ryzen 7 5825U, 16GB DDR4 RAM, 512GB SSD, Radeon 그래픽, Bluetooth, Windows 11 Pro - 실버")</f>
        <v>Dell Inspiron 16 5625 작고 얇고 가벼운 휴대용 노트북 - 16인치 FHD+(1920 x 1200) 디스플레이, AMD Ryzen 7 5825U, 16GB DDR4 RAM, 512GB SSD, Radeon 그래픽, Bluetooth, Windows 11 Pro - 실버</v>
      </c>
      <c r="F4601" s="1" t="str">
        <f>IFERROR(__xludf.DUMMYFUNCTION("CONCATENATE(GOOGLETRANSLATE(C4601, ""en"", ""ja""))"),"Dell Inspiron 16 5625 小型薄型軽量ポータブル ノートパソコン - 16 インチ FHD+ (1920 x 1200) ディスプレイ、AMD Ryzen 7 5825U、16GB DDR4 RAM、512GB SSD、Radeon グラフィックス、Bluetooth、Windows 11 Pro - シルバー")</f>
        <v>Dell Inspiron 16 5625 小型薄型軽量ポータブル ノートパソコン - 16 インチ FHD+ (1920 x 1200) ディスプレイ、AMD Ryzen 7 5825U、16GB DDR4 RAM、512GB SSD、Radeon グラフィックス、Bluetooth、Windows 11 Pro - シルバー</v>
      </c>
    </row>
    <row r="4602" ht="15.75" customHeight="1">
      <c r="A4602" s="1">
        <v>3586.0</v>
      </c>
      <c r="B4602" s="1" t="s">
        <v>15</v>
      </c>
      <c r="C4602" s="1" t="s">
        <v>3990</v>
      </c>
      <c r="D4602" s="1" t="str">
        <f>IFERROR(__xludf.DUMMYFUNCTION("CONCATENATE(GOOGLETRANSLATE(C4602, ""en"", ""zh-cn""))"),"Apple 2020 MacBook Air 笔记本电脑 M1 芯片、13 视网膜显示屏、8GB RAM、256GB SSD 存储、背光键盘、FaceTime 高清摄像头、触摸 ID。适用于 iPhone/iPad；深空灰色")</f>
        <v>Apple 2020 MacBook Air 笔记本电脑 M1 芯片、13 视网膜显示屏、8GB RAM、256GB SSD 存储、背光键盘、FaceTime 高清摄像头、触摸 ID。适用于 iPhone/iPad；深空灰色</v>
      </c>
      <c r="E4602" s="1" t="str">
        <f>IFERROR(__xludf.DUMMYFUNCTION("CONCATENATE(GOOGLETRANSLATE(C4602, ""en"", ""ko""))"),"Apple 2020 MacBook Air 노트북 M1 칩, 13 Retina 디스플레이, 8GB RAM, 256GB SSD 스토리지, 백라이트 키보드, FaceTime HD 카메라, Touch ID. iPhone/iPad에서 작동합니다. 스페이스 그레이")</f>
        <v>Apple 2020 MacBook Air 노트북 M1 칩, 13 Retina 디스플레이, 8GB RAM, 256GB SSD 스토리지, 백라이트 키보드, FaceTime HD 카메라, Touch ID. iPhone/iPad에서 작동합니다. 스페이스 그레이</v>
      </c>
      <c r="F4602" s="1" t="str">
        <f>IFERROR(__xludf.DUMMYFUNCTION("CONCATENATE(GOOGLETRANSLATE(C4602, ""en"", ""ja""))"),"Apple 2020 MacBook Air ラップトップ M1 チップ、13 Retina ディスプレイ、8GB RAM、256GB SSD ストレージ、バックライト付きキーボード、FaceTime HD カメラ、Touch ID。 iPhone/iPad で動作します。スペースグレイ")</f>
        <v>Apple 2020 MacBook Air ラップトップ M1 チップ、13 Retina ディスプレイ、8GB RAM、256GB SSD ストレージ、バックライト付きキーボード、FaceTime HD カメラ、Touch ID。 iPhone/iPad で動作します。スペースグレイ</v>
      </c>
    </row>
    <row r="4603" ht="15.75" customHeight="1">
      <c r="A4603" s="1">
        <v>3603.0</v>
      </c>
      <c r="B4603" s="1" t="s">
        <v>15</v>
      </c>
      <c r="C4603" s="1" t="s">
        <v>3991</v>
      </c>
      <c r="D4603" s="1" t="str">
        <f>IFERROR(__xludf.DUMMYFUNCTION("CONCATENATE(GOOGLETRANSLATE(C4603, ""en"", ""zh-cn""))"),"5 件装（2BK+1C+1M+1Y）827A | CF300A CF301A CF302A CF303A 再生碳粉盒 兼容 HP Laserjet Enterprise Flow MFP M880 M880z+ M880z+NFC M880z 打印机墨盒")</f>
        <v>5 件装（2BK+1C+1M+1Y）827A | CF300A CF301A CF302A CF303A 再生碳粉盒 兼容 HP Laserjet Enterprise Flow MFP M880 M880z+ M880z+NFC M880z 打印机墨盒</v>
      </c>
      <c r="E4603" s="1" t="str">
        <f>IFERROR(__xludf.DUMMYFUNCTION("CONCATENATE(GOOGLETRANSLATE(C4603, ""en"", ""ko""))"),"5팩(2BK+1C+1M+1Y) 827A | CF300A CF301A CF302A CF303A HP Laserjet Enterprise Flow MFP M880 M880z+ M880z+NFC M880z 프린터 잉크 카트리지와 호환되는 재생 토너 카트리지")</f>
        <v>5팩(2BK+1C+1M+1Y) 827A | CF300A CF301A CF302A CF303A HP Laserjet Enterprise Flow MFP M880 M880z+ M880z+NFC M880z 프린터 잉크 카트리지와 호환되는 재생 토너 카트리지</v>
      </c>
      <c r="F4603" s="1" t="str">
        <f>IFERROR(__xludf.DUMMYFUNCTION("CONCATENATE(GOOGLETRANSLATE(C4603, ""en"", ""ja""))"),"5 パック (2BK+1C+1M+1Y) 827A | CF300A CF301A CF302A CF303A 再生トナーカートリッジ HP Laserjet Enterprise Flow MFP M880 M880z+ M880z+NFC M880z プリンタインクカートリッジと互換性あり")</f>
        <v>5 パック (2BK+1C+1M+1Y) 827A | CF300A CF301A CF302A CF303A 再生トナーカートリッジ HP Laserjet Enterprise Flow MFP M880 M880z+ M880z+NFC M880z プリンタインクカートリッジと互換性あり</v>
      </c>
    </row>
    <row r="4604" ht="15.75" customHeight="1">
      <c r="A4604" s="1">
        <v>3604.0</v>
      </c>
      <c r="B4604" s="1" t="s">
        <v>15</v>
      </c>
      <c r="C4604" s="1" t="s">
        <v>3992</v>
      </c>
      <c r="D4604" s="1" t="str">
        <f>IFERROR(__xludf.DUMMYFUNCTION("CONCATENATE(GOOGLETRANSLATE(C4604, ""en"", ""zh-cn""))"),"2022 HP Pavilion 17.3 英寸 IPS FHD 笔记本电脑， Intel 四核 i5-1135G7 (Beats i7-1065G7，高达 4.2GHz)， Iris Xe 显卡， 16GB RAM， 1TB PCIe SSD，背光键盘， WiFi 5，网络摄像头， Windows 11+HubxcelCables")</f>
        <v>2022 HP Pavilion 17.3 英寸 IPS FHD 笔记本电脑， Intel 四核 i5-1135G7 (Beats i7-1065G7，高达 4.2GHz)， Iris Xe 显卡， 16GB RAM， 1TB PCIe SSD，背光键盘， WiFi 5，网络摄像头， Windows 11+HubxcelCables</v>
      </c>
      <c r="E4604" s="1" t="str">
        <f>IFERROR(__xludf.DUMMYFUNCTION("CONCATENATE(GOOGLETRANSLATE(C4604, ""en"", ""ko""))"),"2022 HP Pavilion 17.3인치 IPS FHD 노트북, Intel Quad Core i5-1135G7(Beats i7-1065G7, 최대 4.2GHz), Iris Xe 그래픽, 16GB RAM, 1TB PCIe SSD, 백라이트 키보드, WiFi 5, 웹캠, Windows 11+HubxcelCables")</f>
        <v>2022 HP Pavilion 17.3인치 IPS FHD 노트북, Intel Quad Core i5-1135G7(Beats i7-1065G7, 최대 4.2GHz), Iris Xe 그래픽, 16GB RAM, 1TB PCIe SSD, 백라이트 키보드, WiFi 5, 웹캠, Windows 11+HubxcelCables</v>
      </c>
      <c r="F4604" s="1" t="str">
        <f>IFERROR(__xludf.DUMMYFUNCTION("CONCATENATE(GOOGLETRANSLATE(C4604, ""en"", ""ja""))"),"2022 HP Pavilion 17.3 インチ IPS FHD ラップトップ、Intel Quad Core i5-1135G7 (Beats i7-1065G7、最大 4.2GHz)、Iris Xe グラフィックス、16GB RAM、1TB PCIe SSD、バックライト付きキーボード、WiFi 5、Web カメラ、Windows 11+HubxcelCables")</f>
        <v>2022 HP Pavilion 17.3 インチ IPS FHD ラップトップ、Intel Quad Core i5-1135G7 (Beats i7-1065G7、最大 4.2GHz)、Iris Xe グラフィックス、16GB RAM、1TB PCIe SSD、バックライト付きキーボード、WiFi 5、Web カメラ、Windows 11+HubxcelCables</v>
      </c>
    </row>
    <row r="4605" ht="15.75" customHeight="1">
      <c r="A4605" s="1">
        <v>3618.0</v>
      </c>
      <c r="B4605" s="1" t="s">
        <v>15</v>
      </c>
      <c r="C4605" s="1" t="s">
        <v>3993</v>
      </c>
      <c r="D4605" s="1" t="str">
        <f>IFERROR(__xludf.DUMMYFUNCTION("CONCATENATE(GOOGLETRANSLATE(C4605, ""en"", ""zh-cn""))"),"Apple Watch Ultra [GPS + 蜂窝网络 49 毫米] 钛金属表壳，带黄色/米色尾环，S/M（续订）")</f>
        <v>Apple Watch Ultra [GPS + 蜂窝网络 49 毫米] 钛金属表壳，带黄色/米色尾环，S/M（续订）</v>
      </c>
      <c r="E4605" s="1" t="str">
        <f>IFERROR(__xludf.DUMMYFUNCTION("CONCATENATE(GOOGLETRANSLATE(C4605, ""en"", ""ko""))"),"Apple Watch Ultra [GPS + Cellular 49mm] 티타늄 케이스, 옐로우/베이지 트레일 루프, S/M(리뉴얼)")</f>
        <v>Apple Watch Ultra [GPS + Cellular 49mm] 티타늄 케이스, 옐로우/베이지 트레일 루프, S/M(리뉴얼)</v>
      </c>
      <c r="F4605" s="1" t="str">
        <f>IFERROR(__xludf.DUMMYFUNCTION("CONCATENATE(GOOGLETRANSLATE(C4605, ""en"", ""ja""))"),"Apple Watch Ultra [GPS + Cellular 49mm] チタンケース、イエロー/ベージュのトレイルループ付き、S/M (リニューアル)")</f>
        <v>Apple Watch Ultra [GPS + Cellular 49mm] チタンケース、イエロー/ベージュのトレイルループ付き、S/M (リニューアル)</v>
      </c>
    </row>
    <row r="4606" ht="15.75" customHeight="1">
      <c r="A4606" s="1">
        <v>3621.0</v>
      </c>
      <c r="B4606" s="1" t="s">
        <v>15</v>
      </c>
      <c r="C4606" s="1" t="s">
        <v>3994</v>
      </c>
      <c r="D4606" s="1" t="str">
        <f>IFERROR(__xludf.DUMMYFUNCTION("CONCATENATE(GOOGLETRANSLATE(C4606, ""en"", ""zh-cn""))"),"Blackmagic Design Video Assist 3G SDI/HDMI 7 录像机监视器套装，带锂离子电池组、交流/直流充电器和 6' HDMI 电缆")</f>
        <v>Blackmagic Design Video Assist 3G SDI/HDMI 7 录像机监视器套装，带锂离子电池组、交流/直流充电器和 6' HDMI 电缆</v>
      </c>
      <c r="E4606" s="1" t="str">
        <f>IFERROR(__xludf.DUMMYFUNCTION("CONCATENATE(GOOGLETRANSLATE(C4606, ""en"", ""ko""))"),"Blackmagic Design Video Assist 3G SDI/HDMI 7 레코더 모니터 번들(리튬 이온 배터리 팩, AC/DC 충전기, 6인치 HDMI 케이블 포함)")</f>
        <v>Blackmagic Design Video Assist 3G SDI/HDMI 7 레코더 모니터 번들(리튬 이온 배터리 팩, AC/DC 충전기, 6인치 HDMI 케이블 포함)</v>
      </c>
      <c r="F4606" s="1" t="str">
        <f>IFERROR(__xludf.DUMMYFUNCTION("CONCATENATE(GOOGLETRANSLATE(C4606, ""en"", ""ja""))"),"Blackmagic Design Video Assist 3G SDI/HDMI 7 レコーダー モニター バンドル (リチウムイオン バッテリー パック、AC/DC 充電器、6 フィート HDMI ケーブル付き)")</f>
        <v>Blackmagic Design Video Assist 3G SDI/HDMI 7 レコーダー モニター バンドル (リチウムイオン バッテリー パック、AC/DC 充電器、6 フィート HDMI ケーブル付き)</v>
      </c>
    </row>
    <row r="4607" ht="15.75" customHeight="1">
      <c r="A4607" s="1">
        <v>3633.0</v>
      </c>
      <c r="B4607" s="1" t="s">
        <v>15</v>
      </c>
      <c r="C4607" s="1" t="s">
        <v>3220</v>
      </c>
      <c r="D4607" s="1" t="str">
        <f>IFERROR(__xludf.DUMMYFUNCTION("CONCATENATE(GOOGLETRANSLATE(C4607, ""en"", ""zh-cn""))"),"Apple 2022 款 11 英寸 iPad Pro（Wi-Fi，128GB）- 深空灰色（第 4 代）")</f>
        <v>Apple 2022 款 11 英寸 iPad Pro（Wi-Fi，128GB）- 深空灰色（第 4 代）</v>
      </c>
      <c r="E4607" s="1" t="str">
        <f>IFERROR(__xludf.DUMMYFUNCTION("CONCATENATE(GOOGLETRANSLATE(C4607, ""en"", ""ko""))"),"Apple 2022 11인치 iPad Pro(Wi-Fi, 128GB) - 스페이스 그레이(4세대)")</f>
        <v>Apple 2022 11인치 iPad Pro(Wi-Fi, 128GB) - 스페이스 그레이(4세대)</v>
      </c>
      <c r="F4607" s="1" t="str">
        <f>IFERROR(__xludf.DUMMYFUNCTION("CONCATENATE(GOOGLETRANSLATE(C4607, ""en"", ""ja""))"),"Apple 2022 11 インチ iPad Pro (Wi-Fi、128GB) - スペース グレイ (第 4 世代)")</f>
        <v>Apple 2022 11 インチ iPad Pro (Wi-Fi、128GB) - スペース グレイ (第 4 世代)</v>
      </c>
    </row>
    <row r="4608" ht="15.75" customHeight="1">
      <c r="A4608" s="1">
        <v>3640.0</v>
      </c>
      <c r="B4608" s="1" t="s">
        <v>15</v>
      </c>
      <c r="C4608" s="1" t="s">
        <v>3652</v>
      </c>
      <c r="D4608" s="1" t="str">
        <f>IFERROR(__xludf.DUMMYFUNCTION("CONCATENATE(GOOGLETRANSLATE(C4608, ""en"", ""zh-cn""))"),"Dell Latitude 7420 14 Intel Core i5-1145G7 256GB PCIe SSD 16GB FHD Touch (1920X1080) 300 NIT 红外摄像头 Win 11 Pro（经过认证的翻新机）")</f>
        <v>Dell Latitude 7420 14 Intel Core i5-1145G7 256GB PCIe SSD 16GB FHD Touch (1920X1080) 300 NIT 红外摄像头 Win 11 Pro（经过认证的翻新机）</v>
      </c>
      <c r="E4608" s="1" t="str">
        <f>IFERROR(__xludf.DUMMYFUNCTION("CONCATENATE(GOOGLETRANSLATE(C4608, ""en"", ""ko""))"),"Dell Latitude 7420 14 Intel Core i5-1145G7 256GB PCIe SSD 16GB FHD 터치(1920X1080) 300 NIT IR Cam Win 11 Pro(인증 리퍼브)")</f>
        <v>Dell Latitude 7420 14 Intel Core i5-1145G7 256GB PCIe SSD 16GB FHD 터치(1920X1080) 300 NIT IR Cam Win 11 Pro(인증 리퍼브)</v>
      </c>
      <c r="F4608" s="1" t="str">
        <f>IFERROR(__xludf.DUMMYFUNCTION("CONCATENATE(GOOGLETRANSLATE(C4608, ""en"", ""ja""))"),"Dell Latitude 7420 14 Intel Core i5-1145G7 256GB PCIe SSD 16GB FHD Touch (1920X1080) 300 NIT IR Cam Win 11 Pro (認定再生品)")</f>
        <v>Dell Latitude 7420 14 Intel Core i5-1145G7 256GB PCIe SSD 16GB FHD Touch (1920X1080) 300 NIT IR Cam Win 11 Pro (認定再生品)</v>
      </c>
    </row>
    <row r="4609" ht="15.75" customHeight="1">
      <c r="A4609" s="1">
        <v>3644.0</v>
      </c>
      <c r="B4609" s="1" t="s">
        <v>15</v>
      </c>
      <c r="C4609" s="1" t="s">
        <v>1848</v>
      </c>
      <c r="D4609" s="1" t="str">
        <f>IFERROR(__xludf.DUMMYFUNCTION("CONCATENATE(GOOGLETRANSLATE(C4609, ""en"", ""zh-cn""))"),"2022 HP 15.6 FHD 笔记本电脑，第 11 代 Intel Core i5-1135G7（击败 Intel i7-1065G7），32GB RAM，2TGB PCIe SSD，Intel Iris X 显卡，高清网络摄像头，HDMI，蓝牙，Win10，银色，32GB USB 卡")</f>
        <v>2022 HP 15.6 FHD 笔记本电脑，第 11 代 Intel Core i5-1135G7（击败 Intel i7-1065G7），32GB RAM，2TGB PCIe SSD，Intel Iris X 显卡，高清网络摄像头，HDMI，蓝牙，Win10，银色，32GB USB 卡</v>
      </c>
      <c r="E4609" s="1" t="str">
        <f>IFERROR(__xludf.DUMMYFUNCTION("CONCATENATE(GOOGLETRANSLATE(C4609, ""en"", ""ko""))"),"2022 HP 15.6 FHD 노트북 컴퓨터, 11세대 Intel Core i5-1135G7(Intel i7-1065G7 능가), 32GB RAM, 2TGB PCIe SSD, Intel Iris X 그래픽, HD 웹캠, HDMI, Bluetooth, Win10, 실버, 32GB USB 카드")</f>
        <v>2022 HP 15.6 FHD 노트북 컴퓨터, 11세대 Intel Core i5-1135G7(Intel i7-1065G7 능가), 32GB RAM, 2TGB PCIe SSD, Intel Iris X 그래픽, HD 웹캠, HDMI, Bluetooth, Win10, 실버, 32GB USB 카드</v>
      </c>
      <c r="F4609" s="1" t="str">
        <f>IFERROR(__xludf.DUMMYFUNCTION("CONCATENATE(GOOGLETRANSLATE(C4609, ""en"", ""ja""))"),"2022 HP 15.6 FHD ラップトップ コンピューター、第 11 世代インテル Core i5-1135G7 (インテル i7-1065G7 を上回る)、32GB RAM、2TGB PCIe SSD、インテル Iris X グラフィックス、HD ウェブカメラ、HDMI、Bluetooth、Win10、シルバー、32GB USB カード")</f>
        <v>2022 HP 15.6 FHD ラップトップ コンピューター、第 11 世代インテル Core i5-1135G7 (インテル i7-1065G7 を上回る)、32GB RAM、2TGB PCIe SSD、インテル Iris X グラフィックス、HD ウェブカメラ、HDMI、Bluetooth、Win10、シルバー、32GB USB カード</v>
      </c>
    </row>
    <row r="4610" ht="15.75" customHeight="1">
      <c r="A4610" s="1">
        <v>3662.0</v>
      </c>
      <c r="B4610" s="1" t="s">
        <v>15</v>
      </c>
      <c r="C4610" s="1" t="s">
        <v>3995</v>
      </c>
      <c r="D4610" s="1" t="str">
        <f>IFERROR(__xludf.DUMMYFUNCTION("CONCATENATE(GOOGLETRANSLATE(C4610, ""en"", ""zh-cn""))"),"戴尔 Inspiron 灵越 14 英寸 5425 小型轻薄笔记本电脑 - 16:10 FHD+ 1920 x 1200p，AMD Ryzen 5 5625U，8GB 内存，512GB SSD，AMD Radeon 显卡，MediaTek Wi-Fi 6，Windows 11 - 白金银")</f>
        <v>戴尔 Inspiron 灵越 14 英寸 5425 小型轻薄笔记本电脑 - 16:10 FHD+ 1920 x 1200p，AMD Ryzen 5 5625U，8GB 内存，512GB SSD，AMD Radeon 显卡，MediaTek Wi-Fi 6，Windows 11 - 白金银</v>
      </c>
      <c r="E4610" s="1" t="str">
        <f>IFERROR(__xludf.DUMMYFUNCTION("CONCATENATE(GOOGLETRANSLATE(C4610, ""en"", ""ko""))"),"Dell Inspiron 14인치 5425 작고 얇고 가벼운 노트북 - 16:10 FHD+ 1920 x 1200p, AMD Ryzen 5 5625U, 8GB 메모리, 512GB SSD, AMD Radeon 그래픽, MediaTek Wi-Fi 6, Windows 11 - 플래티넘 실버")</f>
        <v>Dell Inspiron 14인치 5425 작고 얇고 가벼운 노트북 - 16:10 FHD+ 1920 x 1200p, AMD Ryzen 5 5625U, 8GB 메모리, 512GB SSD, AMD Radeon 그래픽, MediaTek Wi-Fi 6, Windows 11 - 플래티넘 실버</v>
      </c>
      <c r="F4610" s="1" t="str">
        <f>IFERROR(__xludf.DUMMYFUNCTION("CONCATENATE(GOOGLETRANSLATE(C4610, ""en"", ""ja""))"),"Dell Inspiron 14 インチ 5425 小型薄型軽量ラップトップ - 16:10 FHD+ 1920 x 1200p、AMD Ryzen 5 5625U、8GB メモリ、512GB SSD、AMD Radeon グラフィックス、MediaTek Wi-Fi 6、Windows 11 - プラチナ シルバー")</f>
        <v>Dell Inspiron 14 インチ 5425 小型薄型軽量ラップトップ - 16:10 FHD+ 1920 x 1200p、AMD Ryzen 5 5625U、8GB メモリ、512GB SSD、AMD Radeon グラフィックス、MediaTek Wi-Fi 6、Windows 11 - プラチナ シルバー</v>
      </c>
    </row>
    <row r="4611" ht="15.75" customHeight="1">
      <c r="A4611" s="1">
        <v>3667.0</v>
      </c>
      <c r="B4611" s="1" t="s">
        <v>15</v>
      </c>
      <c r="C4611" s="1" t="s">
        <v>3996</v>
      </c>
      <c r="D4611" s="1" t="str">
        <f>IFERROR(__xludf.DUMMYFUNCTION("CONCATENATE(GOOGLETRANSLATE(C4611, ""en"", ""zh-cn""))"),"Fujitsu fi-7260 ADF + 平板专业扫描仪（认证翻新）")</f>
        <v>Fujitsu fi-7260 ADF + 平板专业扫描仪（认证翻新）</v>
      </c>
      <c r="E4611" s="1" t="str">
        <f>IFERROR(__xludf.DUMMYFUNCTION("CONCATENATE(GOOGLETRANSLATE(C4611, ""en"", ""ko""))"),"Fujitsu fi-7260 ADF + 평판형 전문 스캐너(인증 리퍼브 제품)")</f>
        <v>Fujitsu fi-7260 ADF + 평판형 전문 스캐너(인증 리퍼브 제품)</v>
      </c>
      <c r="F4611" s="1" t="str">
        <f>IFERROR(__xludf.DUMMYFUNCTION("CONCATENATE(GOOGLETRANSLATE(C4611, ""en"", ""ja""))"),"富士通 fi-7260 ADF + フラットベッド プロフェッショナル スキャナー (認定再生品)")</f>
        <v>富士通 fi-7260 ADF + フラットベッド プロフェッショナル スキャナー (認定再生品)</v>
      </c>
    </row>
    <row r="4612" ht="15.75" customHeight="1">
      <c r="A4612" s="1">
        <v>3677.0</v>
      </c>
      <c r="B4612" s="1" t="s">
        <v>15</v>
      </c>
      <c r="C4612" s="1" t="s">
        <v>3997</v>
      </c>
      <c r="D4612" s="1" t="str">
        <f>IFERROR(__xludf.DUMMYFUNCTION("CONCATENATE(GOOGLETRANSLATE(C4612, ""en"", ""zh-cn""))"),"戴尔最新 Inspiron 15 3511 笔记本电脑，15.6 FHD 触摸屏，Intel Core i5-1035G1，32GB RAM，1TB PCIe NVMe M.2 SSD，SD 读卡器，网络摄像头，HDMI，WiFi，Windows 11 Home，黑色")</f>
        <v>戴尔最新 Inspiron 15 3511 笔记本电脑，15.6 FHD 触摸屏，Intel Core i5-1035G1，32GB RAM，1TB PCIe NVMe M.2 SSD，SD 读卡器，网络摄像头，HDMI，WiFi，Windows 11 Home，黑色</v>
      </c>
      <c r="E4612" s="1" t="str">
        <f>IFERROR(__xludf.DUMMYFUNCTION("CONCATENATE(GOOGLETRANSLATE(C4612, ""en"", ""ko""))"),"Dell 최신 Inspiron 15 3511 노트북, 15.6 FHD 터치스크린, Intel Core i5-1035G1, 32GB RAM, 1TB PCIe NVMe M.2 SSD, SD 카드 리더기, 웹캠, HDMI, WiFi, Windows 11 Home, 블랙")</f>
        <v>Dell 최신 Inspiron 15 3511 노트북, 15.6 FHD 터치스크린, Intel Core i5-1035G1, 32GB RAM, 1TB PCIe NVMe M.2 SSD, SD 카드 리더기, 웹캠, HDMI, WiFi, Windows 11 Home, 블랙</v>
      </c>
      <c r="F4612" s="1" t="str">
        <f>IFERROR(__xludf.DUMMYFUNCTION("CONCATENATE(GOOGLETRANSLATE(C4612, ""en"", ""ja""))"),"Dell 最新の Inspiron 15 3511 ラップトップ、15.6 FHD タッチスクリーン、Intel Core i5-1035G1、32GB RAM、1TB PCIe NVMe M.2 SSD、SD カード リーダー、ウェブカメラ、HDMI、WiFi、Windows 11 Home、ブラック")</f>
        <v>Dell 最新の Inspiron 15 3511 ラップトップ、15.6 FHD タッチスクリーン、Intel Core i5-1035G1、32GB RAM、1TB PCIe NVMe M.2 SSD、SD カード リーダー、ウェブカメラ、HDMI、WiFi、Windows 11 Home、ブラック</v>
      </c>
    </row>
    <row r="4613" ht="15.75" customHeight="1">
      <c r="A4613" s="1">
        <v>3688.0</v>
      </c>
      <c r="B4613" s="1" t="s">
        <v>15</v>
      </c>
      <c r="C4613" s="1" t="s">
        <v>3998</v>
      </c>
      <c r="D4613" s="1" t="str">
        <f>IFERROR(__xludf.DUMMYFUNCTION("CONCATENATE(GOOGLETRANSLATE(C4613, ""en"", ""zh-cn""))"),"HP 2022 最新 15.6 英寸高清触摸屏笔记本电脑，四核 Intel i5-1135G7（击败 i7-1065G7，高达 4.2GHz），Iris Xe 显卡，16GB RAM，512GB SSD，高清网络摄像头，WiFi，11+ 小时电池，Win11 S，Marxsolcables")</f>
        <v>HP 2022 最新 15.6 英寸高清触摸屏笔记本电脑，四核 Intel i5-1135G7（击败 i7-1065G7，高达 4.2GHz），Iris Xe 显卡，16GB RAM，512GB SSD，高清网络摄像头，WiFi，11+ 小时电池，Win11 S，Marxsolcables</v>
      </c>
      <c r="E4613" s="1" t="str">
        <f>IFERROR(__xludf.DUMMYFUNCTION("CONCATENATE(GOOGLETRANSLATE(C4613, ""en"", ""ko""))"),"HP 2022 최신 15.6인치 HD 터치스크린 노트북, 쿼드 코어 Intel i5-1135G7(Beat i7-1065G7, 최대 4.2GHz), Iris Xe 그래픽, 16GB RAM, 512GB SSD, HD 웹캠, WiFi, 11시간 이상의 배터리, Win11 S, Marxsolcables")</f>
        <v>HP 2022 최신 15.6인치 HD 터치스크린 노트북, 쿼드 코어 Intel i5-1135G7(Beat i7-1065G7, 최대 4.2GHz), Iris Xe 그래픽, 16GB RAM, 512GB SSD, HD 웹캠, WiFi, 11시간 이상의 배터리, Win11 S, Marxsolcables</v>
      </c>
      <c r="F4613" s="1" t="str">
        <f>IFERROR(__xludf.DUMMYFUNCTION("CONCATENATE(GOOGLETRANSLATE(C4613, ""en"", ""ja""))"),"HP 2022 最新 15.6 インチ HD タッチスクリーン ラップトップ、クアッドコア Intel i5-1135G7 (Beat i7-1065G7、最大 4.2GHz)、Iris Xe グラフィックス、16GB RAM、512GB SSD、HD ウェブカメラ、WiFi、11 時間以上のバッテリー、Win11 S、Marxsolcables")</f>
        <v>HP 2022 最新 15.6 インチ HD タッチスクリーン ラップトップ、クアッドコア Intel i5-1135G7 (Beat i7-1065G7、最大 4.2GHz)、Iris Xe グラフィックス、16GB RAM、512GB SSD、HD ウェブカメラ、WiFi、11 時間以上のバッテリー、Win11 S、Marxsolcables</v>
      </c>
    </row>
    <row r="4614" ht="15.75" customHeight="1">
      <c r="A4614" s="1">
        <v>3694.0</v>
      </c>
      <c r="B4614" s="1" t="s">
        <v>15</v>
      </c>
      <c r="C4614" s="1" t="s">
        <v>3999</v>
      </c>
      <c r="D4614" s="1" t="str">
        <f>IFERROR(__xludf.DUMMYFUNCTION("CONCATENATE(GOOGLETRANSLATE(C4614, ""en"", ""zh-cn""))"),"家庭和办公室台式电脑！非常适合办公室和学生使用的电脑！ [免费WIFI USB] Z3N™")</f>
        <v>家庭和办公室台式电脑！非常适合办公室和学生使用的电脑！ [免费WIFI USB] Z3N™</v>
      </c>
      <c r="E4614" s="1" t="str">
        <f>IFERROR(__xludf.DUMMYFUNCTION("CONCATENATE(GOOGLETRANSLATE(C4614, ""en"", ""ko""))"),"가정 및 사무실 데스크탑 컴퓨터! 사무실 및 학생용으로 사용하기 좋은 PC! [무료 WIFI USB] Z3N™")</f>
        <v>가정 및 사무실 데스크탑 컴퓨터! 사무실 및 학생용으로 사용하기 좋은 PC! [무료 WIFI USB] Z3N™</v>
      </c>
      <c r="F4614" s="1" t="str">
        <f>IFERROR(__xludf.DUMMYFUNCTION("CONCATENATE(GOOGLETRANSLATE(C4614, ""en"", ""ja""))"),"家庭やオフィスのデスクトップコンピュータ!オフィスや学生の使用に最適な PC! [無料WIFI USB] Z3N™")</f>
        <v>家庭やオフィスのデスクトップコンピュータ!オフィスや学生の使用に最適な PC! [無料WIFI USB] Z3N™</v>
      </c>
    </row>
    <row r="4615" ht="15.75" customHeight="1">
      <c r="A4615" s="1">
        <v>3698.0</v>
      </c>
      <c r="B4615" s="1" t="s">
        <v>15</v>
      </c>
      <c r="C4615" s="1" t="s">
        <v>4000</v>
      </c>
      <c r="D4615" s="1" t="str">
        <f>IFERROR(__xludf.DUMMYFUNCTION("CONCATENATE(GOOGLETRANSLATE(C4615, ""en"", ""zh-cn""))"),"当天发货新型号第 9 代 HP 590-p0053w Pavilion i5-9400 6 核 2.9 GHz (4.1 GHz Turbo) 16GB RAM 128GB SSD Win 10 +2TB HDD 配有新 Hp 键盘/HP 鼠标 1 年保修，升级，操作")</f>
        <v>当天发货新型号第 9 代 HP 590-p0053w Pavilion i5-9400 6 核 2.9 GHz (4.1 GHz Turbo) 16GB RAM 128GB SSD Win 10 +2TB HDD 配有新 Hp 键盘/HP 鼠标 1 年保修，升级，操作</v>
      </c>
      <c r="E4615" s="1" t="str">
        <f>IFERROR(__xludf.DUMMYFUNCTION("CONCATENATE(GOOGLETRANSLATE(C4615, ""en"", ""ko""))"),"당일 배송 새 모델 9세대 HP 590-p0053w Pavilion i5-9400 6코어 2.9GHz(4.1GHz 터보) 16GB RAM 128GB SSD Win 10 +2TB HDD(새 Hp 키보드/HP 마우스 포함) 1년 보증, 업그레이드됨, ope")</f>
        <v>당일 배송 새 모델 9세대 HP 590-p0053w Pavilion i5-9400 6코어 2.9GHz(4.1GHz 터보) 16GB RAM 128GB SSD Win 10 +2TB HDD(새 Hp 키보드/HP 마우스 포함) 1년 보증, 업그레이드됨, ope</v>
      </c>
      <c r="F4615" s="1" t="str">
        <f>IFERROR(__xludf.DUMMYFUNCTION("CONCATENATE(GOOGLETRANSLATE(C4615, ""en"", ""ja""))"),"即日発送 新モデル第 9 世代 HP 590-p0053w Pavilion i5-9400 6 コア 2.9 GHz (4.1 GHz ターボ) 16GB RAM 128GB SSD Win 10 +2TB HDD (新しい HP キーボード/HP マウス付き) 1 年保証、アップグレード、オペ")</f>
        <v>即日発送 新モデル第 9 世代 HP 590-p0053w Pavilion i5-9400 6 コア 2.9 GHz (4.1 GHz ターボ) 16GB RAM 128GB SSD Win 10 +2TB HDD (新しい HP キーボード/HP マウス付き) 1 年保証、アップグレード、オペ</v>
      </c>
    </row>
    <row r="4616" ht="15.75" customHeight="1">
      <c r="A4616" s="1">
        <v>3707.0</v>
      </c>
      <c r="B4616" s="1" t="s">
        <v>15</v>
      </c>
      <c r="C4616" s="1" t="s">
        <v>4001</v>
      </c>
      <c r="D4616" s="1" t="str">
        <f>IFERROR(__xludf.DUMMYFUNCTION("CONCATENATE(GOOGLETRANSLATE(C4616, ""en"", ""zh-cn""))"),"戴尔最新 Inspiron 15 3511 笔记本电脑，15.6 FHD 触摸屏，Intel Core i5-1035G1，16GB RAM，1TB PCIe NVMe M.2 SSD，SD 读卡器，网络摄像头，HDMI，WiFi，Windows 11 Home，黑色")</f>
        <v>戴尔最新 Inspiron 15 3511 笔记本电脑，15.6 FHD 触摸屏，Intel Core i5-1035G1，16GB RAM，1TB PCIe NVMe M.2 SSD，SD 读卡器，网络摄像头，HDMI，WiFi，Windows 11 Home，黑色</v>
      </c>
      <c r="E4616" s="1" t="str">
        <f>IFERROR(__xludf.DUMMYFUNCTION("CONCATENATE(GOOGLETRANSLATE(C4616, ""en"", ""ko""))"),"Dell 최신 Inspiron 15 3511 노트북, 15.6 FHD 터치스크린, Intel Core i5-1035G1, 16GB RAM, 1TB PCIe NVMe M.2 SSD, SD 카드 리더기, 웹캠, HDMI, WiFi, Windows 11 Home, 블랙")</f>
        <v>Dell 최신 Inspiron 15 3511 노트북, 15.6 FHD 터치스크린, Intel Core i5-1035G1, 16GB RAM, 1TB PCIe NVMe M.2 SSD, SD 카드 리더기, 웹캠, HDMI, WiFi, Windows 11 Home, 블랙</v>
      </c>
      <c r="F4616" s="1" t="str">
        <f>IFERROR(__xludf.DUMMYFUNCTION("CONCATENATE(GOOGLETRANSLATE(C4616, ""en"", ""ja""))"),"Dell 最新の Inspiron 15 3511 ラップトップ、15.6 FHD タッチスクリーン、Intel Core i5-1035G1、16GB RAM、1TB PCIe NVMe M.2 SSD、SD カード リーダー、ウェブカメラ、HDMI、WiFi、Windows 11 Home、ブラック")</f>
        <v>Dell 最新の Inspiron 15 3511 ラップトップ、15.6 FHD タッチスクリーン、Intel Core i5-1035G1、16GB RAM、1TB PCIe NVMe M.2 SSD、SD カード リーダー、ウェブカメラ、HDMI、WiFi、Windows 11 Home、ブラック</v>
      </c>
    </row>
    <row r="4617" ht="15.75" customHeight="1">
      <c r="A4617" s="1">
        <v>3721.0</v>
      </c>
      <c r="B4617" s="1" t="s">
        <v>15</v>
      </c>
      <c r="C4617" s="1" t="s">
        <v>4002</v>
      </c>
      <c r="D4617" s="1" t="str">
        <f>IFERROR(__xludf.DUMMYFUNCTION("CONCATENATE(GOOGLETRANSLATE(C4617, ""en"", ""zh-cn""))"),"HP 2022 最新 15 商务笔记本电脑，15.6 FHD，英特尔四核 i5-1135G7 高达 4.2GHz (Beat i7-1065G7)，8GB DDR4 RAM，256GB PCIe SSD，WiFi 6，蓝牙 5.2，Windows 11 Pro，64GB 闪存驱动器")</f>
        <v>HP 2022 最新 15 商务笔记本电脑，15.6 FHD，英特尔四核 i5-1135G7 高达 4.2GHz (Beat i7-1065G7)，8GB DDR4 RAM，256GB PCIe SSD，WiFi 6，蓝牙 5.2，Windows 11 Pro，64GB 闪存驱动器</v>
      </c>
      <c r="E4617" s="1" t="str">
        <f>IFERROR(__xludf.DUMMYFUNCTION("CONCATENATE(GOOGLETRANSLATE(C4617, ""en"", ""ko""))"),"HP 2022 최신 15개 비즈니스 노트북, 15.6 FHD, Intel 쿼드 코어 i5-1135G7 최대 4.2GHz(Beat i7-1065G7), 8GB DDR4 RAM, 256GB PCIe SSD, WiFi 6, Bluetooth 5.2, Windows 11 Pro, 64GB 플래시 드라이브")</f>
        <v>HP 2022 최신 15개 비즈니스 노트북, 15.6 FHD, Intel 쿼드 코어 i5-1135G7 최대 4.2GHz(Beat i7-1065G7), 8GB DDR4 RAM, 256GB PCIe SSD, WiFi 6, Bluetooth 5.2, Windows 11 Pro, 64GB 플래시 드라이브</v>
      </c>
      <c r="F4617" s="1" t="str">
        <f>IFERROR(__xludf.DUMMYFUNCTION("CONCATENATE(GOOGLETRANSLATE(C4617, ""en"", ""ja""))"),"HP 2022 最新 15 ビジネス ノートパソコン、15.6 FHD、インテル クアッドコア i5-1135G7 最大 4.2 GHz (Beat i7-1065G7)、8 GB DDR4 RAM、256 GB PCIe SSD、WiFi 6、Bluetooth 5.2、Windows 11 Pro、64 GB フラッシュ ドライブ")</f>
        <v>HP 2022 最新 15 ビジネス ノートパソコン、15.6 FHD、インテル クアッドコア i5-1135G7 最大 4.2 GHz (Beat i7-1065G7)、8 GB DDR4 RAM、256 GB PCIe SSD、WiFi 6、Bluetooth 5.2、Windows 11 Pro、64 GB フラッシュ ドライブ</v>
      </c>
    </row>
    <row r="4618" ht="15.75" customHeight="1">
      <c r="A4618" s="1">
        <v>3739.0</v>
      </c>
      <c r="B4618" s="1" t="s">
        <v>15</v>
      </c>
      <c r="C4618" s="1" t="s">
        <v>4003</v>
      </c>
      <c r="D4618" s="1" t="str">
        <f>IFERROR(__xludf.DUMMYFUNCTION("CONCATENATE(GOOGLETRANSLATE(C4618, ""en"", ""zh-cn""))"),"Fitnessandfun 30 英尺无缝充气投影仪电影屏幕户外前后大型剧院屏幕，适合户外、派对、活动和教堂（30 英尺带鼓风机）")</f>
        <v>Fitnessandfun 30 英尺无缝充气投影仪电影屏幕户外前后大型剧院屏幕，适合户外、派对、活动和教堂（30 英尺带鼓风机）</v>
      </c>
      <c r="E4618" s="1" t="str">
        <f>IFERROR(__xludf.DUMMYFUNCTION("CONCATENATE(GOOGLETRANSLATE(C4618, ""en"", ""ko""))"),"Fitnessandfun 외부, 파티, 활동 및 교회를 위한 30피트 원활한 풍선 프로젝터 영화 스크린 야외 전면 및 후면 메가 극장 스크린(송풍기가 있는 30피트)")</f>
        <v>Fitnessandfun 외부, 파티, 활동 및 교회를 위한 30피트 원활한 풍선 프로젝터 영화 스크린 야외 전면 및 후면 메가 극장 스크린(송풍기가 있는 30피트)</v>
      </c>
      <c r="F4618" s="1" t="str">
        <f>IFERROR(__xludf.DUMMYFUNCTION("CONCATENATE(GOOGLETRANSLATE(C4618, ""en"", ""ja""))"),"Fitnessandfun 30 フィート シームレス インフレータブル プロジェクター ムービー スクリーン 屋外 フロントおよびリア メガ シアター スクリーン 屋外、パーティー、アクティビティ、教会用 (送風機付き 30 フィート)")</f>
        <v>Fitnessandfun 30 フィート シームレス インフレータブル プロジェクター ムービー スクリーン 屋外 フロントおよびリア メガ シアター スクリーン 屋外、パーティー、アクティビティ、教会用 (送風機付き 30 フィート)</v>
      </c>
    </row>
    <row r="4619" ht="15.75" customHeight="1">
      <c r="A4619" s="1">
        <v>3747.0</v>
      </c>
      <c r="B4619" s="1" t="s">
        <v>15</v>
      </c>
      <c r="C4619" s="1" t="s">
        <v>4004</v>
      </c>
      <c r="D4619" s="1" t="str">
        <f>IFERROR(__xludf.DUMMYFUNCTION("CONCATENATE(GOOGLETRANSLATE(C4619, ""en"", ""zh-cn""))"),"SINGTRONIC KA-550Pro 专业1500W卡拉OK混音功放，内置录音功能，蓝牙功能（连接智能设备在YouTube上唱歌），光纤/同轴输入")</f>
        <v>SINGTRONIC KA-550Pro 专业1500W卡拉OK混音功放，内置录音功能，蓝牙功能（连接智能设备在YouTube上唱歌），光纤/同轴输入</v>
      </c>
      <c r="E4619" s="1" t="str">
        <f>IFERROR(__xludf.DUMMYFUNCTION("CONCATENATE(GOOGLETRANSLATE(C4619, ""en"", ""ko""))"),"SINGTRONIC KA-550Pro Professional 1500W 믹싱 앰프 가라오케, 음성 녹음 기능 내장, Bluetooth 기능(YouTube에서 노래하려면 스마트 장치에 연결), 광/동축 입력")</f>
        <v>SINGTRONIC KA-550Pro Professional 1500W 믹싱 앰프 가라오케, 음성 녹음 기능 내장, Bluetooth 기능(YouTube에서 노래하려면 스마트 장치에 연결), 광/동축 입력</v>
      </c>
      <c r="F4619" s="1" t="str">
        <f>IFERROR(__xludf.DUMMYFUNCTION("CONCATENATE(GOOGLETRANSLATE(C4619, ""en"", ""ja""))"),"SINGTRONIC KA-550Pro プロフェッショナル 1500W ミキシングアンプ カラオケ、音声録音機能内蔵、Bluetooth 機能 (スマートデバイスに接続して YouTube で歌えます)、光/同軸入力")</f>
        <v>SINGTRONIC KA-550Pro プロフェッショナル 1500W ミキシングアンプ カラオケ、音声録音機能内蔵、Bluetooth 機能 (スマートデバイスに接続して YouTube で歌えます)、光/同軸入力</v>
      </c>
    </row>
    <row r="4620" ht="15.75" customHeight="1">
      <c r="A4620" s="1">
        <v>3751.0</v>
      </c>
      <c r="B4620" s="1" t="s">
        <v>15</v>
      </c>
      <c r="C4620" s="1" t="s">
        <v>4005</v>
      </c>
      <c r="D4620" s="1" t="str">
        <f>IFERROR(__xludf.DUMMYFUNCTION("CONCATENATE(GOOGLETRANSLATE(C4620, ""en"", ""zh-cn""))"),"[游戏/CAD 设计] HP EliteDesk 800 G2 SFF Intel Core i7-6700 第 6 代 8GB DDR4 RAM 256GB 全新 SSD，配备 AMD RADEON GPU Windows 10 Pro，MS Office [翻新]")</f>
        <v>[游戏/CAD 设计] HP EliteDesk 800 G2 SFF Intel Core i7-6700 第 6 代 8GB DDR4 RAM 256GB 全新 SSD，配备 AMD RADEON GPU Windows 10 Pro，MS Office [翻新]</v>
      </c>
      <c r="E4620" s="1" t="str">
        <f>IFERROR(__xludf.DUMMYFUNCTION("CONCATENATE(GOOGLETRANSLATE(C4620, ""en"", ""ko""))"),"[게임/CAD 디자인] HP EliteDesk 800 G2 SFF Intel Core i7-6700 6세대 8GB DDR4 RAM 256GB 새 SSD, AMD RADEON GPU Windows 10 Pro, MS Office [리퍼브 상품]")</f>
        <v>[게임/CAD 디자인] HP EliteDesk 800 G2 SFF Intel Core i7-6700 6세대 8GB DDR4 RAM 256GB 새 SSD, AMD RADEON GPU Windows 10 Pro, MS Office [리퍼브 상품]</v>
      </c>
      <c r="F4620" s="1" t="str">
        <f>IFERROR(__xludf.DUMMYFUNCTION("CONCATENATE(GOOGLETRANSLATE(C4620, ""en"", ""ja""))"),"[ゲーム/CAD デザイン] HP EliteDesk 800 G2 SFF Intel Core i7-6700 第 6 世代 8GB DDR4 RAM 256GB 新品 SSD、AMD RADEON GPU Windows 10 Pro、MS Office [整備済]")</f>
        <v>[ゲーム/CAD デザイン] HP EliteDesk 800 G2 SFF Intel Core i7-6700 第 6 世代 8GB DDR4 RAM 256GB 新品 SSD、AMD RADEON GPU Windows 10 Pro、MS Office [整備済]</v>
      </c>
    </row>
    <row r="4621" ht="15.75" customHeight="1">
      <c r="A4621" s="1">
        <v>3752.0</v>
      </c>
      <c r="B4621" s="1" t="s">
        <v>15</v>
      </c>
      <c r="C4621" s="1" t="s">
        <v>4006</v>
      </c>
      <c r="D4621" s="1" t="str">
        <f>IFERROR(__xludf.DUMMYFUNCTION("CONCATENATE(GOOGLETRANSLATE(C4621, ""en"", ""zh-cn""))"),"联想 ThinkCentre M700z 一体机台式机 / i5-6th / 8GB RAM / 256GB SSD/ Win 10 pro / MS Office /免费 USB 有线键盘和鼠标（翻新）")</f>
        <v>联想 ThinkCentre M700z 一体机台式机 / i5-6th / 8GB RAM / 256GB SSD/ Win 10 pro / MS Office /免费 USB 有线键盘和鼠标（翻新）</v>
      </c>
      <c r="E4621" s="1" t="str">
        <f>IFERROR(__xludf.DUMMYFUNCTION("CONCATENATE(GOOGLETRANSLATE(C4621, ""en"", ""ko""))"),"Lenovo ThinkCentre M700z AIO 데스크탑 / i5-6th / 8GB RAM / 256GB SSD/ Win 10 pro / MS 오피스 /무료 USB 와이어 키보드 및 마우스(리퍼브)")</f>
        <v>Lenovo ThinkCentre M700z AIO 데스크탑 / i5-6th / 8GB RAM / 256GB SSD/ Win 10 pro / MS 오피스 /무료 USB 와이어 키보드 및 마우스(리퍼브)</v>
      </c>
      <c r="F4621" s="1" t="str">
        <f>IFERROR(__xludf.DUMMYFUNCTION("CONCATENATE(GOOGLETRANSLATE(C4621, ""en"", ""ja""))"),"Lenovo ThinkCentre M700z AIO デスクトップ / i5-6th / 8GB RAM / 256GB SSD/ Win 10 pro / MS office /無料 USB ワイヤーキーボードとマウス (整備済)")</f>
        <v>Lenovo ThinkCentre M700z AIO デスクトップ / i5-6th / 8GB RAM / 256GB SSD/ Win 10 pro / MS office /無料 USB ワイヤーキーボードとマウス (整備済)</v>
      </c>
    </row>
    <row r="4622" ht="15.75" customHeight="1">
      <c r="A4622" s="1">
        <v>3759.0</v>
      </c>
      <c r="B4622" s="1" t="s">
        <v>15</v>
      </c>
      <c r="C4622" s="1" t="s">
        <v>4007</v>
      </c>
      <c r="D4622" s="1" t="str">
        <f>IFERROR(__xludf.DUMMYFUNCTION("CONCATENATE(GOOGLETRANSLATE(C4622, ""en"", ""zh-cn""))"),"HP 305A 黑色、青色、品红色、黄色碳粉盒（4 件装） |适用于 LaserJet Pro 300 M351， LaserJet Pro 300 MFP M375， LaserJet Pro 400 M451， LaserJet Pro 400 MFP M475 | CE305AQ1")</f>
        <v>HP 305A 黑色、青色、品红色、黄色碳粉盒（4 件装） |适用于 LaserJet Pro 300 M351， LaserJet Pro 300 MFP M375， LaserJet Pro 400 M451， LaserJet Pro 400 MFP M475 | CE305AQ1</v>
      </c>
      <c r="E4622" s="1" t="str">
        <f>IFERROR(__xludf.DUMMYFUNCTION("CONCATENATE(GOOGLETRANSLATE(C4622, ""en"", ""ko""))"),"HP 305A 검정, 시안, 마젠타, 노랑 토너 카트리지(4팩) | LaserJet Pro 300 M351, LaserJet Pro 300 MFP M375, LaserJet Pro 400 M451, LaserJet Pro 400 MFP M475와 함께 작동 | CE305AQ1")</f>
        <v>HP 305A 검정, 시안, 마젠타, 노랑 토너 카트리지(4팩) | LaserJet Pro 300 M351, LaserJet Pro 300 MFP M375, LaserJet Pro 400 M451, LaserJet Pro 400 MFP M475와 함께 작동 | CE305AQ1</v>
      </c>
      <c r="F4622" s="1" t="str">
        <f>IFERROR(__xludf.DUMMYFUNCTION("CONCATENATE(GOOGLETRANSLATE(C4622, ""en"", ""ja""))"),"HP 305A ブラック、シアン、マゼンタ、イエロー トナー カートリッジ (4 パック) | LaserJet Pro 300 M351、LaserJet Pro 300 MFP M375、LaserJet Pro 400 M451、LaserJet Pro 400 MFP M475 で動作 | CE305AQ1")</f>
        <v>HP 305A ブラック、シアン、マゼンタ、イエロー トナー カートリッジ (4 パック) | LaserJet Pro 300 M351、LaserJet Pro 300 MFP M375、LaserJet Pro 400 M451、LaserJet Pro 400 MFP M475 で動作 | CE305AQ1</v>
      </c>
    </row>
    <row r="4623" ht="15.75" customHeight="1">
      <c r="A4623" s="1">
        <v>3766.0</v>
      </c>
      <c r="B4623" s="1" t="s">
        <v>15</v>
      </c>
      <c r="C4623" s="1" t="s">
        <v>4008</v>
      </c>
      <c r="D4623" s="1" t="str">
        <f>IFERROR(__xludf.DUMMYFUNCTION("CONCATENATE(GOOGLETRANSLATE(C4623, ""en"", ""zh-cn""))"),"戴尔 Precision 7720 17.3 FHD，酷睿 i7 6820HQ 2.7GHz，32GB RAM，512GB SSD，Windows 10 Pro 64 位，CAM（更新）")</f>
        <v>戴尔 Precision 7720 17.3 FHD，酷睿 i7 6820HQ 2.7GHz，32GB RAM，512GB SSD，Windows 10 Pro 64 位，CAM（更新）</v>
      </c>
      <c r="E4623" s="1" t="str">
        <f>IFERROR(__xludf.DUMMYFUNCTION("CONCATENATE(GOOGLETRANSLATE(C4623, ""en"", ""ko""))"),"Dell Precision 7720 17.3 FHD, Core i7 6820HQ 2.7GHz, 32GB RAM, 512GB SSD, Windows 10 Pro 64Bit, CAM(리뉴얼)")</f>
        <v>Dell Precision 7720 17.3 FHD, Core i7 6820HQ 2.7GHz, 32GB RAM, 512GB SSD, Windows 10 Pro 64Bit, CAM(리뉴얼)</v>
      </c>
      <c r="F4623" s="1" t="str">
        <f>IFERROR(__xludf.DUMMYFUNCTION("CONCATENATE(GOOGLETRANSLATE(C4623, ""en"", ""ja""))"),"Dell Precision 7720 17.3 FHD、Core i7 6820HQ 2.7GHz、32GB RAM、512GB SSD、Windows 10 Pro 64Bit、CAM (リニューアル)")</f>
        <v>Dell Precision 7720 17.3 FHD、Core i7 6820HQ 2.7GHz、32GB RAM、512GB SSD、Windows 10 Pro 64Bit、CAM (リニューアル)</v>
      </c>
    </row>
    <row r="4624" ht="15.75" customHeight="1">
      <c r="A4624" s="1">
        <v>3768.0</v>
      </c>
      <c r="B4624" s="1" t="s">
        <v>15</v>
      </c>
      <c r="C4624" s="1" t="s">
        <v>4009</v>
      </c>
      <c r="D4624" s="1" t="str">
        <f>IFERROR(__xludf.DUMMYFUNCTION("CONCATENATE(GOOGLETRANSLATE(C4624, ""en"", ""zh-cn""))"),"Fujitsu ScanSnap PA03603-B005 S1300 Instant PDF 单张纸移动扫描仪")</f>
        <v>Fujitsu ScanSnap PA03603-B005 S1300 Instant PDF 单张纸移动扫描仪</v>
      </c>
      <c r="E4624" s="1" t="str">
        <f>IFERROR(__xludf.DUMMYFUNCTION("CONCATENATE(GOOGLETRANSLATE(C4624, ""en"", ""ko""))"),"Fujitsu ScanSnap PA03603-B005 S1300 즉석 PDF 시트 급지 모바일 스캐너")</f>
        <v>Fujitsu ScanSnap PA03603-B005 S1300 즉석 PDF 시트 급지 모바일 스캐너</v>
      </c>
      <c r="F4624" s="1" t="str">
        <f>IFERROR(__xludf.DUMMYFUNCTION("CONCATENATE(GOOGLETRANSLATE(C4624, ""en"", ""ja""))"),"富士通 ScanSnap PA03603-B005 S1300 インスタント PDF シートフィード モバイル スキャナー")</f>
        <v>富士通 ScanSnap PA03603-B005 S1300 インスタント PDF シートフィード モバイル スキャナー</v>
      </c>
    </row>
    <row r="4625" ht="15.75" customHeight="1">
      <c r="A4625" s="1">
        <v>3773.0</v>
      </c>
      <c r="B4625" s="1" t="s">
        <v>15</v>
      </c>
      <c r="C4625" s="1" t="s">
        <v>4010</v>
      </c>
      <c r="D4625" s="1" t="str">
        <f>IFERROR(__xludf.DUMMYFUNCTION("CONCATENATE(GOOGLETRANSLATE(C4625, ""en"", ""zh-cn""))"),"Lenovo - 2022 - IdeaPad 3i - 日常笔记本电脑 - Intel Core i5 第 12 代 - 14.0 FHD 显示屏 - 8GB 内存 - 256GB 存储 - Windows 11 主页")</f>
        <v>Lenovo - 2022 - IdeaPad 3i - 日常笔记本电脑 - Intel Core i5 第 12 代 - 14.0 FHD 显示屏 - 8GB 内存 - 256GB 存储 - Windows 11 主页</v>
      </c>
      <c r="E4625" s="1" t="str">
        <f>IFERROR(__xludf.DUMMYFUNCTION("CONCATENATE(GOOGLETRANSLATE(C4625, ""en"", ""ko""))"),"Lenovo - 2022 - IdeaPad 3i - 일상용 노트북 컴퓨터 - Intel Core i5 12세대 - 14.0 FHD 디스플레이 - 8GB 메모리 - 256GB 스토리지 - Windows 11 Home")</f>
        <v>Lenovo - 2022 - IdeaPad 3i - 일상용 노트북 컴퓨터 - Intel Core i5 12세대 - 14.0 FHD 디스플레이 - 8GB 메모리 - 256GB 스토리지 - Windows 11 Home</v>
      </c>
      <c r="F4625" s="1" t="str">
        <f>IFERROR(__xludf.DUMMYFUNCTION("CONCATENATE(GOOGLETRANSLATE(C4625, ""en"", ""ja""))"),"Lenovo - 2022 - IdeaPad 3i - 普段使いのラップトップ コンピューター - Intel Core i5 第 12 世代 - 14.0 FHD ディスプレイ - 8GB メモリ - 256GB ストレージ - Windows 11 Home")</f>
        <v>Lenovo - 2022 - IdeaPad 3i - 普段使いのラップトップ コンピューター - Intel Core i5 第 12 世代 - 14.0 FHD ディスプレイ - 8GB メモリ - 256GB ストレージ - Windows 11 Home</v>
      </c>
    </row>
    <row r="4626" ht="15.75" customHeight="1">
      <c r="A4626" s="1">
        <v>3775.0</v>
      </c>
      <c r="B4626" s="1" t="s">
        <v>15</v>
      </c>
      <c r="C4626" s="1" t="s">
        <v>4011</v>
      </c>
      <c r="D4626" s="1" t="str">
        <f>IFERROR(__xludf.DUMMYFUNCTION("CONCATENATE(GOOGLETRANSLATE(C4626, ""en"", ""zh-cn""))"),"Apple 2022 10.9 英寸 iPad (Wi-Fi，64GB) - 蓝色（第 10 代）")</f>
        <v>Apple 2022 10.9 英寸 iPad (Wi-Fi，64GB) - 蓝色（第 10 代）</v>
      </c>
      <c r="E4626" s="1" t="str">
        <f>IFERROR(__xludf.DUMMYFUNCTION("CONCATENATE(GOOGLETRANSLATE(C4626, ""en"", ""ko""))"),"애플 2022 10.9인치 아이패드(와이파이, 64GB) - 블루(10세대)")</f>
        <v>애플 2022 10.9인치 아이패드(와이파이, 64GB) - 블루(10세대)</v>
      </c>
      <c r="F4626" s="1" t="str">
        <f>IFERROR(__xludf.DUMMYFUNCTION("CONCATENATE(GOOGLETRANSLATE(C4626, ""en"", ""ja""))"),"Apple 2022 10.9 インチ iPad (Wi-Fi、64GB) - ブルー (第 10 世代)")</f>
        <v>Apple 2022 10.9 インチ iPad (Wi-Fi、64GB) - ブルー (第 10 世代)</v>
      </c>
    </row>
    <row r="4627" ht="15.75" customHeight="1">
      <c r="A4627" s="1">
        <v>3783.0</v>
      </c>
      <c r="B4627" s="1" t="s">
        <v>15</v>
      </c>
      <c r="C4627" s="1" t="s">
        <v>4012</v>
      </c>
      <c r="D4627" s="1" t="str">
        <f>IFERROR(__xludf.DUMMYFUNCTION("CONCATENATE(GOOGLETRANSLATE(C4627, ""en"", ""zh-cn""))"),"bjyx 鞋架金属旋转鞋柜立式圆形鞋架储物简约现代适合入口（尺寸：50 x 13.8 英寸）9 楼金色")</f>
        <v>bjyx 鞋架金属旋转鞋柜立式圆形鞋架储物简约现代适合入口（尺寸：50 x 13.8 英寸）9 楼金色</v>
      </c>
      <c r="E4627" s="1" t="str">
        <f>IFERROR(__xludf.DUMMYFUNCTION("CONCATENATE(GOOGLETRANSLATE(C4627, ""en"", ""ko""))"),"bjyx 신발장 금속 회전 신발 캐비닛 수직 원형 신발장 보관 입구용 심플하고 모던함(크기: 50 x 13.8in) 9층 골드")</f>
        <v>bjyx 신발장 금속 회전 신발 캐비닛 수직 원형 신발장 보관 입구용 심플하고 모던함(크기: 50 x 13.8in) 9층 골드</v>
      </c>
      <c r="F4627" s="1" t="str">
        <f>IFERROR(__xludf.DUMMYFUNCTION("CONCATENATE(GOOGLETRANSLATE(C4627, ""en"", ""ja""))"),"bjyx シューズラック 金属製回転シューズキャビネット 垂直ラウンドシューズラック ストレージ シンプルでモダン 玄関用 (サイズ : 50 x 13.8インチ) 9階ゴールド")</f>
        <v>bjyx シューズラック 金属製回転シューズキャビネット 垂直ラウンドシューズラック ストレージ シンプルでモダン 玄関用 (サイズ : 50 x 13.8インチ) 9階ゴールド</v>
      </c>
    </row>
    <row r="4628" ht="15.75" customHeight="1">
      <c r="A4628" s="1">
        <v>3794.0</v>
      </c>
      <c r="B4628" s="1" t="s">
        <v>15</v>
      </c>
      <c r="C4628" s="1" t="s">
        <v>4013</v>
      </c>
      <c r="D4628" s="1" t="str">
        <f>IFERROR(__xludf.DUMMYFUNCTION("CONCATENATE(GOOGLETRANSLATE(C4628, ""en"", ""zh-cn""))"),"HP 15.6 笔记本电脑，配备 Intel 4 核 CPU、15.6 高清 LED 显示屏、Intel 四核处理器、蓝牙和 Wi-Fi、HDMI、长电池寿命、Windows 11 Home S 模式（16GB RAM | 1TB SSD）")</f>
        <v>HP 15.6 笔记本电脑，配备 Intel 4 核 CPU、15.6 高清 LED 显示屏、Intel 四核处理器、蓝牙和 Wi-Fi、HDMI、长电池寿命、Windows 11 Home S 模式（16GB RAM | 1TB SSD）</v>
      </c>
      <c r="E4628" s="1" t="str">
        <f>IFERROR(__xludf.DUMMYFUNCTION("CONCATENATE(GOOGLETRANSLATE(C4628, ""en"", ""ko""))"),"Intel 4코어 CPU, 15.6 HD LED 디스플레이, Intel 쿼드 코어 프로세서, Bluetooth 및 Wi-Fi, HDMI, 긴 배터리 수명, S 모드의 Windows 11 Home(16GB RAM | 1TB SSD)을 갖춘 HP 15.6 노트북")</f>
        <v>Intel 4코어 CPU, 15.6 HD LED 디스플레이, Intel 쿼드 코어 프로세서, Bluetooth 및 Wi-Fi, HDMI, 긴 배터리 수명, S 모드의 Windows 11 Home(16GB RAM | 1TB SSD)을 갖춘 HP 15.6 노트북</v>
      </c>
      <c r="F4628" s="1" t="str">
        <f>IFERROR(__xludf.DUMMYFUNCTION("CONCATENATE(GOOGLETRANSLATE(C4628, ""en"", ""ja""))"),"Intel 4 コア CPU、15.6 HD LED ディスプレイ、Intel クアッドコア プロセッサー、Bluetooth および Wi-Fi、HDMI、長いバッテリー寿命、S モードの Windows 11 Home (16GB RAM | 1TB SSD) を搭載した HP 15.6 ラップトップ")</f>
        <v>Intel 4 コア CPU、15.6 HD LED ディスプレイ、Intel クアッドコア プロセッサー、Bluetooth および Wi-Fi、HDMI、長いバッテリー寿命、S モードの Windows 11 Home (16GB RAM | 1TB SSD) を搭載した HP 15.6 ラップトップ</v>
      </c>
    </row>
    <row r="4629" ht="15.75" customHeight="1">
      <c r="A4629" s="1">
        <v>3798.0</v>
      </c>
      <c r="B4629" s="1" t="s">
        <v>15</v>
      </c>
      <c r="C4629" s="1" t="s">
        <v>4014</v>
      </c>
      <c r="D4629" s="1" t="str">
        <f>IFERROR(__xludf.DUMMYFUNCTION("CONCATENATE(GOOGLETRANSLATE(C4629, ""en"", ""zh-cn""))"),"松下专业 XLR 音频视频麦克风适配器，带 2 个 XLR 端子 - 配件兼容 LUMIX GH5、GH5S、S1 和 S1R 无反光镜数码相机 - DMW-XLR1，黑色")</f>
        <v>松下专业 XLR 音频视频麦克风适配器，带 2 个 XLR 端子 - 配件兼容 LUMIX GH5、GH5S、S1 和 S1R 无反光镜数码相机 - DMW-XLR1，黑色</v>
      </c>
      <c r="E4629" s="1" t="str">
        <f>IFERROR(__xludf.DUMMYFUNCTION("CONCATENATE(GOOGLETRANSLATE(C4629, ""en"", ""ko""))"),"Panasonic 프로페셔널 XLR 오디오 비디오 마이크 어댑터(XLR 단자 2개 포함) - LUMIX GH5, GH5S, S1 및 S1R 미러리스 디지털 카메라와 호환되는 액세서리 - DMW-XLR1, 블랙")</f>
        <v>Panasonic 프로페셔널 XLR 오디오 비디오 마이크 어댑터(XLR 단자 2개 포함) - LUMIX GH5, GH5S, S1 및 S1R 미러리스 디지털 카메라와 호환되는 액세서리 - DMW-XLR1, 블랙</v>
      </c>
      <c r="F4629" s="1" t="str">
        <f>IFERROR(__xludf.DUMMYFUNCTION("CONCATENATE(GOOGLETRANSLATE(C4629, ""en"", ""ja""))"),"パナソニック プロフェッショナル XLR オーディオ ビデオ マイク アダプター 2 つの XLR 端子付き – アクセサリー LUMIX GH5、GH5S、S1 および S1R ミラーレス デジタル カメラと互換性あり – DMW-XLR1、ブラック")</f>
        <v>パナソニック プロフェッショナル XLR オーディオ ビデオ マイク アダプター 2 つの XLR 端子付き – アクセサリー LUMIX GH5、GH5S、S1 および S1R ミラーレス デジタル カメラと互換性あり – DMW-XLR1、ブラック</v>
      </c>
    </row>
    <row r="4630" ht="15.75" customHeight="1">
      <c r="A4630" s="1">
        <v>3803.0</v>
      </c>
      <c r="B4630" s="1" t="s">
        <v>15</v>
      </c>
      <c r="C4630" s="1" t="s">
        <v>4015</v>
      </c>
      <c r="D4630" s="1" t="str">
        <f>IFERROR(__xludf.DUMMYFUNCTION("CONCATENATE(GOOGLETRANSLATE(C4630, ""en"", ""zh-cn""))"),"宏碁 Aspire 5 A515-45-R74Z 超薄笔记本电脑 | 15.6全高清IPS | AMD Ryzen 5 5500U 六核移动处理器 | AMD Radeon 显卡 | 8GB DDR4 | 256GB NVMe 固态硬盘 |无线网络6 |背光知识库 | Windows 11 家庭版")</f>
        <v>宏碁 Aspire 5 A515-45-R74Z 超薄笔记本电脑 | 15.6全高清IPS | AMD Ryzen 5 5500U 六核移动处理器 | AMD Radeon 显卡 | 8GB DDR4 | 256GB NVMe 固态硬盘 |无线网络6 |背光知识库 | Windows 11 家庭版</v>
      </c>
      <c r="E4630" s="1" t="str">
        <f>IFERROR(__xludf.DUMMYFUNCTION("CONCATENATE(GOOGLETRANSLATE(C4630, ""en"", ""ko""))"),"Acer Aspire 5 A515-45-R74Z 슬림 노트북 | 15.6 풀 HD IPS | AMD Ryzen 5 5500U 헥사코어 모바일 프로세서 | AMD 라데온 그래픽 | 8GB DDR4 | 256GB NVMe SSD | 와이파이 6 | 백라이트 KB | 윈도우 11 홈")</f>
        <v>Acer Aspire 5 A515-45-R74Z 슬림 노트북 | 15.6 풀 HD IPS | AMD Ryzen 5 5500U 헥사코어 모바일 프로세서 | AMD 라데온 그래픽 | 8GB DDR4 | 256GB NVMe SSD | 와이파이 6 | 백라이트 KB | 윈도우 11 홈</v>
      </c>
      <c r="F4630" s="1" t="str">
        <f>IFERROR(__xludf.DUMMYFUNCTION("CONCATENATE(GOOGLETRANSLATE(C4630, ""en"", ""ja""))"),"Acer Aspire 5 A515-45-R74Z スリム ノートパソコン | 15.6 フル HD IPS | AMD Ryzen 5 5500U ヘキサコア モバイル プロセッサ | AMD Radeon グラフィックス | 8GB DDR4 | 256GB NVMe SSD | WiFi6 |バックライト付きKB | Windows 11 ホーム")</f>
        <v>Acer Aspire 5 A515-45-R74Z スリム ノートパソコン | 15.6 フル HD IPS | AMD Ryzen 5 5500U ヘキサコア モバイル プロセッサ | AMD Radeon グラフィックス | 8GB DDR4 | 256GB NVMe SSD | WiFi6 |バックライト付きKB | Windows 11 ホーム</v>
      </c>
    </row>
    <row r="4631" ht="15.75" customHeight="1">
      <c r="A4631" s="1">
        <v>3806.0</v>
      </c>
      <c r="B4631" s="1" t="s">
        <v>15</v>
      </c>
      <c r="C4631" s="1" t="s">
        <v>4016</v>
      </c>
      <c r="D4631" s="1" t="str">
        <f>IFERROR(__xludf.DUMMYFUNCTION("CONCATENATE(GOOGLETRANSLATE(C4631, ""en"", ""zh-cn""))"),"HIKV DS-7616NI-I2/16P 16 路 16 PoE 4K NVR 网络录像机，高达 12MP 分辨率输入，嵌入式即插即用，支持两路音频和报警输入/输出，英文原版（无硬盘）")</f>
        <v>HIKV DS-7616NI-I2/16P 16 路 16 PoE 4K NVR 网络录像机，高达 12MP 分辨率输入，嵌入式即插即用，支持两路音频和报警输入/输出，英文原版（无硬盘）</v>
      </c>
      <c r="E4631" s="1" t="str">
        <f>IFERROR(__xludf.DUMMYFUNCTION("CONCATENATE(GOOGLETRANSLATE(C4631, ""en"", ""ko""))"),"HIKV DS-7616NI-I2/16P 16 채널 16 PoE 4K NVR 네트워크 비디오 레코더, 최대 12MP 해상도 입력, 내장형 플러그 앤 플레이, 양방향 오디오 및 알람 입/출력 지원, 원본 영어 버전(HDD 없음)")</f>
        <v>HIKV DS-7616NI-I2/16P 16 채널 16 PoE 4K NVR 네트워크 비디오 레코더, 최대 12MP 해상도 입력, 내장형 플러그 앤 플레이, 양방향 오디오 및 알람 입/출력 지원, 원본 영어 버전(HDD 없음)</v>
      </c>
      <c r="F4631" s="1" t="str">
        <f>IFERROR(__xludf.DUMMYFUNCTION("CONCATENATE(GOOGLETRANSLATE(C4631, ""en"", ""ja""))"),"HIKV DS-7616NI-I2/16P 16 チャンネル 16 PoE 4K NVR ネットワークビデオレコーダー、最大 12MP 解像度入力、組み込みプラグアンドプレイ、双方向オーディオおよびアラームイン/アウトをサポート、オリジナル英語版 (HDD なし)")</f>
        <v>HIKV DS-7616NI-I2/16P 16 チャンネル 16 PoE 4K NVR ネットワークビデオレコーダー、最大 12MP 解像度入力、組み込みプラグアンドプレイ、双方向オーディオおよびアラームイン/アウトをサポート、オリジナル英語版 (HDD なし)</v>
      </c>
    </row>
    <row r="4632" ht="15.75" customHeight="1">
      <c r="A4632" s="1">
        <v>3812.0</v>
      </c>
      <c r="B4632" s="1" t="s">
        <v>15</v>
      </c>
      <c r="C4632" s="1" t="s">
        <v>4017</v>
      </c>
      <c r="D4632" s="1" t="str">
        <f>IFERROR(__xludf.DUMMYFUNCTION("CONCATENATE(GOOGLETRANSLATE(C4632, ""en"", ""zh-cn""))"),"联想 2022 最新 Ideapad 3 笔记本电脑，15.6 高清触摸屏，第 11 代英特尔酷睿 i3-1115G4 处理器，8GB DDR4 RAM，256GB PCIe NVMe SSD，HDMI，网络摄像头，Wi-Fi 5，蓝牙，Windows 11 Home，杏仁")</f>
        <v>联想 2022 最新 Ideapad 3 笔记本电脑，15.6 高清触摸屏，第 11 代英特尔酷睿 i3-1115G4 处理器，8GB DDR4 RAM，256GB PCIe NVMe SSD，HDMI，网络摄像头，Wi-Fi 5，蓝牙，Windows 11 Home，杏仁</v>
      </c>
      <c r="E4632" s="1" t="str">
        <f>IFERROR(__xludf.DUMMYFUNCTION("CONCATENATE(GOOGLETRANSLATE(C4632, ""en"", ""ko""))"),"Lenovo 2022 최신 Ideapad 3 노트북, 15.6 HD 터치스크린, 11세대 Intel Core i3-1115G4 프로세서, 8GB DDR4 RAM, 256GB PCIe NVMe SSD, HDMI, 웹캠, Wi-Fi 5, Bluetooth, Windows 11 Home, Almond")</f>
        <v>Lenovo 2022 최신 Ideapad 3 노트북, 15.6 HD 터치스크린, 11세대 Intel Core i3-1115G4 프로세서, 8GB DDR4 RAM, 256GB PCIe NVMe SSD, HDMI, 웹캠, Wi-Fi 5, Bluetooth, Windows 11 Home, Almond</v>
      </c>
      <c r="F4632" s="1" t="str">
        <f>IFERROR(__xludf.DUMMYFUNCTION("CONCATENATE(GOOGLETRANSLATE(C4632, ""en"", ""ja""))"),"Lenovo 2022 最新 Ideapad 3 ラップトップ、15.6 HD タッチスクリーン、第 11 世代インテル Core i3-1115G4 プロセッサー、8GB DDR4 RAM、256GB PCIe NVMe SSD、HDMI、ウェブカメラ、Wi-Fi 5、Bluetooth、Windows 11 Home、Almond")</f>
        <v>Lenovo 2022 最新 Ideapad 3 ラップトップ、15.6 HD タッチスクリーン、第 11 世代インテル Core i3-1115G4 プロセッサー、8GB DDR4 RAM、256GB PCIe NVMe SSD、HDMI、ウェブカメラ、Wi-Fi 5、Bluetooth、Windows 11 Home、Almond</v>
      </c>
    </row>
    <row r="4633" ht="15.75" customHeight="1">
      <c r="A4633" s="1">
        <v>3884.0</v>
      </c>
      <c r="B4633" s="1" t="s">
        <v>15</v>
      </c>
      <c r="C4633" s="1" t="s">
        <v>2790</v>
      </c>
      <c r="D4633" s="1" t="str">
        <f>IFERROR(__xludf.DUMMYFUNCTION("CONCATENATE(GOOGLETRANSLATE(C4633, ""en"", ""zh-cn""))"),"三星 Galaxy S23 手机，工厂解锁 Android 智能手机，256GB 存储空间，50MP 摄像头，夜间模式，长电池寿命，自适应显示，美国版，2023 年，绿色")</f>
        <v>三星 Galaxy S23 手机，工厂解锁 Android 智能手机，256GB 存储空间，50MP 摄像头，夜间模式，长电池寿命，自适应显示，美国版，2023 年，绿色</v>
      </c>
      <c r="E4633" s="1" t="str">
        <f>IFERROR(__xludf.DUMMYFUNCTION("CONCATENATE(GOOGLETRANSLATE(C4633, ""en"", ""ko""))"),"SAMSUNG Galaxy S23 휴대폰, 공장 잠금 해제 Android 스마트폰, 256GB 저장 공간, 50MP 카메라, 야간 모드, 긴 배터리 수명, 적응형 디스플레이, 미국 버전, 2023, 녹색")</f>
        <v>SAMSUNG Galaxy S23 휴대폰, 공장 잠금 해제 Android 스마트폰, 256GB 저장 공간, 50MP 카메라, 야간 모드, 긴 배터리 수명, 적응형 디스플레이, 미국 버전, 2023, 녹색</v>
      </c>
      <c r="F4633" s="1" t="str">
        <f>IFERROR(__xludf.DUMMYFUNCTION("CONCATENATE(GOOGLETRANSLATE(C4633, ""en"", ""ja""))"),"SAMSUNG Galaxy S23 携帯電話、工場でロック解除された Android スマートフォン、256GB ストレージ、50MP カメラ、ナイトモード、長いバッテリー寿命、アダプティブ ディスプレイ、米国バージョン、2023、グリーン")</f>
        <v>SAMSUNG Galaxy S23 携帯電話、工場でロック解除された Android スマートフォン、256GB ストレージ、50MP カメラ、ナイトモード、長いバッテリー寿命、アダプティブ ディスプレイ、米国バージョン、2023、グリーン</v>
      </c>
    </row>
    <row r="4634" ht="15.75" customHeight="1">
      <c r="A4634" s="1">
        <v>3885.0</v>
      </c>
      <c r="B4634" s="1" t="s">
        <v>15</v>
      </c>
      <c r="C4634" s="1" t="s">
        <v>3653</v>
      </c>
      <c r="D4634" s="1" t="str">
        <f>IFERROR(__xludf.DUMMYFUNCTION("CONCATENATE(GOOGLETRANSLATE(C4634, ""en"", ""zh-cn""))"),"Apple iPhone 12 Pro Max，512GB，石墨色 - 解锁（续订高级版）")</f>
        <v>Apple iPhone 12 Pro Max，512GB，石墨色 - 解锁（续订高级版）</v>
      </c>
      <c r="E4634" s="1" t="str">
        <f>IFERROR(__xludf.DUMMYFUNCTION("CONCATENATE(GOOGLETRANSLATE(C4634, ""en"", ""ko""))"),"Apple iPhone 12 Pro Max, 512GB, 그래파이트 - 공기계(리뉴얼 프리미엄)")</f>
        <v>Apple iPhone 12 Pro Max, 512GB, 그래파이트 - 공기계(리뉴얼 프리미엄)</v>
      </c>
      <c r="F4634" s="1" t="str">
        <f>IFERROR(__xludf.DUMMYFUNCTION("CONCATENATE(GOOGLETRANSLATE(C4634, ""en"", ""ja""))"),"Apple iPhone 12 Pro Max、512GB、グラファイト - ロック解除済み (更新プレミアム)")</f>
        <v>Apple iPhone 12 Pro Max、512GB、グラファイト - ロック解除済み (更新プレミアム)</v>
      </c>
    </row>
    <row r="4635" ht="15.75" customHeight="1">
      <c r="A4635" s="1">
        <v>3888.0</v>
      </c>
      <c r="B4635" s="1" t="s">
        <v>15</v>
      </c>
      <c r="C4635" s="1" t="s">
        <v>4018</v>
      </c>
      <c r="D4635" s="1" t="str">
        <f>IFERROR(__xludf.DUMMYFUNCTION("CONCATENATE(GOOGLETRANSLATE(C4635, ""en"", ""zh-cn""))"),"iPhone 13 Pro，128GB，Sierra Blue - 已解锁（续订高级版）")</f>
        <v>iPhone 13 Pro，128GB，Sierra Blue - 已解锁（续订高级版）</v>
      </c>
      <c r="E4635" s="1" t="str">
        <f>IFERROR(__xludf.DUMMYFUNCTION("CONCATENATE(GOOGLETRANSLATE(C4635, ""en"", ""ko""))"),"iPhone 13 Pro, 128GB, Sierra Blue - 공기계(리뉴얼 프리미엄)")</f>
        <v>iPhone 13 Pro, 128GB, Sierra Blue - 공기계(리뉴얼 프리미엄)</v>
      </c>
      <c r="F4635" s="1" t="str">
        <f>IFERROR(__xludf.DUMMYFUNCTION("CONCATENATE(GOOGLETRANSLATE(C4635, ""en"", ""ja""))"),"iPhone 13 Pro、128GB、シエラブルー - ロック解除済み (リニューアルプレミアム)")</f>
        <v>iPhone 13 Pro、128GB、シエラブルー - ロック解除済み (リニューアルプレミアム)</v>
      </c>
    </row>
    <row r="4636" ht="15.75" customHeight="1">
      <c r="A4636" s="1">
        <v>3890.0</v>
      </c>
      <c r="B4636" s="1" t="s">
        <v>15</v>
      </c>
      <c r="C4636" s="1" t="s">
        <v>4019</v>
      </c>
      <c r="D4636" s="1" t="str">
        <f>IFERROR(__xludf.DUMMYFUNCTION("CONCATENATE(GOOGLETRANSLATE(C4636, ""en"", ""zh-cn""))"),"Apple iPhone 14 Plus，128GB，紫色 - 已解锁（续订）")</f>
        <v>Apple iPhone 14 Plus，128GB，紫色 - 已解锁（续订）</v>
      </c>
      <c r="E4636" s="1" t="str">
        <f>IFERROR(__xludf.DUMMYFUNCTION("CONCATENATE(GOOGLETRANSLATE(C4636, ""en"", ""ko""))"),"Apple iPhone 14 Plus, 128GB, 퍼플 - 공기계(리뉴얼)")</f>
        <v>Apple iPhone 14 Plus, 128GB, 퍼플 - 공기계(리뉴얼)</v>
      </c>
      <c r="F4636" s="1" t="str">
        <f>IFERROR(__xludf.DUMMYFUNCTION("CONCATENATE(GOOGLETRANSLATE(C4636, ""en"", ""ja""))"),"Apple iPhone 14 Plus、128GB、パープル - ロック解除済み (更新済み)")</f>
        <v>Apple iPhone 14 Plus、128GB、パープル - ロック解除済み (更新済み)</v>
      </c>
    </row>
    <row r="4637" ht="15.75" customHeight="1">
      <c r="A4637" s="1">
        <v>3893.0</v>
      </c>
      <c r="B4637" s="1" t="s">
        <v>15</v>
      </c>
      <c r="C4637" s="1" t="s">
        <v>4020</v>
      </c>
      <c r="D4637" s="1" t="str">
        <f>IFERROR(__xludf.DUMMYFUNCTION("CONCATENATE(GOOGLETRANSLATE(C4637, ""en"", ""zh-cn""))"),"Apple iPhone 14 Plus，128GB，午夜 - 解锁（续订）")</f>
        <v>Apple iPhone 14 Plus，128GB，午夜 - 解锁（续订）</v>
      </c>
      <c r="E4637" s="1" t="str">
        <f>IFERROR(__xludf.DUMMYFUNCTION("CONCATENATE(GOOGLETRANSLATE(C4637, ""en"", ""ko""))"),"Apple iPhone 14 Plus, 128GB, 미드나잇 - 공기계 (리뉴얼)")</f>
        <v>Apple iPhone 14 Plus, 128GB, 미드나잇 - 공기계 (리뉴얼)</v>
      </c>
      <c r="F4637" s="1" t="str">
        <f>IFERROR(__xludf.DUMMYFUNCTION("CONCATENATE(GOOGLETRANSLATE(C4637, ""en"", ""ja""))"),"Apple iPhone 14 Plus、128GB、ミッドナイト - ロック解除済み (更新済み)")</f>
        <v>Apple iPhone 14 Plus、128GB、ミッドナイト - ロック解除済み (更新済み)</v>
      </c>
    </row>
    <row r="4638" ht="15.75" customHeight="1">
      <c r="A4638" s="1">
        <v>3897.0</v>
      </c>
      <c r="B4638" s="1" t="s">
        <v>15</v>
      </c>
      <c r="C4638" s="1" t="s">
        <v>4021</v>
      </c>
      <c r="D4638" s="1" t="str">
        <f>IFERROR(__xludf.DUMMYFUNCTION("CONCATENATE(GOOGLETRANSLATE(C4638, ""en"", ""zh-cn""))"),"Apple iPhone 12 Pro Max，128GB，石墨色 - 解锁（续订高级版）")</f>
        <v>Apple iPhone 12 Pro Max，128GB，石墨色 - 解锁（续订高级版）</v>
      </c>
      <c r="E4638" s="1" t="str">
        <f>IFERROR(__xludf.DUMMYFUNCTION("CONCATENATE(GOOGLETRANSLATE(C4638, ""en"", ""ko""))"),"Apple iPhone 12 Pro Max, 128GB, 그래파이트 - 공기계(리뉴얼 프리미엄)")</f>
        <v>Apple iPhone 12 Pro Max, 128GB, 그래파이트 - 공기계(리뉴얼 프리미엄)</v>
      </c>
      <c r="F4638" s="1" t="str">
        <f>IFERROR(__xludf.DUMMYFUNCTION("CONCATENATE(GOOGLETRANSLATE(C4638, ""en"", ""ja""))"),"Apple iPhone 12 Pro Max、128GB、グラファイト - ロック解除済み (リニューアルプレミアム)")</f>
        <v>Apple iPhone 12 Pro Max、128GB、グラファイト - ロック解除済み (リニューアルプレミアム)</v>
      </c>
    </row>
    <row r="4639" ht="15.75" customHeight="1">
      <c r="A4639" s="1">
        <v>3901.0</v>
      </c>
      <c r="B4639" s="1" t="s">
        <v>15</v>
      </c>
      <c r="C4639" s="1" t="s">
        <v>4022</v>
      </c>
      <c r="D4639" s="1" t="str">
        <f>IFERROR(__xludf.DUMMYFUNCTION("CONCATENATE(GOOGLETRANSLATE(C4639, ""en"", ""zh-cn""))"),"Apple iPhone 14，128GB，蓝色 - 无锁版（续订）")</f>
        <v>Apple iPhone 14，128GB，蓝色 - 无锁版（续订）</v>
      </c>
      <c r="E4639" s="1" t="str">
        <f>IFERROR(__xludf.DUMMYFUNCTION("CONCATENATE(GOOGLETRANSLATE(C4639, ""en"", ""ko""))"),"Apple iPhone 14, 128GB, 블루 - 공기계(리뉴얼)")</f>
        <v>Apple iPhone 14, 128GB, 블루 - 공기계(리뉴얼)</v>
      </c>
      <c r="F4639" s="1" t="str">
        <f>IFERROR(__xludf.DUMMYFUNCTION("CONCATENATE(GOOGLETRANSLATE(C4639, ""en"", ""ja""))"),"Apple iPhone 14、128GB、ブルー - ロック解除済み (更新済み)")</f>
        <v>Apple iPhone 14、128GB、ブルー - ロック解除済み (更新済み)</v>
      </c>
    </row>
    <row r="4640" ht="15.75" customHeight="1">
      <c r="A4640" s="1">
        <v>3907.0</v>
      </c>
      <c r="B4640" s="1" t="s">
        <v>15</v>
      </c>
      <c r="C4640" s="1" t="s">
        <v>3650</v>
      </c>
      <c r="D4640" s="1" t="str">
        <f>IFERROR(__xludf.DUMMYFUNCTION("CONCATENATE(GOOGLETRANSLATE(C4640, ""en"", ""zh-cn""))"),"Apple iPhone 13，128GB，蓝色 - 无锁版（续订）")</f>
        <v>Apple iPhone 13，128GB，蓝色 - 无锁版（续订）</v>
      </c>
      <c r="E4640" s="1" t="str">
        <f>IFERROR(__xludf.DUMMYFUNCTION("CONCATENATE(GOOGLETRANSLATE(C4640, ""en"", ""ko""))"),"Apple iPhone 13, 128GB, 블루 - 공기계(리뉴얼)")</f>
        <v>Apple iPhone 13, 128GB, 블루 - 공기계(리뉴얼)</v>
      </c>
      <c r="F4640" s="1" t="str">
        <f>IFERROR(__xludf.DUMMYFUNCTION("CONCATENATE(GOOGLETRANSLATE(C4640, ""en"", ""ja""))"),"Apple iPhone 13、128GB、ブルー - ロック解除済み (更新済み)")</f>
        <v>Apple iPhone 13、128GB、ブルー - ロック解除済み (更新済み)</v>
      </c>
    </row>
    <row r="4641" ht="15.75" customHeight="1">
      <c r="A4641" s="1">
        <v>3908.0</v>
      </c>
      <c r="B4641" s="1" t="s">
        <v>15</v>
      </c>
      <c r="C4641" s="1" t="s">
        <v>4023</v>
      </c>
      <c r="D4641" s="1" t="str">
        <f>IFERROR(__xludf.DUMMYFUNCTION("CONCATENATE(GOOGLETRANSLATE(C4641, ""en"", ""zh-cn""))"),"Google Pixel 7-5G Android 手机 - 解锁智能手机，配备广角镜头和 24 小时电池 - 128GB - 雪色")</f>
        <v>Google Pixel 7-5G Android 手机 - 解锁智能手机，配备广角镜头和 24 小时电池 - 128GB - 雪色</v>
      </c>
      <c r="E4641" s="1" t="str">
        <f>IFERROR(__xludf.DUMMYFUNCTION("CONCATENATE(GOOGLETRANSLATE(C4641, ""en"", ""ko""))"),"Google Pixel 7-5G 안드로이드 휴대폰 - 광각 렌즈 및 24시간 배터리를 갖춘 공기계 스마트폰 - 128GB - 스노우")</f>
        <v>Google Pixel 7-5G 안드로이드 휴대폰 - 광각 렌즈 및 24시간 배터리를 갖춘 공기계 스마트폰 - 128GB - 스노우</v>
      </c>
      <c r="F4641" s="1" t="str">
        <f>IFERROR(__xludf.DUMMYFUNCTION("CONCATENATE(GOOGLETRANSLATE(C4641, ""en"", ""ja""))"),"Google Pixel 7-5G Android Phone - 広角レンズと 24 時間持続バッテリーを備えたロック解除済みスマートフォン - 128GB - Snow")</f>
        <v>Google Pixel 7-5G Android Phone - 広角レンズと 24 時間持続バッテリーを備えたロック解除済みスマートフォン - 128GB - Snow</v>
      </c>
    </row>
    <row r="4642" ht="15.75" customHeight="1">
      <c r="A4642" s="1">
        <v>3909.0</v>
      </c>
      <c r="B4642" s="1" t="s">
        <v>15</v>
      </c>
      <c r="C4642" s="1" t="s">
        <v>4024</v>
      </c>
      <c r="D4642" s="1" t="str">
        <f>IFERROR(__xludf.DUMMYFUNCTION("CONCATENATE(GOOGLETRANSLATE(C4642, ""en"", ""zh-cn""))"),"三星 Galaxy S20 FE 5G 手机，工厂解锁 Android 智能手机，128GB，专业级相机，30 倍变焦，夜间模式，美国版，云薄荷绿")</f>
        <v>三星 Galaxy S20 FE 5G 手机，工厂解锁 Android 智能手机，128GB，专业级相机，30 倍变焦，夜间模式，美国版，云薄荷绿</v>
      </c>
      <c r="E4642" s="1" t="str">
        <f>IFERROR(__xludf.DUMMYFUNCTION("CONCATENATE(GOOGLETRANSLATE(C4642, ""en"", ""ko""))"),"SAMSUNG Galaxy S20 FE 5G 휴대폰, 공장 잠금 해제 Android 스마트폰, 128GB, 프로 등급 카메라, 30X 스페이스 줌, 야간 모드, 미국 버전, 클라우드 민트 그린")</f>
        <v>SAMSUNG Galaxy S20 FE 5G 휴대폰, 공장 잠금 해제 Android 스마트폰, 128GB, 프로 등급 카메라, 30X 스페이스 줌, 야간 모드, 미국 버전, 클라우드 민트 그린</v>
      </c>
      <c r="F4642" s="1" t="str">
        <f>IFERROR(__xludf.DUMMYFUNCTION("CONCATENATE(GOOGLETRANSLATE(C4642, ""en"", ""ja""))"),"SAMSUNG Galaxy S20 FE 5G 携帯電話、工場でロック解除された Android スマートフォン、128GB、プログレードのカメラ、30X スペースズーム、ナイトモード、US バージョン、クラウドミントグリーン")</f>
        <v>SAMSUNG Galaxy S20 FE 5G 携帯電話、工場でロック解除された Android スマートフォン、128GB、プログレードのカメラ、30X スペースズーム、ナイトモード、US バージョン、クラウドミントグリーン</v>
      </c>
    </row>
    <row r="4643" ht="15.75" customHeight="1">
      <c r="A4643" s="1">
        <v>3917.0</v>
      </c>
      <c r="B4643" s="1" t="s">
        <v>15</v>
      </c>
      <c r="C4643" s="1" t="s">
        <v>4025</v>
      </c>
      <c r="D4643" s="1" t="str">
        <f>IFERROR(__xludf.DUMMYFUNCTION("CONCATENATE(GOOGLETRANSLATE(C4643, ""en"", ""zh-cn""))"),"Apple Iphone X，256GB，深空灰色 - 完全解锁（续订）")</f>
        <v>Apple Iphone X，256GB，深空灰色 - 完全解锁（续订）</v>
      </c>
      <c r="E4643" s="1" t="str">
        <f>IFERROR(__xludf.DUMMYFUNCTION("CONCATENATE(GOOGLETRANSLATE(C4643, ""en"", ""ko""))"),"Apple Iphone X, 256GB, 스페이스 그레이 - 완전 언락(리뉴얼)")</f>
        <v>Apple Iphone X, 256GB, 스페이스 그레이 - 완전 언락(리뉴얼)</v>
      </c>
      <c r="F4643" s="1" t="str">
        <f>IFERROR(__xludf.DUMMYFUNCTION("CONCATENATE(GOOGLETRANSLATE(C4643, ""en"", ""ja""))"),"Apple Iphone X、256GB、スペース グレイ - 完全にロック解除済み (更新済み)")</f>
        <v>Apple Iphone X、256GB、スペース グレイ - 完全にロック解除済み (更新済み)</v>
      </c>
    </row>
    <row r="4644" ht="15.75" customHeight="1">
      <c r="A4644" s="1">
        <v>3918.0</v>
      </c>
      <c r="B4644" s="1" t="s">
        <v>15</v>
      </c>
      <c r="C4644" s="1" t="s">
        <v>4026</v>
      </c>
      <c r="D4644" s="1" t="str">
        <f>IFERROR(__xludf.DUMMYFUNCTION("CONCATENATE(GOOGLETRANSLATE(C4644, ""en"", ""zh-cn""))"),"三星 Galaxy A53 5G (SM-A536E/DS) 双 SIM 卡，128 GB 6GB RAM，工厂解锁 GSM，国际版 - 无保修 -（超赞黑色）")</f>
        <v>三星 Galaxy A53 5G (SM-A536E/DS) 双 SIM 卡，128 GB 6GB RAM，工厂解锁 GSM，国际版 - 无保修 -（超赞黑色）</v>
      </c>
      <c r="E4644" s="1" t="str">
        <f>IFERROR(__xludf.DUMMYFUNCTION("CONCATENATE(GOOGLETRANSLATE(C4644, ""en"", ""ko""))"),"SAMSUNG 갤럭시 A53 5G(SM-A536E/DS) 듀얼 SIM, 128GB 6GB RAM, 공장 공기계 GSM, 국제 버전 - 보증 없음 - (멋진 블랙)")</f>
        <v>SAMSUNG 갤럭시 A53 5G(SM-A536E/DS) 듀얼 SIM, 128GB 6GB RAM, 공장 공기계 GSM, 국제 버전 - 보증 없음 - (멋진 블랙)</v>
      </c>
      <c r="F4644" s="1" t="str">
        <f>IFERROR(__xludf.DUMMYFUNCTION("CONCATENATE(GOOGLETRANSLATE(C4644, ""en"", ""ja""))"),"SAMSUNG Galaxy A53 5G (SM-A536E/DS) デュアル SIM、128 GB 6GB RAM、工場出荷時ロック解除済み GSM、インターナショナル バージョン - 保証なし - (オーサム ブラック)")</f>
        <v>SAMSUNG Galaxy A53 5G (SM-A536E/DS) デュアル SIM、128 GB 6GB RAM、工場出荷時ロック解除済み GSM、インターナショナル バージョン - 保証なし - (オーサム ブラック)</v>
      </c>
    </row>
    <row r="4645" ht="15.75" customHeight="1">
      <c r="A4645" s="1">
        <v>3931.0</v>
      </c>
      <c r="B4645" s="1" t="s">
        <v>15</v>
      </c>
      <c r="C4645" s="1" t="s">
        <v>4027</v>
      </c>
      <c r="D4645" s="1" t="str">
        <f>IFERROR(__xludf.DUMMYFUNCTION("CONCATENATE(GOOGLETRANSLATE(C4645, ""en"", ""zh-cn""))"),"三星 Galaxy S20+ 5G 128GB 完全解锁智能手机（续订）")</f>
        <v>三星 Galaxy S20+ 5G 128GB 完全解锁智能手机（续订）</v>
      </c>
      <c r="E4645" s="1" t="str">
        <f>IFERROR(__xludf.DUMMYFUNCTION("CONCATENATE(GOOGLETRANSLATE(C4645, ""en"", ""ko""))"),"삼성 갤럭시 S20+ 5G 128GB 완전 공기계 스마트폰(리뉴얼)")</f>
        <v>삼성 갤럭시 S20+ 5G 128GB 완전 공기계 스마트폰(리뉴얼)</v>
      </c>
      <c r="F4645" s="1" t="str">
        <f>IFERROR(__xludf.DUMMYFUNCTION("CONCATENATE(GOOGLETRANSLATE(C4645, ""en"", ""ja""))"),"Samsung Galaxy S20+ 5G 128GB 完全にロック解除されたスマートフォン (リニューアル)")</f>
        <v>Samsung Galaxy S20+ 5G 128GB 完全にロック解除されたスマートフォン (リニューアル)</v>
      </c>
    </row>
    <row r="4646" ht="15.75" customHeight="1">
      <c r="A4646" s="1">
        <v>3932.0</v>
      </c>
      <c r="B4646" s="1" t="s">
        <v>15</v>
      </c>
      <c r="C4646" s="1" t="s">
        <v>4028</v>
      </c>
      <c r="D4646" s="1" t="str">
        <f>IFERROR(__xludf.DUMMYFUNCTION("CONCATENATE(GOOGLETRANSLATE(C4646, ""en"", ""zh-cn""))"),"Apple iPhone XR，美国版，64GB，红色 - 已解锁（续订）")</f>
        <v>Apple iPhone XR，美国版，64GB，红色 - 已解锁（续订）</v>
      </c>
      <c r="E4646" s="1" t="str">
        <f>IFERROR(__xludf.DUMMYFUNCTION("CONCATENATE(GOOGLETRANSLATE(C4646, ""en"", ""ko""))"),"Apple iPhone XR, 미국 버전, 64GB, 레드 - 언락(갱신)")</f>
        <v>Apple iPhone XR, 미국 버전, 64GB, 레드 - 언락(갱신)</v>
      </c>
      <c r="F4646" s="1" t="str">
        <f>IFERROR(__xludf.DUMMYFUNCTION("CONCATENATE(GOOGLETRANSLATE(C4646, ""en"", ""ja""))"),"Apple iPhone XR、US バージョン、64GB、レッド - ロック解除済み (更新済み)")</f>
        <v>Apple iPhone XR、US バージョン、64GB、レッド - ロック解除済み (更新済み)</v>
      </c>
    </row>
    <row r="4647" ht="15.75" customHeight="1">
      <c r="A4647" s="1">
        <v>3936.0</v>
      </c>
      <c r="B4647" s="1" t="s">
        <v>15</v>
      </c>
      <c r="C4647" s="1" t="s">
        <v>4029</v>
      </c>
      <c r="D4647" s="1" t="str">
        <f>IFERROR(__xludf.DUMMYFUNCTION("CONCATENATE(GOOGLETRANSLATE(C4647, ""en"", ""zh-cn""))"),"OnePlus Nord N200 | 5G 无锁版 Android 智能手机美国版 | 6.49全高清+液晶屏| 90Hz 流畅显示 | 5000mAh大电池|快速充电| 64GB 存储 |三摄，蓝量子")</f>
        <v>OnePlus Nord N200 | 5G 无锁版 Android 智能手机美国版 | 6.49全高清+液晶屏| 90Hz 流畅显示 | 5000mAh大电池|快速充电| 64GB 存储 |三摄，蓝量子</v>
      </c>
      <c r="E4647" s="1" t="str">
        <f>IFERROR(__xludf.DUMMYFUNCTION("CONCATENATE(GOOGLETRANSLATE(C4647, ""en"", ""ko""))"),"원플러스 노드 N200 | 5G 잠금 해제 Android 스마트폰 미국 버전 | 6.49 풀 HD+LCD 화면 | 90Hz 부드러운 디스플레이 | 대형 5000mAh 배터리 | 고속 충전 | 64GB 스토리지 | 트리플 카메라, 블루 퀀텀")</f>
        <v>원플러스 노드 N200 | 5G 잠금 해제 Android 스마트폰 미국 버전 | 6.49 풀 HD+LCD 화면 | 90Hz 부드러운 디스플레이 | 대형 5000mAh 배터리 | 고속 충전 | 64GB 스토리지 | 트리플 카메라, 블루 퀀텀</v>
      </c>
      <c r="F4647" s="1" t="str">
        <f>IFERROR(__xludf.DUMMYFUNCTION("CONCATENATE(GOOGLETRANSLATE(C4647, ""en"", ""ja""))"),"OnePlus Nord N200 | 5Gロック解除Androidスマートフォン米国版 | 6.49 フル HD+LCD スクリーン | 90Hzのスムーズなディスプレイ | 5000mAhの大容量バッテリー |急速充電 | 64GB ストレージ |トリプルカメラ、ブルーカンタム")</f>
        <v>OnePlus Nord N200 | 5Gロック解除Androidスマートフォン米国版 | 6.49 フル HD+LCD スクリーン | 90Hzのスムーズなディスプレイ | 5000mAhの大容量バッテリー |急速充電 | 64GB ストレージ |トリプルカメラ、ブルーカンタム</v>
      </c>
    </row>
    <row r="4648" ht="15.75" customHeight="1">
      <c r="A4648" s="1">
        <v>3946.0</v>
      </c>
      <c r="B4648" s="1" t="s">
        <v>15</v>
      </c>
      <c r="C4648" s="1" t="s">
        <v>4030</v>
      </c>
      <c r="D4648" s="1" t="str">
        <f>IFERROR(__xludf.DUMMYFUNCTION("CONCATENATE(GOOGLETRANSLATE(C4648, ""en"", ""zh-cn""))"),"欧米茄超霸计时自动白色表盘男士手表 329.33.44.51.04.001")</f>
        <v>欧米茄超霸计时自动白色表盘男士手表 329.33.44.51.04.001</v>
      </c>
      <c r="E4648" s="1" t="str">
        <f>IFERROR(__xludf.DUMMYFUNCTION("CONCATENATE(GOOGLETRANSLATE(C4648, ""en"", ""ko""))"),"오메가 스피드마스터 크로노그래프 오토매틱 화이트 다이얼 남성용 시계 329.33.44.51.04.001")</f>
        <v>오메가 스피드마스터 크로노그래프 오토매틱 화이트 다이얼 남성용 시계 329.33.44.51.04.001</v>
      </c>
      <c r="F4648" s="1" t="str">
        <f>IFERROR(__xludf.DUMMYFUNCTION("CONCATENATE(GOOGLETRANSLATE(C4648, ""en"", ""ja""))"),"オメガ スピードマスター クロノグラフ 自動巻き ホワイトダイヤル メンズ腕時計 329.33.44.51.04.001")</f>
        <v>オメガ スピードマスター クロノグラフ 自動巻き ホワイトダイヤル メンズ腕時計 329.33.44.51.04.001</v>
      </c>
    </row>
    <row r="4649" ht="15.75" customHeight="1">
      <c r="A4649" s="1">
        <v>3981.0</v>
      </c>
      <c r="B4649" s="1" t="s">
        <v>15</v>
      </c>
      <c r="C4649" s="1" t="s">
        <v>4031</v>
      </c>
      <c r="D4649" s="1" t="str">
        <f>IFERROR(__xludf.DUMMYFUNCTION("CONCATENATE(GOOGLETRANSLATE(C4649, ""en"", ""zh-cn""))"),"汉密尔顿男士 H32766513 Jazzmaster 模拟显示自动上链棕色手表")</f>
        <v>汉密尔顿男士 H32766513 Jazzmaster 模拟显示自动上链棕色手表</v>
      </c>
      <c r="E4649" s="1" t="str">
        <f>IFERROR(__xludf.DUMMYFUNCTION("CONCATENATE(GOOGLETRANSLATE(C4649, ""en"", ""ko""))"),"해밀턴 남성용 H32766513 재즈마스터 아날로그 디스플레이 오토매틱 셀프 윈드 브라운 시계")</f>
        <v>해밀턴 남성용 H32766513 재즈마스터 아날로그 디스플레이 오토매틱 셀프 윈드 브라운 시계</v>
      </c>
      <c r="F4649" s="1" t="str">
        <f>IFERROR(__xludf.DUMMYFUNCTION("CONCATENATE(GOOGLETRANSLATE(C4649, ""en"", ""ja""))"),"ハミルトン メンズ H32766513 ジャズマスター アナログ表示 自動巻き ブラウン 腕時計")</f>
        <v>ハミルトン メンズ H32766513 ジャズマスター アナログ表示 自動巻き ブラウン 腕時計</v>
      </c>
    </row>
    <row r="4650" ht="15.75" customHeight="1">
      <c r="A4650" s="1">
        <v>3984.0</v>
      </c>
      <c r="B4650" s="1" t="s">
        <v>15</v>
      </c>
      <c r="C4650" s="1" t="s">
        <v>4032</v>
      </c>
      <c r="D4650" s="1" t="str">
        <f>IFERROR(__xludf.DUMMYFUNCTION("CONCATENATE(GOOGLETRANSLATE(C4650, ""en"", ""zh-cn""))"),"美国经典 Intra-Matic 自动计时码表")</f>
        <v>美国经典 Intra-Matic 自动计时码表</v>
      </c>
      <c r="E4650" s="1" t="str">
        <f>IFERROR(__xludf.DUMMYFUNCTION("CONCATENATE(GOOGLETRANSLATE(C4650, ""en"", ""ko""))"),"아메리칸 클래식 인트라매틱 오토 크로노")</f>
        <v>아메리칸 클래식 인트라매틱 오토 크로노</v>
      </c>
      <c r="F4650" s="1" t="str">
        <f>IFERROR(__xludf.DUMMYFUNCTION("CONCATENATE(GOOGLETRANSLATE(C4650, ""en"", ""ja""))"),"アメリカン クラシック イントラマティック オート クロノ")</f>
        <v>アメリカン クラシック イントラマティック オート クロノ</v>
      </c>
    </row>
    <row r="4651" ht="15.75" customHeight="1">
      <c r="A4651" s="1">
        <v>4009.0</v>
      </c>
      <c r="B4651" s="1" t="s">
        <v>15</v>
      </c>
      <c r="C4651" s="1" t="s">
        <v>4033</v>
      </c>
      <c r="D4651" s="1" t="str">
        <f>IFERROR(__xludf.DUMMYFUNCTION("CONCATENATE(GOOGLETRANSLATE(C4651, ""en"", ""zh-cn""))"),"Luminox Atacama Field 自动腕表 XL.1907.NF 男士手表 44 毫米 - 军用腕表 银色/白色 日期功能 200 米防水蓝宝石玻璃")</f>
        <v>Luminox Atacama Field 自动腕表 XL.1907.NF 男士手表 44 毫米 - 军用腕表 银色/白色 日期功能 200 米防水蓝宝石玻璃</v>
      </c>
      <c r="E4651" s="1" t="str">
        <f>IFERROR(__xludf.DUMMYFUNCTION("CONCATENATE(GOOGLETRANSLATE(C4651, ""en"", ""ko""))"),"Luminox Atacama Field 오토매틱 XL.1907.NF 남성용 시계 44mm - 실버/화이트 날짜 기능 200m 방수 사파이어 글라스 군용 시계")</f>
        <v>Luminox Atacama Field 오토매틱 XL.1907.NF 남성용 시계 44mm - 실버/화이트 날짜 기능 200m 방수 사파이어 글라스 군용 시계</v>
      </c>
      <c r="F4651" s="1" t="str">
        <f>IFERROR(__xludf.DUMMYFUNCTION("CONCATENATE(GOOGLETRANSLATE(C4651, ""en"", ""ja""))"),"ルミノックス アタカマ フィールド オートマチック XL.1907.NF メンズ ウォッチ 44mm - ミリタリーウォッチ シルバー/ホワイト 日付機能 200m 防水 サファイアガラス")</f>
        <v>ルミノックス アタカマ フィールド オートマチック XL.1907.NF メンズ ウォッチ 44mm - ミリタリーウォッチ シルバー/ホワイト 日付機能 200m 防水 サファイアガラス</v>
      </c>
    </row>
    <row r="4652" ht="15.75" customHeight="1">
      <c r="A4652" s="1">
        <v>4017.0</v>
      </c>
      <c r="B4652" s="1" t="s">
        <v>15</v>
      </c>
      <c r="C4652" s="1" t="s">
        <v>4034</v>
      </c>
      <c r="D4652" s="1" t="str">
        <f>IFERROR(__xludf.DUMMYFUNCTION("CONCATENATE(GOOGLETRANSLATE(C4652, ""en"", ""zh-cn""))"),"摩凡陀男士 Bold Verso 瑞士石英手表，带不锈钢链式表链，蓝色")</f>
        <v>摩凡陀男士 Bold Verso 瑞士石英手表，带不锈钢链式表链，蓝色</v>
      </c>
      <c r="E4652" s="1" t="str">
        <f>IFERROR(__xludf.DUMMYFUNCTION("CONCATENATE(GOOGLETRANSLATE(C4652, ""en"", ""ko""))"),"Movado 남성용 볼드 베르소 스위스 쿼츠 시계, 스테인리스 스틸 링크 팔찌, 블루")</f>
        <v>Movado 남성용 볼드 베르소 스위스 쿼츠 시계, 스테인리스 스틸 링크 팔찌, 블루</v>
      </c>
      <c r="F4652" s="1" t="str">
        <f>IFERROR(__xludf.DUMMYFUNCTION("CONCATENATE(GOOGLETRANSLATE(C4652, ""en"", ""ja""))"),"Movado メンズ ボールド バーソ スイス クォーツ ウォッチ ステンレススチール リンク ブレスレット付き ブルー")</f>
        <v>Movado メンズ ボールド バーソ スイス クォーツ ウォッチ ステンレススチール リンク ブレスレット付き ブルー</v>
      </c>
    </row>
    <row r="4653" ht="15.75" customHeight="1">
      <c r="A4653" s="1">
        <v>4027.0</v>
      </c>
      <c r="B4653" s="1" t="s">
        <v>15</v>
      </c>
      <c r="C4653" s="1" t="s">
        <v>4035</v>
      </c>
      <c r="D4653" s="1" t="str">
        <f>IFERROR(__xludf.DUMMYFUNCTION("CONCATENATE(GOOGLETRANSLATE(C4653, ""en"", ""zh-cn""))"),"SEIKO SFK003 Prospex 太阳能相扑 GMT 绿色表盘自动手表")</f>
        <v>SEIKO SFK003 Prospex 太阳能相扑 GMT 绿色表盘自动手表</v>
      </c>
      <c r="E4653" s="1" t="str">
        <f>IFERROR(__xludf.DUMMYFUNCTION("CONCATENATE(GOOGLETRANSLATE(C4653, ""en"", ""ko""))"),"SEIKO SFK003 Prospex Solar Sumo GMT 그린 다이얼 오토매틱 시계")</f>
        <v>SEIKO SFK003 Prospex Solar Sumo GMT 그린 다이얼 오토매틱 시계</v>
      </c>
      <c r="F4653" s="1" t="str">
        <f>IFERROR(__xludf.DUMMYFUNCTION("CONCATENATE(GOOGLETRANSLATE(C4653, ""en"", ""ja""))"),"セイコー SFK003 プロスペックス ソーラー スモ GMT グリーン文字盤 自動巻き時計")</f>
        <v>セイコー SFK003 プロスペックス ソーラー スモ GMT グリーン文字盤 自動巻き時計</v>
      </c>
    </row>
    <row r="4654" ht="15.75" customHeight="1">
      <c r="A4654" s="1">
        <v>4034.0</v>
      </c>
      <c r="B4654" s="1" t="s">
        <v>15</v>
      </c>
      <c r="C4654" s="1" t="s">
        <v>4036</v>
      </c>
      <c r="D4654" s="1" t="str">
        <f>IFERROR(__xludf.DUMMYFUNCTION("CONCATENATE(GOOGLETRANSLATE(C4654, ""en"", ""zh-cn""))"),"SEIKO Prospex“黑色系列”太阳能潜水员1965年重新演绎腕表SNE587P1")</f>
        <v>SEIKO Prospex“黑色系列”太阳能潜水员1965年重新演绎腕表SNE587P1</v>
      </c>
      <c r="E4654" s="1" t="str">
        <f>IFERROR(__xludf.DUMMYFUNCTION("CONCATENATE(GOOGLETRANSLATE(C4654, ""en"", ""ko""))"),"세이코 프로스펙스 '블랙 시리즈' 솔라 다이버의 1965년 재해석 시계 SNE587P1")</f>
        <v>세이코 프로스펙스 '블랙 시리즈' 솔라 다이버의 1965년 재해석 시계 SNE587P1</v>
      </c>
      <c r="F4654" s="1" t="str">
        <f>IFERROR(__xludf.DUMMYFUNCTION("CONCATENATE(GOOGLETRANSLATE(C4654, ""en"", ""ja""))"),"セイコー プロスペックス 「ブラック シリーズ」 ソーラー ダイバーズ 1965 再解釈時計 SNE587P1")</f>
        <v>セイコー プロスペックス 「ブラック シリーズ」 ソーラー ダイバーズ 1965 再解釈時計 SNE587P1</v>
      </c>
    </row>
    <row r="4655" ht="15.75" customHeight="1">
      <c r="A4655" s="1">
        <v>4048.0</v>
      </c>
      <c r="B4655" s="1" t="s">
        <v>15</v>
      </c>
      <c r="C4655" s="1" t="s">
        <v>4037</v>
      </c>
      <c r="D4655" s="1" t="str">
        <f>IFERROR(__xludf.DUMMYFUNCTION("CONCATENATE(GOOGLETRANSLATE(C4655, ""en"", ""zh-cn""))"),"摩凡陀男士 Bold Evolution 淡黄金离子镀钢表壳和网状手链，黄金")</f>
        <v>摩凡陀男士 Bold Evolution 淡黄金离子镀钢表壳和网状手链，黄金</v>
      </c>
      <c r="E4655" s="1" t="str">
        <f>IFERROR(__xludf.DUMMYFUNCTION("CONCATENATE(GOOGLETRANSLATE(C4655, ""en"", ""ko""))"),"Movado 남성용 볼드 에볼루션 페일 옐로우 골드 이온 도금 스틸 케이스 및 메쉬 팔찌, 옐로우 골드")</f>
        <v>Movado 남성용 볼드 에볼루션 페일 옐로우 골드 이온 도금 스틸 케이스 및 메쉬 팔찌, 옐로우 골드</v>
      </c>
      <c r="F4655" s="1" t="str">
        <f>IFERROR(__xludf.DUMMYFUNCTION("CONCATENATE(GOOGLETRANSLATE(C4655, ""en"", ""ja""))"),"Movado メンズ ボールド エボリューション ペール イエロー ゴールド イオンメッキ スチール ケースとメッシュ ブレスレット、イエロー ゴールド")</f>
        <v>Movado メンズ ボールド エボリューション ペール イエロー ゴールド イオンメッキ スチール ケースとメッシュ ブレスレット、イエロー ゴールド</v>
      </c>
    </row>
    <row r="4656" ht="15.75" customHeight="1">
      <c r="A4656" s="1">
        <v>4050.0</v>
      </c>
      <c r="B4656" s="1" t="s">
        <v>15</v>
      </c>
      <c r="C4656" s="1" t="s">
        <v>4038</v>
      </c>
      <c r="D4656" s="1" t="str">
        <f>IFERROR(__xludf.DUMMYFUNCTION("CONCATENATE(GOOGLETRANSLATE(C4656, ""en"", ""zh-cn""))"),"爵士大师绅士石英")</f>
        <v>爵士大师绅士石英</v>
      </c>
      <c r="E4656" s="1" t="str">
        <f>IFERROR(__xludf.DUMMYFUNCTION("CONCATENATE(GOOGLETRANSLATE(C4656, ""en"", ""ko""))"),"재즈마스터 젠트 쿼츠")</f>
        <v>재즈마스터 젠트 쿼츠</v>
      </c>
      <c r="F4656" s="1" t="str">
        <f>IFERROR(__xludf.DUMMYFUNCTION("CONCATENATE(GOOGLETRANSLATE(C4656, ""en"", ""ja""))"),"ジャズマスター ジェント クォーツ")</f>
        <v>ジャズマスター ジェント クォーツ</v>
      </c>
    </row>
    <row r="4657" ht="15.75" customHeight="1">
      <c r="A4657" s="1">
        <v>4070.0</v>
      </c>
      <c r="B4657" s="1" t="s">
        <v>15</v>
      </c>
      <c r="C4657" s="1" t="s">
        <v>4039</v>
      </c>
      <c r="D4657" s="1" t="str">
        <f>IFERROR(__xludf.DUMMYFUNCTION("CONCATENATE(GOOGLETRANSLATE(C4657, ""en"", ""zh-cn""))"),"Luminox ICE-SAR Arctic XL.1002 男士手表 46 毫米 - 军用手表黑色日期功能 200m 防水蓝宝石玻璃")</f>
        <v>Luminox ICE-SAR Arctic XL.1002 男士手表 46 毫米 - 军用手表黑色日期功能 200m 防水蓝宝石玻璃</v>
      </c>
      <c r="E4657" s="1" t="str">
        <f>IFERROR(__xludf.DUMMYFUNCTION("CONCATENATE(GOOGLETRANSLATE(C4657, ""en"", ""ko""))"),"Luminox ICE-SAR Arctic XL.1002 남성용 시계 46mm - 블랙 날짜 기능 200m 방수 사파이어 글라스 군용 시계")</f>
        <v>Luminox ICE-SAR Arctic XL.1002 남성용 시계 46mm - 블랙 날짜 기능 200m 방수 사파이어 글라스 군용 시계</v>
      </c>
      <c r="F4657" s="1" t="str">
        <f>IFERROR(__xludf.DUMMYFUNCTION("CONCATENATE(GOOGLETRANSLATE(C4657, ""en"", ""ja""))"),"ルミノックス ICE-SAR アークティック XL.1002 メンズ ウォッチ 46mm - ミリタリーウォッチ ブラック 日付機能 200m 防水 サファイアガラス")</f>
        <v>ルミノックス ICE-SAR アークティック XL.1002 メンズ ウォッチ 46mm - ミリタリーウォッチ ブラック 日付機能 200m 防水 サファイアガラス</v>
      </c>
    </row>
    <row r="4658" ht="15.75" customHeight="1">
      <c r="A4658" s="1">
        <v>4071.0</v>
      </c>
      <c r="B4658" s="1" t="s">
        <v>15</v>
      </c>
      <c r="C4658" s="1" t="s">
        <v>4040</v>
      </c>
      <c r="D4658" s="1" t="str">
        <f>IFERROR(__xludf.DUMMYFUNCTION("CONCATENATE(GOOGLETRANSLATE(C4658, ""en"", ""zh-cn""))"),"Luminox Bear Grylls 男士手表生存之地系列 - 3798：45 毫米黑色/绿色不锈钢黑色伞绳表带")</f>
        <v>Luminox Bear Grylls 男士手表生存之地系列 - 3798：45 毫米黑色/绿色不锈钢黑色伞绳表带</v>
      </c>
      <c r="E4658" s="1" t="str">
        <f>IFERROR(__xludf.DUMMYFUNCTION("CONCATENATE(GOOGLETRANSLATE(C4658, ""en"", ""ko""))"),"루미녹스 베어 그릴스 남성용 시계 서바이벌 랜드 시리즈 - 3798: 45mm 블랙/그린 스테인레스 스틸 블랙 파라코드 스트랩")</f>
        <v>루미녹스 베어 그릴스 남성용 시계 서바이벌 랜드 시리즈 - 3798: 45mm 블랙/그린 스테인레스 스틸 블랙 파라코드 스트랩</v>
      </c>
      <c r="F4658" s="1" t="str">
        <f>IFERROR(__xludf.DUMMYFUNCTION("CONCATENATE(GOOGLETRANSLATE(C4658, ""en"", ""ja""))"),"ルミノックス ベア グリルス メンズ ウォッチ サバイバル ランド シリーズ - 3798: 45mm ブラック/グリーン ステンレススチール ブラック パラコード ストラップ")</f>
        <v>ルミノックス ベア グリルス メンズ ウォッチ サバイバル ランド シリーズ - 3798: 45mm ブラック/グリーン ステンレススチール ブラック パラコード ストラップ</v>
      </c>
    </row>
    <row r="4659" ht="15.75" customHeight="1">
      <c r="A4659" s="1">
        <v>4075.0</v>
      </c>
      <c r="B4659" s="1" t="s">
        <v>15</v>
      </c>
      <c r="C4659" s="1" t="s">
        <v>4041</v>
      </c>
      <c r="D4659" s="1" t="str">
        <f>IFERROR(__xludf.DUMMYFUNCTION("CONCATENATE(GOOGLETRANSLATE(C4659, ""en"", ""zh-cn""))"),"Seiko Prospex 特别版 SRPF79 蓝色硅胶自动潜水表")</f>
        <v>Seiko Prospex 特别版 SRPF79 蓝色硅胶自动潜水表</v>
      </c>
      <c r="E4659" s="1" t="str">
        <f>IFERROR(__xludf.DUMMYFUNCTION("CONCATENATE(GOOGLETRANSLATE(C4659, ""en"", ""ko""))"),"Seiko Prospex 스페셜 에디션 SRPF79 블루 실리콘 오토매틱 다이버 시계")</f>
        <v>Seiko Prospex 스페셜 에디션 SRPF79 블루 실리콘 오토매틱 다이버 시계</v>
      </c>
      <c r="F4659" s="1" t="str">
        <f>IFERROR(__xludf.DUMMYFUNCTION("CONCATENATE(GOOGLETRANSLATE(C4659, ""en"", ""ja""))"),"セイコー プロスペックス スペシャル エディション SRPF79 ブルー シリコン オートマティック ダイバーズ ウォッチ")</f>
        <v>セイコー プロスペックス スペシャル エディション SRPF79 ブルー シリコン オートマティック ダイバーズ ウォッチ</v>
      </c>
    </row>
    <row r="4660" ht="15.75" customHeight="1">
      <c r="A4660" s="1">
        <v>4077.0</v>
      </c>
      <c r="B4660" s="1" t="s">
        <v>15</v>
      </c>
      <c r="C4660" s="1" t="s">
        <v>4042</v>
      </c>
      <c r="D4660" s="1" t="str">
        <f>IFERROR(__xludf.DUMMYFUNCTION("CONCATENATE(GOOGLETRANSLATE(C4660, ""en"", ""zh-cn""))"),"Luminox 官方 46 毫米男士斯巴达手表黑色（XL.1001/1000 系列）：限量版，黑色表盘/黑色标志性表带/白色标记")</f>
        <v>Luminox 官方 46 毫米男士斯巴达手表黑色（XL.1001/1000 系列）：限量版，黑色表盘/黑色标志性表带/白色标记</v>
      </c>
      <c r="E4660" s="1" t="str">
        <f>IFERROR(__xludf.DUMMYFUNCTION("CONCATENATE(GOOGLETRANSLATE(C4660, ""en"", ""ko""))"),"남성용 Luminox 공식 46mm 스파르탄 시계 블랙(XL.1001/1000 시리즈): 블랙 다이얼/블랙 시그니처 스트랩/화이트 마커가 포함된 한정판")</f>
        <v>남성용 Luminox 공식 46mm 스파르탄 시계 블랙(XL.1001/1000 시리즈): 블랙 다이얼/블랙 시그니처 스트랩/화이트 마커가 포함된 한정판</v>
      </c>
      <c r="F4660" s="1" t="str">
        <f>IFERROR(__xludf.DUMMYFUNCTION("CONCATENATE(GOOGLETRANSLATE(C4660, ""en"", ""ja""))"),"ルミノックス 公式 46mm スパルタン ウォッチ メンズ ブラック (XL.1001/1000 シリーズ): ブラック ダイヤル/ブラック シグネチャー ストラップ/ホワイト マーカー付き限定版")</f>
        <v>ルミノックス 公式 46mm スパルタン ウォッチ メンズ ブラック (XL.1001/1000 シリーズ): ブラック ダイヤル/ブラック シグネチャー ストラップ/ホワイト マーカー付き限定版</v>
      </c>
    </row>
    <row r="4661" ht="15.75" customHeight="1">
      <c r="A4661" s="1">
        <v>4079.0</v>
      </c>
      <c r="B4661" s="1" t="s">
        <v>15</v>
      </c>
      <c r="C4661" s="1" t="s">
        <v>4043</v>
      </c>
      <c r="D4661" s="1" t="str">
        <f>IFERROR(__xludf.DUMMYFUNCTION("CONCATENATE(GOOGLETRANSLATE(C4661, ""en"", ""zh-cn""))"),"卡西欧 GMW-B5000 系列 G-Shock 腕表，蓝牙太阳能电波控制，多色抛光黑色（不锈钢）")</f>
        <v>卡西欧 GMW-B5000 系列 G-Shock 腕表，蓝牙太阳能电波控制，多色抛光黑色（不锈钢）</v>
      </c>
      <c r="E4661" s="1" t="str">
        <f>IFERROR(__xludf.DUMMYFUNCTION("CONCATENATE(GOOGLETRANSLATE(C4661, ""en"", ""ko""))"),"Casio GMW-B5000 시리즈 G-Shock 손목시계, 블루투스 장착 태양광 무선 제어 장치, 멀티 마감 블랙(스테인리스 스틸)")</f>
        <v>Casio GMW-B5000 시리즈 G-Shock 손목시계, 블루투스 장착 태양광 무선 제어 장치, 멀티 마감 블랙(스테인리스 스틸)</v>
      </c>
      <c r="F4661" s="1" t="str">
        <f>IFERROR(__xludf.DUMMYFUNCTION("CONCATENATE(GOOGLETRANSLATE(C4661, ""en"", ""ja""))"),"カシオ 腕時計 Gショック Bluetooth搭載 ソーラー電波 マルチフィニッシュ ブラック(ステンレス) GMW-B5000シリーズ")</f>
        <v>カシオ 腕時計 Gショック Bluetooth搭載 ソーラー電波 マルチフィニッシュ ブラック(ステンレス) GMW-B5000シリーズ</v>
      </c>
    </row>
    <row r="4662" ht="15.75" customHeight="1">
      <c r="A4662" s="1">
        <v>4089.0</v>
      </c>
      <c r="B4662" s="1" t="s">
        <v>15</v>
      </c>
      <c r="C4662" s="1" t="s">
        <v>4044</v>
      </c>
      <c r="D4662" s="1" t="str">
        <f>IFERROR(__xludf.DUMMYFUNCTION("CONCATENATE(GOOGLETRANSLATE(C4662, ""en"", ""zh-cn""))"),"Coutura 男士太阳能万年历闹钟计时手表")</f>
        <v>Coutura 男士太阳能万年历闹钟计时手表</v>
      </c>
      <c r="E4662" s="1" t="str">
        <f>IFERROR(__xludf.DUMMYFUNCTION("CONCATENATE(GOOGLETRANSLATE(C4662, ""en"", ""ko""))"),"Coutura 남성용 솔라 퍼페추얼 캘린더 알람 크로노그래프 시계")</f>
        <v>Coutura 남성용 솔라 퍼페추얼 캘린더 알람 크로노그래프 시계</v>
      </c>
      <c r="F4662" s="1" t="str">
        <f>IFERROR(__xludf.DUMMYFUNCTION("CONCATENATE(GOOGLETRANSLATE(C4662, ""en"", ""ja""))"),"Coutura メンズ ソーラー パーペチュアル カレンダー アラーム クロノグラフ ウォッチ")</f>
        <v>Coutura メンズ ソーラー パーペチュアル カレンダー アラーム クロノグラフ ウォッチ</v>
      </c>
    </row>
    <row r="4663" ht="15.75" customHeight="1">
      <c r="A4663" s="1">
        <v>4099.0</v>
      </c>
      <c r="B4663" s="1" t="s">
        <v>15</v>
      </c>
      <c r="C4663" s="1" t="s">
        <v>4045</v>
      </c>
      <c r="D4663" s="1" t="str">
        <f>IFERROR(__xludf.DUMMYFUNCTION("CONCATENATE(GOOGLETRANSLATE(C4663, ""en"", ""zh-cn""))"),"SEIKO PROSPEX 太阳能潜水员不锈钢手表 SNE589")</f>
        <v>SEIKO PROSPEX 太阳能潜水员不锈钢手表 SNE589</v>
      </c>
      <c r="E4663" s="1" t="str">
        <f>IFERROR(__xludf.DUMMYFUNCTION("CONCATENATE(GOOGLETRANSLATE(C4663, ""en"", ""ko""))"),"SEIKO PROSPEX 솔라 다이버용 스테인리스 스틸 시계 SNE589")</f>
        <v>SEIKO PROSPEX 솔라 다이버용 스테인리스 스틸 시계 SNE589</v>
      </c>
      <c r="F4663" s="1" t="str">
        <f>IFERROR(__xludf.DUMMYFUNCTION("CONCATENATE(GOOGLETRANSLATE(C4663, ""en"", ""ja""))"),"セイコー プロスペックス ソーラーダイバーステンレスウォッチ SNE589")</f>
        <v>セイコー プロスペックス ソーラーダイバーステンレスウォッチ SNE589</v>
      </c>
    </row>
    <row r="4664" ht="15.75" customHeight="1">
      <c r="A4664" s="1">
        <v>4100.0</v>
      </c>
      <c r="B4664" s="1" t="s">
        <v>15</v>
      </c>
      <c r="C4664" s="1" t="s">
        <v>4046</v>
      </c>
      <c r="D4664" s="1" t="str">
        <f>IFERROR(__xludf.DUMMYFUNCTION("CONCATENATE(GOOGLETRANSLATE(C4664, ""en"", ""zh-cn""))"),"SEIKO SNJ029 Prospex 男士手表棕褐色 50.5 毫米不锈钢")</f>
        <v>SEIKO SNJ029 Prospex 男士手表棕褐色 50.5 毫米不锈钢</v>
      </c>
      <c r="E4664" s="1" t="str">
        <f>IFERROR(__xludf.DUMMYFUNCTION("CONCATENATE(GOOGLETRANSLATE(C4664, ""en"", ""ko""))"),"SEIKO SNJ029 Prospex 남성용 시계 탄 50.5mm 스테인리스 스틸")</f>
        <v>SEIKO SNJ029 Prospex 남성용 시계 탄 50.5mm 스테인리스 스틸</v>
      </c>
      <c r="F4664" s="1" t="str">
        <f>IFERROR(__xludf.DUMMYFUNCTION("CONCATENATE(GOOGLETRANSLATE(C4664, ""en"", ""ja""))"),"セイコー SNJ029 プロスペックス メンズ 腕時計 タン 50.5mm ステンレススチール")</f>
        <v>セイコー SNJ029 プロスペックス メンズ 腕時計 タン 50.5mm ステンレススチール</v>
      </c>
    </row>
    <row r="4665" ht="15.75" customHeight="1">
      <c r="A4665" s="1">
        <v>4112.0</v>
      </c>
      <c r="B4665" s="1" t="s">
        <v>15</v>
      </c>
      <c r="C4665" s="1" t="s">
        <v>4047</v>
      </c>
      <c r="D4665" s="1" t="str">
        <f>IFERROR(__xludf.DUMMYFUNCTION("CONCATENATE(GOOGLETRANSLATE(C4665, ""en"", ""zh-cn""))"),"SEIKO SRPG57 Prospex 男士手表黑色 42.4 毫米不锈钢")</f>
        <v>SEIKO SRPG57 Prospex 男士手表黑色 42.4 毫米不锈钢</v>
      </c>
      <c r="E4665" s="1" t="str">
        <f>IFERROR(__xludf.DUMMYFUNCTION("CONCATENATE(GOOGLETRANSLATE(C4665, ""en"", ""ko""))"),"SEIKO SRPG57 Prospex 남성용 시계 블랙 42.4mm 스테인리스 스틸")</f>
        <v>SEIKO SRPG57 Prospex 남성용 시계 블랙 42.4mm 스테인리스 스틸</v>
      </c>
      <c r="F4665" s="1" t="str">
        <f>IFERROR(__xludf.DUMMYFUNCTION("CONCATENATE(GOOGLETRANSLATE(C4665, ""en"", ""ja""))"),"セイコー SRPG57 プロスペックス メンズ 腕時計 ブラック 42.4mm ステンレススチール")</f>
        <v>セイコー SRPG57 プロスペックス メンズ 腕時計 ブラック 42.4mm ステンレススチール</v>
      </c>
    </row>
    <row r="4666" ht="15.75" customHeight="1">
      <c r="A4666" s="1">
        <v>4118.0</v>
      </c>
      <c r="B4666" s="1" t="s">
        <v>15</v>
      </c>
      <c r="C4666" s="1" t="s">
        <v>4048</v>
      </c>
      <c r="D4666" s="1" t="str">
        <f>IFERROR(__xludf.DUMMYFUNCTION("CONCATENATE(GOOGLETRANSLATE(C4666, ""en"", ""zh-cn""))"),"Luminox ICE-SAR Arctic XL.1001 男士手表 46 毫米 - 黑色军用手表 日期功能 200m 防水蓝宝石玻璃")</f>
        <v>Luminox ICE-SAR Arctic XL.1001 男士手表 46 毫米 - 黑色军用手表 日期功能 200m 防水蓝宝石玻璃</v>
      </c>
      <c r="E4666" s="1" t="str">
        <f>IFERROR(__xludf.DUMMYFUNCTION("CONCATENATE(GOOGLETRANSLATE(C4666, ""en"", ""ko""))"),"Luminox ICE-SAR Arctic XL.1001 남성용 시계 46mm - 블랙 날짜 기능 200m 방수 사파이어 글라스 군용 시계")</f>
        <v>Luminox ICE-SAR Arctic XL.1001 남성용 시계 46mm - 블랙 날짜 기능 200m 방수 사파이어 글라스 군용 시계</v>
      </c>
      <c r="F4666" s="1" t="str">
        <f>IFERROR(__xludf.DUMMYFUNCTION("CONCATENATE(GOOGLETRANSLATE(C4666, ""en"", ""ja""))"),"ルミノックス ICE-SAR アークティック XL.1001 メンズ ウォッチ 46mm - ミリタリーウォッチ ブラック 日付機能 200m 防水 サファイアガラス")</f>
        <v>ルミノックス ICE-SAR アークティック XL.1001 メンズ ウォッチ 46mm - ミリタリーウォッチ ブラック 日付機能 200m 防水 サファイアガラス</v>
      </c>
    </row>
    <row r="4667" ht="15.75" customHeight="1">
      <c r="A4667" s="1">
        <v>4119.0</v>
      </c>
      <c r="B4667" s="1" t="s">
        <v>15</v>
      </c>
      <c r="C4667" s="1" t="s">
        <v>4049</v>
      </c>
      <c r="D4667" s="1" t="str">
        <f>IFERROR(__xludf.DUMMYFUNCTION("CONCATENATE(GOOGLETRANSLATE(C4667, ""en"", ""zh-cn""))"),"施华洛世奇 Passage Chrono 水晶腕表系列，皮表带")</f>
        <v>施华洛世奇 Passage Chrono 水晶腕表系列，皮表带</v>
      </c>
      <c r="E4667" s="1" t="str">
        <f>IFERROR(__xludf.DUMMYFUNCTION("CONCATENATE(GOOGLETRANSLATE(C4667, ""en"", ""ko""))"),"SWAROVSKI 패시지 크로노 크리스탈 시계 컬렉션, 가죽 스트랩")</f>
        <v>SWAROVSKI 패시지 크로노 크리스탈 시계 컬렉션, 가죽 스트랩</v>
      </c>
      <c r="F4667" s="1" t="str">
        <f>IFERROR(__xludf.DUMMYFUNCTION("CONCATENATE(GOOGLETRANSLATE(C4667, ""en"", ""ja""))"),"スワロフスキー パッセージ クロノ クリスタル ウォッチ コレクション、レザーストラップ")</f>
        <v>スワロフスキー パッセージ クロノ クリスタル ウォッチ コレクション、レザーストラップ</v>
      </c>
    </row>
    <row r="4668" ht="15.75" customHeight="1">
      <c r="A4668" s="1">
        <v>4129.0</v>
      </c>
      <c r="B4668" s="1" t="s">
        <v>15</v>
      </c>
      <c r="C4668" s="1" t="s">
        <v>4050</v>
      </c>
      <c r="D4668" s="1" t="str">
        <f>IFERROR(__xludf.DUMMYFUNCTION("CONCATENATE(GOOGLETRANSLATE(C4668, ""en"", ""zh-cn""))"),"西铁城男士光动能运动奢华世界计时原子计时不锈钢手表，蓝色聚氨酯表带，蓝色表盘（型号：AT8020-03L）")</f>
        <v>西铁城男士光动能运动奢华世界计时原子计时不锈钢手表，蓝色聚氨酯表带，蓝色表盘（型号：AT8020-03L）</v>
      </c>
      <c r="E4668" s="1" t="str">
        <f>IFERROR(__xludf.DUMMYFUNCTION("CONCATENATE(GOOGLETRANSLATE(C4668, ""en"", ""ko""))"),"시티즌 남성용 에코드라이브 스포츠 럭셔리 월드 크로노그래프 원자 시간 유지 시계, 스테인리스 스틸, 블루 폴리우레탄 스트랩, 블루 다이얼(모델: AT8020-03L)")</f>
        <v>시티즌 남성용 에코드라이브 스포츠 럭셔리 월드 크로노그래프 원자 시간 유지 시계, 스테인리스 스틸, 블루 폴리우레탄 스트랩, 블루 다이얼(모델: AT8020-03L)</v>
      </c>
      <c r="F4668" s="1" t="str">
        <f>IFERROR(__xludf.DUMMYFUNCTION("CONCATENATE(GOOGLETRANSLATE(C4668, ""en"", ""ja""))"),"シチズン メンズ エコドライブ スポーツ ラグジュアリー ワールド クロノグラフ アトミック タイムキーピング ウォッチ ステンレススチール、ブルー ポリウレタン ストラップ、ブルー ダイヤル (モデル: AT8020-03L)")</f>
        <v>シチズン メンズ エコドライブ スポーツ ラグジュアリー ワールド クロノグラフ アトミック タイムキーピング ウォッチ ステンレススチール、ブルー ポリウレタン ストラップ、ブルー ダイヤル (モデル: AT8020-03L)</v>
      </c>
    </row>
    <row r="4669" ht="15.75" customHeight="1">
      <c r="A4669" s="1">
        <v>4131.0</v>
      </c>
      <c r="B4669" s="1" t="s">
        <v>15</v>
      </c>
      <c r="C4669" s="1" t="s">
        <v>4051</v>
      </c>
      <c r="D4669" s="1" t="str">
        <f>IFERROR(__xludf.DUMMYFUNCTION("CONCATENATE(GOOGLETRANSLATE(C4669, ""en"", ""zh-cn""))"),"女士施华洛世奇水晶纯玫瑰金色调手表 5269250")</f>
        <v>女士施华洛世奇水晶纯玫瑰金色调手表 5269250</v>
      </c>
      <c r="E4669" s="1" t="str">
        <f>IFERROR(__xludf.DUMMYFUNCTION("CONCATENATE(GOOGLETRANSLATE(C4669, ""en"", ""ko""))"),"여성용 스와로브스키 크리스탈린 퓨어 로즈 골드 톤 시계 5269250")</f>
        <v>여성용 스와로브스키 크리스탈린 퓨어 로즈 골드 톤 시계 5269250</v>
      </c>
      <c r="F4669" s="1" t="str">
        <f>IFERROR(__xludf.DUMMYFUNCTION("CONCATENATE(GOOGLETRANSLATE(C4669, ""en"", ""ja""))"),"レディース スワロフスキー クリスタルライン ピュア ローズゴールドトーン ウォッチ 5269250")</f>
        <v>レディース スワロフスキー クリスタルライン ピュア ローズゴールドトーン ウォッチ 5269250</v>
      </c>
    </row>
    <row r="4670" ht="15.75" customHeight="1">
      <c r="A4670" s="1">
        <v>4138.0</v>
      </c>
      <c r="B4670" s="1" t="s">
        <v>15</v>
      </c>
      <c r="C4670" s="1" t="s">
        <v>4052</v>
      </c>
      <c r="D4670" s="1" t="str">
        <f>IFERROR(__xludf.DUMMYFUNCTION("CONCATENATE(GOOGLETRANSLATE(C4670, ""en"", ""zh-cn""))"),"Luminox 男士 SEA 不锈钢瑞士石英手表带皮表带，黑色，24（型号：3251）")</f>
        <v>Luminox 男士 SEA 不锈钢瑞士石英手表带皮表带，黑色，24（型号：3251）</v>
      </c>
      <c r="E4670" s="1" t="str">
        <f>IFERROR(__xludf.DUMMYFUNCTION("CONCATENATE(GOOGLETRANSLATE(C4670, ""en"", ""ko""))"),"Luminox 남성용 SEA 스테인리스 스틸 스위스 쿼츠 시계, 가죽 스트랩, 블랙, 24(모델: 3251)")</f>
        <v>Luminox 남성용 SEA 스테인리스 스틸 스위스 쿼츠 시계, 가죽 스트랩, 블랙, 24(모델: 3251)</v>
      </c>
      <c r="F4670" s="1" t="str">
        <f>IFERROR(__xludf.DUMMYFUNCTION("CONCATENATE(GOOGLETRANSLATE(C4670, ""en"", ""ja""))"),"ルミノックス メンズ SEA ステンレススチール スイスクォーツ ウォッチ レザーストラップ付き、ブラック、24 (モデル: 3251)")</f>
        <v>ルミノックス メンズ SEA ステンレススチール スイスクォーツ ウォッチ レザーストラップ付き、ブラック、24 (モデル: 3251)</v>
      </c>
    </row>
    <row r="4671" ht="15.75" customHeight="1">
      <c r="A4671" s="1">
        <v>4143.0</v>
      </c>
      <c r="B4671" s="1" t="s">
        <v>15</v>
      </c>
      <c r="C4671" s="1" t="s">
        <v>4053</v>
      </c>
      <c r="D4671" s="1" t="str">
        <f>IFERROR(__xludf.DUMMYFUNCTION("CONCATENATE(GOOGLETRANSLATE(C4671, ""en"", ""zh-cn""))"),"西铁城光动能 Promaster Sailhawk 男士手表，不锈钢带聚氨酯表带，潜水表")</f>
        <v>西铁城光动能 Promaster Sailhawk 男士手表，不锈钢带聚氨酯表带，潜水表</v>
      </c>
      <c r="E4671" s="1" t="str">
        <f>IFERROR(__xludf.DUMMYFUNCTION("CONCATENATE(GOOGLETRANSLATE(C4671, ""en"", ""ko""))"),"씨티즌 에코드라이브 프로마스터 세일호크 남성용 시계, 폴리우레탄 스트랩이 있는 스테인리스 스틸, 다이브 시계")</f>
        <v>씨티즌 에코드라이브 프로마스터 세일호크 남성용 시계, 폴리우레탄 스트랩이 있는 스테인리스 스틸, 다이브 시계</v>
      </c>
      <c r="F4671" s="1" t="str">
        <f>IFERROR(__xludf.DUMMYFUNCTION("CONCATENATE(GOOGLETRANSLATE(C4671, ""en"", ""ja""))"),"シチズン エコドライブ プロマスター セイルホーク メンズ ウォッチ、ステンレススチール、ポリウレタン ストラップ付き、ダイバーズウォッチ")</f>
        <v>シチズン エコドライブ プロマスター セイルホーク メンズ ウォッチ、ステンレススチール、ポリウレタン ストラップ付き、ダイバーズウォッチ</v>
      </c>
    </row>
    <row r="4672" ht="15.75" customHeight="1">
      <c r="A4672" s="1">
        <v>4146.0</v>
      </c>
      <c r="B4672" s="1" t="s">
        <v>15</v>
      </c>
      <c r="C4672" s="1" t="s">
        <v>4054</v>
      </c>
      <c r="D4672" s="1" t="str">
        <f>IFERROR(__xludf.DUMMYFUNCTION("CONCATENATE(GOOGLETRANSLATE(C4672, ""en"", ""zh-cn""))"),"男士 Luminox Navy Seal 3500 系列手表 3508.金色")</f>
        <v>男士 Luminox Navy Seal 3500 系列手表 3508.金色</v>
      </c>
      <c r="E4672" s="1" t="str">
        <f>IFERROR(__xludf.DUMMYFUNCTION("CONCATENATE(GOOGLETRANSLATE(C4672, ""en"", ""ko""))"),"남성용 Luminox Navy Seal 3500 시리즈 시계 3508.골드")</f>
        <v>남성용 Luminox Navy Seal 3500 시리즈 시계 3508.골드</v>
      </c>
      <c r="F4672" s="1" t="str">
        <f>IFERROR(__xludf.DUMMYFUNCTION("CONCATENATE(GOOGLETRANSLATE(C4672, ""en"", ""ja""))"),"メンズ ルミノックス ネイビー シール 3500 シリーズ ウォッチ 3508.ゴールド")</f>
        <v>メンズ ルミノックス ネイビー シール 3500 シリーズ ウォッチ 3508.ゴールド</v>
      </c>
    </row>
    <row r="4673" ht="15.75" customHeight="1">
      <c r="A4673" s="1">
        <v>4156.0</v>
      </c>
      <c r="B4673" s="1" t="s">
        <v>15</v>
      </c>
      <c r="C4673" s="1" t="s">
        <v>4055</v>
      </c>
      <c r="D4673" s="1" t="str">
        <f>IFERROR(__xludf.DUMMYFUNCTION("CONCATENATE(GOOGLETRANSLATE(C4673, ""en"", ""zh-cn""))"),"Luminox 棱皮海龟巨型遮光 XS.0321.BO.L 男士手表 44 毫米 - 黑色军用手表日期功能 100m 防水")</f>
        <v>Luminox 棱皮海龟巨型遮光 XS.0321.BO.L 男士手表 44 毫米 - 黑色军用手表日期功能 100m 防水</v>
      </c>
      <c r="E4673" s="1" t="str">
        <f>IFERROR(__xludf.DUMMYFUNCTION("CONCATENATE(GOOGLETRANSLATE(C4673, ""en"", ""ko""))"),"Luminox Leatherback SEA Turtle Giant Blackout XS.0321.BO.L 남성용 시계 44mm - 블랙 날짜 기능의 밀리터리 시계 100m 방수")</f>
        <v>Luminox Leatherback SEA Turtle Giant Blackout XS.0321.BO.L 남성용 시계 44mm - 블랙 날짜 기능의 밀리터리 시계 100m 방수</v>
      </c>
      <c r="F4673" s="1" t="str">
        <f>IFERROR(__xludf.DUMMYFUNCTION("CONCATENATE(GOOGLETRANSLATE(C4673, ""en"", ""ja""))"),"ルミノックス レザーバック SEA タートル ジャイアント ブラックアウト XS.0321.BO.L メンズ ウォッチ 44mm - ミリタリー ウォッチ ブラック 日付機能 100m 防水")</f>
        <v>ルミノックス レザーバック SEA タートル ジャイアント ブラックアウト XS.0321.BO.L メンズ ウォッチ 44mm - ミリタリー ウォッチ ブラック 日付機能 100m 防水</v>
      </c>
    </row>
    <row r="4674" ht="15.75" customHeight="1">
      <c r="A4674" s="1">
        <v>4177.0</v>
      </c>
      <c r="B4674" s="1" t="s">
        <v>15</v>
      </c>
      <c r="C4674" s="1" t="s">
        <v>4056</v>
      </c>
      <c r="D4674" s="1" t="str">
        <f>IFERROR(__xludf.DUMMYFUNCTION("CONCATENATE(GOOGLETRANSLATE(C4674, ""en"", ""zh-cn""))"),"LUXURMAN 独特大号男士钻石手表 18k 黄金镀 0.12 克拉钻石")</f>
        <v>LUXURMAN 独特大号男士钻石手表 18k 黄金镀 0.12 克拉钻石</v>
      </c>
      <c r="E4674" s="1" t="str">
        <f>IFERROR(__xludf.DUMMYFUNCTION("CONCATENATE(GOOGLETRANSLATE(C4674, ""en"", ""ko""))"),"LUXURMAN 독특한 라지 남성용 다이아몬드 시계 18k 옐로우 골드 다이아몬드 0.12ctw 도금")</f>
        <v>LUXURMAN 독특한 라지 남성용 다이아몬드 시계 18k 옐로우 골드 다이아몬드 0.12ctw 도금</v>
      </c>
      <c r="F4674" s="1" t="str">
        <f>IFERROR(__xludf.DUMMYFUNCTION("CONCATENATE(GOOGLETRANSLATE(C4674, ""en"", ""ja""))"),"LUXURMAN ユニークなラージ メンズ ダイヤモンド ウォッチ 18K イエロー ゴールド、0.12ctw のダイヤモンドメッキ")</f>
        <v>LUXURMAN ユニークなラージ メンズ ダイヤモンド ウォッチ 18K イエロー ゴールド、0.12ctw のダイヤモンドメッキ</v>
      </c>
    </row>
    <row r="4675" ht="15.75" customHeight="1">
      <c r="A4675" s="1">
        <v>4183.0</v>
      </c>
      <c r="B4675" s="1" t="s">
        <v>15</v>
      </c>
      <c r="C4675" s="1" t="s">
        <v>4057</v>
      </c>
      <c r="D4675" s="1" t="str">
        <f>IFERROR(__xludf.DUMMYFUNCTION("CONCATENATE(GOOGLETRANSLATE(C4675, ""en"", ""zh-cn""))"),"Luminox 户外女式手表海军海豹突击队 Colormark（XS.3057.WO/3050 系列）：瑞士制造 + 白色玻璃纤维表壳表盘和表带 + 200m 防水")</f>
        <v>Luminox 户外女式手表海军海豹突击队 Colormark（XS.3057.WO/3050 系列）：瑞士制造 + 白色玻璃纤维表壳表盘和表带 + 200m 防水</v>
      </c>
      <c r="E4675" s="1" t="str">
        <f>IFERROR(__xludf.DUMMYFUNCTION("CONCATENATE(GOOGLETRANSLATE(C4675, ""en"", ""ko""))"),"Luminox Outdoor 여성용 시계 Navy Seals Colormark (XS.3057.WO/ 3050 시리즈): 스위스제 + 흰색 섬유유리 케이스 다이얼 및 밴드 + 200m 방수")</f>
        <v>Luminox Outdoor 여성용 시계 Navy Seals Colormark (XS.3057.WO/ 3050 시리즈): 스위스제 + 흰색 섬유유리 케이스 다이얼 및 밴드 + 200m 방수</v>
      </c>
      <c r="F4675" s="1" t="str">
        <f>IFERROR(__xludf.DUMMYFUNCTION("CONCATENATE(GOOGLETRANSLATE(C4675, ""en"", ""ja""))"),"ルミノックス アウトドア レディース ウォッチ ネイビー シールズ カラーマーク (XS.3057.WO/ 3050 シリーズ): スイス製 + ホワイト グラスファイバー ケース ダイヤルとバンド + 200m 防水")</f>
        <v>ルミノックス アウトドア レディース ウォッチ ネイビー シールズ カラーマーク (XS.3057.WO/ 3050 シリーズ): スイス製 + ホワイト グラスファイバー ケース ダイヤルとバンド + 200m 防水</v>
      </c>
    </row>
    <row r="4676" ht="15.75" customHeight="1">
      <c r="A4676" s="1">
        <v>4187.0</v>
      </c>
      <c r="B4676" s="1" t="s">
        <v>15</v>
      </c>
      <c r="C4676" s="1" t="s">
        <v>4058</v>
      </c>
      <c r="D4676" s="1" t="str">
        <f>IFERROR(__xludf.DUMMYFUNCTION("CONCATENATE(GOOGLETRANSLATE(C4676, ""en"", ""zh-cn""))"),"Invicta 男士 15827 Reserve 模拟显示瑞士石英金表")</f>
        <v>Invicta 男士 15827 Reserve 模拟显示瑞士石英金表</v>
      </c>
      <c r="E4676" s="1" t="str">
        <f>IFERROR(__xludf.DUMMYFUNCTION("CONCATENATE(GOOGLETRANSLATE(C4676, ""en"", ""ko""))"),"인빅타 남성용 15827 리저브 아날로그 디스플레이 스위스 쿼츠 골드 시계")</f>
        <v>인빅타 남성용 15827 리저브 아날로그 디스플레이 스위스 쿼츠 골드 시계</v>
      </c>
      <c r="F4676" s="1" t="str">
        <f>IFERROR(__xludf.DUMMYFUNCTION("CONCATENATE(GOOGLETRANSLATE(C4676, ""en"", ""ja""))"),"インヴィクタ メンズ 15827 リザーブ アナログ ディスプレイ スイス クォーツ ゴールド ウォッチ")</f>
        <v>インヴィクタ メンズ 15827 リザーブ アナログ ディスプレイ スイス クォーツ ゴールド ウォッチ</v>
      </c>
    </row>
    <row r="4677" ht="15.75" customHeight="1">
      <c r="A4677" s="1">
        <v>4192.0</v>
      </c>
      <c r="B4677" s="1" t="s">
        <v>15</v>
      </c>
      <c r="C4677" s="1" t="s">
        <v>4059</v>
      </c>
      <c r="D4677" s="1" t="str">
        <f>IFERROR(__xludf.DUMMYFUNCTION("CONCATENATE(GOOGLETRANSLATE(C4677, ""en"", ""zh-cn""))"),"Timex 38 毫米 Expedition North Field Post 机械环保皮革表带手表")</f>
        <v>Timex 38 毫米 Expedition North Field Post 机械环保皮革表带手表</v>
      </c>
      <c r="E4677" s="1" t="str">
        <f>IFERROR(__xludf.DUMMYFUNCTION("CONCATENATE(GOOGLETRANSLATE(C4677, ""en"", ""ko""))"),"타이멕스 38mm Expedition North Field Post 기계식 친환경 가죽 스트랩 시계")</f>
        <v>타이멕스 38mm Expedition North Field Post 기계식 친환경 가죽 스트랩 시계</v>
      </c>
      <c r="F4677" s="1" t="str">
        <f>IFERROR(__xludf.DUMMYFUNCTION("CONCATENATE(GOOGLETRANSLATE(C4677, ""en"", ""ja""))"),"タイメックス 38 mm エクスペディション ノース フィールド ポスト メカニカル エコフレンドリー レザーストラップ ウォッチ")</f>
        <v>タイメックス 38 mm エクスペディション ノース フィールド ポスト メカニカル エコフレンドリー レザーストラップ ウォッチ</v>
      </c>
    </row>
    <row r="4678" ht="15.75" customHeight="1">
      <c r="A4678" s="1">
        <v>4195.0</v>
      </c>
      <c r="B4678" s="1" t="s">
        <v>15</v>
      </c>
      <c r="C4678" s="1" t="s">
        <v>4060</v>
      </c>
      <c r="D4678" s="1" t="str">
        <f>IFERROR(__xludf.DUMMYFUNCTION("CONCATENATE(GOOGLETRANSLATE(C4678, ""en"", ""zh-cn""))"),"BOSS 男士不锈钢石英手表带皮表带，棕色，22（型号：1513860）")</f>
        <v>BOSS 男士不锈钢石英手表带皮表带，棕色，22（型号：1513860）</v>
      </c>
      <c r="E4678" s="1" t="str">
        <f>IFERROR(__xludf.DUMMYFUNCTION("CONCATENATE(GOOGLETRANSLATE(C4678, ""en"", ""ko""))"),"BOSS 남성용 스테인리스 스틸 쿼츠 시계, 가죽 스트랩 포함, 브라운, 22(모델: 1513860)")</f>
        <v>BOSS 남성용 스테인리스 스틸 쿼츠 시계, 가죽 스트랩 포함, 브라운, 22(모델: 1513860)</v>
      </c>
      <c r="F4678" s="1" t="str">
        <f>IFERROR(__xludf.DUMMYFUNCTION("CONCATENATE(GOOGLETRANSLATE(C4678, ""en"", ""ja""))"),"BOSS メンズ ステンレススチール クォーツ時計 レザーストラップ付き ブラウン 22 (モデル: 1513860)")</f>
        <v>BOSS メンズ ステンレススチール クォーツ時計 レザーストラップ付き ブラウン 22 (モデル: 1513860)</v>
      </c>
    </row>
    <row r="4679" ht="15.75" customHeight="1">
      <c r="A4679" s="1">
        <v>4209.0</v>
      </c>
      <c r="B4679" s="1" t="s">
        <v>15</v>
      </c>
      <c r="C4679" s="1" t="s">
        <v>4061</v>
      </c>
      <c r="D4679" s="1" t="str">
        <f>IFERROR(__xludf.DUMMYFUNCTION("CONCATENATE(GOOGLETRANSLATE(C4679, ""en"", ""zh-cn""))"),"施华洛世奇 Stella 水晶珠宝系列，铑金和玫瑰金色调饰面")</f>
        <v>施华洛世奇 Stella 水晶珠宝系列，铑金和玫瑰金色调饰面</v>
      </c>
      <c r="E4679" s="1" t="str">
        <f>IFERROR(__xludf.DUMMYFUNCTION("CONCATENATE(GOOGLETRANSLATE(C4679, ""en"", ""ko""))"),"SWAROVSKI 스텔라 크리스탈 주얼리 컬렉션, 로듐 &amp; 로즈 골드 톤 마감")</f>
        <v>SWAROVSKI 스텔라 크리스탈 주얼리 컬렉션, 로듐 &amp; 로즈 골드 톤 마감</v>
      </c>
      <c r="F4679" s="1" t="str">
        <f>IFERROR(__xludf.DUMMYFUNCTION("CONCATENATE(GOOGLETRANSLATE(C4679, ""en"", ""ja""))"),"スワロフスキー ステラ クリスタル ジュエリー コレクション、ロジウム &amp; ローズゴールドトーン仕上げ")</f>
        <v>スワロフスキー ステラ クリスタル ジュエリー コレクション、ロジウム &amp; ローズゴールドトーン仕上げ</v>
      </c>
    </row>
    <row r="4680" ht="15.75" customHeight="1">
      <c r="A4680" s="1">
        <v>4216.0</v>
      </c>
      <c r="B4680" s="1" t="s">
        <v>15</v>
      </c>
      <c r="C4680" s="1" t="s">
        <v>4062</v>
      </c>
      <c r="D4680" s="1" t="str">
        <f>IFERROR(__xludf.DUMMYFUNCTION("CONCATENATE(GOOGLETRANSLATE(C4680, ""en"", ""zh-cn""))"),"TSAR BOMBA 男士豪华 Tonneau 手表 5ATM 防水方形计时模拟男士手表工作运动时尚时尚商务简约经典腕表日本运动男士礼物")</f>
        <v>TSAR BOMBA 男士豪华 Tonneau 手表 5ATM 防水方形计时模拟男士手表工作运动时尚时尚商务简约经典腕表日本运动男士礼物</v>
      </c>
      <c r="E4680" s="1" t="str">
        <f>IFERROR(__xludf.DUMMYFUNCTION("CONCATENATE(GOOGLETRANSLATE(C4680, ""en"", ""ko""))"),"TSAR BOMBA 남성용 럭셔리 토너 시계 5ATM 방수 스퀘어 크로노 그래프 아날로그 남성용 시계 작업 스포츠 패션 세련된 비즈니스 미니멀리스트 클래식 손목 시계 남성용 일본 무브먼트 선물")</f>
        <v>TSAR BOMBA 남성용 럭셔리 토너 시계 5ATM 방수 스퀘어 크로노 그래프 아날로그 남성용 시계 작업 스포츠 패션 세련된 비즈니스 미니멀리스트 클래식 손목 시계 남성용 일본 무브먼트 선물</v>
      </c>
      <c r="F4680" s="1" t="str">
        <f>IFERROR(__xludf.DUMMYFUNCTION("CONCATENATE(GOOGLETRANSLATE(C4680, ""en"", ""ja""))"),"TSAR BOMBA 高級トノー腕時計 メンズ 5ATM 防水 スクエア クロノグラフ アナログ メンズウォッチ 仕事 スポーツ ファッション スタイリッシュ ビジネス ミニマリスト クラシック腕時計 日本製ムーブメント 男性用ギフト")</f>
        <v>TSAR BOMBA 高級トノー腕時計 メンズ 5ATM 防水 スクエア クロノグラフ アナログ メンズウォッチ 仕事 スポーツ ファッション スタイリッシュ ビジネス ミニマリスト クラシック腕時計 日本製ムーブメント 男性用ギフト</v>
      </c>
    </row>
    <row r="4681" ht="15.75" customHeight="1">
      <c r="A4681" s="1">
        <v>4218.0</v>
      </c>
      <c r="B4681" s="1" t="s">
        <v>15</v>
      </c>
      <c r="C4681" s="1" t="s">
        <v>4063</v>
      </c>
      <c r="D4681" s="1" t="str">
        <f>IFERROR(__xludf.DUMMYFUNCTION("CONCATENATE(GOOGLETRANSLATE(C4681, ""en"", ""zh-cn""))"),"Amazfit GTS 4 男士智能手表，双频 GPS，内置 Alexa，蓝牙通话，150 多种运动模式，心率血氧饱和度监测器，1.75 英寸 AMOLED 显示屏，适用于 Android iPhone 的健康健身手表，黑色")</f>
        <v>Amazfit GTS 4 男士智能手表，双频 GPS，内置 Alexa，蓝牙通话，150 多种运动模式，心率血氧饱和度监测器，1.75 英寸 AMOLED 显示屏，适用于 Android iPhone 的健康健身手表，黑色</v>
      </c>
      <c r="E4681" s="1" t="str">
        <f>IFERROR(__xludf.DUMMYFUNCTION("CONCATENATE(GOOGLETRANSLATE(C4681, ""en"", ""ko""))"),"남성용 Amazfit GTS 4 스마트 시계, 듀얼 밴드 GPS, Alexa 내장, Bluetooth 통화, 150개 이상의 스포츠 모드, 심박수 SPO2 모니터, 1.75인치 AMOLED 디스플레이, Android iPhone용 건강 피트니스 시계, 블랙")</f>
        <v>남성용 Amazfit GTS 4 스마트 시계, 듀얼 밴드 GPS, Alexa 내장, Bluetooth 통화, 150개 이상의 스포츠 모드, 심박수 SPO2 모니터, 1.75인치 AMOLED 디스플레이, Android iPhone용 건강 피트니스 시계, 블랙</v>
      </c>
      <c r="F4681" s="1" t="str">
        <f>IFERROR(__xludf.DUMMYFUNCTION("CONCATENATE(GOOGLETRANSLATE(C4681, ""en"", ""ja""))"),"Amazfit GTS 4 スマートウォッチ男性用、デュアルバンド GPS、Alexa 内蔵、Bluetooth 通話、150 以上のスポーツモード、心拍数 SPO₂ モニター、1.75 インチ AMOLED ディスプレイ、Android iPhone 用ヘルスフィットネスウォッチ、ブラック")</f>
        <v>Amazfit GTS 4 スマートウォッチ男性用、デュアルバンド GPS、Alexa 内蔵、Bluetooth 通話、150 以上のスポーツモード、心拍数 SPO₂ モニター、1.75 インチ AMOLED ディスプレイ、Android iPhone 用ヘルスフィットネスウォッチ、ブラック</v>
      </c>
    </row>
    <row r="4682" ht="15.75" customHeight="1">
      <c r="A4682" s="1">
        <v>4223.0</v>
      </c>
      <c r="B4682" s="1" t="s">
        <v>15</v>
      </c>
      <c r="C4682" s="1" t="s">
        <v>4064</v>
      </c>
      <c r="D4682" s="1" t="str">
        <f>IFERROR(__xludf.DUMMYFUNCTION("CONCATENATE(GOOGLETRANSLATE(C4682, ""en"", ""zh-cn""))"),"Timex 男士沃特伯里传统 GMT 39 毫米 TW2U99100VQ 石英手表")</f>
        <v>Timex 男士沃特伯里传统 GMT 39 毫米 TW2U99100VQ 石英手表</v>
      </c>
      <c r="E4682" s="1" t="str">
        <f>IFERROR(__xludf.DUMMYFUNCTION("CONCATENATE(GOOGLETRANSLATE(C4682, ""en"", ""ko""))"),"타이멕스 남성용 워터베리 트래디셔널 GMT 39mm TW2U99100VQ 쿼츠 시계")</f>
        <v>타이멕스 남성용 워터베리 트래디셔널 GMT 39mm TW2U99100VQ 쿼츠 시계</v>
      </c>
      <c r="F4682" s="1" t="str">
        <f>IFERROR(__xludf.DUMMYFUNCTION("CONCATENATE(GOOGLETRANSLATE(C4682, ""en"", ""ja""))"),"タイメックス メンズ ウォーターベリー トラディショナル GMT 39mm TW2U99100VQ クォーツ時計")</f>
        <v>タイメックス メンズ ウォーターベリー トラディショナル GMT 39mm TW2U99100VQ クォーツ時計</v>
      </c>
    </row>
    <row r="4683" ht="15.75" customHeight="1">
      <c r="A4683" s="1">
        <v>4226.0</v>
      </c>
      <c r="B4683" s="1" t="s">
        <v>15</v>
      </c>
      <c r="C4683" s="1" t="s">
        <v>4065</v>
      </c>
      <c r="D4683" s="1" t="str">
        <f>IFERROR(__xludf.DUMMYFUNCTION("CONCATENATE(GOOGLETRANSLATE(C4683, ""en"", ""zh-cn""))"),"SEIKO 男士 5 自动手表 SNZG15K1")</f>
        <v>SEIKO 男士 5 自动手表 SNZG15K1</v>
      </c>
      <c r="E4683" s="1" t="str">
        <f>IFERROR(__xludf.DUMMYFUNCTION("CONCATENATE(GOOGLETRANSLATE(C4683, ""en"", ""ko""))"),"세이코 남성용 5 오토매틱 시계 SNZG15K1")</f>
        <v>세이코 남성용 5 오토매틱 시계 SNZG15K1</v>
      </c>
      <c r="F4683" s="1" t="str">
        <f>IFERROR(__xludf.DUMMYFUNCTION("CONCATENATE(GOOGLETRANSLATE(C4683, ""en"", ""ja""))"),"セイコー SEIKO メンズ 5 自動巻き腕時計 SNZG15K1")</f>
        <v>セイコー SEIKO メンズ 5 自動巻き腕時計 SNZG15K1</v>
      </c>
    </row>
    <row r="4684" ht="15.75" customHeight="1">
      <c r="A4684" s="1">
        <v>4229.0</v>
      </c>
      <c r="B4684" s="1" t="s">
        <v>15</v>
      </c>
      <c r="C4684" s="1" t="s">
        <v>4066</v>
      </c>
      <c r="D4684" s="1" t="str">
        <f>IFERROR(__xludf.DUMMYFUNCTION("CONCATENATE(GOOGLETRANSLATE(C4684, ""en"", ""zh-cn""))"),"卡西欧 G-Shock 黑色表盘黑色树脂多石英男士手表 AWGM510BB-1A")</f>
        <v>卡西欧 G-Shock 黑色表盘黑色树脂多石英男士手表 AWGM510BB-1A</v>
      </c>
      <c r="E4684" s="1" t="str">
        <f>IFERROR(__xludf.DUMMYFUNCTION("CONCATENATE(GOOGLETRANSLATE(C4684, ""en"", ""ko""))"),"카시오 G-Shock 블랙 다이얼 블랙 레진 멀티 쿼츠 남성용 시계 AWGM510BB-1A")</f>
        <v>카시오 G-Shock 블랙 다이얼 블랙 레진 멀티 쿼츠 남성용 시계 AWGM510BB-1A</v>
      </c>
      <c r="F4684" s="1" t="str">
        <f>IFERROR(__xludf.DUMMYFUNCTION("CONCATENATE(GOOGLETRANSLATE(C4684, ""en"", ""ja""))"),"カシオ G ショック ブラック ダイヤル ブラック レジン マルチ クォーツ メンズ 腕時計 AWGM510BB-1A")</f>
        <v>カシオ G ショック ブラック ダイヤル ブラック レジン マルチ クォーツ メンズ 腕時計 AWGM510BB-1A</v>
      </c>
    </row>
    <row r="4685" ht="15.75" customHeight="1">
      <c r="A4685" s="1">
        <v>4246.0</v>
      </c>
      <c r="B4685" s="1" t="s">
        <v>15</v>
      </c>
      <c r="C4685" s="1" t="s">
        <v>4067</v>
      </c>
      <c r="D4685" s="1" t="str">
        <f>IFERROR(__xludf.DUMMYFUNCTION("CONCATENATE(GOOGLETRANSLATE(C4685, ""en"", ""zh-cn""))"),"SEIKO 男士 SSB325 模拟显示日本石英黑色手表，白色")</f>
        <v>SEIKO 男士 SSB325 模拟显示日本石英黑色手表，白色</v>
      </c>
      <c r="E4685" s="1" t="str">
        <f>IFERROR(__xludf.DUMMYFUNCTION("CONCATENATE(GOOGLETRANSLATE(C4685, ""en"", ""ko""))"),"세이코 남성용 SSB325 아날로그 디스플레이 일본 쿼츠 블랙 시계, 화이트")</f>
        <v>세이코 남성용 SSB325 아날로그 디스플레이 일본 쿼츠 블랙 시계, 화이트</v>
      </c>
      <c r="F4685" s="1" t="str">
        <f>IFERROR(__xludf.DUMMYFUNCTION("CONCATENATE(GOOGLETRANSLATE(C4685, ""en"", ""ja""))"),"セイコー メンズ SSB325 アナログ表示 日本製クォーツ ブラック ウォッチ、ホワイト")</f>
        <v>セイコー メンズ SSB325 アナログ表示 日本製クォーツ ブラック ウォッチ、ホワイト</v>
      </c>
    </row>
    <row r="4686" ht="15.75" customHeight="1">
      <c r="A4686" s="1">
        <v>4251.0</v>
      </c>
      <c r="B4686" s="1" t="s">
        <v>15</v>
      </c>
      <c r="C4686" s="1" t="s">
        <v>4068</v>
      </c>
      <c r="D4686" s="1" t="str">
        <f>IFERROR(__xludf.DUMMYFUNCTION("CONCATENATE(GOOGLETRANSLATE(C4686, ""en"", ""zh-cn""))"),"Timex 41 毫米 Expedition North Field Post 太阳能再生织物表带手表")</f>
        <v>Timex 41 毫米 Expedition North Field Post 太阳能再生织物表带手表</v>
      </c>
      <c r="E4686" s="1" t="str">
        <f>IFERROR(__xludf.DUMMYFUNCTION("CONCATENATE(GOOGLETRANSLATE(C4686, ""en"", ""ko""))"),"타이멕스 41mm Expedition North Field Post Solar 재활용 패브릭 스트랩 시계")</f>
        <v>타이멕스 41mm Expedition North Field Post Solar 재활용 패브릭 스트랩 시계</v>
      </c>
      <c r="F4686" s="1" t="str">
        <f>IFERROR(__xludf.DUMMYFUNCTION("CONCATENATE(GOOGLETRANSLATE(C4686, ""en"", ""ja""))"),"タイメックス 41 mm エクスペディション ノース フィールド ポスト ソーラー リサイクル ファブリック ストラップ ウォッチ")</f>
        <v>タイメックス 41 mm エクスペディション ノース フィールド ポスト ソーラー リサイクル ファブリック ストラップ ウォッチ</v>
      </c>
    </row>
    <row r="4687" ht="15.75" customHeight="1">
      <c r="A4687" s="1">
        <v>4259.0</v>
      </c>
      <c r="B4687" s="1" t="s">
        <v>15</v>
      </c>
      <c r="C4687" s="1" t="s">
        <v>4069</v>
      </c>
      <c r="D4687" s="1" t="str">
        <f>IFERROR(__xludf.DUMMYFUNCTION("CONCATENATE(GOOGLETRANSLATE(C4687, ""en"", ""zh-cn""))"),"精工男士石英手表不锈钢带硅胶表带")</f>
        <v>精工男士石英手表不锈钢带硅胶表带</v>
      </c>
      <c r="E4687" s="1" t="str">
        <f>IFERROR(__xludf.DUMMYFUNCTION("CONCATENATE(GOOGLETRANSLATE(C4687, ""en"", ""ko""))"),"세이코 남성용 쿼츠 시계 스테인리스 스틸(실리콘 스트랩 포함)")</f>
        <v>세이코 남성용 쿼츠 시계 스테인리스 스틸(실리콘 스트랩 포함)</v>
      </c>
      <c r="F4687" s="1" t="str">
        <f>IFERROR(__xludf.DUMMYFUNCTION("CONCATENATE(GOOGLETRANSLATE(C4687, ""en"", ""ja""))"),"セイコー メンズ クォーツ時計 ステンレススチール シリコンストラップ付き")</f>
        <v>セイコー メンズ クォーツ時計 ステンレススチール シリコンストラップ付き</v>
      </c>
    </row>
    <row r="4688" ht="15.75" customHeight="1">
      <c r="A4688" s="1">
        <v>4268.0</v>
      </c>
      <c r="B4688" s="1" t="s">
        <v>15</v>
      </c>
      <c r="C4688" s="1" t="s">
        <v>4070</v>
      </c>
      <c r="D4688" s="1" t="str">
        <f>IFERROR(__xludf.DUMMYFUNCTION("CONCATENATE(GOOGLETRANSLATE(C4688, ""en"", ""zh-cn""))"),"SEIKO Analogical SSB397P1， 银色， 手链")</f>
        <v>SEIKO Analogical SSB397P1， 银色， 手链</v>
      </c>
      <c r="E4688" s="1" t="str">
        <f>IFERROR(__xludf.DUMMYFUNCTION("CONCATENATE(GOOGLETRANSLATE(C4688, ""en"", ""ko""))"),"SEIKO 유추형 SSB397P1, 실버, 팔찌")</f>
        <v>SEIKO 유추형 SSB397P1, 실버, 팔찌</v>
      </c>
      <c r="F4688" s="1" t="str">
        <f>IFERROR(__xludf.DUMMYFUNCTION("CONCATENATE(GOOGLETRANSLATE(C4688, ""en"", ""ja""))"),"セイコー アナロジカル SSB397P1 シルバー ブレスレット")</f>
        <v>セイコー アナロジカル SSB397P1 シルバー ブレスレット</v>
      </c>
    </row>
    <row r="4689" ht="15.75" customHeight="1">
      <c r="A4689" s="1">
        <v>4279.0</v>
      </c>
      <c r="B4689" s="1" t="s">
        <v>15</v>
      </c>
      <c r="C4689" s="1" t="s">
        <v>4071</v>
      </c>
      <c r="D4689" s="1" t="str">
        <f>IFERROR(__xludf.DUMMYFUNCTION("CONCATENATE(GOOGLETRANSLATE(C4689, ""en"", ""zh-cn""))"),"CASIO G-Shock 手表 GD-100-1AJF 日本进口")</f>
        <v>CASIO G-Shock 手表 GD-100-1AJF 日本进口</v>
      </c>
      <c r="E4689" s="1" t="str">
        <f>IFERROR(__xludf.DUMMYFUNCTION("CONCATENATE(GOOGLETRANSLATE(C4689, ""en"", ""ko""))"),"CASIO G-Shock 시계 GD-100-1AJF 일본 수입")</f>
        <v>CASIO G-Shock 시계 GD-100-1AJF 일본 수입</v>
      </c>
      <c r="F4689" s="1" t="str">
        <f>IFERROR(__xludf.DUMMYFUNCTION("CONCATENATE(GOOGLETRANSLATE(C4689, ""en"", ""ja""))"),"CASIO Gショック 腕時計 GD-100-1AJF 日本輸入")</f>
        <v>CASIO Gショック 腕時計 GD-100-1AJF 日本輸入</v>
      </c>
    </row>
    <row r="4690" ht="15.75" customHeight="1">
      <c r="A4690" s="1">
        <v>4287.0</v>
      </c>
      <c r="B4690" s="1" t="s">
        <v>15</v>
      </c>
      <c r="C4690" s="1" t="s">
        <v>4072</v>
      </c>
      <c r="D4690" s="1" t="str">
        <f>IFERROR(__xludf.DUMMYFUNCTION("CONCATENATE(GOOGLETRANSLATE(C4690, ""en"", ""zh-cn""))"),"卡西欧 G-Shock DW-5600BBMA-1D 数字黑色男士手表 200M WR DW-5600 原装")</f>
        <v>卡西欧 G-Shock DW-5600BBMA-1D 数字黑色男士手表 200M WR DW-5600 原装</v>
      </c>
      <c r="E4690" s="1" t="str">
        <f>IFERROR(__xludf.DUMMYFUNCTION("CONCATENATE(GOOGLETRANSLATE(C4690, ""en"", ""ko""))"),"카시오 G-Shock DW-5600BBMA-1D 디지털 블랙 남성용 시계 200M WR DW-5600 오리지널")</f>
        <v>카시오 G-Shock DW-5600BBMA-1D 디지털 블랙 남성용 시계 200M WR DW-5600 오리지널</v>
      </c>
      <c r="F4690" s="1" t="str">
        <f>IFERROR(__xludf.DUMMYFUNCTION("CONCATENATE(GOOGLETRANSLATE(C4690, ""en"", ""ja""))"),"カシオ G ショック DW-5600BBMA-1D デジタル ブラック メンズ腕時計 200M WR DW-5600 オリジナル")</f>
        <v>カシオ G ショック DW-5600BBMA-1D デジタル ブラック メンズ腕時計 200M WR DW-5600 オリジナル</v>
      </c>
    </row>
    <row r="4691" ht="15.75" customHeight="1">
      <c r="A4691" s="1">
        <v>4334.0</v>
      </c>
      <c r="B4691" s="1" t="s">
        <v>15</v>
      </c>
      <c r="C4691" s="1" t="s">
        <v>3219</v>
      </c>
      <c r="D4691" s="1" t="str">
        <f>IFERROR(__xludf.DUMMYFUNCTION("CONCATENATE(GOOGLETRANSLATE(C4691, ""en"", ""zh-cn""))"),"Smith &amp; Wesson 男士手表，战术坚固军用手表，瑞士氚，20ATM 黑色表盘，不锈钢底盖，潜水表，金属和橡胶表带，42 毫米，父亲节礼物（蓝色）")</f>
        <v>Smith &amp; Wesson 男士手表，战术坚固军用手表，瑞士氚，20ATM 黑色表盘，不锈钢底盖，潜水表，金属和橡胶表带，42 毫米，父亲节礼物（蓝色）</v>
      </c>
      <c r="E4691" s="1" t="str">
        <f>IFERROR(__xludf.DUMMYFUNCTION("CONCATENATE(GOOGLETRANSLATE(C4691, ""en"", ""ko""))"),"Smith &amp; Wesson 남성용 시계, 전술 터프 밀리터리 시계, 스위스 삼중수소, 20ATM 블랙 다이얼, 스테인리스 스틸 케이스백, 다이버 시계, 금속 및 고무 스트랩, 42mm, 아버지의 날 선물(블루)")</f>
        <v>Smith &amp; Wesson 남성용 시계, 전술 터프 밀리터리 시계, 스위스 삼중수소, 20ATM 블랙 다이얼, 스테인리스 스틸 케이스백, 다이버 시계, 금속 및 고무 스트랩, 42mm, 아버지의 날 선물(블루)</v>
      </c>
      <c r="F4691" s="1" t="str">
        <f>IFERROR(__xludf.DUMMYFUNCTION("CONCATENATE(GOOGLETRANSLATE(C4691, ""en"", ""ja""))"),"Smith &amp; Wesson メンズウォッチ、タクティカルタフミリタリーウォッチ、スイストリチウム、20ATM ブラックダイヤル、ステンレススチールケースバック、ダイバーウォッチ、メタルとラバーストラップ、42mm、父の日ギフト (ブルー)")</f>
        <v>Smith &amp; Wesson メンズウォッチ、タクティカルタフミリタリーウォッチ、スイストリチウム、20ATM ブラックダイヤル、ステンレススチールケースバック、ダイバーウォッチ、メタルとラバーストラップ、42mm、父の日ギフト (ブルー)</v>
      </c>
    </row>
    <row r="4692" ht="15.75" customHeight="1">
      <c r="A4692" s="1">
        <v>4345.0</v>
      </c>
      <c r="B4692" s="1" t="s">
        <v>15</v>
      </c>
      <c r="C4692" s="1" t="s">
        <v>4073</v>
      </c>
      <c r="D4692" s="1" t="str">
        <f>IFERROR(__xludf.DUMMYFUNCTION("CONCATENATE(GOOGLETRANSLATE(C4692, ""en"", ""zh-cn""))"),"施华洛世奇圣诞套装，A.E. 2019 装饰品，水晶")</f>
        <v>施华洛世奇圣诞套装，A.E. 2019 装饰品，水晶</v>
      </c>
      <c r="E4692" s="1" t="str">
        <f>IFERROR(__xludf.DUMMYFUNCTION("CONCATENATE(GOOGLETRANSLATE(C4692, ""en"", ""ko""))"),"SWAROVSKI 크리스마스 세트, A.E. 2019 장식품, 크리스탈")</f>
        <v>SWAROVSKI 크리스마스 세트, A.E. 2019 장식품, 크리스탈</v>
      </c>
      <c r="F4692" s="1" t="str">
        <f>IFERROR(__xludf.DUMMYFUNCTION("CONCATENATE(GOOGLETRANSLATE(C4692, ""en"", ""ja""))"),"SWAROVSKI クリスマスセット、A.E. 2019 オーナメント、クリスタル")</f>
        <v>SWAROVSKI クリスマスセット、A.E. 2019 オーナメント、クリスタル</v>
      </c>
    </row>
    <row r="4693" ht="15.75" customHeight="1">
      <c r="A4693" s="1">
        <v>4355.0</v>
      </c>
      <c r="B4693" s="1" t="s">
        <v>15</v>
      </c>
      <c r="C4693" s="1" t="s">
        <v>4074</v>
      </c>
      <c r="D4693" s="1" t="str">
        <f>IFERROR(__xludf.DUMMYFUNCTION("CONCATENATE(GOOGLETRANSLATE(C4693, ""en"", ""zh-cn""))"),"Invicta 男士 13708 Grand Diver 自动黑色纹理表盘两色不锈钢手表")</f>
        <v>Invicta 男士 13708 Grand Diver 自动黑色纹理表盘两色不锈钢手表</v>
      </c>
      <c r="E4693" s="1" t="str">
        <f>IFERROR(__xludf.DUMMYFUNCTION("CONCATENATE(GOOGLETRANSLATE(C4693, ""en"", ""ko""))"),"인빅타 남성용 13708 그랜드 다이버 오토매틱 블랙 질감 다이얼 투톤 스테인리스 스틸 시계")</f>
        <v>인빅타 남성용 13708 그랜드 다이버 오토매틱 블랙 질감 다이얼 투톤 스테인리스 스틸 시계</v>
      </c>
      <c r="F4693" s="1" t="str">
        <f>IFERROR(__xludf.DUMMYFUNCTION("CONCATENATE(GOOGLETRANSLATE(C4693, ""en"", ""ja""))"),"Invicta メンズ 13708 グランド ダイバー オートマティック ブラック テクスチャード ダイヤル ツートン ステンレス スチール ウォッチ")</f>
        <v>Invicta メンズ 13708 グランド ダイバー オートマティック ブラック テクスチャード ダイヤル ツートン ステンレス スチール ウォッチ</v>
      </c>
    </row>
    <row r="4694" ht="15.75" customHeight="1">
      <c r="A4694" s="1">
        <v>4356.0</v>
      </c>
      <c r="B4694" s="1" t="s">
        <v>15</v>
      </c>
      <c r="C4694" s="1" t="s">
        <v>4075</v>
      </c>
      <c r="D4694" s="1" t="str">
        <f>IFERROR(__xludf.DUMMYFUNCTION("CONCATENATE(GOOGLETRANSLATE(C4694, ""en"", ""zh-cn""))"),"施华洛世奇闪闪发光的舞蹈圆形珠宝系列，镀铑饰面，蓝色水晶，透明水晶")</f>
        <v>施华洛世奇闪闪发光的舞蹈圆形珠宝系列，镀铑饰面，蓝色水晶，透明水晶</v>
      </c>
      <c r="E4694" s="1" t="str">
        <f>IFERROR(__xludf.DUMMYFUNCTION("CONCATENATE(GOOGLETRANSLATE(C4694, ""en"", ""ko""))"),"스와로브스키 스파클링 댄스 라운드 주얼리 컬렉션, 로듐 마감, 블루 크리스털, 클리어 크리스털")</f>
        <v>스와로브스키 스파클링 댄스 라운드 주얼리 컬렉션, 로듐 마감, 블루 크리스털, 클리어 크리스털</v>
      </c>
      <c r="F4694" s="1" t="str">
        <f>IFERROR(__xludf.DUMMYFUNCTION("CONCATENATE(GOOGLETRANSLATE(C4694, ""en"", ""ja""))"),"スワロフスキー スパークリング ダンス ラウンド ジュエリー コレクション、ロジウム仕上げ、ブルー クリスタル、クリア クリスタル")</f>
        <v>スワロフスキー スパークリング ダンス ラウンド ジュエリー コレクション、ロジウム仕上げ、ブルー クリスタル、クリア クリスタル</v>
      </c>
    </row>
    <row r="4695" ht="15.75" customHeight="1">
      <c r="A4695" s="1">
        <v>4358.0</v>
      </c>
      <c r="B4695" s="1" t="s">
        <v>15</v>
      </c>
      <c r="C4695" s="1" t="s">
        <v>2178</v>
      </c>
      <c r="D4695" s="1" t="str">
        <f>IFERROR(__xludf.DUMMYFUNCTION("CONCATENATE(GOOGLETRANSLATE(C4695, ""en"", ""zh-cn""))"),"FQQWEE 旋转口音沙发桶椅，现代休闲椅 42.9 英寸桶椅带 3 个枕头天鹅绒圆椅 360° 旋转轮客厅酒店 (黑色)")</f>
        <v>FQQWEE 旋转口音沙发桶椅，现代休闲椅 42.9 英寸桶椅带 3 个枕头天鹅绒圆椅 360° 旋转轮客厅酒店 (黑色)</v>
      </c>
      <c r="E4695" s="1" t="str">
        <f>IFERROR(__xludf.DUMMYFUNCTION("CONCATENATE(GOOGLETRANSLATE(C4695, ""en"", ""ko""))"),"FQQWEE 회전 악센트 소파 배럴 의자, 현대식 레저 의자 42.9인치 배럴 의자(베개 3개 포함) 벨벳 원형 의자 360° 회전 바퀴(거실 호텔용)(검은색)")</f>
        <v>FQQWEE 회전 악센트 소파 배럴 의자, 현대식 레저 의자 42.9인치 배럴 의자(베개 3개 포함) 벨벳 원형 의자 360° 회전 바퀴(거실 호텔용)(검은색)</v>
      </c>
      <c r="F4695" s="1" t="str">
        <f>IFERROR(__xludf.DUMMYFUNCTION("CONCATENATE(GOOGLETRANSLATE(C4695, ""en"", ""ja""))"),"FQQWEE 回転アクセントソファ バレルチェア モダンレジャーチェア 42.9インチ バレルチェア 枕3個付き ベルベットラウンドチェア 360度回転ホイール リビングルーム ホテル用 (ブラック)")</f>
        <v>FQQWEE 回転アクセントソファ バレルチェア モダンレジャーチェア 42.9インチ バレルチェア 枕3個付き ベルベットラウンドチェア 360度回転ホイール リビングルーム ホテル用 (ブラック)</v>
      </c>
    </row>
    <row r="4696" ht="15.75" customHeight="1">
      <c r="A4696" s="1">
        <v>4370.0</v>
      </c>
      <c r="B4696" s="1" t="s">
        <v>15</v>
      </c>
      <c r="C4696" s="1" t="s">
        <v>4076</v>
      </c>
      <c r="D4696" s="1" t="str">
        <f>IFERROR(__xludf.DUMMYFUNCTION("CONCATENATE(GOOGLETRANSLATE(C4696, ""en"", ""zh-cn""))"),"Best Choice Products 簇绒人造皮革 3 座 L 形组合沙发沙发套装带躺椅，奥斯曼咖啡桌长凳，黑色")</f>
        <v>Best Choice Products 簇绒人造皮革 3 座 L 形组合沙发沙发套装带躺椅，奥斯曼咖啡桌长凳，黑色</v>
      </c>
      <c r="E4696" s="1" t="str">
        <f>IFERROR(__xludf.DUMMYFUNCTION("CONCATENATE(GOOGLETRANSLATE(C4696, ""en"", ""ko""))"),"최고의 선택 제품 터프티드 인조 가죽 3인용 L자형 단면 소파 소파 세트, 긴 의자 라운지, 오토만 커피 테이블 벤치, 블랙")</f>
        <v>최고의 선택 제품 터프티드 인조 가죽 3인용 L자형 단면 소파 소파 세트, 긴 의자 라운지, 오토만 커피 테이블 벤치, 블랙</v>
      </c>
      <c r="F4696" s="1" t="str">
        <f>IFERROR(__xludf.DUMMYFUNCTION("CONCATENATE(GOOGLETRANSLATE(C4696, ""en"", ""ja""))"),"Best Choice Products タフトフェイクレザー 3 人掛け L 字型セクショナルソファ カウチセット、長椅子付き、オットマン コーヒーテーブル ベンチ、ブラック")</f>
        <v>Best Choice Products タフトフェイクレザー 3 人掛け L 字型セクショナルソファ カウチセット、長椅子付き、オットマン コーヒーテーブル ベンチ、ブラック</v>
      </c>
    </row>
    <row r="4697" ht="15.75" customHeight="1">
      <c r="A4697" s="1">
        <v>4379.0</v>
      </c>
      <c r="B4697" s="1" t="s">
        <v>15</v>
      </c>
      <c r="C4697" s="1" t="s">
        <v>4077</v>
      </c>
      <c r="D4697" s="1" t="str">
        <f>IFERROR(__xludf.DUMMYFUNCTION("CONCATENATE(GOOGLETRANSLATE(C4697, ""en"", ""zh-cn""))"),"Akrenar 82 现代超大沙发，带两个枕头的沙发，客厅、卧室沙发，米色")</f>
        <v>Akrenar 82 现代超大沙发，带两个枕头的沙发，客厅、卧室沙发，米色</v>
      </c>
      <c r="E4697" s="1" t="str">
        <f>IFERROR(__xludf.DUMMYFUNCTION("CONCATENATE(GOOGLETRANSLATE(C4697, ""en"", ""ko""))"),"Akrenar 82 현대식 대형 소파, 베개 2개가 있는 소파, 거실용 소파, 침실, 베이지")</f>
        <v>Akrenar 82 현대식 대형 소파, 베개 2개가 있는 소파, 거실용 소파, 침실, 베이지</v>
      </c>
      <c r="F4697" s="1" t="str">
        <f>IFERROR(__xludf.DUMMYFUNCTION("CONCATENATE(GOOGLETRANSLATE(C4697, ""en"", ""ja""))"),"Akrenar 82 モダンな特大ソファ、枕 2 つ付きソファ、リビングルーム、ベッドルーム用ソファ、ベージュ")</f>
        <v>Akrenar 82 モダンな特大ソファ、枕 2 つ付きソファ、リビングルーム、ベッドルーム用ソファ、ベージュ</v>
      </c>
    </row>
    <row r="4698" ht="15.75" customHeight="1">
      <c r="A4698" s="1">
        <v>4397.0</v>
      </c>
      <c r="B4698" s="1" t="s">
        <v>15</v>
      </c>
      <c r="C4698" s="1" t="s">
        <v>4078</v>
      </c>
      <c r="D4698" s="1" t="str">
        <f>IFERROR(__xludf.DUMMYFUNCTION("CONCATENATE(GOOGLETRANSLATE(C4698, ""en"", ""zh-cn""))"),"HONBAY 双面组合沙发，带奥斯曼 L 形沙发，适合小空间 组合沙发，带贵妃椅，深灰色")</f>
        <v>HONBAY 双面组合沙发，带奥斯曼 L 形沙发，适合小空间 组合沙发，带贵妃椅，深灰色</v>
      </c>
      <c r="E4698" s="1" t="str">
        <f>IFERROR(__xludf.DUMMYFUNCTION("CONCATENATE(GOOGLETRANSLATE(C4698, ""en"", ""ko""))"),"작은 공간을 위한 오스만 L자형 소파가 있는 HONBAY 양면 단면 소파 어두운 회색의 의자가 있는 단면 소파")</f>
        <v>작은 공간을 위한 오스만 L자형 소파가 있는 HONBAY 양면 단면 소파 어두운 회색의 의자가 있는 단면 소파</v>
      </c>
      <c r="F4698" s="1" t="str">
        <f>IFERROR(__xludf.DUMMYFUNCTION("CONCATENATE(GOOGLETRANSLATE(C4698, ""en"", ""ja""))"),"HONBAY リバーシブルセクショナルソファ オットマン付き L字型ソファ 狭いスペース用 セクショナルソファ 長椅子付き ダークグレー")</f>
        <v>HONBAY リバーシブルセクショナルソファ オットマン付き L字型ソファ 狭いスペース用 セクショナルソファ 長椅子付き ダークグレー</v>
      </c>
    </row>
    <row r="4699" ht="15.75" customHeight="1">
      <c r="A4699" s="1">
        <v>4398.0</v>
      </c>
      <c r="B4699" s="1" t="s">
        <v>15</v>
      </c>
      <c r="C4699" s="1" t="s">
        <v>3536</v>
      </c>
      <c r="D4699" s="1" t="str">
        <f>IFERROR(__xludf.DUMMYFUNCTION("CONCATENATE(GOOGLETRANSLATE(C4699, ""en"", ""zh-cn""))"),"PaPaJet 沙发床，带储物躺椅的沙发床 - 2 合 1 客厅拉出沙发床，带拉出床的组合沙发灰色")</f>
        <v>PaPaJet 沙发床，带储物躺椅的沙发床 - 2 合 1 客厅拉出沙发床，带拉出床的组合沙发灰色</v>
      </c>
      <c r="E4699" s="1" t="str">
        <f>IFERROR(__xludf.DUMMYFUNCTION("CONCATENATE(GOOGLETRANSLATE(C4699, ""en"", ""ko""))"),"PaPaJet 슬리퍼 소파, 수납용 의자가 있는 소파 베드-거실용 풀아웃 소파 베드 1개, 풀아웃 침대가 있는 단면 소파 그레이")</f>
        <v>PaPaJet 슬리퍼 소파, 수납용 의자가 있는 소파 베드-거실용 풀아웃 소파 베드 1개, 풀아웃 침대가 있는 단면 소파 그레이</v>
      </c>
      <c r="F4699" s="1" t="str">
        <f>IFERROR(__xludf.DUMMYFUNCTION("CONCATENATE(GOOGLETRANSLATE(C4699, ""en"", ""ja""))"),"PaPaJet スリーパーソファ、収納長椅子付きソファベッド、リビングルーム用 2 in 1 引き出し式カウチベッド、引き出し式ベッド付きセクショナルソファ グレー")</f>
        <v>PaPaJet スリーパーソファ、収納長椅子付きソファベッド、リビングルーム用 2 in 1 引き出し式カウチベッド、引き出し式ベッド付きセクショナルソファ グレー</v>
      </c>
    </row>
    <row r="4700" ht="15.75" customHeight="1">
      <c r="A4700" s="1">
        <v>4399.0</v>
      </c>
      <c r="B4700" s="1" t="s">
        <v>15</v>
      </c>
      <c r="C4700" s="1" t="s">
        <v>1680</v>
      </c>
      <c r="D4700" s="1" t="str">
        <f>IFERROR(__xludf.DUMMYFUNCTION("CONCATENATE(GOOGLETRANSLATE(C4700, ""en"", ""zh-cn""))"),"Christopher Knight Home Bridget 三座沙发，传统，现代，米色，深棕色")</f>
        <v>Christopher Knight Home Bridget 三座沙发，传统，现代，米色，深棕色</v>
      </c>
      <c r="E4700" s="1" t="str">
        <f>IFERROR(__xludf.DUMMYFUNCTION("CONCATENATE(GOOGLETRANSLATE(C4700, ""en"", ""ko""))"),"크리스토퍼 나이트 홈 브리짓 3인용 소파, 전통, 모던, 베이지, 다크 브라운")</f>
        <v>크리스토퍼 나이트 홈 브리짓 3인용 소파, 전통, 모던, 베이지, 다크 브라운</v>
      </c>
      <c r="F4700" s="1" t="str">
        <f>IFERROR(__xludf.DUMMYFUNCTION("CONCATENATE(GOOGLETRANSLATE(C4700, ""en"", ""ja""))"),"Christopher Knight Home Bridget 3人掛けソファ、トラディショナル、モダン、ベージュ、ダークブラウン")</f>
        <v>Christopher Knight Home Bridget 3人掛けソファ、トラディショナル、モダン、ベージュ、ダークブラウン</v>
      </c>
    </row>
    <row r="4701" ht="15.75" customHeight="1">
      <c r="A4701" s="1">
        <v>4412.0</v>
      </c>
      <c r="B4701" s="1" t="s">
        <v>15</v>
      </c>
      <c r="C4701" s="1" t="s">
        <v>3094</v>
      </c>
      <c r="D4701" s="1" t="str">
        <f>IFERROR(__xludf.DUMMYFUNCTION("CONCATENATE(GOOGLETRANSLATE(C4701, ""en"", ""zh-cn""))"),"YDF 现代布艺双人沙发，带 2 个 USB 充电端口，适合小空间沙发，卧室客厅小公寓沙发，深灰色")</f>
        <v>YDF 现代布艺双人沙发，带 2 个 USB 充电端口，适合小空间沙发，卧室客厅小公寓沙发，深灰色</v>
      </c>
      <c r="E4701" s="1" t="str">
        <f>IFERROR(__xludf.DUMMYFUNCTION("CONCATENATE(GOOGLETRANSLATE(C4701, ""en"", ""ko""))"),"2개의 USB 충전 포트가 있는 YDF 현대식 패브릭 러브시트 소파, 작은 공간 소파, 침실 거실 작은 아파트 소파, 짙은 회색에 적합")</f>
        <v>2개의 USB 충전 포트가 있는 YDF 현대식 패브릭 러브시트 소파, 작은 공간 소파, 침실 거실 작은 아파트 소파, 짙은 회색에 적합</v>
      </c>
      <c r="F4701" s="1" t="str">
        <f>IFERROR(__xludf.DUMMYFUNCTION("CONCATENATE(GOOGLETRANSLATE(C4701, ""en"", ""ja""))"),"YDF モダンなファブリック二人掛けソファ 2 USB 充電ポート付き、狭いスペースのソファ、寝室、リビングルーム、小さなアパートのソファに最適、ダークグレー")</f>
        <v>YDF モダンなファブリック二人掛けソファ 2 USB 充電ポート付き、狭いスペースのソファ、寝室、リビングルーム、小さなアパートのソファに最適、ダークグレー</v>
      </c>
    </row>
    <row r="4702" ht="15.75" customHeight="1">
      <c r="A4702" s="1">
        <v>4435.0</v>
      </c>
      <c r="B4702" s="1" t="s">
        <v>15</v>
      </c>
      <c r="C4702" s="1" t="s">
        <v>3517</v>
      </c>
      <c r="D4702" s="1" t="str">
        <f>IFERROR(__xludf.DUMMYFUNCTION("CONCATENATE(GOOGLETRANSLATE(C4702, ""en"", ""zh-cn""))"),"ACME Picardy II 沙发带 7 个枕头 - - 织物和古董珍珠")</f>
        <v>ACME Picardy II 沙发带 7 个枕头 - - 织物和古董珍珠</v>
      </c>
      <c r="E4702" s="1" t="str">
        <f>IFERROR(__xludf.DUMMYFUNCTION("CONCATENATE(GOOGLETRANSLATE(C4702, ""en"", ""ko""))"),"ACME 피카르디 II 소파 및 베개 7개 - - 패브릭 및 앤티크 진주")</f>
        <v>ACME 피카르디 II 소파 및 베개 7개 - - 패브릭 및 앤티크 진주</v>
      </c>
      <c r="F4702" s="1" t="str">
        <f>IFERROR(__xludf.DUMMYFUNCTION("CONCATENATE(GOOGLETRANSLATE(C4702, ""en"", ""ja""))"),"ACME Picardy II ソファ 枕 7 個付き - - ファブリック &amp; アンティーク パール")</f>
        <v>ACME Picardy II ソファ 枕 7 個付き - - ファブリック &amp; アンティーク パール</v>
      </c>
    </row>
    <row r="4703" ht="15.75" customHeight="1">
      <c r="A4703" s="1">
        <v>4438.0</v>
      </c>
      <c r="B4703" s="1" t="s">
        <v>15</v>
      </c>
      <c r="C4703" s="1" t="s">
        <v>3950</v>
      </c>
      <c r="D4703" s="1" t="str">
        <f>IFERROR(__xludf.DUMMYFUNCTION("CONCATENATE(GOOGLETRANSLATE(C4703, ""en"", ""zh-cn""))"),"ACME 凡尔赛古玩柜 - - 骨白色")</f>
        <v>ACME 凡尔赛古玩柜 - - 骨白色</v>
      </c>
      <c r="E4703" s="1" t="str">
        <f>IFERROR(__xludf.DUMMYFUNCTION("CONCATENATE(GOOGLETRANSLATE(C4703, ""en"", ""ko""))"),"ACME 베르사유 골동품 캐비닛 - - 본 화이트")</f>
        <v>ACME 베르사유 골동품 캐비닛 - - 본 화이트</v>
      </c>
      <c r="F4703" s="1" t="str">
        <f>IFERROR(__xludf.DUMMYFUNCTION("CONCATENATE(GOOGLETRANSLATE(C4703, ""en"", ""ja""))"),"ACME Versailles Curio Cabinet - - ボーン ホワイト")</f>
        <v>ACME Versailles Curio Cabinet - - ボーン ホワイト</v>
      </c>
    </row>
    <row r="4704" ht="15.75" customHeight="1">
      <c r="A4704" s="1">
        <v>4456.0</v>
      </c>
      <c r="B4704" s="1" t="s">
        <v>15</v>
      </c>
      <c r="C4704" s="1" t="s">
        <v>4079</v>
      </c>
      <c r="D4704" s="1" t="str">
        <f>IFERROR(__xludf.DUMMYFUNCTION("CONCATENATE(GOOGLETRANSLATE(C4704, ""en"", ""zh-cn""))"),"CHANEL Sublimage La Creme 终极肌肤再生霜，男女通用， 1.7 盎司")</f>
        <v>CHANEL Sublimage La Creme 终极肌肤再生霜，男女通用， 1.7 盎司</v>
      </c>
      <c r="E4704" s="1" t="str">
        <f>IFERROR(__xludf.DUMMYFUNCTION("CONCATENATE(GOOGLETRANSLATE(C4704, ""en"", ""ko""))"),"샤넬 수블리마지 라 크림 유니섹스용 얼티미트 스킨 리제너레이션 크림, 1.7온스")</f>
        <v>샤넬 수블리마지 라 크림 유니섹스용 얼티미트 스킨 리제너레이션 크림, 1.7온스</v>
      </c>
      <c r="F4704" s="1" t="str">
        <f>IFERROR(__xludf.DUMMYFUNCTION("CONCATENATE(GOOGLETRANSLATE(C4704, ""en"", ""ja""))"),"シャネル サブリマージュ ラ クレーム アルティメット スキン リジェネレーション クリーム ユニセックス用、1.7 オンス")</f>
        <v>シャネル サブリマージュ ラ クレーム アルティメット スキン リジェネレーション クリーム ユニセックス用、1.7 オンス</v>
      </c>
    </row>
    <row r="4705" ht="15.75" customHeight="1">
      <c r="A4705" s="1">
        <v>4467.0</v>
      </c>
      <c r="B4705" s="1" t="s">
        <v>15</v>
      </c>
      <c r="C4705" s="1" t="s">
        <v>4080</v>
      </c>
      <c r="D4705" s="1" t="str">
        <f>IFERROR(__xludf.DUMMYFUNCTION("CONCATENATE(GOOGLETRANSLATE(C4705, ""en"", ""zh-cn""))"),"SUBLIMAGE LE TEINT Ultimate Radiance - 生成霜粉底/1 盎司。 12 米色玫瑰色")</f>
        <v>SUBLIMAGE LE TEINT Ultimate Radiance - 生成霜粉底/1 盎司。 12 米色玫瑰色</v>
      </c>
      <c r="E4705" s="1" t="str">
        <f>IFERROR(__xludf.DUMMYFUNCTION("CONCATENATE(GOOGLETRANSLATE(C4705, ""en"", ""ko""))"),"수블리마지 르 땡 얼티미트 래디언스 - 제너레이팅 크림 파운데이션/1온스 12 베이지 로즈")</f>
        <v>수블리마지 르 땡 얼티미트 래디언스 - 제너레이팅 크림 파운데이션/1온스 12 베이지 로즈</v>
      </c>
      <c r="F4705" s="1" t="str">
        <f>IFERROR(__xludf.DUMMYFUNCTION("CONCATENATE(GOOGLETRANSLATE(C4705, ""en"", ""ja""))"),"サブリマージュ ル タン アルティメット ラディアンス - ジェネレーティング クリーム ファンデーション/1 オンス12 ベージュローズ")</f>
        <v>サブリマージュ ル タン アルティメット ラディアンス - ジェネレーティング クリーム ファンデーション/1 オンス12 ベージュローズ</v>
      </c>
    </row>
    <row r="4706" ht="15.75" customHeight="1">
      <c r="A4706" s="1">
        <v>4496.0</v>
      </c>
      <c r="B4706" s="1" t="s">
        <v>15</v>
      </c>
      <c r="C4706" s="1" t="s">
        <v>4081</v>
      </c>
      <c r="D4706" s="1" t="str">
        <f>IFERROR(__xludf.DUMMYFUNCTION("CONCATENATE(GOOGLETRANSLATE(C4706, ""en"", ""zh-cn""))"),"Germaine de Capuccini - Timexpert 电梯 (IN) |极致清晰眼部轮廓乳液 - 抗衰老眼霜，打造紧致、明亮、焕发活力的妆容")</f>
        <v>Germaine de Capuccini - Timexpert 电梯 (IN) |极致清晰眼部轮廓乳液 - 抗衰老眼霜，打造紧致、明亮、焕发活力的妆容</v>
      </c>
      <c r="E4706" s="1" t="str">
        <f>IFERROR(__xludf.DUMMYFUNCTION("CONCATENATE(GOOGLETRANSLATE(C4706, ""en"", ""ko""))"),"Germaine de Capuccini - Timexpert 리프트 (IN) | 슈프림 데피니션 아이 컨투어 에멀젼 - 탄탄하고 빛나는 생기 넘치는 룩을 선사하는 안티에이징 아이 크림")</f>
        <v>Germaine de Capuccini - Timexpert 리프트 (IN) | 슈프림 데피니션 아이 컨투어 에멀젼 - 탄탄하고 빛나는 생기 넘치는 룩을 선사하는 안티에이징 아이 크림</v>
      </c>
      <c r="F4706" s="1" t="str">
        <f>IFERROR(__xludf.DUMMYFUNCTION("CONCATENATE(GOOGLETRANSLATE(C4706, ""en"", ""ja""))"),"ジャーメイン・ド・カプチーニ - Timeexpert リフト (インド) | Supreme Definition Eye Contour Emulsion - 引き締まり、明るく若返った外観を実現するアンチエイジング アイクリーム")</f>
        <v>ジャーメイン・ド・カプチーニ - Timeexpert リフト (インド) | Supreme Definition Eye Contour Emulsion - 引き締まり、明るく若返った外観を実現するアンチエイジング アイクリーム</v>
      </c>
    </row>
    <row r="4707" ht="15.75" customHeight="1">
      <c r="A4707" s="1">
        <v>4508.0</v>
      </c>
      <c r="B4707" s="1" t="s">
        <v>15</v>
      </c>
      <c r="C4707" s="1" t="s">
        <v>4082</v>
      </c>
      <c r="D4707" s="1" t="str">
        <f>IFERROR(__xludf.DUMMYFUNCTION("CONCATENATE(GOOGLETRANSLATE(C4707, ""en"", ""zh-cn""))"),"Sisley Phyto-touche 防晒凝胶，1 盎司")</f>
        <v>Sisley Phyto-touche 防晒凝胶，1 盎司</v>
      </c>
      <c r="E4707" s="1" t="str">
        <f>IFERROR(__xludf.DUMMYFUNCTION("CONCATENATE(GOOGLETRANSLATE(C4707, ""en"", ""ko""))"),"시슬리 피토-터치 선 글로우 젤, 1온스")</f>
        <v>시슬리 피토-터치 선 글로우 젤, 1온스</v>
      </c>
      <c r="F4707" s="1" t="str">
        <f>IFERROR(__xludf.DUMMYFUNCTION("CONCATENATE(GOOGLETRANSLATE(C4707, ""en"", ""ja""))"),"シスレー フィトタッチ サン グロウ ジェル、1オンス")</f>
        <v>シスレー フィトタッチ サン グロウ ジェル、1オンス</v>
      </c>
    </row>
    <row r="4708" ht="15.75" customHeight="1">
      <c r="A4708" s="1">
        <v>4525.0</v>
      </c>
      <c r="B4708" s="1" t="s">
        <v>15</v>
      </c>
      <c r="C4708" s="1" t="s">
        <v>2794</v>
      </c>
      <c r="D4708" s="1" t="str">
        <f>IFERROR(__xludf.DUMMYFUNCTION("CONCATENATE(GOOGLETRANSLATE(C4708, ""en"", ""zh-cn""))"),"SK-II 面部护理面膜，6 克拉")</f>
        <v>SK-II 面部护理面膜，6 克拉</v>
      </c>
      <c r="E4708" s="1" t="str">
        <f>IFERROR(__xludf.DUMMYFUNCTION("CONCATENATE(GOOGLETRANSLATE(C4708, ""en"", ""ko""))"),"SK-II 페이셜 트리트먼트 마스크, 6ct.")</f>
        <v>SK-II 페이셜 트리트먼트 마스크, 6ct.</v>
      </c>
      <c r="F4708" s="1" t="str">
        <f>IFERROR(__xludf.DUMMYFUNCTION("CONCATENATE(GOOGLETRANSLATE(C4708, ""en"", ""ja""))"),"SK-II フェイシャル トリートメント マスク、6 ct.")</f>
        <v>SK-II フェイシャル トリートメント マスク、6 ct.</v>
      </c>
    </row>
    <row r="4709" ht="15.75" customHeight="1">
      <c r="A4709" s="1">
        <v>4535.0</v>
      </c>
      <c r="B4709" s="1" t="s">
        <v>15</v>
      </c>
      <c r="C4709" s="1" t="s">
        <v>4083</v>
      </c>
      <c r="D4709" s="1" t="str">
        <f>IFERROR(__xludf.DUMMYFUNCTION("CONCATENATE(GOOGLETRANSLATE(C4709, ""en"", ""zh-cn""))"),"U-NEED 100 片韩国面膜（10 种 x 10 片）天然面膜 |天丝|皮肤护理 |韩国制造|保湿紧致 |颜料平衡")</f>
        <v>U-NEED 100 片韩国面膜（10 种 x 10 片）天然面膜 |天丝|皮肤护理 |韩国制造|保湿紧致 |颜料平衡</v>
      </c>
      <c r="E4709" s="1" t="str">
        <f>IFERROR(__xludf.DUMMYFUNCTION("CONCATENATE(GOOGLETRANSLATE(C4709, ""en"", ""ko""))"),"U-NEED 100매 한국산 페이스 시트 마스크 (10종x10매) 천연 페이셜 마스크 시트 | 텐셀 | 스킨케어 | 메이드 인 코리아 | 보습 &amp; 타이트닝 | 안료 균형")</f>
        <v>U-NEED 100매 한국산 페이스 시트 마스크 (10종x10매) 천연 페이셜 마스크 시트 | 텐셀 | 스킨케어 | 메이드 인 코리아 | 보습 &amp; 타이트닝 | 안료 균형</v>
      </c>
      <c r="F4709" s="1" t="str">
        <f>IFERROR(__xludf.DUMMYFUNCTION("CONCATENATE(GOOGLETRANSLATE(C4709, ""en"", ""ja""))"),"U-NEED 韓国フェイスシートマスク 100枚入 (10種類×10枚) ナチュラル フェイシャル マスク シート |テンセル |スキンケア |韓国製 |保湿＆引き締め |ピグメントバランシング")</f>
        <v>U-NEED 韓国フェイスシートマスク 100枚入 (10種類×10枚) ナチュラル フェイシャル マスク シート |テンセル |スキンケア |韓国製 |保湿＆引き締め |ピグメントバランシング</v>
      </c>
    </row>
    <row r="4710" ht="15.75" customHeight="1">
      <c r="A4710" s="1">
        <v>4536.0</v>
      </c>
      <c r="B4710" s="1" t="s">
        <v>15</v>
      </c>
      <c r="C4710" s="1" t="s">
        <v>4084</v>
      </c>
      <c r="D4710" s="1" t="str">
        <f>IFERROR(__xludf.DUMMYFUNCTION("CONCATENATE(GOOGLETRANSLATE(C4710, ""en"", ""zh-cn""))"),"Sisley 女士热带树脂净化再平衡乳液，4.2 盎司")</f>
        <v>Sisley 女士热带树脂净化再平衡乳液，4.2 盎司</v>
      </c>
      <c r="E4710" s="1" t="str">
        <f>IFERROR(__xludf.DUMMYFUNCTION("CONCATENATE(GOOGLETRANSLATE(C4710, ""en"", ""ko""))"),"시슬리 퓨리파잉 리밸런싱 로션 위드 트로피컬 레진 여성용, 4.2온스")</f>
        <v>시슬리 퓨리파잉 리밸런싱 로션 위드 트로피컬 레진 여성용, 4.2온스</v>
      </c>
      <c r="F4710" s="1" t="str">
        <f>IFERROR(__xludf.DUMMYFUNCTION("CONCATENATE(GOOGLETRANSLATE(C4710, ""en"", ""ja""))"),"シスレー ピュリファイング リバランシング ローション (トロピカル レジン配合) 女性用、4.2 オンス")</f>
        <v>シスレー ピュリファイング リバランシング ローション (トロピカル レジン配合) 女性用、4.2 オンス</v>
      </c>
    </row>
    <row r="4711" ht="15.75" customHeight="1">
      <c r="A4711" s="1">
        <v>4541.0</v>
      </c>
      <c r="B4711" s="1" t="s">
        <v>15</v>
      </c>
      <c r="C4711" s="1" t="s">
        <v>4085</v>
      </c>
      <c r="D4711" s="1" t="str">
        <f>IFERROR(__xludf.DUMMYFUNCTION("CONCATENATE(GOOGLETRANSLATE(C4711, ""en"", ""zh-cn""))"),"Sisley by Sisley: PHYTOCERNES 眼部遮瑕膏 - #1 NATURAL--/0.58OZ")</f>
        <v>Sisley by Sisley: PHYTOCERNES 眼部遮瑕膏 - #1 NATURAL--/0.58OZ</v>
      </c>
      <c r="E4711" s="1" t="str">
        <f>IFERROR(__xludf.DUMMYFUNCTION("CONCATENATE(GOOGLETRANSLATE(C4711, ""en"", ""ko""))"),"시슬리 바이 시슬리: 피토세르네스 아이 컨실러 - #1 천연--/0.58OZ")</f>
        <v>시슬리 바이 시슬리: 피토세르네스 아이 컨실러 - #1 천연--/0.58OZ</v>
      </c>
      <c r="F4711" s="1" t="str">
        <f>IFERROR(__xludf.DUMMYFUNCTION("CONCATENATE(GOOGLETRANSLATE(C4711, ""en"", ""ja""))"),"シスレー by シスレー: フィトセルネス アイ コンシーラー - #1 ナチュラル--/0.58オンス")</f>
        <v>シスレー by シスレー: フィトセルネス アイ コンシーラー - #1 ナチュラル--/0.58オンス</v>
      </c>
    </row>
    <row r="4712" ht="15.75" customHeight="1">
      <c r="A4712" s="1">
        <v>4550.0</v>
      </c>
      <c r="B4712" s="1" t="s">
        <v>15</v>
      </c>
      <c r="C4712" s="1" t="s">
        <v>4086</v>
      </c>
      <c r="D4712" s="1" t="str">
        <f>IFERROR(__xludf.DUMMYFUNCTION("CONCATENATE(GOOGLETRANSLATE(C4712, ""en"", ""zh-cn""))"),"苏格兰短裙半身裙灰兔 Sporran 搭配猖獗的狮子和流苏帽")</f>
        <v>苏格兰短裙半身裙灰兔 Sporran 搭配猖獗的狮子和流苏帽</v>
      </c>
      <c r="E4712" s="1" t="str">
        <f>IFERROR(__xludf.DUMMYFUNCTION("CONCATENATE(GOOGLETRANSLATE(C4712, ""en"", ""ko""))"),"스코틀랜드 킬트 세미 드레스 Rampant Lion &amp; Tassels 캡이 있는 회색 토끼 Sporran")</f>
        <v>스코틀랜드 킬트 세미 드레스 Rampant Lion &amp; Tassels 캡이 있는 회색 토끼 Sporran</v>
      </c>
      <c r="F4712" s="1" t="str">
        <f>IFERROR(__xludf.DUMMYFUNCTION("CONCATENATE(GOOGLETRANSLATE(C4712, ""en"", ""ja""))"),"スコットランドのキルト セミ ドレス グレー ラビット スポーラン ランパント ライオン &amp; タッセル キャップ付き")</f>
        <v>スコットランドのキルト セミ ドレス グレー ラビット スポーラン ランパント ライオン &amp; タッセル キャップ付き</v>
      </c>
    </row>
    <row r="4713" ht="15.75" customHeight="1">
      <c r="A4713" s="1">
        <v>4557.0</v>
      </c>
      <c r="B4713" s="1" t="s">
        <v>15</v>
      </c>
      <c r="C4713" s="1" t="s">
        <v>4087</v>
      </c>
      <c r="D4713" s="1" t="str">
        <f>IFERROR(__xludf.DUMMYFUNCTION("CONCATENATE(GOOGLETRANSLATE(C4713, ""en"", ""zh-cn""))"),"Proactiv 皮肤净化痤疮面膜和痤疮斑点治疗 - 排毒面膜含 6% 硫磺 3 盎司 90 天用量")</f>
        <v>Proactiv 皮肤净化痤疮面膜和痤疮斑点治疗 - 排毒面膜含 6% 硫磺 3 盎司 90 天用量</v>
      </c>
      <c r="E4713" s="1" t="str">
        <f>IFERROR(__xludf.DUMMYFUNCTION("CONCATENATE(GOOGLETRANSLATE(C4713, ""en"", ""ko""))"),"Proactiv 스킨 퓨리파잉 여드름 페이스 마스크 및 여드름 스팟 트리트먼트 - 유황 6% 3온스 90일분을 함유한 디톡스 페이셜 마스크")</f>
        <v>Proactiv 스킨 퓨리파잉 여드름 페이스 마스크 및 여드름 스팟 트리트먼트 - 유황 6% 3온스 90일분을 함유한 디톡스 페이셜 마스크</v>
      </c>
      <c r="F4713" s="1" t="str">
        <f>IFERROR(__xludf.DUMMYFUNCTION("CONCATENATE(GOOGLETRANSLATE(C4713, ""en"", ""ja""))"),"プロアクティブ スキン ピュリファイング アクネ フェイス マスクとアクネ スポット トリートメント - 6% 硫黄を含む解毒フェイシャル マスク 3 オンス 90 日分")</f>
        <v>プロアクティブ スキン ピュリファイング アクネ フェイス マスクとアクネ スポット トリートメント - 6% 硫黄を含む解毒フェイシャル マスク 3 オンス 90 日分</v>
      </c>
    </row>
    <row r="4714" ht="15.75" customHeight="1">
      <c r="A4714" s="1">
        <v>4645.0</v>
      </c>
      <c r="B4714" s="1" t="s">
        <v>15</v>
      </c>
      <c r="C4714" s="1" t="s">
        <v>4088</v>
      </c>
      <c r="D4714" s="1" t="str">
        <f>IFERROR(__xludf.DUMMYFUNCTION("CONCATENATE(GOOGLETRANSLATE(C4714, ""en"", ""zh-cn""))"),"Rawlings Heart of the Hide 行李袋，大号，黑色")</f>
        <v>Rawlings Heart of the Hide 行李袋，大号，黑色</v>
      </c>
      <c r="E4714" s="1" t="str">
        <f>IFERROR(__xludf.DUMMYFUNCTION("CONCATENATE(GOOGLETRANSLATE(C4714, ""en"", ""ko""))"),"롤링스 하트 오브 더 하이드 더플 백, 라지, 블랙")</f>
        <v>롤링스 하트 오브 더 하이드 더플 백, 라지, 블랙</v>
      </c>
      <c r="F4714" s="1" t="str">
        <f>IFERROR(__xludf.DUMMYFUNCTION("CONCATENATE(GOOGLETRANSLATE(C4714, ""en"", ""ja""))"),"ローリングス ハート オブ ザ ハイド ダッフル バッグ、ラージ、ブラック")</f>
        <v>ローリングス ハート オブ ザ ハイド ダッフル バッグ、ラージ、ブラック</v>
      </c>
    </row>
    <row r="4715" ht="15.75" customHeight="1">
      <c r="A4715" s="1">
        <v>4646.0</v>
      </c>
      <c r="B4715" s="1" t="s">
        <v>15</v>
      </c>
      <c r="C4715" s="1" t="s">
        <v>1841</v>
      </c>
      <c r="D4715" s="1" t="str">
        <f>IFERROR(__xludf.DUMMYFUNCTION("CONCATENATE(GOOGLETRANSLATE(C4715, ""en"", ""zh-cn""))"),"CyclingDeal 自行车旅行箱 - 700c 自行车 - 自行车航空航班旅行硬箱箱包 EVA 材料轻便耐用，带 TSA 锁 - 非常适合公路自行车 - 运输设备专业")</f>
        <v>CyclingDeal 自行车旅行箱 - 700c 自行车 - 自行车航空航班旅行硬箱箱包 EVA 材料轻便耐用，带 TSA 锁 - 非常适合公路自行车 - 运输设备专业</v>
      </c>
      <c r="E4715" s="1" t="str">
        <f>IFERROR(__xludf.DUMMYFUNCTION("CONCATENATE(GOOGLETRANSLATE(C4715, ""en"", ""ko""))"),"CyclingDeal 자전거 여행용 케이스 - 700c 자전거 - 자전거 항공 항공편 여행용 하드 케이스 박스 백 EVA 소재 TSA 잠금 장치가 포함된 경량 및 내구성 - 도로 자전거에 적합 - 운송 장비 프로")</f>
        <v>CyclingDeal 자전거 여행용 케이스 - 700c 자전거 - 자전거 항공 항공편 여행용 하드 케이스 박스 백 EVA 소재 TSA 잠금 장치가 포함된 경량 및 내구성 - 도로 자전거에 적합 - 운송 장비 프로</v>
      </c>
      <c r="F4715" s="1" t="str">
        <f>IFERROR(__xludf.DUMMYFUNCTION("CONCATENATE(GOOGLETRANSLATE(C4715, ""en"", ""ja""))"),"CyclingDeal バイクトラベルケース - 700c バイク - 自転車航空便旅行ハードケースボックスバッグ EVA 素材 軽量&amp;耐久性 TSA ロック付き - ロードバイクに最適 - 輸送機器プロ")</f>
        <v>CyclingDeal バイクトラベルケース - 700c バイク - 自転車航空便旅行ハードケースボックスバッグ EVA 素材 軽量&amp;耐久性 TSA ロック付き - ロードバイクに最適 - 輸送機器プロ</v>
      </c>
    </row>
    <row r="4716" ht="15.75" customHeight="1">
      <c r="A4716" s="1">
        <v>4649.0</v>
      </c>
      <c r="B4716" s="1" t="s">
        <v>15</v>
      </c>
      <c r="C4716" s="1" t="s">
        <v>1909</v>
      </c>
      <c r="D4716" s="1" t="str">
        <f>IFERROR(__xludf.DUMMYFUNCTION("CONCATENATE(GOOGLETRANSLATE(C4716, ""en"", ""zh-cn""))"),"YOGABODY 瑜伽吊架，室内外使用")</f>
        <v>YOGABODY 瑜伽吊架，室内外使用</v>
      </c>
      <c r="E4716" s="1" t="str">
        <f>IFERROR(__xludf.DUMMYFUNCTION("CONCATENATE(GOOGLETRANSLATE(C4716, ""en"", ""ko""))"),"YOGABODY 요가 공중 그네 스탠드, 실내 및 실외 사용")</f>
        <v>YOGABODY 요가 공중 그네 스탠드, 실내 및 실외 사용</v>
      </c>
      <c r="F4716" s="1" t="str">
        <f>IFERROR(__xludf.DUMMYFUNCTION("CONCATENATE(GOOGLETRANSLATE(C4716, ""en"", ""ja""))"),"YOGABODY ヨガ空中ブランコスタンド、屋内および屋外で使用可能")</f>
        <v>YOGABODY ヨガ空中ブランコスタンド、屋内および屋外で使用可能</v>
      </c>
    </row>
    <row r="4717" ht="15.75" customHeight="1">
      <c r="A4717" s="1">
        <v>4666.0</v>
      </c>
      <c r="B4717" s="1" t="s">
        <v>15</v>
      </c>
      <c r="C4717" s="1" t="s">
        <v>3268</v>
      </c>
      <c r="D4717" s="1" t="str">
        <f>IFERROR(__xludf.DUMMYFUNCTION("CONCATENATE(GOOGLETRANSLATE(C4717, ""en"", ""zh-cn""))"),"Alexia冥想座椅（浅灰色，纯素皮革）")</f>
        <v>Alexia冥想座椅（浅灰色，纯素皮革）</v>
      </c>
      <c r="E4717" s="1" t="str">
        <f>IFERROR(__xludf.DUMMYFUNCTION("CONCATENATE(GOOGLETRANSLATE(C4717, ""en"", ""ko""))"),"알렉시아 명상좌 (라이트 그레이, 비건 가죽)")</f>
        <v>알렉시아 명상좌 (라이트 그레이, 비건 가죽)</v>
      </c>
      <c r="F4717" s="1" t="str">
        <f>IFERROR(__xludf.DUMMYFUNCTION("CONCATENATE(GOOGLETRANSLATE(C4717, ""en"", ""ja""))"),"Alexia 瞑想シート (ライトグレー、ビーガンレザー)")</f>
        <v>Alexia 瞑想シート (ライトグレー、ビーガンレザー)</v>
      </c>
    </row>
    <row r="4718" ht="15.75" customHeight="1">
      <c r="A4718" s="1">
        <v>4667.0</v>
      </c>
      <c r="B4718" s="1" t="s">
        <v>15</v>
      </c>
      <c r="C4718" s="1" t="s">
        <v>2012</v>
      </c>
      <c r="D4718" s="1" t="str">
        <f>IFERROR(__xludf.DUMMYFUNCTION("CONCATENATE(GOOGLETRANSLATE(C4718, ""en"", ""zh-cn""))"),"Lake 男鞋 Cx238")</f>
        <v>Lake 男鞋 Cx238</v>
      </c>
      <c r="E4718" s="1" t="str">
        <f>IFERROR(__xludf.DUMMYFUNCTION("CONCATENATE(GOOGLETRANSLATE(C4718, ""en"", ""ko""))"),"레이크 남성 신발 Cx238")</f>
        <v>레이크 남성 신발 Cx238</v>
      </c>
      <c r="F4718" s="1" t="str">
        <f>IFERROR(__xludf.DUMMYFUNCTION("CONCATENATE(GOOGLETRANSLATE(C4718, ""en"", ""ja""))"),"レイク メンズ シューズ CX238")</f>
        <v>レイク メンズ シューズ CX238</v>
      </c>
    </row>
    <row r="4719" ht="15.75" customHeight="1">
      <c r="A4719" s="1">
        <v>4672.0</v>
      </c>
      <c r="B4719" s="1" t="s">
        <v>15</v>
      </c>
      <c r="C4719" s="1" t="s">
        <v>2488</v>
      </c>
      <c r="D4719" s="1" t="str">
        <f>IFERROR(__xludf.DUMMYFUNCTION("CONCATENATE(GOOGLETRANSLATE(C4719, ""en"", ""zh-cn""))"),"Rawlings 坚固背包巧克力")</f>
        <v>Rawlings 坚固背包巧克力</v>
      </c>
      <c r="E4719" s="1" t="str">
        <f>IFERROR(__xludf.DUMMYFUNCTION("CONCATENATE(GOOGLETRANSLATE(C4719, ""en"", ""ko""))"),"롤링스 러기드 백팩 초콜릿")</f>
        <v>롤링스 러기드 백팩 초콜릿</v>
      </c>
      <c r="F4719" s="1" t="str">
        <f>IFERROR(__xludf.DUMMYFUNCTION("CONCATENATE(GOOGLETRANSLATE(C4719, ""en"", ""ja""))"),"ローリングス ラギッド バックパック チョコレート")</f>
        <v>ローリングス ラギッド バックパック チョコレート</v>
      </c>
    </row>
    <row r="4720" ht="15.75" customHeight="1">
      <c r="A4720" s="1">
        <v>4686.0</v>
      </c>
      <c r="B4720" s="1" t="s">
        <v>15</v>
      </c>
      <c r="C4720" s="1" t="s">
        <v>1913</v>
      </c>
      <c r="D4720" s="1" t="str">
        <f>IFERROR(__xludf.DUMMYFUNCTION("CONCATENATE(GOOGLETRANSLATE(C4720, ""en"", ""zh-cn""))"),"Lake CX241 骑行鞋 - 男士")</f>
        <v>Lake CX241 骑行鞋 - 男士</v>
      </c>
      <c r="E4720" s="1" t="str">
        <f>IFERROR(__xludf.DUMMYFUNCTION("CONCATENATE(GOOGLETRANSLATE(C4720, ""en"", ""ko""))"),"Lake CX241 사이클링 신발 - 남성용")</f>
        <v>Lake CX241 사이클링 신발 - 남성용</v>
      </c>
      <c r="F4720" s="1" t="str">
        <f>IFERROR(__xludf.DUMMYFUNCTION("CONCATENATE(GOOGLETRANSLATE(C4720, ""en"", ""ja""))"),"Lake CX241 サイクリング シューズ - メンズ")</f>
        <v>Lake CX241 サイクリング シューズ - メンズ</v>
      </c>
    </row>
    <row r="4721" ht="15.75" customHeight="1">
      <c r="A4721" s="1">
        <v>4690.0</v>
      </c>
      <c r="B4721" s="1" t="s">
        <v>15</v>
      </c>
      <c r="C4721" s="1" t="s">
        <v>1856</v>
      </c>
      <c r="D4721" s="1" t="str">
        <f>IFERROR(__xludf.DUMMYFUNCTION("CONCATENATE(GOOGLETRANSLATE(C4721, ""en"", ""zh-cn""))"),"西迪鞋天才 10")</f>
        <v>西迪鞋天才 10</v>
      </c>
      <c r="E4721" s="1" t="str">
        <f>IFERROR(__xludf.DUMMYFUNCTION("CONCATENATE(GOOGLETRANSLATE(C4721, ""en"", ""ko""))"),"시디 신발 천재 10")</f>
        <v>시디 신발 천재 10</v>
      </c>
      <c r="F4721" s="1" t="str">
        <f>IFERROR(__xludf.DUMMYFUNCTION("CONCATENATE(GOOGLETRANSLATE(C4721, ""en"", ""ja""))"),"シディ シューズ ジーニアス 10")</f>
        <v>シディ シューズ ジーニアス 10</v>
      </c>
    </row>
    <row r="4722" ht="15.75" customHeight="1">
      <c r="A4722" s="1">
        <v>4691.0</v>
      </c>
      <c r="B4722" s="1" t="s">
        <v>15</v>
      </c>
      <c r="C4722" s="1" t="s">
        <v>3654</v>
      </c>
      <c r="D4722" s="1" t="str">
        <f>IFERROR(__xludf.DUMMYFUNCTION("CONCATENATE(GOOGLETRANSLATE(C4722, ""en"", ""zh-cn""))"),"马西磁力椭圆训练机有氧运动机")</f>
        <v>马西磁力椭圆训练机有氧运动机</v>
      </c>
      <c r="E4722" s="1" t="str">
        <f>IFERROR(__xludf.DUMMYFUNCTION("CONCATENATE(GOOGLETRANSLATE(C4722, ""en"", ""ko""))"),"Marcy 자기 타원형 트레이너 심장 운동 기계")</f>
        <v>Marcy 자기 타원형 트레이너 심장 운동 기계</v>
      </c>
      <c r="F4722" s="1" t="str">
        <f>IFERROR(__xludf.DUMMYFUNCTION("CONCATENATE(GOOGLETRANSLATE(C4722, ""en"", ""ja""))"),"マーシー マグネティックエリプティカル トレーナー カーディオ トレーニング マシン")</f>
        <v>マーシー マグネティックエリプティカル トレーナー カーディオ トレーニング マシン</v>
      </c>
    </row>
    <row r="4723" ht="15.75" customHeight="1">
      <c r="A4723" s="1">
        <v>4699.0</v>
      </c>
      <c r="B4723" s="1" t="s">
        <v>15</v>
      </c>
      <c r="C4723" s="1" t="s">
        <v>2793</v>
      </c>
      <c r="D4723" s="1" t="str">
        <f>IFERROR(__xludf.DUMMYFUNCTION("CONCATENATE(GOOGLETRANSLATE(C4723, ""en"", ""zh-cn""))"),"环意计划，男鞋")</f>
        <v>环意计划，男鞋</v>
      </c>
      <c r="E4723" s="1" t="str">
        <f>IFERROR(__xludf.DUMMYFUNCTION("CONCATENATE(GOOGLETRANSLATE(C4723, ""en"", ""ko""))"),"Giro Scheme, 남성 신발")</f>
        <v>Giro Scheme, 남성 신발</v>
      </c>
      <c r="F4723" s="1" t="str">
        <f>IFERROR(__xludf.DUMMYFUNCTION("CONCATENATE(GOOGLETRANSLATE(C4723, ""en"", ""ja""))"),"ジロスキーム、メンズシューズ")</f>
        <v>ジロスキーム、メンズシューズ</v>
      </c>
    </row>
    <row r="4724" ht="15.75" customHeight="1">
      <c r="A4724" s="1">
        <v>4702.0</v>
      </c>
      <c r="B4724" s="1" t="s">
        <v>15</v>
      </c>
      <c r="C4724" s="1" t="s">
        <v>1912</v>
      </c>
      <c r="D4724" s="1" t="str">
        <f>IFERROR(__xludf.DUMMYFUNCTION("CONCATENATE(GOOGLETRANSLATE(C4724, ""en"", ""zh-cn""))"),"EF ECOFLOW 便携式发电站 RIVER 2，256Wh LiFePO4 电池/ 1 小时快速充电，2 个高达 600W 的交流电源插座，太阳能发电机（太阳能电池板可选）适合户外露营/房车/家用")</f>
        <v>EF ECOFLOW 便携式发电站 RIVER 2，256Wh LiFePO4 电池/ 1 小时快速充电，2 个高达 600W 的交流电源插座，太阳能发电机（太阳能电池板可选）适合户外露营/房车/家用</v>
      </c>
      <c r="E4724" s="1" t="str">
        <f>IFERROR(__xludf.DUMMYFUNCTION("CONCATENATE(GOOGLETRANSLATE(C4724, ""en"", ""ko""))"),"EF ECOFLOW 휴대용 발전소 RIVER 2, 256Wh LiFePO4 배터리/1시간 고속 충전, 최대 600W AC 콘센트 2개, 야외 캠핑/RV/가정용 태양광 발전기(태양광 패널 옵션)")</f>
        <v>EF ECOFLOW 휴대용 발전소 RIVER 2, 256Wh LiFePO4 배터리/1시간 고속 충전, 최대 600W AC 콘센트 2개, 야외 캠핑/RV/가정용 태양광 발전기(태양광 패널 옵션)</v>
      </c>
      <c r="F4724" s="1" t="str">
        <f>IFERROR(__xludf.DUMMYFUNCTION("CONCATENATE(GOOGLETRANSLATE(C4724, ""en"", ""ja""))"),"EF ECOFLOW ポータブルパワーステーション RIVER 2、256Wh LiFePO4 バッテリー/1 時間の急速充電、最大 600W AC コンセント 2 個、屋外キャンプ/RV/家庭用太陽光発電機 (ソーラーパネルはオプション)")</f>
        <v>EF ECOFLOW ポータブルパワーステーション RIVER 2、256Wh LiFePO4 バッテリー/1 時間の急速充電、最大 600W AC コンセント 2 個、屋外キャンプ/RV/家庭用太陽光発電機 (ソーラーパネルはオプション)</v>
      </c>
    </row>
    <row r="4725" ht="15.75" customHeight="1">
      <c r="A4725" s="1">
        <v>4703.0</v>
      </c>
      <c r="B4725" s="1" t="s">
        <v>15</v>
      </c>
      <c r="C4725" s="1" t="s">
        <v>2849</v>
      </c>
      <c r="D4725" s="1" t="str">
        <f>IFERROR(__xludf.DUMMYFUNCTION("CONCATENATE(GOOGLETRANSLATE(C4725, ""en"", ""zh-cn""))"),"Sidi 男士现代")</f>
        <v>Sidi 男士现代</v>
      </c>
      <c r="E4725" s="1" t="str">
        <f>IFERROR(__xludf.DUMMYFUNCTION("CONCATENATE(GOOGLETRANSLATE(C4725, ""en"", ""ko""))"),"시디 남성 모던")</f>
        <v>시디 남성 모던</v>
      </c>
      <c r="F4725" s="1" t="str">
        <f>IFERROR(__xludf.DUMMYFUNCTION("CONCATENATE(GOOGLETRANSLATE(C4725, ""en"", ""ja""))"),"シディ メンズ モダン")</f>
        <v>シディ メンズ モダン</v>
      </c>
    </row>
    <row r="4726" ht="15.75" customHeight="1">
      <c r="A4726" s="1">
        <v>4720.0</v>
      </c>
      <c r="B4726" s="1" t="s">
        <v>15</v>
      </c>
      <c r="C4726" s="1" t="s">
        <v>1850</v>
      </c>
      <c r="D4726" s="1" t="str">
        <f>IFERROR(__xludf.DUMMYFUNCTION("CONCATENATE(GOOGLETRANSLATE(C4726, ""en"", ""zh-cn""))"),"GAN 13 磁悬浮磨砂涂层，磁性速度魔方 3x3 无贴纸 56 毫米磁铁魔方拼图玩具，GAN 2022 旗舰")</f>
        <v>GAN 13 磁悬浮磨砂涂层，磁性速度魔方 3x3 无贴纸 56 毫米磁铁魔方拼图玩具，GAN 2022 旗舰</v>
      </c>
      <c r="E4726" s="1" t="str">
        <f>IFERROR(__xludf.DUMMYFUNCTION("CONCATENATE(GOOGLETRANSLATE(C4726, ""en"", ""ko""))"),"GAN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4726" s="1" t="str">
        <f>IFERROR(__xludf.DUMMYFUNCTION("CONCATENATE(GOOGLETRANSLATE(C4726, ""en"", ""ja""))"),"GAN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4727" ht="15.75" customHeight="1">
      <c r="A4727" s="1">
        <v>4745.0</v>
      </c>
      <c r="B4727" s="1" t="s">
        <v>15</v>
      </c>
      <c r="C4727" s="1" t="s">
        <v>1849</v>
      </c>
      <c r="D4727" s="1" t="str">
        <f>IFERROR(__xludf.DUMMYFUNCTION("CONCATENATE(GOOGLETRANSLATE(C4727, ""en"", ""zh-cn""))"),"GAN 460 M， Gan 4x4 磁性速度魔方， gan 460 m 4 x 4 儿童和成人无贴纸拼图玩具")</f>
        <v>GAN 460 M， Gan 4x4 磁性速度魔方， gan 460 m 4 x 4 儿童和成人无贴纸拼图玩具</v>
      </c>
      <c r="E4727" s="1" t="str">
        <f>IFERROR(__xludf.DUMMYFUNCTION("CONCATENATE(GOOGLETRANSLATE(C4727, ""en"", ""ko""))"),"GAN 460 M, Gan 4x4 자기 속도 큐브, gan 460 m 4 by 4 어린이와 성인을 위한 스티커 없는 퍼즐 장난감")</f>
        <v>GAN 460 M, Gan 4x4 자기 속도 큐브, gan 460 m 4 by 4 어린이와 성인을 위한 스티커 없는 퍼즐 장난감</v>
      </c>
      <c r="F4727" s="1" t="str">
        <f>IFERROR(__xludf.DUMMYFUNCTION("CONCATENATE(GOOGLETRANSLATE(C4727, ""en"", ""ja""))"),"GAN 460 M、Gan 4x4 磁気スピードキューブ、GAN 460 m 4 by 4 ステッカーレスパズルおもちゃ子供と大人向け")</f>
        <v>GAN 460 M、Gan 4x4 磁気スピードキューブ、GAN 460 m 4 by 4 ステッカーレスパズルおもちゃ子供と大人向け</v>
      </c>
    </row>
    <row r="4728" ht="15.75" customHeight="1">
      <c r="A4728" s="1">
        <v>4749.0</v>
      </c>
      <c r="B4728" s="1" t="s">
        <v>381</v>
      </c>
      <c r="C4728" s="1" t="s">
        <v>692</v>
      </c>
      <c r="D4728" s="1" t="str">
        <f>IFERROR(__xludf.DUMMYFUNCTION("CONCATENATE(GOOGLETRANSLATE(C4728, ""en"", ""zh-cn""))"),"男士民族几何印花毛绒领宽松夹克")</f>
        <v>男士民族几何印花毛绒领宽松夹克</v>
      </c>
      <c r="E4728" s="1" t="str">
        <f>IFERROR(__xludf.DUMMYFUNCTION("CONCATENATE(GOOGLETRANSLATE(C4728, ""en"", ""ko""))"),"남성용 에스닉 기하학 프린트 플러시 칼라 루즈 재킷")</f>
        <v>남성용 에스닉 기하학 프린트 플러시 칼라 루즈 재킷</v>
      </c>
      <c r="F4728" s="1" t="str">
        <f>IFERROR(__xludf.DUMMYFUNCTION("CONCATENATE(GOOGLETRANSLATE(C4728, ""en"", ""ja""))"),"メンズエスニック幾何学プリントぬいぐるみ襟ルーズジャケット")</f>
        <v>メンズエスニック幾何学プリントぬいぐるみ襟ルーズジャケット</v>
      </c>
    </row>
    <row r="4729" ht="15.75" customHeight="1">
      <c r="A4729" s="1">
        <v>4750.0</v>
      </c>
      <c r="B4729" s="1" t="s">
        <v>381</v>
      </c>
      <c r="C4729" s="1" t="s">
        <v>693</v>
      </c>
      <c r="D4729" s="1" t="str">
        <f>IFERROR(__xludf.DUMMYFUNCTION("CONCATENATE(GOOGLETRANSLATE(C4729, ""en"", ""zh-cn""))"),"男式民族部落图案拼布有盖口袋花呢夹克")</f>
        <v>男式民族部落图案拼布有盖口袋花呢夹克</v>
      </c>
      <c r="E4729" s="1" t="str">
        <f>IFERROR(__xludf.DUMMYFUNCTION("CONCATENATE(GOOGLETRANSLATE(C4729, ""en"", ""ko""))"),"남성용 에스닉 트라이벌 패턴 패치워크 플랩 포켓 트위드 재킷")</f>
        <v>남성용 에스닉 트라이벌 패턴 패치워크 플랩 포켓 트위드 재킷</v>
      </c>
      <c r="F4729" s="1" t="str">
        <f>IFERROR(__xludf.DUMMYFUNCTION("CONCATENATE(GOOGLETRANSLATE(C4729, ""en"", ""ja""))"),"メンズエスニックトライバルパターンパッチワークフラップポケットツイードジャケット")</f>
        <v>メンズエスニックトライバルパターンパッチワークフラップポケットツイードジャケット</v>
      </c>
    </row>
    <row r="4730" ht="15.75" customHeight="1">
      <c r="A4730" s="1">
        <v>4760.0</v>
      </c>
      <c r="B4730" s="1" t="s">
        <v>381</v>
      </c>
      <c r="C4730" s="1" t="s">
        <v>703</v>
      </c>
      <c r="D4730" s="1" t="str">
        <f>IFERROR(__xludf.DUMMYFUNCTION("CONCATENATE(GOOGLETRANSLATE(C4730, ""en"", ""zh-cn""))"),"男式民族几何印花拼布前拉链连帽夹克")</f>
        <v>男式民族几何印花拼布前拉链连帽夹克</v>
      </c>
      <c r="E4730" s="1" t="str">
        <f>IFERROR(__xludf.DUMMYFUNCTION("CONCATENATE(GOOGLETRANSLATE(C4730, ""en"", ""ko""))"),"남성용 에스닉 기하학 프린트 패치워크 지퍼 프론트 후드 재킷")</f>
        <v>남성용 에스닉 기하학 프린트 패치워크 지퍼 프론트 후드 재킷</v>
      </c>
      <c r="F4730" s="1" t="str">
        <f>IFERROR(__xludf.DUMMYFUNCTION("CONCATENATE(GOOGLETRANSLATE(C4730, ""en"", ""ja""))"),"メンズエスニック幾何学プリントパッチワークジップフロントフード付きジャケット")</f>
        <v>メンズエスニック幾何学プリントパッチワークジップフロントフード付きジャケット</v>
      </c>
    </row>
    <row r="4731" ht="15.75" customHeight="1">
      <c r="A4731" s="1">
        <v>4807.0</v>
      </c>
      <c r="B4731" s="1" t="s">
        <v>15</v>
      </c>
      <c r="C4731" s="1" t="s">
        <v>4089</v>
      </c>
      <c r="D4731" s="1" t="str">
        <f>IFERROR(__xludf.DUMMYFUNCTION("CONCATENATE(GOOGLETRANSLATE(C4731, ""en"", ""zh-cn""))"),"戴尔 2023 款最新 Inspiron 笔记本电脑，15.6 英寸全高清触摸屏，英特尔酷睿 i7 1355U 处理器（高达 5GHz，10 核），64GB RAM，1TB 固态硬盘，英特尔 Iris Xe 显卡，Wi-Fi 6，蓝牙，Windows 11 家庭版")</f>
        <v>戴尔 2023 款最新 Inspiron 笔记本电脑，15.6 英寸全高清触摸屏，英特尔酷睿 i7 1355U 处理器（高达 5GHz，10 核），64GB RAM，1TB 固态硬盘，英特尔 Iris Xe 显卡，Wi-Fi 6，蓝牙，Windows 11 家庭版</v>
      </c>
      <c r="E4731" s="1" t="str">
        <f>IFERROR(__xludf.DUMMYFUNCTION("CONCATENATE(GOOGLETRANSLATE(C4731, ""en"", ""ko""))"),"Dell 2023 최신 Inspiron 노트북, 15.6인치 FHD 터치스크린, Intel Core i7 1355U 프로세서(최대 5GHz, 10코어), 64GB RAM, 1TB SSD, Intel Iris Xe 그래픽, Wi-Fi 6, Bluetooth, Windows 11 Home")</f>
        <v>Dell 2023 최신 Inspiron 노트북, 15.6인치 FHD 터치스크린, Intel Core i7 1355U 프로세서(최대 5GHz, 10코어), 64GB RAM, 1TB SSD, Intel Iris Xe 그래픽, Wi-Fi 6, Bluetooth, Windows 11 Home</v>
      </c>
      <c r="F4731" s="1" t="str">
        <f>IFERROR(__xludf.DUMMYFUNCTION("CONCATENATE(GOOGLETRANSLATE(C4731, ""en"", ""ja""))"),"Dell 2023 最新 Inspiron ノートパソコン、15.6 インチ FHD タッチスクリーン、Intel Core i7 1355U プロセッサー (最大 5GHz、10 コア)、64GB RAM、1TB SSD、Intel Iris Xe グラフィックス、Wi-Fi 6、Bluetooth、Windows 11 Home")</f>
        <v>Dell 2023 最新 Inspiron ノートパソコン、15.6 インチ FHD タッチスクリーン、Intel Core i7 1355U プロセッサー (最大 5GHz、10 コア)、64GB RAM、1TB SSD、Intel Iris Xe グラフィックス、Wi-Fi 6、Bluetooth、Windows 11 Home</v>
      </c>
    </row>
    <row r="4732" ht="15.75" customHeight="1">
      <c r="A4732" s="1">
        <v>4813.0</v>
      </c>
      <c r="B4732" s="1" t="s">
        <v>15</v>
      </c>
      <c r="C4732" s="1" t="s">
        <v>4090</v>
      </c>
      <c r="D4732" s="1" t="str">
        <f>IFERROR(__xludf.DUMMYFUNCTION("CONCATENATE(GOOGLETRANSLATE(C4732, ""en"", ""zh-cn""))"),"Apple 2024 MacBook Air 13 英寸笔记本电脑，配备 M3 芯片：13.6 英寸 Liquid Retina 显示屏、8GB 统一内存、512GB SSD 存储、背光键盘、1080p FaceTime 高清摄像头、Touch ID；星光")</f>
        <v>Apple 2024 MacBook Air 13 英寸笔记本电脑，配备 M3 芯片：13.6 英寸 Liquid Retina 显示屏、8GB 统一内存、512GB SSD 存储、背光键盘、1080p FaceTime 高清摄像头、Touch ID；星光</v>
      </c>
      <c r="E4732" s="1" t="str">
        <f>IFERROR(__xludf.DUMMYFUNCTION("CONCATENATE(GOOGLETRANSLATE(C4732, ""en"", ""ko""))"),"M3 칩을 탑재한 Apple 2024 MacBook Air 13인치 노트북: 13.6인치 Liquid Retina 디스플레이, 8GB 통합 메모리, 512GB SSD 스토리지, 백라이트 키보드, 1080p FaceTime HD 카메라, Touch ID; 별빛")</f>
        <v>M3 칩을 탑재한 Apple 2024 MacBook Air 13인치 노트북: 13.6인치 Liquid Retina 디스플레이, 8GB 통합 메모리, 512GB SSD 스토리지, 백라이트 키보드, 1080p FaceTime HD 카메라, Touch ID; 별빛</v>
      </c>
      <c r="F4732" s="1" t="str">
        <f>IFERROR(__xludf.DUMMYFUNCTION("CONCATENATE(GOOGLETRANSLATE(C4732, ""en"", ""ja""))"),"Apple 2024 MacBook Air 13 インチ ラップトップ (M3 チップ搭載): 13.6 インチ Liquid Retina ディスプレイ、8GB ユニファイド メモリ、512GB SSD ストレージ、バックライト付きキーボード、1080p FaceTime HD カメラ、Touch ID。スターライト")</f>
        <v>Apple 2024 MacBook Air 13 インチ ラップトップ (M3 チップ搭載): 13.6 インチ Liquid Retina ディスプレイ、8GB ユニファイド メモリ、512GB SSD ストレージ、バックライト付きキーボード、1080p FaceTime HD カメラ、Touch ID。スターライト</v>
      </c>
    </row>
    <row r="4733" ht="15.75" customHeight="1">
      <c r="A4733" s="1">
        <v>4817.0</v>
      </c>
      <c r="B4733" s="1" t="s">
        <v>15</v>
      </c>
      <c r="C4733" s="1" t="s">
        <v>4091</v>
      </c>
      <c r="D4733" s="1" t="str">
        <f>IFERROR(__xludf.DUMMYFUNCTION("CONCATENATE(GOOGLETRANSLATE(C4733, ""en"", ""zh-cn""))"),"Apple 2023 款 MacBook Pro 笔记本电脑 M3 芯片，配备 8 核 CPU、10 核 GPU：14.2 英寸 Liquid Retina XDR 显示屏、8GB 统一内存、512GB SSD 存储。适用于 iPhone/iPad；银")</f>
        <v>Apple 2023 款 MacBook Pro 笔记本电脑 M3 芯片，配备 8 核 CPU、10 核 GPU：14.2 英寸 Liquid Retina XDR 显示屏、8GB 统一内存、512GB SSD 存储。适用于 iPhone/iPad；银</v>
      </c>
      <c r="E4733" s="1" t="str">
        <f>IFERROR(__xludf.DUMMYFUNCTION("CONCATENATE(GOOGLETRANSLATE(C4733, ""en"", ""ko""))"),"8코어 CPU, 10코어 GPU를 탑재한 Apple 2023 MacBook Pro 노트북 M3 칩: 14.2인치 Liquid Retina XDR 디스플레이, 8GB 통합 메모리, 512GB SSD 스토리지. iPhone/iPad에서 작동합니다. 은")</f>
        <v>8코어 CPU, 10코어 GPU를 탑재한 Apple 2023 MacBook Pro 노트북 M3 칩: 14.2인치 Liquid Retina XDR 디스플레이, 8GB 통합 메모리, 512GB SSD 스토리지. iPhone/iPad에서 작동합니다. 은</v>
      </c>
      <c r="F4733" s="1" t="str">
        <f>IFERROR(__xludf.DUMMYFUNCTION("CONCATENATE(GOOGLETRANSLATE(C4733, ""en"", ""ja""))"),"8 コア CPU、10 コア GPU を搭載した Apple 2023 MacBook Pro ラップトップ M3 チップ: 14.2 インチ Liquid Retina XDR ディスプレイ、8 GB ユニファイド メモリ、512 GB SSD ストレージ。 iPhone/iPad で動作します。銀")</f>
        <v>8 コア CPU、10 コア GPU を搭載した Apple 2023 MacBook Pro ラップトップ M3 チップ: 14.2 インチ Liquid Retina XDR ディスプレイ、8 GB ユニファイド メモリ、512 GB SSD ストレージ。 iPhone/iPad で動作します。銀</v>
      </c>
    </row>
    <row r="4734" ht="15.75" customHeight="1">
      <c r="A4734" s="1">
        <v>4830.0</v>
      </c>
      <c r="B4734" s="1" t="s">
        <v>15</v>
      </c>
      <c r="C4734" s="1" t="s">
        <v>4092</v>
      </c>
      <c r="D4734" s="1" t="str">
        <f>IFERROR(__xludf.DUMMYFUNCTION("CONCATENATE(GOOGLETRANSLATE(C4734, ""en"", ""zh-cn""))"),"2020 戴尔 Precision 7550 笔记本电脑 15.6 英寸 - 英特尔酷睿 i9 第 10 代 - i9-10885H - 八核 5.3Ghz - 512GB SSD - 64GB RAM - Nvidia Quadro RTX 3000 - 1920x1080 FHD - Windows 10 Pro（更新版）")</f>
        <v>2020 戴尔 Precision 7550 笔记本电脑 15.6 英寸 - 英特尔酷睿 i9 第 10 代 - i9-10885H - 八核 5.3Ghz - 512GB SSD - 64GB RAM - Nvidia Quadro RTX 3000 - 1920x1080 FHD - Windows 10 Pro（更新版）</v>
      </c>
      <c r="E4734" s="1" t="str">
        <f>IFERROR(__xludf.DUMMYFUNCTION("CONCATENATE(GOOGLETRANSLATE(C4734, ""en"", ""ko""))"),"2020 델 프리시전 7550 노트북 15.6인치 - 인텔 코어 i9 10세대 - i9-10885H - 8코어 5.3Ghz - 512GB SSD - 64GB RAM - 엔비디아 쿼드로 RTX 3000 - 1920x1080 FHD - 윈도우 10 프로(리뉴얼)")</f>
        <v>2020 델 프리시전 7550 노트북 15.6인치 - 인텔 코어 i9 10세대 - i9-10885H - 8코어 5.3Ghz - 512GB SSD - 64GB RAM - 엔비디아 쿼드로 RTX 3000 - 1920x1080 FHD - 윈도우 10 프로(리뉴얼)</v>
      </c>
      <c r="F4734" s="1" t="str">
        <f>IFERROR(__xludf.DUMMYFUNCTION("CONCATENATE(GOOGLETRANSLATE(C4734, ""en"", ""ja""))"),"2020 Dell Precision 7550 ラップトップ 15.6 インチ - Intel Core i9 第 10 世代 - i9-10885H - 8 コア 5.3Ghz - 512GB SSD - 64GB RAM - Nvidia Quadro RTX 3000 - 1920x1080 FHD - Windows 10 Pro (リニューアル)")</f>
        <v>2020 Dell Precision 7550 ラップトップ 15.6 インチ - Intel Core i9 第 10 世代 - i9-10885H - 8 コア 5.3Ghz - 512GB SSD - 64GB RAM - Nvidia Quadro RTX 3000 - 1920x1080 FHD - Windows 10 Pro (リニューアル)</v>
      </c>
    </row>
    <row r="4735" ht="15.75" customHeight="1">
      <c r="A4735" s="1">
        <v>4833.0</v>
      </c>
      <c r="B4735" s="1" t="s">
        <v>15</v>
      </c>
      <c r="C4735" s="1" t="s">
        <v>4093</v>
      </c>
      <c r="D4735" s="1" t="str">
        <f>IFERROR(__xludf.DUMMYFUNCTION("CONCATENATE(GOOGLETRANSLATE(C4735, ""en"", ""zh-cn""))"),"Apple 2023 款 MacBook Pro 笔记本电脑 M3 Pro 芯片，配备 12 核 CPU、18 核 GPU：16.2 英寸 Liquid Retina XDR 显示屏、18GB 统一内存、512GB SSD 存储。适用于 iPhone/iPad；银")</f>
        <v>Apple 2023 款 MacBook Pro 笔记本电脑 M3 Pro 芯片，配备 12 核 CPU、18 核 GPU：16.2 英寸 Liquid Retina XDR 显示屏、18GB 统一内存、512GB SSD 存储。适用于 iPhone/iPad；银</v>
      </c>
      <c r="E4735" s="1" t="str">
        <f>IFERROR(__xludf.DUMMYFUNCTION("CONCATENATE(GOOGLETRANSLATE(C4735, ""en"", ""ko""))"),"Apple 2023 MacBook Pro 노트북 M3 Pro 칩, 12코어 CPU, 18코어 GPU: 16.2인치 Liquid Retina XDR 디스플레이, 18GB 통합 메모리, 512GB SSD 스토리지. iPhone/iPad에서 작동합니다. 은")</f>
        <v>Apple 2023 MacBook Pro 노트북 M3 Pro 칩, 12코어 CPU, 18코어 GPU: 16.2인치 Liquid Retina XDR 디스플레이, 18GB 통합 메모리, 512GB SSD 스토리지. iPhone/iPad에서 작동합니다. 은</v>
      </c>
      <c r="F4735" s="1" t="str">
        <f>IFERROR(__xludf.DUMMYFUNCTION("CONCATENATE(GOOGLETRANSLATE(C4735, ""en"", ""ja""))"),"12 コア CPU、18 コア GPU を搭載した Apple 2023 MacBook Pro ラップトップ M3 Pro チップ: 16.2 インチ Liquid Retina XDR ディスプレイ、18 GB ユニファイド メモリ、512 GB SSD ストレージ。 iPhone/iPad で動作します。銀")</f>
        <v>12 コア CPU、18 コア GPU を搭載した Apple 2023 MacBook Pro ラップトップ M3 Pro チップ: 16.2 インチ Liquid Retina XDR ディスプレイ、18 GB ユニファイド メモリ、512 GB SSD ストレージ。 iPhone/iPad で動作します。銀</v>
      </c>
    </row>
    <row r="4736" ht="15.75" customHeight="1">
      <c r="A4736" s="1">
        <v>5060.0</v>
      </c>
      <c r="B4736" s="1" t="s">
        <v>381</v>
      </c>
      <c r="C4736" s="1" t="s">
        <v>696</v>
      </c>
      <c r="D4736" s="1" t="str">
        <f>IFERROR(__xludf.DUMMYFUNCTION("CONCATENATE(GOOGLETRANSLATE(C4736, ""en"", ""zh-cn""))"),"男式佩斯利围巾日式印花开襟和服两件套")</f>
        <v>男式佩斯利围巾日式印花开襟和服两件套</v>
      </c>
      <c r="E4736" s="1" t="str">
        <f>IFERROR(__xludf.DUMMYFUNCTION("CONCATENATE(GOOGLETRANSLATE(C4736, ""en"", ""ko""))"),"남성 페이즐리 스카프 일본식 프린트 오픈 프론트 기모노 2피스 수트")</f>
        <v>남성 페이즐리 스카프 일본식 프린트 오픈 프론트 기모노 2피스 수트</v>
      </c>
      <c r="F4736" s="1" t="str">
        <f>IFERROR(__xludf.DUMMYFUNCTION("CONCATENATE(GOOGLETRANSLATE(C4736, ""en"", ""ja""))"),"メンズペイズリースカーフ日本のプリントオープンフロント着物ツーピーススーツ")</f>
        <v>メンズペイズリースカーフ日本のプリントオープンフロント着物ツーピーススーツ</v>
      </c>
    </row>
    <row r="4737" ht="15.75" customHeight="1">
      <c r="A4737" s="1">
        <v>5075.0</v>
      </c>
      <c r="B4737" s="1" t="s">
        <v>15</v>
      </c>
      <c r="C4737" s="1" t="s">
        <v>1838</v>
      </c>
      <c r="D4737" s="1" t="str">
        <f>IFERROR(__xludf.DUMMYFUNCTION("CONCATENATE(GOOGLETRANSLATE(C4737, ""en"", ""zh-cn""))"),"Ravensburger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4737" s="1" t="str">
        <f>IFERROR(__xludf.DUMMYFUNCTION("CONCATENATE(GOOGLETRANSLATE(C4737, ""en"", ""ko""))"),"Ravensburger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4737" s="1" t="str">
        <f>IFERROR(__xludf.DUMMYFUNCTION("CONCATENATE(GOOGLETRANSLATE(C4737, ""en"", ""ja""))"),"Ravensburger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4738" ht="15.75" customHeight="1">
      <c r="A4738" s="1">
        <v>5076.0</v>
      </c>
      <c r="B4738" s="1" t="s">
        <v>15</v>
      </c>
      <c r="C4738" s="1" t="s">
        <v>1903</v>
      </c>
      <c r="D4738" s="1" t="str">
        <f>IFERROR(__xludf.DUMMYFUNCTION("CONCATENATE(GOOGLETRANSLATE(C4738, ""en"", ""zh-cn""))"),"CuberShop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4738" s="1" t="str">
        <f>IFERROR(__xludf.DUMMYFUNCTION("CONCATENATE(GOOGLETRANSLATE(C4738, ""en"", ""ko""))"),"CuberShop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4738" s="1" t="str">
        <f>IFERROR(__xludf.DUMMYFUNCTION("CONCATENATE(GOOGLETRANSLATE(C4738, ""en"", ""ja""))"),"CuberShop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4739" ht="15.75" customHeight="1">
      <c r="A4739" s="1">
        <v>5139.0</v>
      </c>
      <c r="B4739" s="1" t="s">
        <v>15</v>
      </c>
      <c r="C4739" s="1" t="s">
        <v>4020</v>
      </c>
      <c r="D4739" s="1" t="str">
        <f>IFERROR(__xludf.DUMMYFUNCTION("CONCATENATE(GOOGLETRANSLATE(C4739, ""en"", ""zh-cn""))"),"Apple iPhone 14 Plus，128GB，午夜 - 解锁（续订）")</f>
        <v>Apple iPhone 14 Plus，128GB，午夜 - 解锁（续订）</v>
      </c>
      <c r="E4739" s="1" t="str">
        <f>IFERROR(__xludf.DUMMYFUNCTION("CONCATENATE(GOOGLETRANSLATE(C4739, ""en"", ""ko""))"),"Apple iPhone 14 Plus, 128GB, 미드나잇 - 공기계 (리뉴얼)")</f>
        <v>Apple iPhone 14 Plus, 128GB, 미드나잇 - 공기계 (리뉴얼)</v>
      </c>
      <c r="F4739" s="1" t="str">
        <f>IFERROR(__xludf.DUMMYFUNCTION("CONCATENATE(GOOGLETRANSLATE(C4739, ""en"", ""ja""))"),"Apple iPhone 14 Plus、128GB、ミッドナイト - ロック解除済み (更新済み)")</f>
        <v>Apple iPhone 14 Plus、128GB、ミッドナイト - ロック解除済み (更新済み)</v>
      </c>
    </row>
    <row r="4740" ht="15.75" customHeight="1">
      <c r="A4740" s="1">
        <v>5149.0</v>
      </c>
      <c r="B4740" s="1" t="s">
        <v>15</v>
      </c>
      <c r="C4740" s="1" t="s">
        <v>1650</v>
      </c>
      <c r="D4740" s="1" t="str">
        <f>IFERROR(__xludf.DUMMYFUNCTION("CONCATENATE(GOOGLETRANSLATE(C4740, ""en"", ""zh-cn""))"),"SHARGEEK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4740" s="1" t="str">
        <f>IFERROR(__xludf.DUMMYFUNCTION("CONCATENATE(GOOGLETRANSLATE(C4740, ""en"", ""ko""))"),"SHARGEEK의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4740" s="1" t="str">
        <f>IFERROR(__xludf.DUMMYFUNCTION("CONCATENATE(GOOGLETRANSLATE(C4740, ""en"", ""ja""))"),"SHARGEEK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4741" ht="15.75" customHeight="1">
      <c r="A4741" s="1">
        <v>5151.0</v>
      </c>
      <c r="B4741" s="1" t="s">
        <v>15</v>
      </c>
      <c r="C4741" s="1" t="s">
        <v>1854</v>
      </c>
      <c r="D4741" s="1" t="str">
        <f>IFERROR(__xludf.DUMMYFUNCTION("CONCATENATE(GOOGLETRANSLATE(C4741, ""en"", ""zh-cn""))"),"FNNEMGE 300W便携式充电站（峰值350W），266Wh太阳能户外发电机，72000mAh 60W PD移动电源，双110V交流插座12V/10A直流输出，纯正弦波，野营电池供电")</f>
        <v>FNNEMGE 300W便携式充电站（峰值350W），266Wh太阳能户外发电机，72000mAh 60W PD移动电源，双110V交流插座12V/10A直流输出，纯正弦波，野营电池供电</v>
      </c>
      <c r="E4741" s="1" t="str">
        <f>IFERROR(__xludf.DUMMYFUNCTION("CONCATENATE(GOOGLETRANSLATE(C4741, ""en"", ""ko""))"),"FNNEMGE 300W 휴대용 발전소(350W 피크), 266Wh 태양광 실외 발전기, 듀얼 110V AC 콘센트 12V/10A DC 출력, 순수 사인파, 캠핑용 배터리 전원 공급 장치가 포함된 72000mAh 60W PD 전원 은행")</f>
        <v>FNNEMGE 300W 휴대용 발전소(350W 피크), 266Wh 태양광 실외 발전기, 듀얼 110V AC 콘센트 12V/10A DC 출력, 순수 사인파, 캠핑용 배터리 전원 공급 장치가 포함된 72000mAh 60W PD 전원 은행</v>
      </c>
      <c r="F4741" s="1" t="str">
        <f>IFERROR(__xludf.DUMMYFUNCTION("CONCATENATE(GOOGLETRANSLATE(C4741, ""en"", ""ja""))"),"FNNEMGE 300W ポータブルパワーステーション (350W ピーク)、266Wh ソーラー屋外発電機、デュアル 110V AC コンセント付き 72000mAh 60W PD パワーバンク 12V/10A DC 出力、純粋な正弦波、キャンプ用バッテリー電源")</f>
        <v>FNNEMGE 300W ポータブルパワーステーション (350W ピーク)、266Wh ソーラー屋外発電機、デュアル 110V AC コンセント付き 72000mAh 60W PD パワーバンク 12V/10A DC 出力、純粋な正弦波、キャンプ用バッテリー電源</v>
      </c>
    </row>
    <row r="4742" ht="15.75" customHeight="1">
      <c r="A4742" s="1">
        <v>5152.0</v>
      </c>
      <c r="B4742" s="1" t="s">
        <v>15</v>
      </c>
      <c r="C4742" s="1" t="s">
        <v>2373</v>
      </c>
      <c r="D4742" s="1" t="str">
        <f>IFERROR(__xludf.DUMMYFUNCTION("CONCATENATE(GOOGLETRANSLATE(C4742, ""en"", ""zh-cn""))"),"Sunny Health &amp; Fitness 磁性椭圆训练机带平板电脑支架、液晶显示器、最大 220 磅体重和脉搏监视器 - SF-E3810，灰色")</f>
        <v>Sunny Health &amp; Fitness 磁性椭圆训练机带平板电脑支架、液晶显示器、最大 220 磅体重和脉搏监视器 - SF-E3810，灰色</v>
      </c>
      <c r="E4742" s="1" t="str">
        <f>IFERROR(__xludf.DUMMYFUNCTION("CONCATENATE(GOOGLETRANSLATE(C4742, ""en"", ""ko""))"),"Sunny 건강 및 피트니스 자기 타원형 트레이너 기계, 태블릿 홀더, LCD 모니터, 220LB 최대 중량 및 맥박 모니터 포함 - SF-E3810, 회색")</f>
        <v>Sunny 건강 및 피트니스 자기 타원형 트레이너 기계, 태블릿 홀더, LCD 모니터, 220LB 최대 중량 및 맥박 모니터 포함 - SF-E3810, 회색</v>
      </c>
      <c r="F4742" s="1" t="str">
        <f>IFERROR(__xludf.DUMMYFUNCTION("CONCATENATE(GOOGLETRANSLATE(C4742, ""en"", ""ja""))"),"Sunny Health &amp; Fitness 磁気エリプティカル トレーナー マシン、タブレット ホルダー、LCD モニター、最大 220 ポンドの体重および脈拍モニター付き - SF-E3810、グレー")</f>
        <v>Sunny Health &amp; Fitness 磁気エリプティカル トレーナー マシン、タブレット ホルダー、LCD モニター、最大 220 ポンドの体重および脈拍モニター付き - SF-E3810、グレー</v>
      </c>
    </row>
    <row r="4743" ht="15.75" customHeight="1">
      <c r="A4743" s="1">
        <v>5156.0</v>
      </c>
      <c r="B4743" s="1" t="s">
        <v>15</v>
      </c>
      <c r="C4743" s="1" t="s">
        <v>1856</v>
      </c>
      <c r="D4743" s="1" t="str">
        <f>IFERROR(__xludf.DUMMYFUNCTION("CONCATENATE(GOOGLETRANSLATE(C4743, ""en"", ""zh-cn""))"),"西迪鞋天才 10")</f>
        <v>西迪鞋天才 10</v>
      </c>
      <c r="E4743" s="1" t="str">
        <f>IFERROR(__xludf.DUMMYFUNCTION("CONCATENATE(GOOGLETRANSLATE(C4743, ""en"", ""ko""))"),"시디 신발 천재 10")</f>
        <v>시디 신발 천재 10</v>
      </c>
      <c r="F4743" s="1" t="str">
        <f>IFERROR(__xludf.DUMMYFUNCTION("CONCATENATE(GOOGLETRANSLATE(C4743, ""en"", ""ja""))"),"シディ シューズ ジーニアス 10")</f>
        <v>シディ シューズ ジーニアス 10</v>
      </c>
    </row>
    <row r="4744" ht="15.75" customHeight="1">
      <c r="A4744" s="1">
        <v>5189.0</v>
      </c>
      <c r="B4744" s="1" t="s">
        <v>381</v>
      </c>
      <c r="C4744" s="1" t="s">
        <v>694</v>
      </c>
      <c r="D4744" s="1" t="str">
        <f>IFERROR(__xludf.DUMMYFUNCTION("CONCATENATE(GOOGLETRANSLATE(C4744, ""en"", ""zh-cn""))"),"男式拼色翻领前拉链抓绒夹克")</f>
        <v>男式拼色翻领前拉链抓绒夹克</v>
      </c>
      <c r="E4744" s="1" t="str">
        <f>IFERROR(__xludf.DUMMYFUNCTION("CONCATENATE(GOOGLETRANSLATE(C4744, ""en"", ""ko""))"),"남성용 컬러 블록 패치워크 라펠 지퍼 프론트 플리스 재킷")</f>
        <v>남성용 컬러 블록 패치워크 라펠 지퍼 프론트 플리스 재킷</v>
      </c>
      <c r="F4744" s="1" t="str">
        <f>IFERROR(__xludf.DUMMYFUNCTION("CONCATENATE(GOOGLETRANSLATE(C4744, ""en"", ""ja""))"),"メンズ カラーブロック パッチワーク ラペル ジップ フロント フリース ジャケット")</f>
        <v>メンズ カラーブロック パッチワーク ラペル ジップ フロント フリース ジャケット</v>
      </c>
    </row>
    <row r="4745" ht="15.75" customHeight="1">
      <c r="A4745" s="1">
        <v>5195.0</v>
      </c>
      <c r="B4745" s="1" t="s">
        <v>381</v>
      </c>
      <c r="C4745" s="1" t="s">
        <v>701</v>
      </c>
      <c r="D4745" s="1" t="str">
        <f>IFERROR(__xludf.DUMMYFUNCTION("CONCATENATE(GOOGLETRANSLATE(C4745, ""en"", ""zh-cn""))"),"男士纯色立领前拉链抓绒休闲夹克")</f>
        <v>男士纯色立领前拉链抓绒休闲夹克</v>
      </c>
      <c r="E4745" s="1" t="str">
        <f>IFERROR(__xludf.DUMMYFUNCTION("CONCATENATE(GOOGLETRANSLATE(C4745, ""en"", ""ko""))"),"남성용 솔리드 스탠드 칼라 지퍼 프론트 플리스 캐주얼 재킷")</f>
        <v>남성용 솔리드 스탠드 칼라 지퍼 프론트 플리스 캐주얼 재킷</v>
      </c>
      <c r="F4745" s="1" t="str">
        <f>IFERROR(__xludf.DUMMYFUNCTION("CONCATENATE(GOOGLETRANSLATE(C4745, ""en"", ""ja""))"),"メンズソリッドスタンドカラージップフロントフリースカジュアルジャケット")</f>
        <v>メンズソリッドスタンドカラージップフロントフリースカジュアルジャケット</v>
      </c>
    </row>
    <row r="4746" ht="15.75" customHeight="1">
      <c r="A4746" s="1">
        <v>5203.0</v>
      </c>
      <c r="B4746" s="1" t="s">
        <v>381</v>
      </c>
      <c r="C4746" s="1" t="s">
        <v>623</v>
      </c>
      <c r="D4746" s="1" t="str">
        <f>IFERROR(__xludf.DUMMYFUNCTION("CONCATENATE(GOOGLETRANSLATE(C4746, ""en"", ""zh-cn""))"),"男式不规则几何印花弧形下摆纹理长袖 T 恤")</f>
        <v>男式不规则几何印花弧形下摆纹理长袖 T 恤</v>
      </c>
      <c r="E4746" s="1" t="str">
        <f>IFERROR(__xludf.DUMMYFUNCTION("CONCATENATE(GOOGLETRANSLATE(C4746, ""en"", ""ko""))"),"남성용 불규칙한 기하학적 프린트 곡선 밑단 텍스처 긴소매 티셔츠")</f>
        <v>남성용 불규칙한 기하학적 프린트 곡선 밑단 텍스처 긴소매 티셔츠</v>
      </c>
      <c r="F4746" s="1" t="str">
        <f>IFERROR(__xludf.DUMMYFUNCTION("CONCATENATE(GOOGLETRANSLATE(C4746, ""en"", ""ja""))"),"メンズ不規則な幾何学模様のプリント湾曲した裾のテクスチャ長袖 T シャツ")</f>
        <v>メンズ不規則な幾何学模様のプリント湾曲した裾のテクスチャ長袖 T シャツ</v>
      </c>
    </row>
    <row r="4747" ht="15.75" customHeight="1">
      <c r="A4747" s="1">
        <v>5280.0</v>
      </c>
      <c r="B4747" s="1" t="s">
        <v>381</v>
      </c>
      <c r="C4747" s="1" t="s">
        <v>609</v>
      </c>
      <c r="D4747" s="1" t="str">
        <f>IFERROR(__xludf.DUMMYFUNCTION("CONCATENATE(GOOGLETRANSLATE(C4747, ""en"", ""zh-cn""))"),"男士时尚花卉印花圆领透气短袖休闲 T 恤")</f>
        <v>男士时尚花卉印花圆领透气短袖休闲 T 恤</v>
      </c>
      <c r="E4747" s="1" t="str">
        <f>IFERROR(__xludf.DUMMYFUNCTION("CONCATENATE(GOOGLETRANSLATE(C4747, ""en"", ""ko""))"),"남성 패션 꽃무늬 크루넥 통기성 짧은 소매 캐주얼 티셔츠")</f>
        <v>남성 패션 꽃무늬 크루넥 통기성 짧은 소매 캐주얼 티셔츠</v>
      </c>
      <c r="F4747" s="1" t="str">
        <f>IFERROR(__xludf.DUMMYFUNCTION("CONCATENATE(GOOGLETRANSLATE(C4747, ""en"", ""ja""))"),"メンズファッション花柄プリントクルーネック通気性半袖カジュアル Tシャツ")</f>
        <v>メンズファッション花柄プリントクルーネック通気性半袖カジュアル Tシャツ</v>
      </c>
    </row>
    <row r="4748" ht="15.75" customHeight="1">
      <c r="A4748" s="1">
        <v>5283.0</v>
      </c>
      <c r="B4748" s="1" t="s">
        <v>381</v>
      </c>
      <c r="C4748" s="1" t="s">
        <v>618</v>
      </c>
      <c r="D4748" s="1" t="str">
        <f>IFERROR(__xludf.DUMMYFUNCTION("CONCATENATE(GOOGLETRANSLATE(C4748, ""en"", ""zh-cn""))"),"男士部落拼布印花短袖连帽 T 恤")</f>
        <v>男士部落拼布印花短袖连帽 T 恤</v>
      </c>
      <c r="E4748" s="1" t="str">
        <f>IFERROR(__xludf.DUMMYFUNCTION("CONCATENATE(GOOGLETRANSLATE(C4748, ""en"", ""ko""))"),"남성 부족 패치워크 프린트 반소매 후드 티셔츠")</f>
        <v>남성 부족 패치워크 프린트 반소매 후드 티셔츠</v>
      </c>
      <c r="F4748" s="1" t="str">
        <f>IFERROR(__xludf.DUMMYFUNCTION("CONCATENATE(GOOGLETRANSLATE(C4748, ""en"", ""ja""))"),"メンズトライバルパッチワークプリント半袖フード付きTシャツ")</f>
        <v>メンズトライバルパッチワークプリント半袖フード付きTシャツ</v>
      </c>
    </row>
    <row r="4749" ht="15.75" customHeight="1">
      <c r="A4749" s="1">
        <v>5289.0</v>
      </c>
      <c r="B4749" s="1" t="s">
        <v>15</v>
      </c>
      <c r="C4749" s="1" t="s">
        <v>1647</v>
      </c>
      <c r="D4749" s="1" t="str">
        <f>IFERROR(__xludf.DUMMYFUNCTION("CONCATENATE(GOOGLETRANSLATE(C4749, ""en"", ""zh-cn""))"),"带盖拼图板，大型倾斜 1500 块拼图桌，ENGRTALENT 35 英寸 x 26 英寸带抽屉便携式拼图桌，带彩色拼图分类托盘、指南、毛毡板和手柄。")</f>
        <v>带盖拼图板，大型倾斜 1500 块拼图桌，ENGRTALENT 35 英寸 x 26 英寸带抽屉便携式拼图桌，带彩色拼图分类托盘、指南、毛毡板和手柄。</v>
      </c>
      <c r="E4749" s="1" t="str">
        <f>IFERROR(__xludf.DUMMYFUNCTION("CONCATENATE(GOOGLETRANSLATE(C4749, ""en"", ""ko""))"),"덮개가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4749" s="1" t="str">
        <f>IFERROR(__xludf.DUMMYFUNCTION("CONCATENATE(GOOGLETRANSLATE(C4749, ""en"", ""ja""))"),"カバー付きパズルボード、大型傾斜1500ピースジグソーパズルテーブル、ENGRTALENT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4750" ht="15.75" customHeight="1">
      <c r="A4750" s="1">
        <v>5292.0</v>
      </c>
      <c r="B4750" s="1" t="s">
        <v>15</v>
      </c>
      <c r="C4750" s="1" t="s">
        <v>1649</v>
      </c>
      <c r="D4750" s="1" t="str">
        <f>IFERROR(__xludf.DUMMYFUNCTION("CONCATENATE(GOOGLETRANSLATE(C4750, ""en"", ""zh-cn""))"),"GAN 机器人，魔方解谜机自动解谜器和解谜器，兼容 GAN 356i2 i3 iplay iCarry Speed Cubes（不含魔方）和最新版本 APP")</f>
        <v>GAN 机器人，魔方解谜机自动解谜器和解谜器，兼容 GAN 356i2 i3 iplay iCarry Speed Cubes（不含魔方）和最新版本 APP</v>
      </c>
      <c r="E4750" s="1" t="str">
        <f>IFERROR(__xludf.DUMMYFUNCTION("CONCATENATE(GOOGLETRANSLATE(C4750, ""en"", ""ko""))"),"GAN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4750" s="1" t="str">
        <f>IFERROR(__xludf.DUMMYFUNCTION("CONCATENATE(GOOGLETRANSLATE(C4750, ""en"", ""ja""))"),"GAN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4751" ht="15.75" customHeight="1">
      <c r="A4751" s="1">
        <v>5293.0</v>
      </c>
      <c r="B4751" s="1" t="s">
        <v>15</v>
      </c>
      <c r="C4751" s="1" t="s">
        <v>1648</v>
      </c>
      <c r="D4751" s="1" t="str">
        <f>IFERROR(__xludf.DUMMYFUNCTION("CONCATENATE(GOOGLETRANSLATE(C4751, ""en"", ""zh-cn""))"),"CuberShop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4751" s="1" t="str">
        <f>IFERROR(__xludf.DUMMYFUNCTION("CONCATENATE(GOOGLETRANSLATE(C4751, ""en"", ""ko""))"),"CuberShop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4751" s="1" t="str">
        <f>IFERROR(__xludf.DUMMYFUNCTION("CONCATENATE(GOOGLETRANSLATE(C4751, ""en"", ""ja""))"),"CuberShop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4752" ht="15.75" customHeight="1">
      <c r="A4752" s="1">
        <v>5304.0</v>
      </c>
      <c r="B4752" s="1" t="s">
        <v>15</v>
      </c>
      <c r="C4752" s="1" t="s">
        <v>2378</v>
      </c>
      <c r="D4752" s="1" t="str">
        <f>IFERROR(__xludf.DUMMYFUNCTION("CONCATENATE(GOOGLETRANSLATE(C4752, ""en"", ""zh-cn""))"),"EF ECOFLOW RIVER Pro 额外电池 720Wh，RIVER Pro 可扩展电源，适用于露营、家庭备用应急、户外、房车、离网")</f>
        <v>EF ECOFLOW RIVER Pro 额外电池 720Wh，RIVER Pro 可扩展电源，适用于露营、家庭备用应急、户外、房车、离网</v>
      </c>
      <c r="E4752" s="1" t="str">
        <f>IFERROR(__xludf.DUMMYFUNCTION("CONCATENATE(GOOGLETRANSLATE(C4752, ""en"", ""ko""))"),"EF ECOFLOW RIVER Pro 추가 배터리 720Wh, RIVER Pro용 확장 가능한 전력, 캠핑, 홈 백업 비상, 야외, RV, 오프 그리드용")</f>
        <v>EF ECOFLOW RIVER Pro 추가 배터리 720Wh, RIVER Pro용 확장 가능한 전력, 캠핑, 홈 백업 비상, 야외, RV, 오프 그리드용</v>
      </c>
      <c r="F4752" s="1" t="str">
        <f>IFERROR(__xludf.DUMMYFUNCTION("CONCATENATE(GOOGLETRANSLATE(C4752, ""en"", ""ja""))"),"EF ECOFLOW RIVER Pro 予備バッテリー 720Wh、RIVER Pro 用の拡張可能な電源、キャンプ、ホームバックアップ緊急時、アウトドア、RV、オフグリッド用")</f>
        <v>EF ECOFLOW RIVER Pro 予備バッテリー 720Wh、RIVER Pro 用の拡張可能な電源、キャンプ、ホームバックアップ緊急時、アウトドア、RV、オフグリッド用</v>
      </c>
    </row>
    <row r="4753" ht="15.75" customHeight="1">
      <c r="A4753" s="1">
        <v>5308.0</v>
      </c>
      <c r="B4753" s="1" t="s">
        <v>15</v>
      </c>
      <c r="C4753" s="1" t="s">
        <v>2844</v>
      </c>
      <c r="D4753" s="1" t="str">
        <f>IFERROR(__xludf.DUMMYFUNCTION("CONCATENATE(GOOGLETRANSLATE(C4753, ""en"", ""zh-cn""))"),"JOROTO 室内自行车健身车带 35 磅飞轮和 10.2 英寸大型 Ipad 支架（链条驱动）")</f>
        <v>JOROTO 室内自行车健身车带 35 磅飞轮和 10.2 英寸大型 Ipad 支架（链条驱动）</v>
      </c>
      <c r="E4753" s="1" t="str">
        <f>IFERROR(__xludf.DUMMYFUNCTION("CONCATENATE(GOOGLETRANSLATE(C4753, ""en"", ""ko""))"),"JOROTO 실내 사이클링 자전거 운동용 자전거 35파운드 플라이휠 및 10.2인치 대형 Ipad 홀더(체인 드라이브) 포함")</f>
        <v>JOROTO 실내 사이클링 자전거 운동용 자전거 35파운드 플라이휠 및 10.2인치 대형 Ipad 홀더(체인 드라이브) 포함</v>
      </c>
      <c r="F4753" s="1" t="str">
        <f>IFERROR(__xludf.DUMMYFUNCTION("CONCATENATE(GOOGLETRANSLATE(C4753, ""en"", ""ja""))"),"JOROTO インドアサイクリングバイクエクササイズバイク、35ポンドのフライホイールと10.2インチの大型iPadホルダー（チェーンドライブ）付き")</f>
        <v>JOROTO インドアサイクリングバイクエクササイズバイク、35ポンドのフライホイールと10.2インチの大型iPadホルダー（チェーンドライブ）付き</v>
      </c>
    </row>
    <row r="4754" ht="15.75" customHeight="1">
      <c r="A4754" s="1">
        <v>5311.0</v>
      </c>
      <c r="B4754" s="1" t="s">
        <v>15</v>
      </c>
      <c r="C4754" s="1" t="s">
        <v>2376</v>
      </c>
      <c r="D4754" s="1" t="str">
        <f>IFERROR(__xludf.DUMMYFUNCTION("CONCATENATE(GOOGLETRANSLATE(C4754, ""en"", ""zh-cn""))"),"美国 Pride 家具瑜伽系列现代人造皮革弧形躺椅，适合伸展和放松，非常适合卧室、客厅、冥想室或办公室，常规，午夜黑")</f>
        <v>美国 Pride 家具瑜伽系列现代人造皮革弧形躺椅，适合伸展和放松，非常适合卧室、客厅、冥想室或办公室，常规，午夜黑</v>
      </c>
      <c r="E4754" s="1" t="str">
        <f>IFERROR(__xludf.DUMMYFUNCTION("CONCATENATE(GOOGLETRANSLATE(C4754, ""en"", ""ko""))"),"US Pride Furniture Yoga Collection 스트레칭과 휴식을 위한 현대적인 인조 가죽 곡선 라운지 의자, 침실, 거실, 명상실 또는 사무실에 이상적, 일반, 미드나잇 블랙")</f>
        <v>US Pride Furniture Yoga Collection 스트레칭과 휴식을 위한 현대적인 인조 가죽 곡선 라운지 의자, 침실, 거실, 명상실 또는 사무실에 이상적, 일반, 미드나잇 블랙</v>
      </c>
      <c r="F4754" s="1" t="str">
        <f>IFERROR(__xludf.DUMMYFUNCTION("CONCATENATE(GOOGLETRANSLATE(C4754, ""en"", ""ja""))"),"USプライドファニチャーヨガコレクション ストレッチとリラクゼーションのためのモダンなフェイクレザーの湾曲したラウンジ長椅子、寝室、リビング、瞑想室またはオフィスに最適、レギュラー、ミッドナイトブラック")</f>
        <v>USプライドファニチャーヨガコレクション ストレッチとリラクゼーションのためのモダンなフェイクレザーの湾曲したラウンジ長椅子、寝室、リビング、瞑想室またはオフィスに最適、レギュラー、ミッドナイトブラック</v>
      </c>
    </row>
    <row r="4755" ht="15.75" customHeight="1">
      <c r="A4755" s="1">
        <v>5315.0</v>
      </c>
      <c r="B4755" s="1" t="s">
        <v>15</v>
      </c>
      <c r="C4755" s="1" t="s">
        <v>2372</v>
      </c>
      <c r="D4755" s="1" t="str">
        <f>IFERROR(__xludf.DUMMYFUNCTION("CONCATENATE(GOOGLETRANSLATE(C4755, ""en"", ""zh-cn""))"),"Devoko 5 件套露台家具套装全天候户外组合沙发手动编织柳条藤条露台谈话套装带垫子和玻璃桌（米色）")</f>
        <v>Devoko 5 件套露台家具套装全天候户外组合沙发手动编织柳条藤条露台谈话套装带垫子和玻璃桌（米色）</v>
      </c>
      <c r="E4755" s="1" t="str">
        <f>IFERROR(__xludf.DUMMYFUNCTION("CONCATENATE(GOOGLETRANSLATE(C4755, ""en"", ""ko""))"),"Devoko 5 조각 파티오 가구 세트 전천후 야외 단면 소파 수동 직조 고리 버들 등나무 파티오 대화 세트 쿠션과 유리 테이블 (베이지 색)")</f>
        <v>Devoko 5 조각 파티오 가구 세트 전천후 야외 단면 소파 수동 직조 고리 버들 등나무 파티오 대화 세트 쿠션과 유리 테이블 (베이지 색)</v>
      </c>
      <c r="F4755" s="1" t="str">
        <f>IFERROR(__xludf.DUMMYFUNCTION("CONCATENATE(GOOGLETRANSLATE(C4755, ""en"", ""ja""))"),"Devoko パティオ家具 5 点セット 全天候型 屋外 セクショナルソファ 手動織り 籐ラタン パティオ会話セット クッションとガラステーブル付き (ベージュ)")</f>
        <v>Devoko パティオ家具 5 点セット 全天候型 屋外 セクショナルソファ 手動織り 籐ラタン パティオ会話セット クッションとガラステーブル付き (ベージュ)</v>
      </c>
    </row>
    <row r="4756" ht="15.75" customHeight="1">
      <c r="A4756" s="1">
        <v>5324.0</v>
      </c>
      <c r="B4756" s="1" t="s">
        <v>15</v>
      </c>
      <c r="C4756" s="1" t="s">
        <v>4094</v>
      </c>
      <c r="D4756" s="1" t="str">
        <f>IFERROR(__xludf.DUMMYFUNCTION("CONCATENATE(GOOGLETRANSLATE(C4756, ""en"", ""zh-cn""))"),"2020 Apple iPad Pro 第二代（11 英寸，Wi-Fi + 蜂窝网络，256GB）深空灰色（续订）")</f>
        <v>2020 Apple iPad Pro 第二代（11 英寸，Wi-Fi + 蜂窝网络，256GB）深空灰色（续订）</v>
      </c>
      <c r="E4756" s="1" t="str">
        <f>IFERROR(__xludf.DUMMYFUNCTION("CONCATENATE(GOOGLETRANSLATE(C4756, ""en"", ""ko""))"),"2020 애플 아이패드 프로 2세대(11인치, Wi-Fi + Cellular, 256GB) 스페이스 그레이(리뉴얼)")</f>
        <v>2020 애플 아이패드 프로 2세대(11인치, Wi-Fi + Cellular, 256GB) 스페이스 그레이(리뉴얼)</v>
      </c>
      <c r="F4756" s="1" t="str">
        <f>IFERROR(__xludf.DUMMYFUNCTION("CONCATENATE(GOOGLETRANSLATE(C4756, ""en"", ""ja""))"),"2020 Apple iPad Pro 第 2 世代 (11 インチ、Wi-Fi + Cellular、256GB) スペース グレイ (リニューアル)")</f>
        <v>2020 Apple iPad Pro 第 2 世代 (11 インチ、Wi-Fi + Cellular、256GB) スペース グレイ (リニューアル)</v>
      </c>
    </row>
    <row r="4757" ht="15.75" customHeight="1">
      <c r="A4757" s="1">
        <v>5325.0</v>
      </c>
      <c r="B4757" s="1" t="s">
        <v>15</v>
      </c>
      <c r="C4757" s="1" t="s">
        <v>1707</v>
      </c>
      <c r="D4757" s="1" t="str">
        <f>IFERROR(__xludf.DUMMYFUNCTION("CONCATENATE(GOOGLETRANSLATE(C4757, ""en"", ""zh-cn""))"),"2021 最新戴尔 Inspiron 灵越 15 3000 商务笔记本电脑，15.6 全高清触摸屏，英特尔酷睿 i5-1035G1，16GB DDR4 RAM，1TBGB PCIE SSD，在线会议就绪，网络摄像头，Wi-Fi，HDMI，Windows 10 Pro，黑色")</f>
        <v>2021 最新戴尔 Inspiron 灵越 15 3000 商务笔记本电脑，15.6 全高清触摸屏，英特尔酷睿 i5-1035G1，16GB DDR4 RAM，1TBGB PCIE SSD，在线会议就绪，网络摄像头，Wi-Fi，HDMI，Windows 10 Pro，黑色</v>
      </c>
      <c r="E4757" s="1" t="str">
        <f>IFERROR(__xludf.DUMMYFUNCTION("CONCATENATE(GOOGLETRANSLATE(C4757, ""en"", ""ko""))"),"2021 최신 Dell Inspiron 15 3000 비즈니스 노트북, 15.6 풀 HD 터치스크린, Intel Core i5-1035G1, 16GB DDR4 RAM, 1TBGB PCIE SSD, 온라인 회의 지원, 웹캠, Wi-Fi, HDMI, Windows 10 Pro, 블랙")</f>
        <v>2021 최신 Dell Inspiron 15 3000 비즈니스 노트북, 15.6 풀 HD 터치스크린, Intel Core i5-1035G1, 16GB DDR4 RAM, 1TBGB PCIE SSD, 온라인 회의 지원, 웹캠, Wi-Fi, HDMI, Windows 10 Pro, 블랙</v>
      </c>
      <c r="F4757" s="1" t="str">
        <f>IFERROR(__xludf.DUMMYFUNCTION("CONCATENATE(GOOGLETRANSLATE(C4757, ""en"", ""ja""))"),"2021 最新 Dell Inspiron 15 3000 ビジネス ノートパソコン、15.6 フル HD タッチスクリーン、Intel Core i5-1035G1、16GB DDR4 RAM、1TBGB PCIE SSD、オンライン ミーティング対応、ウェブカメラ、Wi-Fi、HDMI、Windows 10 Pro、ブラック")</f>
        <v>2021 最新 Dell Inspiron 15 3000 ビジネス ノートパソコン、15.6 フル HD タッチスクリーン、Intel Core i5-1035G1、16GB DDR4 RAM、1TBGB PCIE SSD、オンライン ミーティング対応、ウェブカメラ、Wi-Fi、HDMI、Windows 10 Pro、ブラック</v>
      </c>
    </row>
    <row r="4758" ht="15.75" customHeight="1">
      <c r="A4758" s="1">
        <v>5337.0</v>
      </c>
      <c r="B4758" s="1" t="s">
        <v>15</v>
      </c>
      <c r="C4758" s="1" t="s">
        <v>1853</v>
      </c>
      <c r="D4758" s="1" t="str">
        <f>IFERROR(__xludf.DUMMYFUNCTION("CONCATENATE(GOOGLETRANSLATE(C4758, ""en"", ""zh-cn""))"),"带金属腿和盖子的拼图桌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4758" s="1" t="str">
        <f>IFERROR(__xludf.DUMMYFUNCTION("CONCATENATE(GOOGLETRANSLATE(C4758, ""en"", ""ko""))"),"금속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4758" s="1" t="str">
        <f>IFERROR(__xludf.DUMMYFUNCTION("CONCATENATE(GOOGLETRANSLATE(C4758, ""en"", ""ja""))"),"金属製の脚とカバー付きパズルテーブル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4759" ht="15.75" customHeight="1">
      <c r="A4759" s="1">
        <v>5343.0</v>
      </c>
      <c r="B4759" s="1" t="s">
        <v>15</v>
      </c>
      <c r="C4759" s="1" t="s">
        <v>1825</v>
      </c>
      <c r="D4759" s="1" t="str">
        <f>IFERROR(__xludf.DUMMYFUNCTION("CONCATENATE(GOOGLETRANSLATE(C4759, ""en"", ""zh-cn""))"),"1500 块木制拼图桌 - 6 个抽屉，拼图板 | 27” X 35” 便携式拼图板 - 便携式拼图桌 |适合成人和儿童")</f>
        <v>1500 块木制拼图桌 - 6 个抽屉，拼图板 | 27” X 35” 便携式拼图板 - 便携式拼图桌 |适合成人和儿童</v>
      </c>
      <c r="E4759" s="1" t="str">
        <f>IFERROR(__xludf.DUMMYFUNCTION("CONCATENATE(GOOGLETRANSLATE(C4759, ""en"", ""ko""))"),"1500피스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4759" s="1" t="str">
        <f>IFERROR(__xludf.DUMMYFUNCTION("CONCATENATE(GOOGLETRANSLATE(C4759, ""en"", ""ja""))"),"1500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4760" ht="15.75" customHeight="1">
      <c r="A4760" s="1">
        <v>5348.0</v>
      </c>
      <c r="B4760" s="1" t="s">
        <v>15</v>
      </c>
      <c r="C4760" s="1" t="s">
        <v>1845</v>
      </c>
      <c r="D4760" s="1" t="str">
        <f>IFERROR(__xludf.DUMMYFUNCTION("CONCATENATE(GOOGLETRANSLATE(C4760, ""en"", ""zh-cn""))"),"LiangCuber GAN 13磁悬浮旗舰磁力3x3无贴纸GAN13 M速度魔方（磨砂版）")</f>
        <v>LiangCuber GAN 13磁悬浮旗舰磁力3x3无贴纸GAN13 M速度魔方（磨砂版）</v>
      </c>
      <c r="E4760" s="1" t="str">
        <f>IFERROR(__xludf.DUMMYFUNCTION("CONCATENATE(GOOGLETRANSLATE(C4760, ""en"", ""ko""))"),"LiangCuber GAN 13 자기 부상 플래그십 마그네틱 3x3 스티커 없는 GAN13 M 스피드 큐브(반투명 버전)")</f>
        <v>LiangCuber GAN 13 자기 부상 플래그십 마그네틱 3x3 스티커 없는 GAN13 M 스피드 큐브(반투명 버전)</v>
      </c>
      <c r="F4760" s="1" t="str">
        <f>IFERROR(__xludf.DUMMYFUNCTION("CONCATENATE(GOOGLETRANSLATE(C4760, ""en"", ""ja""))"),"LiangCuber GAN 13 マグレブ旗艦 磁気 3x3 ステッカーレス GAN13 M スピード キューブ (つや消しバージョン)")</f>
        <v>LiangCuber GAN 13 マグレブ旗艦 磁気 3x3 ステッカーレス GAN13 M スピード キューブ (つや消しバージョン)</v>
      </c>
    </row>
    <row r="4761" ht="15.75" customHeight="1">
      <c r="A4761" s="1">
        <v>5360.0</v>
      </c>
      <c r="B4761" s="1" t="s">
        <v>15</v>
      </c>
      <c r="C4761" s="1" t="s">
        <v>2229</v>
      </c>
      <c r="D4761" s="1" t="str">
        <f>IFERROR(__xludf.DUMMYFUNCTION("CONCATENATE(GOOGLETRANSLATE(C4761, ""en"", ""zh-cn""))"),"一加 11 5G | 16GB内存+256GB |泰坦黑|美国工厂解锁 Android 智能手机 | 5000mAh电池| 80W快充|哈苏相机 | 120Hz 流体显示 | 4纳米处理器")</f>
        <v>一加 11 5G | 16GB内存+256GB |泰坦黑|美国工厂解锁 Android 智能手机 | 5000mAh电池| 80W快充|哈苏相机 | 120Hz 流体显示 | 4纳米处理器</v>
      </c>
      <c r="E4761" s="1" t="str">
        <f>IFERROR(__xludf.DUMMYFUNCTION("CONCATENATE(GOOGLETRANSLATE(C4761, ""en"", ""ko""))"),"원플러스 11 5G | 16GB RAM+256GB | 타이탄 블랙 | 미국 공장 언락 안드로이드 스마트폰 | 5000mAh 배터리 | 80W 고속 충전 | 핫셀블라드 카메라 | 120Hz 유체 디스플레이 | 4nm 프로세서")</f>
        <v>원플러스 11 5G | 16GB RAM+256GB | 타이탄 블랙 | 미국 공장 언락 안드로이드 스마트폰 | 5000mAh 배터리 | 80W 고속 충전 | 핫셀블라드 카메라 | 120Hz 유체 디스플레이 | 4nm 프로세서</v>
      </c>
      <c r="F4761" s="1" t="str">
        <f>IFERROR(__xludf.DUMMYFUNCTION("CONCATENATE(GOOGLETRANSLATE(C4761, ""en"", ""ja""))"),"OnePlus 11 5G | 16GB RAM+256GB |タイタンブラック |米国工場でロック解除された Android スマートフォン | 5000 mAh バッテリー | 80W 急速充電 |ハッセルブラッドカメラ | 120Hz 流体ディスプレイ | 4nmプロセッサ")</f>
        <v>OnePlus 11 5G | 16GB RAM+256GB |タイタンブラック |米国工場でロック解除された Android スマートフォン | 5000 mAh バッテリー | 80W 急速充電 |ハッセルブラッドカメラ | 120Hz 流体ディスプレイ | 4nmプロセッサ</v>
      </c>
    </row>
    <row r="4762" ht="15.75" customHeight="1">
      <c r="A4762" s="1">
        <v>5371.0</v>
      </c>
      <c r="B4762" s="1" t="s">
        <v>15</v>
      </c>
      <c r="C4762" s="1" t="s">
        <v>1850</v>
      </c>
      <c r="D4762" s="1" t="str">
        <f>IFERROR(__xludf.DUMMYFUNCTION("CONCATENATE(GOOGLETRANSLATE(C4762, ""en"", ""zh-cn""))"),"GAN 13 磁悬浮磨砂涂层，磁性速度魔方 3x3 无贴纸 56 毫米磁铁魔方拼图玩具，GAN 2022 旗舰")</f>
        <v>GAN 13 磁悬浮磨砂涂层，磁性速度魔方 3x3 无贴纸 56 毫米磁铁魔方拼图玩具，GAN 2022 旗舰</v>
      </c>
      <c r="E4762" s="1" t="str">
        <f>IFERROR(__xludf.DUMMYFUNCTION("CONCATENATE(GOOGLETRANSLATE(C4762, ""en"", ""ko""))"),"GAN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4762" s="1" t="str">
        <f>IFERROR(__xludf.DUMMYFUNCTION("CONCATENATE(GOOGLETRANSLATE(C4762, ""en"", ""ja""))"),"GAN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4763" ht="15.75" customHeight="1">
      <c r="A4763" s="1">
        <v>5379.0</v>
      </c>
      <c r="B4763" s="1" t="s">
        <v>15</v>
      </c>
      <c r="C4763" s="1" t="s">
        <v>1853</v>
      </c>
      <c r="D4763" s="1" t="str">
        <f>IFERROR(__xludf.DUMMYFUNCTION("CONCATENATE(GOOGLETRANSLATE(C4763, ""en"", ""zh-cn""))"),"带金属腿和盖子的拼图桌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4763" s="1" t="str">
        <f>IFERROR(__xludf.DUMMYFUNCTION("CONCATENATE(GOOGLETRANSLATE(C4763, ""en"", ""ko""))"),"금속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4763" s="1" t="str">
        <f>IFERROR(__xludf.DUMMYFUNCTION("CONCATENATE(GOOGLETRANSLATE(C4763, ""en"", ""ja""))"),"金属製の脚とカバー付きパズルテーブル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4764" ht="15.75" customHeight="1">
      <c r="A4764" s="1">
        <v>5397.0</v>
      </c>
      <c r="B4764" s="1" t="s">
        <v>381</v>
      </c>
      <c r="C4764" s="1" t="s">
        <v>830</v>
      </c>
      <c r="D4764" s="1" t="str">
        <f>IFERROR(__xludf.DUMMYFUNCTION("CONCATENATE(GOOGLETRANSLATE(C4764, ""en"", ""zh-cn""))"),"圆点纽扣口袋短袖中长连衣裙")</f>
        <v>圆点纽扣口袋短袖中长连衣裙</v>
      </c>
      <c r="E4764" s="1" t="str">
        <f>IFERROR(__xludf.DUMMYFUNCTION("CONCATENATE(GOOGLETRANSLATE(C4764, ""en"", ""ko""))"),"폴카 도트 버튼 포켓 반팔 미디 드레스")</f>
        <v>폴카 도트 버튼 포켓 반팔 미디 드레스</v>
      </c>
      <c r="F4764" s="1" t="str">
        <f>IFERROR(__xludf.DUMMYFUNCTION("CONCATENATE(GOOGLETRANSLATE(C4764, ""en"", ""ja""))"),"ポルカドットボタンポケット半袖ミディドレス")</f>
        <v>ポルカドットボタンポケット半袖ミディドレス</v>
      </c>
    </row>
    <row r="4765" ht="15.75" customHeight="1">
      <c r="A4765" s="1">
        <v>5400.0</v>
      </c>
      <c r="B4765" s="1" t="s">
        <v>381</v>
      </c>
      <c r="C4765" s="1" t="s">
        <v>829</v>
      </c>
      <c r="D4765" s="1" t="str">
        <f>IFERROR(__xludf.DUMMYFUNCTION("CONCATENATE(GOOGLETRANSLATE(C4765, ""en"", ""zh-cn""))"),"女式纯色翻领时尚大摆休闲无袖超长连衣裙")</f>
        <v>女式纯色翻领时尚大摆休闲无袖超长连衣裙</v>
      </c>
      <c r="E4765" s="1" t="str">
        <f>IFERROR(__xludf.DUMMYFUNCTION("CONCATENATE(GOOGLETRANSLATE(C4765, ""en"", ""ko""))"),"여성 퓨어 컬러 옷깃 세련된 빅 스윙 캐주얼 민소매 맥시 드레스")</f>
        <v>여성 퓨어 컬러 옷깃 세련된 빅 스윙 캐주얼 민소매 맥시 드레스</v>
      </c>
      <c r="F4765" s="1" t="str">
        <f>IFERROR(__xludf.DUMMYFUNCTION("CONCATENATE(GOOGLETRANSLATE(C4765, ""en"", ""ja""))"),"女性ピュアカラーラペルスタイリッシュなビッグスイングカジュアルノースリーブマキシドレス")</f>
        <v>女性ピュアカラーラペルスタイリッシュなビッグスイングカジュアルノースリーブマキシドレス</v>
      </c>
    </row>
    <row r="4766" ht="15.75" customHeight="1">
      <c r="A4766" s="1">
        <v>5407.0</v>
      </c>
      <c r="B4766" s="1" t="s">
        <v>15</v>
      </c>
      <c r="C4766" s="1" t="s">
        <v>2318</v>
      </c>
      <c r="D4766" s="1" t="str">
        <f>IFERROR(__xludf.DUMMYFUNCTION("CONCATENATE(GOOGLETRANSLATE(C4766, ""en"", ""zh-cn""))"),"LiangCuber GAN 12 M 3x3 速度魔方 磁力无贴 GAN 12 MagLev UV 旗舰 3x3x3 魔方（UV 涂层光面和初级内部）")</f>
        <v>LiangCuber GAN 12 M 3x3 速度魔方 磁力无贴 GAN 12 MagLev UV 旗舰 3x3x3 魔方（UV 涂层光面和初级内部）</v>
      </c>
      <c r="E4766" s="1" t="str">
        <f>IFERROR(__xludf.DUMMYFUNCTION("CONCATENATE(GOOGLETRANSLATE(C4766, ""en"", ""ko""))"),"LiangCuber GAN 12 M 3x3 스피드 큐브 자기 스티커가 없는 GAN 12 MagLev UV 플래그십 3x3x3 매직 큐브(UV 코팅 광택 및 기본 내부)")</f>
        <v>LiangCuber GAN 12 M 3x3 스피드 큐브 자기 스티커가 없는 GAN 12 MagLev UV 플래그십 3x3x3 매직 큐브(UV 코팅 광택 및 기본 내부)</v>
      </c>
      <c r="F4766" s="1" t="str">
        <f>IFERROR(__xludf.DUMMYFUNCTION("CONCATENATE(GOOGLETRANSLATE(C4766, ""en"", ""ja""))"),"LiangCuber GAN 12 M 3x3 スピード キューブ 磁気ステッカーレス GAN 12 MagLev UV フラッグシップ 3x3x3 マジック キューブ (UV コーティング光沢 &amp; プライマリ内部)")</f>
        <v>LiangCuber GAN 12 M 3x3 スピード キューブ 磁気ステッカーレス GAN 12 MagLev UV フラッグシップ 3x3x3 マジック キューブ (UV コーティング光沢 &amp; プライマリ内部)</v>
      </c>
    </row>
    <row r="4767" ht="15.75" customHeight="1">
      <c r="A4767" s="1">
        <v>5415.0</v>
      </c>
      <c r="B4767" s="1" t="s">
        <v>15</v>
      </c>
      <c r="C4767" s="1" t="s">
        <v>2318</v>
      </c>
      <c r="D4767" s="1" t="str">
        <f>IFERROR(__xludf.DUMMYFUNCTION("CONCATENATE(GOOGLETRANSLATE(C4767, ""en"", ""zh-cn""))"),"LiangCuber GAN 12 M 3x3 速度魔方 磁力无贴 GAN 12 MagLev UV 旗舰 3x3x3 魔方（UV 涂层光面和初级内部）")</f>
        <v>LiangCuber GAN 12 M 3x3 速度魔方 磁力无贴 GAN 12 MagLev UV 旗舰 3x3x3 魔方（UV 涂层光面和初级内部）</v>
      </c>
      <c r="E4767" s="1" t="str">
        <f>IFERROR(__xludf.DUMMYFUNCTION("CONCATENATE(GOOGLETRANSLATE(C4767, ""en"", ""ko""))"),"LiangCuber GAN 12 M 3x3 스피드 큐브 자기 스티커가 없는 GAN 12 MagLev UV 플래그십 3x3x3 매직 큐브(UV 코팅 광택 및 기본 내부)")</f>
        <v>LiangCuber GAN 12 M 3x3 스피드 큐브 자기 스티커가 없는 GAN 12 MagLev UV 플래그십 3x3x3 매직 큐브(UV 코팅 광택 및 기본 내부)</v>
      </c>
      <c r="F4767" s="1" t="str">
        <f>IFERROR(__xludf.DUMMYFUNCTION("CONCATENATE(GOOGLETRANSLATE(C4767, ""en"", ""ja""))"),"LiangCuber GAN 12 M 3x3 スピード キューブ 磁気ステッカーレス GAN 12 MagLev UV フラッグシップ 3x3x3 マジック キューブ (UV コーティング光沢 &amp; プライマリ内部)")</f>
        <v>LiangCuber GAN 12 M 3x3 スピード キューブ 磁気ステッカーレス GAN 12 MagLev UV フラッグシップ 3x3x3 マジック キューブ (UV コーティング光沢 &amp; プライマリ内部)</v>
      </c>
    </row>
    <row r="4768" ht="15.75" customHeight="1">
      <c r="A4768" s="1">
        <v>5424.0</v>
      </c>
      <c r="B4768" s="1" t="s">
        <v>15</v>
      </c>
      <c r="C4768" s="1" t="s">
        <v>1842</v>
      </c>
      <c r="D4768" s="1" t="str">
        <f>IFERROR(__xludf.DUMMYFUNCTION("CONCATENATE(GOOGLETRANSLATE(C4768, ""en"", ""zh-cn""))"),"波克芬诺 GAN Megaminx M 3x3 速度魔方 Gan 五角形磁性无贴纸魔法拼图魔方玩具")</f>
        <v>波克芬诺 GAN Megaminx M 3x3 速度魔方 Gan 五角形磁性无贴纸魔法拼图魔方玩具</v>
      </c>
      <c r="E4768" s="1" t="str">
        <f>IFERROR(__xludf.DUMMYFUNCTION("CONCATENATE(GOOGLETRANSLATE(C4768, ""en"", ""ko""))"),"Bokefenuo GAN Megaminx M 3x3 스피드 큐브 Gan 오각형 자기 스티커가없는 매직 퍼즐 큐브 장난감")</f>
        <v>Bokefenuo GAN Megaminx M 3x3 스피드 큐브 Gan 오각형 자기 스티커가없는 매직 퍼즐 큐브 장난감</v>
      </c>
      <c r="F4768" s="1" t="str">
        <f>IFERROR(__xludf.DUMMYFUNCTION("CONCATENATE(GOOGLETRANSLATE(C4768, ""en"", ""ja""))"),"Bokefenuo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4769" ht="15.75" customHeight="1">
      <c r="A4769" s="1">
        <v>5430.0</v>
      </c>
      <c r="B4769" s="1" t="s">
        <v>15</v>
      </c>
      <c r="C4769" s="1" t="s">
        <v>1843</v>
      </c>
      <c r="D4769" s="1" t="str">
        <f>IFERROR(__xludf.DUMMYFUNCTION("CONCATENATE(GOOGLETRANSLATE(C4769, ""en"", ""zh-cn""))"),"BroMocube 的 GAN 11M Pro 3x3 速度魔方 GAN 11 磁性拼图魔方 Gan11M 魔方（GAN 11 M Pro 磨砂无贴纸（黑色））")</f>
        <v>BroMocube 的 GAN 11M Pro 3x3 速度魔方 GAN 11 磁性拼图魔方 Gan11M 魔方（GAN 11 M Pro 磨砂无贴纸（黑色））</v>
      </c>
      <c r="E4769" s="1" t="str">
        <f>IFERROR(__xludf.DUMMYFUNCTION("CONCATENATE(GOOGLETRANSLATE(C4769, ""en"", ""ko""))"),"GAN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4769" s="1" t="str">
        <f>IFERROR(__xludf.DUMMYFUNCTION("CONCATENATE(GOOGLETRANSLATE(C4769, ""en"", ""ja""))"),"GAN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4770" ht="15.75" customHeight="1">
      <c r="A4770" s="1">
        <v>5433.0</v>
      </c>
      <c r="B4770" s="1" t="s">
        <v>15</v>
      </c>
      <c r="C4770" s="1" t="s">
        <v>1824</v>
      </c>
      <c r="D4770" s="1" t="str">
        <f>IFERROR(__xludf.DUMMYFUNCTION("CONCATENATE(GOOGLETRANSLATE(C4770, ""en"", ""zh-cn""))"),"ALL4JIG 1500 件便携式带腿拼图桌，可调节拼图板，带 4 个抽屉和盖子，3 倾斜角度成人拼图桌")</f>
        <v>ALL4JIG 1500 件便携式带腿拼图桌，可调节拼图板，带 4 个抽屉和盖子，3 倾斜角度成人拼图桌</v>
      </c>
      <c r="E4770" s="1" t="str">
        <f>IFERROR(__xludf.DUMMYFUNCTION("CONCATENATE(GOOGLETRANSLATE(C4770, ""en"", ""ko""))"),"ALL4JIG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4770" s="1" t="str">
        <f>IFERROR(__xludf.DUMMYFUNCTION("CONCATENATE(GOOGLETRANSLATE(C4770, ""en"", ""ja""))"),"ALL4JIG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4771" ht="15.75" customHeight="1">
      <c r="A4771" s="1">
        <v>5441.0</v>
      </c>
      <c r="B4771" s="1" t="s">
        <v>15</v>
      </c>
      <c r="C4771" s="1" t="s">
        <v>1905</v>
      </c>
      <c r="D4771" s="1" t="str">
        <f>IFERROR(__xludf.DUMMYFUNCTION("CONCATENATE(GOOGLETRANSLATE(C4771, ""en"", ""zh-cn""))"),"Lake MX241 耐力骑行鞋 - 男士")</f>
        <v>Lake MX241 耐力骑行鞋 - 男士</v>
      </c>
      <c r="E4771" s="1" t="str">
        <f>IFERROR(__xludf.DUMMYFUNCTION("CONCATENATE(GOOGLETRANSLATE(C4771, ""en"", ""ko""))"),"Lake MX241 인듀어런스 사이클링 슈즈 - 남성용")</f>
        <v>Lake MX241 인듀어런스 사이클링 슈즈 - 남성용</v>
      </c>
      <c r="F4771" s="1" t="str">
        <f>IFERROR(__xludf.DUMMYFUNCTION("CONCATENATE(GOOGLETRANSLATE(C4771, ""en"", ""ja""))"),"Lake MX241 エンデュランス サイクリング シューズ - メンズ")</f>
        <v>Lake MX241 エンデュランス サイクリング シューズ - メンズ</v>
      </c>
    </row>
    <row r="4772" ht="15.75" customHeight="1">
      <c r="A4772" s="1">
        <v>5445.0</v>
      </c>
      <c r="B4772" s="1" t="s">
        <v>15</v>
      </c>
      <c r="C4772" s="1" t="s">
        <v>2371</v>
      </c>
      <c r="D4772" s="1" t="str">
        <f>IFERROR(__xludf.DUMMYFUNCTION("CONCATENATE(GOOGLETRANSLATE(C4772, ""en"", ""zh-cn""))"),"BFSB5 链传动室内自行车")</f>
        <v>BFSB5 链传动室内自行车</v>
      </c>
      <c r="E4772" s="1" t="str">
        <f>IFERROR(__xludf.DUMMYFUNCTION("CONCATENATE(GOOGLETRANSLATE(C4772, ""en"", ""ko""))"),"BFSB5 체인 드라이브 실내 사이클링 자전거")</f>
        <v>BFSB5 체인 드라이브 실내 사이클링 자전거</v>
      </c>
      <c r="F4772" s="1" t="str">
        <f>IFERROR(__xludf.DUMMYFUNCTION("CONCATENATE(GOOGLETRANSLATE(C4772, ""en"", ""ja""))"),"BFSB5 チェーンドライブインドアサイクリングバイク")</f>
        <v>BFSB5 チェーンドライブインドアサイクリングバイク</v>
      </c>
    </row>
    <row r="4773" ht="15.75" customHeight="1">
      <c r="A4773" s="1">
        <v>5475.0</v>
      </c>
      <c r="B4773" s="1" t="s">
        <v>15</v>
      </c>
      <c r="C4773" s="1" t="s">
        <v>1838</v>
      </c>
      <c r="D4773" s="1" t="str">
        <f>IFERROR(__xludf.DUMMYFUNCTION("CONCATENATE(GOOGLETRANSLATE(C4773, ""en"", ""zh-cn""))"),"Ravensburger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4773" s="1" t="str">
        <f>IFERROR(__xludf.DUMMYFUNCTION("CONCATENATE(GOOGLETRANSLATE(C4773, ""en"", ""ko""))"),"Ravensburger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4773" s="1" t="str">
        <f>IFERROR(__xludf.DUMMYFUNCTION("CONCATENATE(GOOGLETRANSLATE(C4773, ""en"", ""ja""))"),"Ravensburger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4774" ht="15.75" customHeight="1">
      <c r="A4774" s="1">
        <v>5480.0</v>
      </c>
      <c r="B4774" s="1" t="s">
        <v>15</v>
      </c>
      <c r="C4774" s="1" t="s">
        <v>1648</v>
      </c>
      <c r="D4774" s="1" t="str">
        <f>IFERROR(__xludf.DUMMYFUNCTION("CONCATENATE(GOOGLETRANSLATE(C4774, ""en"", ""zh-cn""))"),"CuberShop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4774" s="1" t="str">
        <f>IFERROR(__xludf.DUMMYFUNCTION("CONCATENATE(GOOGLETRANSLATE(C4774, ""en"", ""ko""))"),"CuberShop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4774" s="1" t="str">
        <f>IFERROR(__xludf.DUMMYFUNCTION("CONCATENATE(GOOGLETRANSLATE(C4774, ""en"", ""ja""))"),"CuberShop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4775" ht="15.75" customHeight="1">
      <c r="A4775" s="1">
        <v>5483.0</v>
      </c>
      <c r="B4775" s="1" t="s">
        <v>15</v>
      </c>
      <c r="C4775" s="1" t="s">
        <v>1842</v>
      </c>
      <c r="D4775" s="1" t="str">
        <f>IFERROR(__xludf.DUMMYFUNCTION("CONCATENATE(GOOGLETRANSLATE(C4775, ""en"", ""zh-cn""))"),"波克芬诺 GAN Megaminx M 3x3 速度魔方 Gan 五角形磁性无贴纸魔法拼图魔方玩具")</f>
        <v>波克芬诺 GAN Megaminx M 3x3 速度魔方 Gan 五角形磁性无贴纸魔法拼图魔方玩具</v>
      </c>
      <c r="E4775" s="1" t="str">
        <f>IFERROR(__xludf.DUMMYFUNCTION("CONCATENATE(GOOGLETRANSLATE(C4775, ""en"", ""ko""))"),"Bokefenuo GAN Megaminx M 3x3 스피드 큐브 Gan 오각형 자기 스티커가없는 매직 퍼즐 큐브 장난감")</f>
        <v>Bokefenuo GAN Megaminx M 3x3 스피드 큐브 Gan 오각형 자기 스티커가없는 매직 퍼즐 큐브 장난감</v>
      </c>
      <c r="F4775" s="1" t="str">
        <f>IFERROR(__xludf.DUMMYFUNCTION("CONCATENATE(GOOGLETRANSLATE(C4775, ""en"", ""ja""))"),"Bokefenuo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4776" ht="15.75" customHeight="1">
      <c r="A4776" s="1">
        <v>5485.0</v>
      </c>
      <c r="B4776" s="1" t="s">
        <v>15</v>
      </c>
      <c r="C4776" s="1" t="s">
        <v>1847</v>
      </c>
      <c r="D4776" s="1" t="str">
        <f>IFERROR(__xludf.DUMMYFUNCTION("CONCATENATE(GOOGLETRANSLATE(C4776, ""en"", ""zh-cn""))"),"Bukefuno GAN 12 Maglev 3x3 磁性魔方 GAN12Maglev Speed GAN 12Maglev 拼图魔方 GAN12 Maglev 3x3 魔方（磨砂表面无贴纸）")</f>
        <v>Bukefuno GAN 12 Maglev 3x3 磁性魔方 GAN12Maglev Speed GAN 12Maglev 拼图魔方 GAN12 Maglev 3x3 魔方（磨砂表面无贴纸）</v>
      </c>
      <c r="E4776" s="1" t="str">
        <f>IFERROR(__xludf.DUMMYFUNCTION("CONCATENATE(GOOGLETRANSLATE(C4776, ""en"", ""ko""))"),"Bukefuno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4776" s="1" t="str">
        <f>IFERROR(__xludf.DUMMYFUNCTION("CONCATENATE(GOOGLETRANSLATE(C4776, ""en"", ""ja""))"),"Bukefuno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4777" ht="15.75" customHeight="1">
      <c r="A4777" s="1">
        <v>5495.0</v>
      </c>
      <c r="B4777" s="1" t="s">
        <v>15</v>
      </c>
      <c r="C4777" s="1" t="s">
        <v>1861</v>
      </c>
      <c r="D4777" s="1" t="str">
        <f>IFERROR(__xludf.DUMMYFUNCTION("CONCATENATE(GOOGLETRANSLATE(C4777, ""en"", ""zh-cn""))"),"博克芬诺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4777" s="1" t="str">
        <f>IFERROR(__xludf.DUMMYFUNCTION("CONCATENATE(GOOGLETRANSLATE(C4777, ""en"", ""ko""))"),"Bokefenuo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4777" s="1" t="str">
        <f>IFERROR(__xludf.DUMMYFUNCTION("CONCATENATE(GOOGLETRANSLATE(C4777, ""en"", ""ja""))"),"Bokefenuo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4778" ht="15.75" customHeight="1">
      <c r="A4778" s="1">
        <v>5500.0</v>
      </c>
      <c r="B4778" s="1" t="s">
        <v>15</v>
      </c>
      <c r="C4778" s="1" t="s">
        <v>1846</v>
      </c>
      <c r="D4778" s="1" t="str">
        <f>IFERROR(__xludf.DUMMYFUNCTION("CONCATENATE(GOOGLETRANSLATE(C4778, ""en"", ""zh-cn""))"),"带抽屉和盖垫的拼图板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4778" s="1" t="str">
        <f>IFERROR(__xludf.DUMMYFUNCTION("CONCATENATE(GOOGLETRANSLATE(C4778, ""en"", ""ko""))"),"서랍과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4778" s="1" t="str">
        <f>IFERROR(__xludf.DUMMYFUNCTION("CONCATENATE(GOOGLETRANSLATE(C4778, ""en"", ""ja""))"),"引き出しとカバー付きパズルボード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4779" ht="15.75" customHeight="1">
      <c r="A4779" s="1">
        <v>5530.0</v>
      </c>
      <c r="B4779" s="1" t="s">
        <v>15</v>
      </c>
      <c r="C4779" s="1" t="s">
        <v>1822</v>
      </c>
      <c r="D4779" s="1" t="str">
        <f>IFERROR(__xludf.DUMMYFUNCTION("CONCATENATE(GOOGLETRANSLATE(C4779, ""en"", ""zh-cn""))"),"Rawlings Heart of the Hide 棒球手套系列")</f>
        <v>Rawlings Heart of the Hide 棒球手套系列</v>
      </c>
      <c r="E4779" s="1" t="str">
        <f>IFERROR(__xludf.DUMMYFUNCTION("CONCATENATE(GOOGLETRANSLATE(C4779, ""en"", ""ko""))"),"롤링스의 Hide 야구 글러브 시리즈의 심장")</f>
        <v>롤링스의 Hide 야구 글러브 시리즈의 심장</v>
      </c>
      <c r="F4779" s="1" t="str">
        <f>IFERROR(__xludf.DUMMYFUNCTION("CONCATENATE(GOOGLETRANSLATE(C4779, ""en"", ""ja""))"),"ローリングス ハート オブ ザ ハイド ベースボール グローブ シリーズ")</f>
        <v>ローリングス ハート オブ ザ ハイド ベースボール グローブ シリーズ</v>
      </c>
    </row>
    <row r="4780" ht="15.75" customHeight="1">
      <c r="A4780" s="1">
        <v>5534.0</v>
      </c>
      <c r="B4780" s="1" t="s">
        <v>15</v>
      </c>
      <c r="C4780" s="1" t="s">
        <v>2378</v>
      </c>
      <c r="D4780" s="1" t="str">
        <f>IFERROR(__xludf.DUMMYFUNCTION("CONCATENATE(GOOGLETRANSLATE(C4780, ""en"", ""zh-cn""))"),"EF ECOFLOW RIVER Pro 额外电池 720Wh，RIVER Pro 可扩展电源，适用于露营、家庭备用应急、户外、房车、离网")</f>
        <v>EF ECOFLOW RIVER Pro 额外电池 720Wh，RIVER Pro 可扩展电源，适用于露营、家庭备用应急、户外、房车、离网</v>
      </c>
      <c r="E4780" s="1" t="str">
        <f>IFERROR(__xludf.DUMMYFUNCTION("CONCATENATE(GOOGLETRANSLATE(C4780, ""en"", ""ko""))"),"EF ECOFLOW RIVER Pro 추가 배터리 720Wh, RIVER Pro용 확장 가능한 전력, 캠핑, 홈 백업 비상, 야외, RV, 오프 그리드용")</f>
        <v>EF ECOFLOW RIVER Pro 추가 배터리 720Wh, RIVER Pro용 확장 가능한 전력, 캠핑, 홈 백업 비상, 야외, RV, 오프 그리드용</v>
      </c>
      <c r="F4780" s="1" t="str">
        <f>IFERROR(__xludf.DUMMYFUNCTION("CONCATENATE(GOOGLETRANSLATE(C4780, ""en"", ""ja""))"),"EF ECOFLOW RIVER Pro 予備バッテリー 720Wh、RIVER Pro 用の拡張可能な電源、キャンプ、ホームバックアップ緊急時、アウトドア、RV、オフグリッド用")</f>
        <v>EF ECOFLOW RIVER Pro 予備バッテリー 720Wh、RIVER Pro 用の拡張可能な電源、キャンプ、ホームバックアップ緊急時、アウトドア、RV、オフグリッド用</v>
      </c>
    </row>
    <row r="4781" ht="15.75" customHeight="1">
      <c r="A4781" s="1">
        <v>5537.0</v>
      </c>
      <c r="B4781" s="1" t="s">
        <v>15</v>
      </c>
      <c r="C4781" s="1" t="s">
        <v>1913</v>
      </c>
      <c r="D4781" s="1" t="str">
        <f>IFERROR(__xludf.DUMMYFUNCTION("CONCATENATE(GOOGLETRANSLATE(C4781, ""en"", ""zh-cn""))"),"Lake CX241 骑行鞋 - 男士")</f>
        <v>Lake CX241 骑行鞋 - 男士</v>
      </c>
      <c r="E4781" s="1" t="str">
        <f>IFERROR(__xludf.DUMMYFUNCTION("CONCATENATE(GOOGLETRANSLATE(C4781, ""en"", ""ko""))"),"Lake CX241 사이클링 신발 - 남성용")</f>
        <v>Lake CX241 사이클링 신발 - 남성용</v>
      </c>
      <c r="F4781" s="1" t="str">
        <f>IFERROR(__xludf.DUMMYFUNCTION("CONCATENATE(GOOGLETRANSLATE(C4781, ""en"", ""ja""))"),"Lake CX241 サイクリング シューズ - メンズ")</f>
        <v>Lake CX241 サイクリング シューズ - メンズ</v>
      </c>
    </row>
    <row r="4782" ht="15.75" customHeight="1">
      <c r="A4782" s="1">
        <v>5539.0</v>
      </c>
      <c r="B4782" s="1" t="s">
        <v>15</v>
      </c>
      <c r="C4782" s="1" t="s">
        <v>2310</v>
      </c>
      <c r="D4782" s="1" t="str">
        <f>IFERROR(__xludf.DUMMYFUNCTION("CONCATENATE(GOOGLETRANSLATE(C4782, ""en"", ""zh-cn""))"),"Giro Helios 球形成人公路骑行头盔")</f>
        <v>Giro Helios 球形成人公路骑行头盔</v>
      </c>
      <c r="E4782" s="1" t="str">
        <f>IFERROR(__xludf.DUMMYFUNCTION("CONCATENATE(GOOGLETRANSLATE(C4782, ""en"", ""ko""))"),"Giro Helios 구형 성인용 도로 사이클링 헬멧")</f>
        <v>Giro Helios 구형 성인용 도로 사이클링 헬멧</v>
      </c>
      <c r="F4782" s="1" t="str">
        <f>IFERROR(__xludf.DUMMYFUNCTION("CONCATENATE(GOOGLETRANSLATE(C4782, ""en"", ""ja""))"),"Giro Helios 球状大人用ロードサイクリング ヘルメット")</f>
        <v>Giro Helios 球状大人用ロードサイクリング ヘルメット</v>
      </c>
    </row>
    <row r="4783" ht="15.75" customHeight="1">
      <c r="A4783" s="1">
        <v>5551.0</v>
      </c>
      <c r="B4783" s="1" t="s">
        <v>15</v>
      </c>
      <c r="C4783" s="1" t="s">
        <v>2371</v>
      </c>
      <c r="D4783" s="1" t="str">
        <f>IFERROR(__xludf.DUMMYFUNCTION("CONCATENATE(GOOGLETRANSLATE(C4783, ""en"", ""zh-cn""))"),"BFSB5 链传动室内自行车")</f>
        <v>BFSB5 链传动室内自行车</v>
      </c>
      <c r="E4783" s="1" t="str">
        <f>IFERROR(__xludf.DUMMYFUNCTION("CONCATENATE(GOOGLETRANSLATE(C4783, ""en"", ""ko""))"),"BFSB5 체인 드라이브 실내 사이클링 자전거")</f>
        <v>BFSB5 체인 드라이브 실내 사이클링 자전거</v>
      </c>
      <c r="F4783" s="1" t="str">
        <f>IFERROR(__xludf.DUMMYFUNCTION("CONCATENATE(GOOGLETRANSLATE(C4783, ""en"", ""ja""))"),"BFSB5 チェーンドライブインドアサイクリングバイク")</f>
        <v>BFSB5 チェーンドライブインドアサイクリングバイク</v>
      </c>
    </row>
    <row r="4784" ht="15.75" customHeight="1">
      <c r="A4784" s="1">
        <v>5558.0</v>
      </c>
      <c r="B4784" s="1" t="s">
        <v>15</v>
      </c>
      <c r="C4784" s="1" t="s">
        <v>2843</v>
      </c>
      <c r="D4784" s="1" t="str">
        <f>IFERROR(__xludf.DUMMYFUNCTION("CONCATENATE(GOOGLETRANSLATE(C4784, ""en"", ""zh-cn""))"),"60uP 家庭平衡板计划训练系统，适合老年人，恢复或保持平衡、力量、协调性和神经大脑连接")</f>
        <v>60uP 家庭平衡板计划训练系统，适合老年人，恢复或保持平衡、力量、协调性和神经大脑连接</v>
      </c>
      <c r="E4784" s="1" t="str">
        <f>IFERROR(__xludf.DUMMYFUNCTION("CONCATENATE(GOOGLETRANSLATE(C4784, ""en"", ""ko""))"),"노인을 위한 60uP 홈 밸런스 보드 프로그램 교육 시스템, 균형 회복 또는 유지, 힘, 정렬 및 신경 뇌 연결")</f>
        <v>노인을 위한 60uP 홈 밸런스 보드 프로그램 교육 시스템, 균형 회복 또는 유지, 힘, 정렬 및 신경 뇌 연결</v>
      </c>
      <c r="F4784" s="1" t="str">
        <f>IFERROR(__xludf.DUMMYFUNCTION("CONCATENATE(GOOGLETRANSLATE(C4784, ""en"", ""ja""))"),"60uP 高齢者向けホームバランスボードプログラムトレーニングシステム、バランス、筋力、調整、神経脳の接続を回復または維持")</f>
        <v>60uP 高齢者向けホームバランスボードプログラムトレーニングシステム、バランス、筋力、調整、神経脳の接続を回復または維持</v>
      </c>
    </row>
    <row r="4785" ht="15.75" customHeight="1">
      <c r="A4785" s="1">
        <v>5562.0</v>
      </c>
      <c r="B4785" s="1" t="s">
        <v>15</v>
      </c>
      <c r="C4785" s="1" t="s">
        <v>2376</v>
      </c>
      <c r="D4785" s="1" t="str">
        <f>IFERROR(__xludf.DUMMYFUNCTION("CONCATENATE(GOOGLETRANSLATE(C4785, ""en"", ""zh-cn""))"),"美国 Pride 家具瑜伽系列现代人造皮革弧形躺椅，适合伸展和放松，非常适合卧室、客厅、冥想室或办公室，常规，午夜黑")</f>
        <v>美国 Pride 家具瑜伽系列现代人造皮革弧形躺椅，适合伸展和放松，非常适合卧室、客厅、冥想室或办公室，常规，午夜黑</v>
      </c>
      <c r="E4785" s="1" t="str">
        <f>IFERROR(__xludf.DUMMYFUNCTION("CONCATENATE(GOOGLETRANSLATE(C4785, ""en"", ""ko""))"),"US Pride Furniture Yoga Collection 스트레칭과 휴식을 위한 현대적인 인조 가죽 곡선 라운지 의자, 침실, 거실, 명상실 또는 사무실에 이상적, 일반, 미드나잇 블랙")</f>
        <v>US Pride Furniture Yoga Collection 스트레칭과 휴식을 위한 현대적인 인조 가죽 곡선 라운지 의자, 침실, 거실, 명상실 또는 사무실에 이상적, 일반, 미드나잇 블랙</v>
      </c>
      <c r="F4785" s="1" t="str">
        <f>IFERROR(__xludf.DUMMYFUNCTION("CONCATENATE(GOOGLETRANSLATE(C4785, ""en"", ""ja""))"),"USプライドファニチャーヨガコレクション ストレッチとリラクゼーションのためのモダンなフェイクレザーの湾曲したラウンジ長椅子、寝室、リビング、瞑想室またはオフィスに最適、レギュラー、ミッドナイトブラック")</f>
        <v>USプライドファニチャーヨガコレクション ストレッチとリラクゼーションのためのモダンなフェイクレザーの湾曲したラウンジ長椅子、寝室、リビング、瞑想室またはオフィスに最適、レギュラー、ミッドナイトブラック</v>
      </c>
    </row>
    <row r="4786" ht="15.75" customHeight="1">
      <c r="A4786" s="1">
        <v>5583.0</v>
      </c>
      <c r="B4786" s="1" t="s">
        <v>15</v>
      </c>
      <c r="C4786" s="1" t="s">
        <v>4088</v>
      </c>
      <c r="D4786" s="1" t="str">
        <f>IFERROR(__xludf.DUMMYFUNCTION("CONCATENATE(GOOGLETRANSLATE(C4786, ""en"", ""zh-cn""))"),"Rawlings Heart of the Hide 行李袋，大号，黑色")</f>
        <v>Rawlings Heart of the Hide 行李袋，大号，黑色</v>
      </c>
      <c r="E4786" s="1" t="str">
        <f>IFERROR(__xludf.DUMMYFUNCTION("CONCATENATE(GOOGLETRANSLATE(C4786, ""en"", ""ko""))"),"롤링스 하트 오브 더 하이드 더플 백, 라지, 블랙")</f>
        <v>롤링스 하트 오브 더 하이드 더플 백, 라지, 블랙</v>
      </c>
      <c r="F4786" s="1" t="str">
        <f>IFERROR(__xludf.DUMMYFUNCTION("CONCATENATE(GOOGLETRANSLATE(C4786, ""en"", ""ja""))"),"ローリングス ハート オブ ザ ハイド ダッフル バッグ、ラージ、ブラック")</f>
        <v>ローリングス ハート オブ ザ ハイド ダッフル バッグ、ラージ、ブラック</v>
      </c>
    </row>
    <row r="4787" ht="15.75" customHeight="1">
      <c r="A4787" s="1">
        <v>5602.0</v>
      </c>
      <c r="B4787" s="1" t="s">
        <v>15</v>
      </c>
      <c r="C4787" s="1" t="s">
        <v>1847</v>
      </c>
      <c r="D4787" s="1" t="str">
        <f>IFERROR(__xludf.DUMMYFUNCTION("CONCATENATE(GOOGLETRANSLATE(C4787, ""en"", ""zh-cn""))"),"Bukefuno GAN 12 Maglev 3x3 磁性魔方 GAN12Maglev Speed GAN 12Maglev 拼图魔方 GAN12 Maglev 3x3 魔方（磨砂表面无贴纸）")</f>
        <v>Bukefuno GAN 12 Maglev 3x3 磁性魔方 GAN12Maglev Speed GAN 12Maglev 拼图魔方 GAN12 Maglev 3x3 魔方（磨砂表面无贴纸）</v>
      </c>
      <c r="E4787" s="1" t="str">
        <f>IFERROR(__xludf.DUMMYFUNCTION("CONCATENATE(GOOGLETRANSLATE(C4787, ""en"", ""ko""))"),"Bukefuno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4787" s="1" t="str">
        <f>IFERROR(__xludf.DUMMYFUNCTION("CONCATENATE(GOOGLETRANSLATE(C4787, ""en"", ""ja""))"),"Bukefuno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4788" ht="15.75" customHeight="1">
      <c r="A4788" s="1">
        <v>5621.0</v>
      </c>
      <c r="B4788" s="1" t="s">
        <v>15</v>
      </c>
      <c r="C4788" s="1" t="s">
        <v>2309</v>
      </c>
      <c r="D4788" s="1" t="str">
        <f>IFERROR(__xludf.DUMMYFUNCTION("CONCATENATE(GOOGLETRANSLATE(C4788, ""en"", ""zh-cn""))"),"BiSaddle SRT 超短无鼻可调自行车鞍座黑色带钛导轨定制舒适，均码")</f>
        <v>BiSaddle SRT 超短无鼻可调自行车鞍座黑色带钛导轨定制舒适，均码</v>
      </c>
      <c r="E4788" s="1" t="str">
        <f>IFERROR(__xludf.DUMMYFUNCTION("CONCATENATE(GOOGLETRANSLATE(C4788, ""en"", ""ko""))"),"BiSaddle SRT 슈퍼 짧은 노즈리스 조절식 자전거 안장 블랙(티타늄 레일 포함) 맞춤형 컴포트, 단일 사이즈")</f>
        <v>BiSaddle SRT 슈퍼 짧은 노즈리스 조절식 자전거 안장 블랙(티타늄 레일 포함) 맞춤형 컴포트, 단일 사이즈</v>
      </c>
      <c r="F4788" s="1" t="str">
        <f>IFERROR(__xludf.DUMMYFUNCTION("CONCATENATE(GOOGLETRANSLATE(C4788, ""en"", ""ja""))"),"BiSaddle SRT スーパーショート ノーズレス 調節可能 自転車サドル ブラック チタンレール付き カスタムフィット コンフォート、ワンサイズ")</f>
        <v>BiSaddle SRT スーパーショート ノーズレス 調節可能 自転車サドル ブラック チタンレール付き カスタムフィット コンフォート、ワンサイズ</v>
      </c>
    </row>
    <row r="4789" ht="15.75" customHeight="1">
      <c r="A4789" s="1">
        <v>5632.0</v>
      </c>
      <c r="B4789" s="1" t="s">
        <v>15</v>
      </c>
      <c r="C4789" s="1" t="s">
        <v>1840</v>
      </c>
      <c r="D4789" s="1" t="str">
        <f>IFERROR(__xludf.DUMMYFUNCTION("CONCATENATE(GOOGLETRANSLATE(C4789, ""en"", ""zh-cn""))"),"Cuberspeed GAN 13 uv 涂层 MagLev 无贴纸 3x3 速度立方拼图 gan13 maglev uv 涂层旗舰拼图")</f>
        <v>Cuberspeed GAN 13 uv 涂层 MagLev 无贴纸 3x3 速度立方拼图 gan13 maglev uv 涂层旗舰拼图</v>
      </c>
      <c r="E4789" s="1" t="str">
        <f>IFERROR(__xludf.DUMMYFUNCTION("CONCATENATE(GOOGLETRANSLATE(C4789, ""en"", ""ko""))"),"Cuberspeed GAN 13 uv 코팅 MagLev 스티커가 없는 3x3 스피드 큐브 퍼즐 gan13 maglev uv 코팅 플래그십 퍼즐")</f>
        <v>Cuberspeed GAN 13 uv 코팅 MagLev 스티커가 없는 3x3 스피드 큐브 퍼즐 gan13 maglev uv 코팅 플래그십 퍼즐</v>
      </c>
      <c r="F4789" s="1" t="str">
        <f>IFERROR(__xludf.DUMMYFUNCTION("CONCATENATE(GOOGLETRANSLATE(C4789, ""en"", ""ja""))"),"Cuberspeed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4790" ht="15.75" customHeight="1">
      <c r="A4790" s="1">
        <v>5639.0</v>
      </c>
      <c r="B4790" s="1" t="s">
        <v>15</v>
      </c>
      <c r="C4790" s="1" t="s">
        <v>1825</v>
      </c>
      <c r="D4790" s="1" t="str">
        <f>IFERROR(__xludf.DUMMYFUNCTION("CONCATENATE(GOOGLETRANSLATE(C4790, ""en"", ""zh-cn""))"),"1500 块木制拼图桌 - 6 个抽屉，拼图板 | 27” X 35” 便携式拼图板 - 便携式拼图桌 |适合成人和儿童")</f>
        <v>1500 块木制拼图桌 - 6 个抽屉，拼图板 | 27” X 35” 便携式拼图板 - 便携式拼图桌 |适合成人和儿童</v>
      </c>
      <c r="E4790" s="1" t="str">
        <f>IFERROR(__xludf.DUMMYFUNCTION("CONCATENATE(GOOGLETRANSLATE(C4790, ""en"", ""ko""))"),"1500피스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4790" s="1" t="str">
        <f>IFERROR(__xludf.DUMMYFUNCTION("CONCATENATE(GOOGLETRANSLATE(C4790, ""en"", ""ja""))"),"1500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4791" ht="15.75" customHeight="1">
      <c r="A4791" s="1">
        <v>5642.0</v>
      </c>
      <c r="B4791" s="1" t="s">
        <v>15</v>
      </c>
      <c r="C4791" s="1" t="s">
        <v>1843</v>
      </c>
      <c r="D4791" s="1" t="str">
        <f>IFERROR(__xludf.DUMMYFUNCTION("CONCATENATE(GOOGLETRANSLATE(C4791, ""en"", ""zh-cn""))"),"BroMocube 的 GAN 11M Pro 3x3 速度魔方 GAN 11 磁性拼图魔方 Gan11M 魔方（GAN 11 M Pro 磨砂无贴纸（黑色））")</f>
        <v>BroMocube 的 GAN 11M Pro 3x3 速度魔方 GAN 11 磁性拼图魔方 Gan11M 魔方（GAN 11 M Pro 磨砂无贴纸（黑色））</v>
      </c>
      <c r="E4791" s="1" t="str">
        <f>IFERROR(__xludf.DUMMYFUNCTION("CONCATENATE(GOOGLETRANSLATE(C4791, ""en"", ""ko""))"),"GAN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4791" s="1" t="str">
        <f>IFERROR(__xludf.DUMMYFUNCTION("CONCATENATE(GOOGLETRANSLATE(C4791, ""en"", ""ja""))"),"GAN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4792" ht="15.75" customHeight="1">
      <c r="A4792" s="1">
        <v>5651.0</v>
      </c>
      <c r="B4792" s="1" t="s">
        <v>15</v>
      </c>
      <c r="C4792" s="1" t="s">
        <v>1861</v>
      </c>
      <c r="D4792" s="1" t="str">
        <f>IFERROR(__xludf.DUMMYFUNCTION("CONCATENATE(GOOGLETRANSLATE(C4792, ""en"", ""zh-cn""))"),"博克芬诺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4792" s="1" t="str">
        <f>IFERROR(__xludf.DUMMYFUNCTION("CONCATENATE(GOOGLETRANSLATE(C4792, ""en"", ""ko""))"),"Bokefenuo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4792" s="1" t="str">
        <f>IFERROR(__xludf.DUMMYFUNCTION("CONCATENATE(GOOGLETRANSLATE(C4792, ""en"", ""ja""))"),"Bokefenuo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4793" ht="15.75" customHeight="1">
      <c r="A4793" s="1">
        <v>5661.0</v>
      </c>
      <c r="B4793" s="1" t="s">
        <v>15</v>
      </c>
      <c r="C4793" s="1" t="s">
        <v>1903</v>
      </c>
      <c r="D4793" s="1" t="str">
        <f>IFERROR(__xludf.DUMMYFUNCTION("CONCATENATE(GOOGLETRANSLATE(C4793, ""en"", ""zh-cn""))"),"CuberShop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4793" s="1" t="str">
        <f>IFERROR(__xludf.DUMMYFUNCTION("CONCATENATE(GOOGLETRANSLATE(C4793, ""en"", ""ko""))"),"CuberShop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4793" s="1" t="str">
        <f>IFERROR(__xludf.DUMMYFUNCTION("CONCATENATE(GOOGLETRANSLATE(C4793, ""en"", ""ja""))"),"CuberShop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4794" ht="15.75" customHeight="1">
      <c r="A4794" s="1">
        <v>5670.0</v>
      </c>
      <c r="B4794" s="1" t="s">
        <v>15</v>
      </c>
      <c r="C4794" s="1" t="s">
        <v>1846</v>
      </c>
      <c r="D4794" s="1" t="str">
        <f>IFERROR(__xludf.DUMMYFUNCTION("CONCATENATE(GOOGLETRANSLATE(C4794, ""en"", ""zh-cn""))"),"带抽屉和盖垫的拼图板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4794" s="1" t="str">
        <f>IFERROR(__xludf.DUMMYFUNCTION("CONCATENATE(GOOGLETRANSLATE(C4794, ""en"", ""ko""))"),"서랍과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4794" s="1" t="str">
        <f>IFERROR(__xludf.DUMMYFUNCTION("CONCATENATE(GOOGLETRANSLATE(C4794, ""en"", ""ja""))"),"引き出しとカバー付きパズルボード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4795" ht="15.75" customHeight="1">
      <c r="A4795" s="1">
        <v>5681.0</v>
      </c>
      <c r="B4795" s="1" t="s">
        <v>15</v>
      </c>
      <c r="C4795" s="1" t="s">
        <v>4095</v>
      </c>
      <c r="D4795" s="1" t="str">
        <f>IFERROR(__xludf.DUMMYFUNCTION("CONCATENATE(GOOGLETRANSLATE(C4795, ""en"", ""zh-cn""))"),"女式石色弹力梭织配腰带马勃迷你连衣裙")</f>
        <v>女式石色弹力梭织配腰带马勃迷你连衣裙</v>
      </c>
      <c r="E4795" s="1" t="str">
        <f>IFERROR(__xludf.DUMMYFUNCTION("CONCATENATE(GOOGLETRANSLATE(C4795, ""en"", ""ko""))"),"여성용 스톤 스트레치 우븐 벨트 퍼프볼 미니 드레스")</f>
        <v>여성용 스톤 스트레치 우븐 벨트 퍼프볼 미니 드레스</v>
      </c>
      <c r="F4795" s="1" t="str">
        <f>IFERROR(__xludf.DUMMYFUNCTION("CONCATENATE(GOOGLETRANSLATE(C4795, ""en"", ""ja""))"),"レディース ストーン ストレッチ ウーブン ベルト付き パフボール ミニ ドレス")</f>
        <v>レディース ストーン ストレッチ ウーブン ベルト付き パフボール ミニ ドレス</v>
      </c>
    </row>
    <row r="4796" ht="15.75" customHeight="1">
      <c r="A4796" s="1">
        <v>5688.0</v>
      </c>
      <c r="B4796" s="1" t="s">
        <v>15</v>
      </c>
      <c r="C4796" s="1" t="s">
        <v>4096</v>
      </c>
      <c r="D4796" s="1" t="str">
        <f>IFERROR(__xludf.DUMMYFUNCTION("CONCATENATE(GOOGLETRANSLATE(C4796, ""en"", ""zh-cn""))"),"Urban Outfitters Bri 双蝴蝶结缎面迷你连衣裙")</f>
        <v>Urban Outfitters Bri 双蝴蝶结缎面迷你连衣裙</v>
      </c>
      <c r="E4796" s="1" t="str">
        <f>IFERROR(__xludf.DUMMYFUNCTION("CONCATENATE(GOOGLETRANSLATE(C4796, ""en"", ""ko""))"),"Urban Outfitters 브리 더블 보우 새틴 미니 드레스")</f>
        <v>Urban Outfitters 브리 더블 보우 새틴 미니 드레스</v>
      </c>
      <c r="F4796" s="1" t="str">
        <f>IFERROR(__xludf.DUMMYFUNCTION("CONCATENATE(GOOGLETRANSLATE(C4796, ""en"", ""ja""))"),"アーバン アウトフィッターズ ブライ ダブル リボン サテン ミニ ドレス")</f>
        <v>アーバン アウトフィッターズ ブライ ダブル リボン サテン ミニ ドレス</v>
      </c>
    </row>
    <row r="4797" ht="15.75" customHeight="1">
      <c r="A4797" s="1">
        <v>5693.0</v>
      </c>
      <c r="B4797" s="1" t="s">
        <v>15</v>
      </c>
      <c r="C4797" s="1" t="s">
        <v>4097</v>
      </c>
      <c r="D4797" s="1" t="str">
        <f>IFERROR(__xludf.DUMMYFUNCTION("CONCATENATE(GOOGLETRANSLATE(C4797, ""en"", ""zh-cn""))"),"INC International Concepts 女式金属色褶皱中长连衣裙")</f>
        <v>INC International Concepts 女式金属色褶皱中长连衣裙</v>
      </c>
      <c r="E4797" s="1" t="str">
        <f>IFERROR(__xludf.DUMMYFUNCTION("CONCATENATE(GOOGLETRANSLATE(C4797, ""en"", ""ko""))"),"INC International Concepts 여성 메탈릭 플리츠 미디 드레스")</f>
        <v>INC International Concepts 여성 메탈릭 플리츠 미디 드레스</v>
      </c>
      <c r="F4797" s="1" t="str">
        <f>IFERROR(__xludf.DUMMYFUNCTION("CONCATENATE(GOOGLETRANSLATE(C4797, ""en"", ""ja""))"),"INC International Concepts レディース メタリック プリーツ ミディ ドレス")</f>
        <v>INC International Concepts レディース メタリック プリーツ ミディ ドレス</v>
      </c>
    </row>
    <row r="4798" ht="15.75" customHeight="1">
      <c r="A4798" s="1">
        <v>5703.0</v>
      </c>
      <c r="B4798" s="1" t="s">
        <v>15</v>
      </c>
      <c r="C4798" s="1" t="s">
        <v>4098</v>
      </c>
      <c r="D4798" s="1" t="str">
        <f>IFERROR(__xludf.DUMMYFUNCTION("CONCATENATE(GOOGLETRANSLATE(C4798, ""en"", ""zh-cn""))"),"Ivy City 女式珠宝连衣裙")</f>
        <v>Ivy City 女式珠宝连衣裙</v>
      </c>
      <c r="E4798" s="1" t="str">
        <f>IFERROR(__xludf.DUMMYFUNCTION("CONCATENATE(GOOGLETRANSLATE(C4798, ""en"", ""ko""))"),"Ivy City 여성 쥬얼리 드레스")</f>
        <v>Ivy City 여성 쥬얼리 드레스</v>
      </c>
      <c r="F4798" s="1" t="str">
        <f>IFERROR(__xludf.DUMMYFUNCTION("CONCATENATE(GOOGLETRANSLATE(C4798, ""en"", ""ja""))"),"Ivy City レディース 宝石付きドレス")</f>
        <v>Ivy City レディース 宝石付きドレス</v>
      </c>
    </row>
    <row r="4799" ht="15.75" customHeight="1">
      <c r="A4799" s="1">
        <v>5712.0</v>
      </c>
      <c r="B4799" s="1" t="s">
        <v>15</v>
      </c>
      <c r="C4799" s="1" t="s">
        <v>4099</v>
      </c>
      <c r="D4799" s="1" t="str">
        <f>IFERROR(__xludf.DUMMYFUNCTION("CONCATENATE(GOOGLETRANSLATE(C4799, ""en"", ""zh-cn""))"),"LightInTheBox 女式透气印花衬衫裤纽扣")</f>
        <v>LightInTheBox 女式透气印花衬衫裤纽扣</v>
      </c>
      <c r="E4799" s="1" t="str">
        <f>IFERROR(__xludf.DUMMYFUNCTION("CONCATENATE(GOOGLETRANSLATE(C4799, ""en"", ""ko""))"),"LightInTheBox 여성용 통기성 프린트 셔츠 바지 단추")</f>
        <v>LightInTheBox 여성용 통기성 프린트 셔츠 바지 단추</v>
      </c>
      <c r="F4799" s="1" t="str">
        <f>IFERROR(__xludf.DUMMYFUNCTION("CONCATENATE(GOOGLETRANSLATE(C4799, ""en"", ""ja""))"),"LightInTheBox レディース 通気性プリント シャツ パンツ ボタン")</f>
        <v>LightInTheBox レディース 通気性プリント シャツ パンツ ボタン</v>
      </c>
    </row>
    <row r="4800" ht="15.75" customHeight="1">
      <c r="A4800" s="1">
        <v>5719.0</v>
      </c>
      <c r="B4800" s="1" t="s">
        <v>15</v>
      </c>
      <c r="C4800" s="1" t="s">
        <v>4100</v>
      </c>
      <c r="D4800" s="1" t="str">
        <f>IFERROR(__xludf.DUMMYFUNCTION("CONCATENATE(GOOGLETRANSLATE(C4800, ""en"", ""zh-cn""))"),"COOFANDY 男士修身长袖正装衬衫")</f>
        <v>COOFANDY 男士修身长袖正装衬衫</v>
      </c>
      <c r="E4800" s="1" t="str">
        <f>IFERROR(__xludf.DUMMYFUNCTION("CONCATENATE(GOOGLETRANSLATE(C4800, ""en"", ""ko""))"),"COOFANDY 남성 슬림핏 긴팔 드레스 셔츠")</f>
        <v>COOFANDY 남성 슬림핏 긴팔 드레스 셔츠</v>
      </c>
      <c r="F4800" s="1" t="str">
        <f>IFERROR(__xludf.DUMMYFUNCTION("CONCATENATE(GOOGLETRANSLATE(C4800, ""en"", ""ja""))"),"COOFANDY メンズ スリムフィット長袖ドレスシャツ")</f>
        <v>COOFANDY メンズ スリムフィット長袖ドレスシャツ</v>
      </c>
    </row>
    <row r="4801" ht="15.75" customHeight="1">
      <c r="A4801" s="1">
        <v>5723.0</v>
      </c>
      <c r="B4801" s="1" t="s">
        <v>15</v>
      </c>
      <c r="C4801" s="1" t="s">
        <v>4101</v>
      </c>
      <c r="D4801" s="1" t="str">
        <f>IFERROR(__xludf.DUMMYFUNCTION("CONCATENATE(GOOGLETRANSLATE(C4801, ""en"", ""zh-cn""))"),"Mania 男士时尚套装下装")</f>
        <v>Mania 男士时尚套装下装</v>
      </c>
      <c r="E4801" s="1" t="str">
        <f>IFERROR(__xludf.DUMMYFUNCTION("CONCATENATE(GOOGLETRANSLATE(C4801, ""en"", ""ko""))"),"매니아 남성 패션 세트 하의")</f>
        <v>매니아 남성 패션 세트 하의</v>
      </c>
      <c r="F4801" s="1" t="str">
        <f>IFERROR(__xludf.DUMMYFUNCTION("CONCATENATE(GOOGLETRANSLATE(C4801, ""en"", ""ja""))"),"マニアメンズファッションセットボトムス")</f>
        <v>マニアメンズファッションセットボトムス</v>
      </c>
    </row>
    <row r="4802" ht="15.75" customHeight="1">
      <c r="A4802" s="1">
        <v>5742.0</v>
      </c>
      <c r="B4802" s="1" t="s">
        <v>15</v>
      </c>
      <c r="C4802" s="1" t="s">
        <v>4102</v>
      </c>
      <c r="D4802" s="1" t="str">
        <f>IFERROR(__xludf.DUMMYFUNCTION("CONCATENATE(GOOGLETRANSLATE(C4802, ""en"", ""zh-cn""))"),"Bonobos 男士弹力日常休闲衬衫")</f>
        <v>Bonobos 男士弹力日常休闲衬衫</v>
      </c>
      <c r="E4802" s="1" t="str">
        <f>IFERROR(__xludf.DUMMYFUNCTION("CONCATENATE(GOOGLETRANSLATE(C4802, ""en"", ""ko""))"),"Bonobos 남성용 스트레치 에브리데이 캐주얼 셔츠")</f>
        <v>Bonobos 남성용 스트레치 에브리데이 캐주얼 셔츠</v>
      </c>
      <c r="F4802" s="1" t="str">
        <f>IFERROR(__xludf.DUMMYFUNCTION("CONCATENATE(GOOGLETRANSLATE(C4802, ""en"", ""ja""))"),"Bonobos メンズ ストレッチ エブリデイ カジュアル シャツ")</f>
        <v>Bonobos メンズ ストレッチ エブリデイ カジュアル シャツ</v>
      </c>
    </row>
    <row r="4803" ht="15.75" customHeight="1">
      <c r="A4803" s="1">
        <v>5744.0</v>
      </c>
      <c r="B4803" s="1" t="s">
        <v>15</v>
      </c>
      <c r="C4803" s="1" t="s">
        <v>4103</v>
      </c>
      <c r="D4803" s="1" t="str">
        <f>IFERROR(__xludf.DUMMYFUNCTION("CONCATENATE(GOOGLETRANSLATE(C4803, ""en"", ""zh-cn""))"),"男士优雅时尚西装")</f>
        <v>男士优雅时尚西装</v>
      </c>
      <c r="E4803" s="1" t="str">
        <f>IFERROR(__xludf.DUMMYFUNCTION("CONCATENATE(GOOGLETRANSLATE(C4803, ""en"", ""ko""))"),"남자의 우아한 패션 정장")</f>
        <v>남자의 우아한 패션 정장</v>
      </c>
      <c r="F4803" s="1" t="str">
        <f>IFERROR(__xludf.DUMMYFUNCTION("CONCATENATE(GOOGLETRANSLATE(C4803, ""en"", ""ja""))"),"メンズのエレガントなファッションスーツ")</f>
        <v>メンズのエレガントなファッションスーツ</v>
      </c>
    </row>
    <row r="4804" ht="15.75" customHeight="1">
      <c r="A4804" s="1">
        <v>5748.0</v>
      </c>
      <c r="B4804" s="1" t="s">
        <v>15</v>
      </c>
      <c r="C4804" s="1" t="s">
        <v>4104</v>
      </c>
      <c r="D4804" s="1" t="str">
        <f>IFERROR(__xludf.DUMMYFUNCTION("CONCATENATE(GOOGLETRANSLATE(C4804, ""en"", ""zh-cn""))"),"男士休闲修身长袖正装衬衫")</f>
        <v>男士休闲修身长袖正装衬衫</v>
      </c>
      <c r="E4804" s="1" t="str">
        <f>IFERROR(__xludf.DUMMYFUNCTION("CONCATENATE(GOOGLETRANSLATE(C4804, ""en"", ""ko""))"),"남성 캐주얼 슬림핏 긴팔 드레스 셔츠")</f>
        <v>남성 캐주얼 슬림핏 긴팔 드레스 셔츠</v>
      </c>
      <c r="F4804" s="1" t="str">
        <f>IFERROR(__xludf.DUMMYFUNCTION("CONCATENATE(GOOGLETRANSLATE(C4804, ""en"", ""ja""))"),"メンズカジュアルスリムフィット長袖ドレスシャツ")</f>
        <v>メンズカジュアルスリムフィット長袖ドレスシャツ</v>
      </c>
    </row>
    <row r="4805" ht="15.75" customHeight="1">
      <c r="A4805" s="1">
        <v>5768.0</v>
      </c>
      <c r="B4805" s="1" t="s">
        <v>15</v>
      </c>
      <c r="C4805" s="1" t="s">
        <v>4105</v>
      </c>
      <c r="D4805" s="1" t="str">
        <f>IFERROR(__xludf.DUMMYFUNCTION("CONCATENATE(GOOGLETRANSLATE(C4805, ""en"", ""zh-cn""))"),"Besign LS03 铝制笔记本电脑支架")</f>
        <v>Besign LS03 铝制笔记本电脑支架</v>
      </c>
      <c r="E4805" s="1" t="str">
        <f>IFERROR(__xludf.DUMMYFUNCTION("CONCATENATE(GOOGLETRANSLATE(C4805, ""en"", ""ko""))"),"Besign LS03 알루미늄 노트북 스탠드")</f>
        <v>Besign LS03 알루미늄 노트북 스탠드</v>
      </c>
      <c r="F4805" s="1" t="str">
        <f>IFERROR(__xludf.DUMMYFUNCTION("CONCATENATE(GOOGLETRANSLATE(C4805, ""en"", ""ja""))"),"Besign LS03 アルミニウム ラップトップ スタンド")</f>
        <v>Besign LS03 アルミニウム ラップトップ スタンド</v>
      </c>
    </row>
    <row r="4806" ht="15.75" customHeight="1">
      <c r="A4806" s="1">
        <v>5788.0</v>
      </c>
      <c r="B4806" s="1" t="s">
        <v>15</v>
      </c>
      <c r="C4806" s="1" t="s">
        <v>4106</v>
      </c>
      <c r="D4806" s="1" t="str">
        <f>IFERROR(__xludf.DUMMYFUNCTION("CONCATENATE(GOOGLETRANSLATE(C4806, ""en"", ""zh-cn""))"),"NZXT H6 Flow 中塔式机箱")</f>
        <v>NZXT H6 Flow 中塔式机箱</v>
      </c>
      <c r="E4806" s="1" t="str">
        <f>IFERROR(__xludf.DUMMYFUNCTION("CONCATENATE(GOOGLETRANSLATE(C4806, ""en"", ""ko""))"),"NZXT H6 Flow 미드 타워 케이스")</f>
        <v>NZXT H6 Flow 미드 타워 케이스</v>
      </c>
      <c r="F4806" s="1" t="str">
        <f>IFERROR(__xludf.DUMMYFUNCTION("CONCATENATE(GOOGLETRANSLATE(C4806, ""en"", ""ja""))"),"NZXT H6 フロー ミッドタワー ケース")</f>
        <v>NZXT H6 フロー ミッドタワー ケース</v>
      </c>
    </row>
    <row r="4807" ht="15.75" customHeight="1">
      <c r="A4807" s="1">
        <v>5789.0</v>
      </c>
      <c r="B4807" s="1" t="s">
        <v>15</v>
      </c>
      <c r="C4807" s="1" t="s">
        <v>4107</v>
      </c>
      <c r="D4807" s="1" t="str">
        <f>IFERROR(__xludf.DUMMYFUNCTION("CONCATENATE(GOOGLETRANSLATE(C4807, ""en"", ""zh-cn""))"),"联想 ThinkPad 通用 USB-C 扩展坞")</f>
        <v>联想 ThinkPad 通用 USB-C 扩展坞</v>
      </c>
      <c r="E4807" s="1" t="str">
        <f>IFERROR(__xludf.DUMMYFUNCTION("CONCATENATE(GOOGLETRANSLATE(C4807, ""en"", ""ko""))"),"Lenovo ThinkPad 범용 USB-C 독")</f>
        <v>Lenovo ThinkPad 범용 USB-C 독</v>
      </c>
      <c r="F4807" s="1" t="str">
        <f>IFERROR(__xludf.DUMMYFUNCTION("CONCATENATE(GOOGLETRANSLATE(C4807, ""en"", ""ja""))"),"Lenovo ThinkPad ユニバーサル USB-C ドック")</f>
        <v>Lenovo ThinkPad ユニバーサル USB-C ドック</v>
      </c>
    </row>
    <row r="4808" ht="15.75" customHeight="1">
      <c r="A4808" s="1">
        <v>5792.0</v>
      </c>
      <c r="B4808" s="1" t="s">
        <v>15</v>
      </c>
      <c r="C4808" s="1" t="s">
        <v>4108</v>
      </c>
      <c r="D4808" s="1" t="str">
        <f>IFERROR(__xludf.DUMMYFUNCTION("CONCATENATE(GOOGLETRANSLATE(C4808, ""en"", ""zh-cn""))"),"HP Envy 台式机 TE01-5000t")</f>
        <v>HP Envy 台式机 TE01-5000t</v>
      </c>
      <c r="E4808" s="1" t="str">
        <f>IFERROR(__xludf.DUMMYFUNCTION("CONCATENATE(GOOGLETRANSLATE(C4808, ""en"", ""ko""))"),"HP Envy 데스크탑 TE01-5000t")</f>
        <v>HP Envy 데스크탑 TE01-5000t</v>
      </c>
      <c r="F4808" s="1" t="str">
        <f>IFERROR(__xludf.DUMMYFUNCTION("CONCATENATE(GOOGLETRANSLATE(C4808, ""en"", ""ja""))"),"HP Envy デスクトップ TE01-5000t")</f>
        <v>HP Envy デスクトップ TE01-5000t</v>
      </c>
    </row>
    <row r="4809" ht="15.75" customHeight="1">
      <c r="A4809" s="1">
        <v>5811.0</v>
      </c>
      <c r="B4809" s="1" t="s">
        <v>15</v>
      </c>
      <c r="C4809" s="1" t="s">
        <v>4109</v>
      </c>
      <c r="D4809" s="1" t="str">
        <f>IFERROR(__xludf.DUMMYFUNCTION("CONCATENATE(GOOGLETRANSLATE(C4809, ""en"", ""zh-cn""))"),"MD Sports 4 件乒乓球桌")</f>
        <v>MD Sports 4 件乒乓球桌</v>
      </c>
      <c r="E4809" s="1" t="str">
        <f>IFERROR(__xludf.DUMMYFUNCTION("CONCATENATE(GOOGLETRANSLATE(C4809, ""en"", ""ko""))"),"MD 스포츠 4피스 탁구대")</f>
        <v>MD 스포츠 4피스 탁구대</v>
      </c>
      <c r="F4809" s="1" t="str">
        <f>IFERROR(__xludf.DUMMYFUNCTION("CONCATENATE(GOOGLETRANSLATE(C4809, ""en"", ""ja""))"),"MD スポーツ 4 ピース卓球台")</f>
        <v>MD スポーツ 4 ピース卓球台</v>
      </c>
    </row>
    <row r="4810" ht="15.75" customHeight="1">
      <c r="A4810" s="1">
        <v>5823.0</v>
      </c>
      <c r="B4810" s="1" t="s">
        <v>15</v>
      </c>
      <c r="C4810" s="1" t="s">
        <v>4110</v>
      </c>
      <c r="D4810" s="1" t="str">
        <f>IFERROR(__xludf.DUMMYFUNCTION("CONCATENATE(GOOGLETRANSLATE(C4810, ""en"", ""zh-cn""))"),"极限竞速比赛足球进球")</f>
        <v>极限竞速比赛足球进球</v>
      </c>
      <c r="E4810" s="1" t="str">
        <f>IFERROR(__xludf.DUMMYFUNCTION("CONCATENATE(GOOGLETRANSLATE(C4810, ""en"", ""ko""))"),"Forza 매치 축구 목표")</f>
        <v>Forza 매치 축구 목표</v>
      </c>
      <c r="F4810" s="1" t="str">
        <f>IFERROR(__xludf.DUMMYFUNCTION("CONCATENATE(GOOGLETRANSLATE(C4810, ""en"", ""ja""))"),"Forza Match サッカー ゴール")</f>
        <v>Forza Match サッカー ゴール</v>
      </c>
    </row>
    <row r="4811" ht="15.75" customHeight="1">
      <c r="A4811" s="1">
        <v>5826.0</v>
      </c>
      <c r="B4811" s="1" t="s">
        <v>15</v>
      </c>
      <c r="C4811" s="1" t="s">
        <v>4111</v>
      </c>
      <c r="D4811" s="1" t="str">
        <f>IFERROR(__xludf.DUMMYFUNCTION("CONCATENATE(GOOGLETRANSLATE(C4811, ""en"", ""zh-cn""))"),"后院球捆绑专业版")</f>
        <v>后院球捆绑专业版</v>
      </c>
      <c r="E4811" s="1" t="str">
        <f>IFERROR(__xludf.DUMMYFUNCTION("CONCATENATE(GOOGLETRANSLATE(C4811, ""en"", ""ko""))"),"뒷마당 볼 번들 프로")</f>
        <v>뒷마당 볼 번들 프로</v>
      </c>
      <c r="F4811" s="1" t="str">
        <f>IFERROR(__xludf.DUMMYFUNCTION("CONCATENATE(GOOGLETRANSLATE(C4811, ""en"", ""ja""))"),"バックヤード ボール バンドル プロ")</f>
        <v>バックヤード ボール バンドル プロ</v>
      </c>
    </row>
    <row r="4812" ht="15.75" customHeight="1">
      <c r="A4812" s="1">
        <v>5827.0</v>
      </c>
      <c r="B4812" s="1" t="s">
        <v>15</v>
      </c>
      <c r="C4812" s="1" t="s">
        <v>4112</v>
      </c>
      <c r="D4812" s="1" t="str">
        <f>IFERROR(__xludf.DUMMYFUNCTION("CONCATENATE(GOOGLETRANSLATE(C4812, ""en"", ""zh-cn""))"),"学院运动 + 户外简易遮阳 10 英尺 x 10 英尺斜腿顶篷黄色 - 顶篷/车位")</f>
        <v>学院运动 + 户外简易遮阳 10 英尺 x 10 英尺斜腿顶篷黄色 - 顶篷/车位</v>
      </c>
      <c r="E4812" s="1" t="str">
        <f>IFERROR(__xludf.DUMMYFUNCTION("CONCATENATE(GOOGLETRANSLATE(C4812, ""en"", ""ko""))"),"아카데미 스포츠 + 야외용 Easy Shade 10피트 x 10피트 경사 다리 캐노피 노란색 - 캐노피/자동차 포트")</f>
        <v>아카데미 스포츠 + 야외용 Easy Shade 10피트 x 10피트 경사 다리 캐노피 노란색 - 캐노피/자동차 포트</v>
      </c>
      <c r="F4812" s="1" t="str">
        <f>IFERROR(__xludf.DUMMYFUNCTION("CONCATENATE(GOOGLETRANSLATE(C4812, ""en"", ""ja""))"),"アカデミー スポーツ + アウトドア イージー シェード 10 フィート x 10 フィート スラント レッグ キャノピー イエロー - キャノピー/カーポート")</f>
        <v>アカデミー スポーツ + アウトドア イージー シェード 10 フィート x 10 フィート スラント レッグ キャノピー イエロー - キャノピー/カーポート</v>
      </c>
    </row>
    <row r="4813" ht="15.75" customHeight="1">
      <c r="A4813" s="1">
        <v>5828.0</v>
      </c>
      <c r="B4813" s="1" t="s">
        <v>15</v>
      </c>
      <c r="C4813" s="1" t="s">
        <v>4113</v>
      </c>
      <c r="D4813" s="1" t="str">
        <f>IFERROR(__xludf.DUMMYFUNCTION("CONCATENATE(GOOGLETRANSLATE(C4813, ""en"", ""zh-cn""))"),"狂野运动尾门抛掷")</f>
        <v>狂野运动尾门抛掷</v>
      </c>
      <c r="E4813" s="1" t="str">
        <f>IFERROR(__xludf.DUMMYFUNCTION("CONCATENATE(GOOGLETRANSLATE(C4813, ""en"", ""ko""))"),"와일드 스포츠 테일게이트 던지기")</f>
        <v>와일드 스포츠 테일게이트 던지기</v>
      </c>
      <c r="F4813" s="1" t="str">
        <f>IFERROR(__xludf.DUMMYFUNCTION("CONCATENATE(GOOGLETRANSLATE(C4813, ""en"", ""ja""))"),"ワイルド スポーツ テールゲート トス")</f>
        <v>ワイルド スポーツ テールゲート トス</v>
      </c>
    </row>
    <row r="4814" ht="15.75" customHeight="1">
      <c r="A4814" s="1">
        <v>5834.0</v>
      </c>
      <c r="B4814" s="1" t="s">
        <v>15</v>
      </c>
      <c r="C4814" s="1" t="s">
        <v>4114</v>
      </c>
      <c r="D4814" s="1" t="str">
        <f>IFERROR(__xludf.DUMMYFUNCTION("CONCATENATE(GOOGLETRANSLATE(C4814, ""en"", ""zh-cn""))"),"Fossil 女式 Raquel 双色不锈钢手表 es5368")</f>
        <v>Fossil 女式 Raquel 双色不锈钢手表 es5368</v>
      </c>
      <c r="E4814" s="1" t="str">
        <f>IFERROR(__xludf.DUMMYFUNCTION("CONCATENATE(GOOGLETRANSLATE(C4814, ""en"", ""ko""))"),"화석 여성용 라켈 투톤 스테인리스 스틸 시계 es5368")</f>
        <v>화석 여성용 라켈 투톤 스테인리스 스틸 시계 es5368</v>
      </c>
      <c r="F4814" s="1" t="str">
        <f>IFERROR(__xludf.DUMMYFUNCTION("CONCATENATE(GOOGLETRANSLATE(C4814, ""en"", ""ja""))"),"Fossil レディース Raquel ツートーン ステンレススチール ウォッチ es5368")</f>
        <v>Fossil レディース Raquel ツートーン ステンレススチール ウォッチ es5368</v>
      </c>
    </row>
    <row r="4815" ht="15.75" customHeight="1">
      <c r="A4815" s="1">
        <v>5844.0</v>
      </c>
      <c r="B4815" s="1" t="s">
        <v>15</v>
      </c>
      <c r="C4815" s="1" t="s">
        <v>4115</v>
      </c>
      <c r="D4815" s="1" t="str">
        <f>IFERROR(__xludf.DUMMYFUNCTION("CONCATENATE(GOOGLETRANSLATE(C4815, ""en"", ""zh-cn""))"),"卡地亚 Panthere de Cartier 女士腕表")</f>
        <v>卡地亚 Panthere de Cartier 女士腕表</v>
      </c>
      <c r="E4815" s="1" t="str">
        <f>IFERROR(__xludf.DUMMYFUNCTION("CONCATENATE(GOOGLETRANSLATE(C4815, ""en"", ""ko""))"),"까르띠에 여성용 팬더 드 까르띠에 시계")</f>
        <v>까르띠에 여성용 팬더 드 까르띠에 시계</v>
      </c>
      <c r="F4815" s="1" t="str">
        <f>IFERROR(__xludf.DUMMYFUNCTION("CONCATENATE(GOOGLETRANSLATE(C4815, ""en"", ""ja""))"),"カルティエ レディース パンテール ドゥ カルティエ ウォッチ")</f>
        <v>カルティエ レディース パンテール ドゥ カルティエ ウォッチ</v>
      </c>
    </row>
    <row r="4816" ht="15.75" customHeight="1">
      <c r="A4816" s="1">
        <v>5850.0</v>
      </c>
      <c r="B4816" s="1" t="s">
        <v>15</v>
      </c>
      <c r="C4816" s="1" t="s">
        <v>4116</v>
      </c>
      <c r="D4816" s="1" t="str">
        <f>IFERROR(__xludf.DUMMYFUNCTION("CONCATENATE(GOOGLETRANSLATE(C4816, ""en"", ""zh-cn""))"),"Shinola 熔岩湖怪物手表")</f>
        <v>Shinola 熔岩湖怪物手表</v>
      </c>
      <c r="E4816" s="1" t="str">
        <f>IFERROR(__xludf.DUMMYFUNCTION("CONCATENATE(GOOGLETRANSLATE(C4816, ""en"", ""ko""))"),"시놀라 용암 호수 몬스터 워치")</f>
        <v>시놀라 용암 호수 몬스터 워치</v>
      </c>
      <c r="F4816" s="1" t="str">
        <f>IFERROR(__xludf.DUMMYFUNCTION("CONCATENATE(GOOGLETRANSLATE(C4816, ""en"", ""ja""))"),"シノーラ溶岩湖のモンスターウォッチ")</f>
        <v>シノーラ溶岩湖のモンスターウォッチ</v>
      </c>
    </row>
    <row r="4817" ht="15.75" customHeight="1">
      <c r="A4817" s="1">
        <v>5852.0</v>
      </c>
      <c r="B4817" s="1" t="s">
        <v>15</v>
      </c>
      <c r="C4817" s="1" t="s">
        <v>4117</v>
      </c>
      <c r="D4817" s="1" t="str">
        <f>IFERROR(__xludf.DUMMYFUNCTION("CONCATENATE(GOOGLETRANSLATE(C4817, ""en"", ""zh-cn""))"),"Waldor &amp; Co. CO.Chrono 39 Sardinia 精工手表")</f>
        <v>Waldor &amp; Co. CO.Chrono 39 Sardinia 精工手表</v>
      </c>
      <c r="E4817" s="1" t="str">
        <f>IFERROR(__xludf.DUMMYFUNCTION("CONCATENATE(GOOGLETRANSLATE(C4817, ""en"", ""ko""))"),"Waldor &amp; Co. CO.Chrono 39 Sardinia 세이코 시계")</f>
        <v>Waldor &amp; Co. CO.Chrono 39 Sardinia 세이코 시계</v>
      </c>
      <c r="F4817" s="1" t="str">
        <f>IFERROR(__xludf.DUMMYFUNCTION("CONCATENATE(GOOGLETRANSLATE(C4817, ""en"", ""ja""))"),"Waldor &amp; Co. CO.クロノ 39 サルデーニャ セイコー 時計")</f>
        <v>Waldor &amp; Co. CO.クロノ 39 サルデーニャ セイコー 時計</v>
      </c>
    </row>
    <row r="4818" ht="15.75" customHeight="1">
      <c r="A4818" s="1">
        <v>5856.0</v>
      </c>
      <c r="B4818" s="1" t="s">
        <v>15</v>
      </c>
      <c r="C4818" s="1" t="s">
        <v>4118</v>
      </c>
      <c r="D4818" s="1" t="str">
        <f>IFERROR(__xludf.DUMMYFUNCTION("CONCATENATE(GOOGLETRANSLATE(C4818, ""en"", ""zh-cn""))"),"欧米茄海马潜水员 300M 自动男士手表")</f>
        <v>欧米茄海马潜水员 300M 自动男士手表</v>
      </c>
      <c r="E4818" s="1" t="str">
        <f>IFERROR(__xludf.DUMMYFUNCTION("CONCATENATE(GOOGLETRANSLATE(C4818, ""en"", ""ko""))"),"오메가 씨마스터 다이버 300M 자동 남성용 시계")</f>
        <v>오메가 씨마스터 다이버 300M 자동 남성용 시계</v>
      </c>
      <c r="F4818" s="1" t="str">
        <f>IFERROR(__xludf.DUMMYFUNCTION("CONCATENATE(GOOGLETRANSLATE(C4818, ""en"", ""ja""))"),"オメガ シーマスター ダイバー 300M 自動巻きメンズ腕時計")</f>
        <v>オメガ シーマスター ダイバー 300M 自動巻きメンズ腕時計</v>
      </c>
    </row>
    <row r="4819" ht="15.75" customHeight="1">
      <c r="A4819" s="1">
        <v>5861.0</v>
      </c>
      <c r="B4819" s="1" t="s">
        <v>15</v>
      </c>
      <c r="C4819" s="1" t="s">
        <v>4119</v>
      </c>
      <c r="D4819" s="1" t="str">
        <f>IFERROR(__xludf.DUMMYFUNCTION("CONCATENATE(GOOGLETRANSLATE(C4819, ""en"", ""zh-cn""))"),"Tiffany Hardwear 纯银和钢钻石边框")</f>
        <v>Tiffany Hardwear 纯银和钢钻石边框</v>
      </c>
      <c r="E4819" s="1" t="str">
        <f>IFERROR(__xludf.DUMMYFUNCTION("CONCATENATE(GOOGLETRANSLATE(C4819, ""en"", ""ko""))"),"Tiffany Hardwear 스털링 실버 및 스틸 다이아몬드 베젤")</f>
        <v>Tiffany Hardwear 스털링 실버 및 스틸 다이아몬드 베젤</v>
      </c>
      <c r="F4819" s="1" t="str">
        <f>IFERROR(__xludf.DUMMYFUNCTION("CONCATENATE(GOOGLETRANSLATE(C4819, ""en"", ""ja""))"),"ティファニー ハードウェア スターリングシルバーとスチール ダイヤモンド ベゼル")</f>
        <v>ティファニー ハードウェア スターリングシルバーとスチール ダイヤモンド ベゼル</v>
      </c>
    </row>
    <row r="4820" ht="15.75" customHeight="1">
      <c r="A4820" s="1">
        <v>5870.0</v>
      </c>
      <c r="B4820" s="1" t="s">
        <v>15</v>
      </c>
      <c r="C4820" s="1" t="s">
        <v>4120</v>
      </c>
      <c r="D4820" s="1" t="str">
        <f>IFERROR(__xludf.DUMMYFUNCTION("CONCATENATE(GOOGLETRANSLATE(C4820, ""en"", ""zh-cn""))"),"Urban Outfitters 水钻双心链手表")</f>
        <v>Urban Outfitters 水钻双心链手表</v>
      </c>
      <c r="E4820" s="1" t="str">
        <f>IFERROR(__xludf.DUMMYFUNCTION("CONCATENATE(GOOGLETRANSLATE(C4820, ""en"", ""ko""))"),"Urban Outfitters 라인스톤 더블 하트 체인 시계")</f>
        <v>Urban Outfitters 라인스톤 더블 하트 체인 시계</v>
      </c>
      <c r="F4820" s="1" t="str">
        <f>IFERROR(__xludf.DUMMYFUNCTION("CONCATENATE(GOOGLETRANSLATE(C4820, ""en"", ""ja""))"),"アーバン アウトフィッターズ ラインストーン ダブル ハート チェーン ウォッチ")</f>
        <v>アーバン アウトフィッターズ ラインストーン ダブル ハート チェーン ウォッチ</v>
      </c>
    </row>
    <row r="4821" ht="15.75" customHeight="1">
      <c r="A4821" s="1">
        <v>5878.0</v>
      </c>
      <c r="B4821" s="1" t="s">
        <v>15</v>
      </c>
      <c r="C4821" s="1" t="s">
        <v>4121</v>
      </c>
      <c r="D4821" s="1" t="str">
        <f>IFERROR(__xludf.DUMMYFUNCTION("CONCATENATE(GOOGLETRANSLATE(C4821, ""en"", ""zh-cn""))"),"Lamicall 手机支架")</f>
        <v>Lamicall 手机支架</v>
      </c>
      <c r="E4821" s="1" t="str">
        <f>IFERROR(__xludf.DUMMYFUNCTION("CONCATENATE(GOOGLETRANSLATE(C4821, ""en"", ""ko""))"),"라미콜 휴대폰 거치대")</f>
        <v>라미콜 휴대폰 거치대</v>
      </c>
      <c r="F4821" s="1" t="str">
        <f>IFERROR(__xludf.DUMMYFUNCTION("CONCATENATE(GOOGLETRANSLATE(C4821, ""en"", ""ja""))"),"Lamicall電話スタンド")</f>
        <v>Lamicall電話スタンド</v>
      </c>
    </row>
    <row r="4822" ht="15.75" customHeight="1">
      <c r="A4822" s="1">
        <v>5884.0</v>
      </c>
      <c r="B4822" s="1" t="s">
        <v>15</v>
      </c>
      <c r="C4822" s="1" t="s">
        <v>4122</v>
      </c>
      <c r="D4822" s="1" t="str">
        <f>IFERROR(__xludf.DUMMYFUNCTION("CONCATENATE(GOOGLETRANSLATE(C4822, ""en"", ""zh-cn""))"),"苹果 20W USB-C 电源适配器")</f>
        <v>苹果 20W USB-C 电源适配器</v>
      </c>
      <c r="E4822" s="1" t="str">
        <f>IFERROR(__xludf.DUMMYFUNCTION("CONCATENATE(GOOGLETRANSLATE(C4822, ""en"", ""ko""))"),"Apple 20W USB-C 전원 어댑터")</f>
        <v>Apple 20W USB-C 전원 어댑터</v>
      </c>
      <c r="F4822" s="1" t="str">
        <f>IFERROR(__xludf.DUMMYFUNCTION("CONCATENATE(GOOGLETRANSLATE(C4822, ""en"", ""ja""))"),"Apple 20W USB-C 電源アダプタ")</f>
        <v>Apple 20W USB-C 電源アダプタ</v>
      </c>
    </row>
    <row r="4823" ht="15.75" customHeight="1">
      <c r="A4823" s="1">
        <v>5885.0</v>
      </c>
      <c r="B4823" s="1" t="s">
        <v>15</v>
      </c>
      <c r="C4823" s="1" t="s">
        <v>4123</v>
      </c>
      <c r="D4823" s="1" t="str">
        <f>IFERROR(__xludf.DUMMYFUNCTION("CONCATENATE(GOOGLETRANSLATE(C4823, ""en"", ""zh-cn""))"),"纳米手机支架套件")</f>
        <v>纳米手机支架套件</v>
      </c>
      <c r="E4823" s="1" t="str">
        <f>IFERROR(__xludf.DUMMYFUNCTION("CONCATENATE(GOOGLETRANSLATE(C4823, ""en"", ""ko""))"),"나노 폰 스탠드 키트")</f>
        <v>나노 폰 스탠드 키트</v>
      </c>
      <c r="F4823" s="1" t="str">
        <f>IFERROR(__xludf.DUMMYFUNCTION("CONCATENATE(GOOGLETRANSLATE(C4823, ""en"", ""ja""))"),"Nano フォン スタンド キット")</f>
        <v>Nano フォン スタンド キット</v>
      </c>
    </row>
    <row r="4824" ht="15.75" customHeight="1">
      <c r="A4824" s="1">
        <v>5890.0</v>
      </c>
      <c r="B4824" s="1" t="s">
        <v>15</v>
      </c>
      <c r="C4824" s="1" t="s">
        <v>4124</v>
      </c>
      <c r="D4824" s="1" t="str">
        <f>IFERROR(__xludf.DUMMYFUNCTION("CONCATENATE(GOOGLETRANSLATE(C4824, ""en"", ""zh-cn""))"),"Mous MagSafe 兼容黑色皮革手机壳")</f>
        <v>Mous MagSafe 兼容黑色皮革手机壳</v>
      </c>
      <c r="E4824" s="1" t="str">
        <f>IFERROR(__xludf.DUMMYFUNCTION("CONCATENATE(GOOGLETRANSLATE(C4824, ""en"", ""ko""))"),"Mous MagSafe 호환 블랙 가죽 휴대폰 케이스")</f>
        <v>Mous MagSafe 호환 블랙 가죽 휴대폰 케이스</v>
      </c>
      <c r="F4824" s="1" t="str">
        <f>IFERROR(__xludf.DUMMYFUNCTION("CONCATENATE(GOOGLETRANSLATE(C4824, ""en"", ""ja""))"),"Mous MagSafe 対応ブラックレザー電話ケース")</f>
        <v>Mous MagSafe 対応ブラックレザー電話ケース</v>
      </c>
    </row>
    <row r="4825" ht="15.75" customHeight="1">
      <c r="A4825" s="1">
        <v>5892.0</v>
      </c>
      <c r="B4825" s="1" t="s">
        <v>15</v>
      </c>
      <c r="C4825" s="1" t="s">
        <v>4125</v>
      </c>
      <c r="D4825" s="1" t="str">
        <f>IFERROR(__xludf.DUMMYFUNCTION("CONCATENATE(GOOGLETRANSLATE(C4825, ""en"", ""zh-cn""))"),"天鹅绒鱼子酱手机配件礼品套装")</f>
        <v>天鹅绒鱼子酱手机配件礼品套装</v>
      </c>
      <c r="E4825" s="1" t="str">
        <f>IFERROR(__xludf.DUMMYFUNCTION("CONCATENATE(GOOGLETRANSLATE(C4825, ""en"", ""ko""))"),"벨벳 캐비어 휴대폰 액세서리 선물 세트")</f>
        <v>벨벳 캐비어 휴대폰 액세서리 선물 세트</v>
      </c>
      <c r="F4825" s="1" t="str">
        <f>IFERROR(__xludf.DUMMYFUNCTION("CONCATENATE(GOOGLETRANSLATE(C4825, ""en"", ""ja""))"),"ベルベット キャビア 電話アクセサリー ギフトセット")</f>
        <v>ベルベット キャビア 電話アクセサリー ギフトセット</v>
      </c>
    </row>
    <row r="4826" ht="15.75" customHeight="1">
      <c r="A4826" s="1">
        <v>5900.0</v>
      </c>
      <c r="B4826" s="1" t="s">
        <v>15</v>
      </c>
      <c r="C4826" s="1" t="s">
        <v>4126</v>
      </c>
      <c r="D4826" s="1" t="str">
        <f>IFERROR(__xludf.DUMMYFUNCTION("CONCATENATE(GOOGLETRANSLATE(C4826, ""en"", ""zh-cn""))"),"四锁手机环/支架")</f>
        <v>四锁手机环/支架</v>
      </c>
      <c r="E4826" s="1" t="str">
        <f>IFERROR(__xludf.DUMMYFUNCTION("CONCATENATE(GOOGLETRANSLATE(C4826, ""en"", ""ko""))"),"쿼드락 휴대폰 링/스탠드")</f>
        <v>쿼드락 휴대폰 링/스탠드</v>
      </c>
      <c r="F4826" s="1" t="str">
        <f>IFERROR(__xludf.DUMMYFUNCTION("CONCATENATE(GOOGLETRANSLATE(C4826, ""en"", ""ja""))"),"クアッドロックフォンリング/スタンド")</f>
        <v>クアッドロックフォンリング/スタンド</v>
      </c>
    </row>
    <row r="4827" ht="15.75" customHeight="1">
      <c r="A4827" s="1">
        <v>5915.0</v>
      </c>
      <c r="B4827" s="1" t="s">
        <v>15</v>
      </c>
      <c r="C4827" s="1" t="s">
        <v>4127</v>
      </c>
      <c r="D4827" s="1" t="str">
        <f>IFERROR(__xludf.DUMMYFUNCTION("CONCATENATE(GOOGLETRANSLATE(C4827, ""en"", ""zh-cn""))"),"Big Chill 原创复古冰箱")</f>
        <v>Big Chill 原创复古冰箱</v>
      </c>
      <c r="E4827" s="1" t="str">
        <f>IFERROR(__xludf.DUMMYFUNCTION("CONCATENATE(GOOGLETRANSLATE(C4827, ""en"", ""ko""))"),"빅 칠 오리지널 레트로 냉장고")</f>
        <v>빅 칠 오리지널 레트로 냉장고</v>
      </c>
      <c r="F4827" s="1" t="str">
        <f>IFERROR(__xludf.DUMMYFUNCTION("CONCATENATE(GOOGLETRANSLATE(C4827, ""en"", ""ja""))"),"Big Chill オリジナル レトロ冷蔵庫")</f>
        <v>Big Chill オリジナル レトロ冷蔵庫</v>
      </c>
    </row>
    <row r="4828" ht="15.75" customHeight="1">
      <c r="A4828" s="1">
        <v>5932.0</v>
      </c>
      <c r="B4828" s="1" t="s">
        <v>15</v>
      </c>
      <c r="C4828" s="1" t="s">
        <v>4128</v>
      </c>
      <c r="D4828" s="1" t="str">
        <f>IFERROR(__xludf.DUMMYFUNCTION("CONCATENATE(GOOGLETRANSLATE(C4828, ""en"", ""zh-cn""))"),"漂亮的 14 杯可编程触摸屏咖啡机")</f>
        <v>漂亮的 14 杯可编程触摸屏咖啡机</v>
      </c>
      <c r="E4828" s="1" t="str">
        <f>IFERROR(__xludf.DUMMYFUNCTION("CONCATENATE(GOOGLETRANSLATE(C4828, ""en"", ""ko""))"),"아름다운 14컵 프로그래밍 가능 터치스크린 커피 메이커")</f>
        <v>아름다운 14컵 프로그래밍 가능 터치스크린 커피 메이커</v>
      </c>
      <c r="F4828" s="1" t="str">
        <f>IFERROR(__xludf.DUMMYFUNCTION("CONCATENATE(GOOGLETRANSLATE(C4828, ""en"", ""ja""))"),"美しい 14 カップのプログラム可能なタッチスクリーン コーヒー メーカー")</f>
        <v>美しい 14 カップのプログラム可能なタッチスクリーン コーヒー メーカー</v>
      </c>
    </row>
    <row r="4829" ht="15.75" customHeight="1">
      <c r="A4829" s="1">
        <v>5943.0</v>
      </c>
      <c r="B4829" s="1" t="s">
        <v>15</v>
      </c>
      <c r="C4829" s="1" t="s">
        <v>4129</v>
      </c>
      <c r="D4829" s="1" t="str">
        <f>IFERROR(__xludf.DUMMYFUNCTION("CONCATENATE(GOOGLETRANSLATE(C4829, ""en"", ""zh-cn""))"),"晨耀爱浮动货架")</f>
        <v>晨耀爱浮动货架</v>
      </c>
      <c r="E4829" s="1" t="str">
        <f>IFERROR(__xludf.DUMMYFUNCTION("CONCATENATE(GOOGLETRANSLATE(C4829, ""en"", ""ko""))"),"CHENYAOAI 플로팅 선반")</f>
        <v>CHENYAOAI 플로팅 선반</v>
      </c>
      <c r="F4829" s="1" t="str">
        <f>IFERROR(__xludf.DUMMYFUNCTION("CONCATENATE(GOOGLETRANSLATE(C4829, ""en"", ""ja""))"),"チェンヤオアイ フローティングシェルフ")</f>
        <v>チェンヤオアイ フローティングシェルフ</v>
      </c>
    </row>
    <row r="4830" ht="15.75" customHeight="1">
      <c r="A4830" s="1">
        <v>5947.0</v>
      </c>
      <c r="B4830" s="1" t="s">
        <v>15</v>
      </c>
      <c r="C4830" s="1" t="s">
        <v>4130</v>
      </c>
      <c r="D4830" s="1" t="str">
        <f>IFERROR(__xludf.DUMMYFUNCTION("CONCATENATE(GOOGLETRANSLATE(C4830, ""en"", ""zh-cn""))"),"徽章 1.7 铜。英尺。迷你冰箱")</f>
        <v>徽章 1.7 铜。英尺。迷你冰箱</v>
      </c>
      <c r="E4830" s="1" t="str">
        <f>IFERROR(__xludf.DUMMYFUNCTION("CONCATENATE(GOOGLETRANSLATE(C4830, ""en"", ""ko""))"),"휘장 1.7 Cu. 포트. 미니 냉장고")</f>
        <v>휘장 1.7 Cu. 포트. 미니 냉장고</v>
      </c>
      <c r="F4830" s="1" t="str">
        <f>IFERROR(__xludf.DUMMYFUNCTION("CONCATENATE(GOOGLETRANSLATE(C4830, ""en"", ""ja""))"),"記章 1.7 Cu。フォートミニ冷蔵庫")</f>
        <v>記章 1.7 Cu。フォートミニ冷蔵庫</v>
      </c>
    </row>
    <row r="4831" ht="15.75" customHeight="1">
      <c r="A4831" s="1">
        <v>5955.0</v>
      </c>
      <c r="B4831" s="1" t="s">
        <v>15</v>
      </c>
      <c r="C4831" s="1" t="s">
        <v>4131</v>
      </c>
      <c r="D4831" s="1" t="str">
        <f>IFERROR(__xludf.DUMMYFUNCTION("CONCATENATE(GOOGLETRANSLATE(C4831, ""en"", ""zh-cn""))"),"有意义的美丽防衰老护发系统")</f>
        <v>有意义的美丽防衰老护发系统</v>
      </c>
      <c r="E4831" s="1" t="str">
        <f>IFERROR(__xludf.DUMMYFUNCTION("CONCATENATE(GOOGLETRANSLATE(C4831, ""en"", ""ko""))"),"의미있는 아름다움 에이지프루프 헤어 케어 시스템")</f>
        <v>의미있는 아름다움 에이지프루프 헤어 케어 시스템</v>
      </c>
      <c r="F4831" s="1" t="str">
        <f>IFERROR(__xludf.DUMMYFUNCTION("CONCATENATE(GOOGLETRANSLATE(C4831, ""en"", ""ja""))"),"意味のある美しさのエイジプルーフ ヘアケア システム")</f>
        <v>意味のある美しさのエイジプルーフ ヘアケア システム</v>
      </c>
    </row>
    <row r="4832" ht="15.75" customHeight="1">
      <c r="A4832" s="1">
        <v>5974.0</v>
      </c>
      <c r="B4832" s="1" t="s">
        <v>15</v>
      </c>
      <c r="C4832" s="1" t="s">
        <v>4132</v>
      </c>
      <c r="D4832" s="1" t="str">
        <f>IFERROR(__xludf.DUMMYFUNCTION("CONCATENATE(GOOGLETRANSLATE(C4832, ""en"", ""zh-cn""))"),"NUTRAFOL 女士生发补充剂")</f>
        <v>NUTRAFOL 女士生发补充剂</v>
      </c>
      <c r="E4832" s="1" t="str">
        <f>IFERROR(__xludf.DUMMYFUNCTION("CONCATENATE(GOOGLETRANSLATE(C4832, ""en"", ""ko""))"),"NUTRAFOL 여성 모발 성장 보조제")</f>
        <v>NUTRAFOL 여성 모발 성장 보조제</v>
      </c>
      <c r="F4832" s="1" t="str">
        <f>IFERROR(__xludf.DUMMYFUNCTION("CONCATENATE(GOOGLETRANSLATE(C4832, ""en"", ""ja""))"),"NUTRAFOL 女性用育毛サプリメント")</f>
        <v>NUTRAFOL 女性用育毛サプリメント</v>
      </c>
    </row>
    <row r="4833" ht="15.75" customHeight="1">
      <c r="A4833" s="1">
        <v>5986.0</v>
      </c>
      <c r="B4833" s="1" t="s">
        <v>15</v>
      </c>
      <c r="C4833" s="1" t="s">
        <v>4133</v>
      </c>
      <c r="D4833" s="1" t="str">
        <f>IFERROR(__xludf.DUMMYFUNCTION("CONCATENATE(GOOGLETRANSLATE(C4833, ""en"", ""zh-cn""))"),"Purity Products MyBiotin 头发、皮肤和指甲配方")</f>
        <v>Purity Products MyBiotin 头发、皮肤和指甲配方</v>
      </c>
      <c r="E4833" s="1" t="str">
        <f>IFERROR(__xludf.DUMMYFUNCTION("CONCATENATE(GOOGLETRANSLATE(C4833, ""en"", ""ko""))"),"퓨리티 제품 마이비오틴 헤어, 스킨 &amp; 네일 포뮬러")</f>
        <v>퓨리티 제품 마이비오틴 헤어, 스킨 &amp; 네일 포뮬러</v>
      </c>
      <c r="F4833" s="1" t="str">
        <f>IFERROR(__xludf.DUMMYFUNCTION("CONCATENATE(GOOGLETRANSLATE(C4833, ""en"", ""ja""))"),"Purity Products MyBiotin 髪、肌、爪のフォーミュラ")</f>
        <v>Purity Products MyBiotin 髪、肌、爪のフォーミュラ</v>
      </c>
    </row>
    <row r="4834" ht="15.75" customHeight="1">
      <c r="A4834" s="1">
        <v>5991.0</v>
      </c>
      <c r="B4834" s="1" t="s">
        <v>15</v>
      </c>
      <c r="C4834" s="1" t="s">
        <v>4134</v>
      </c>
      <c r="D4834" s="1" t="str">
        <f>IFERROR(__xludf.DUMMYFUNCTION("CONCATENATE(GOOGLETRANSLATE(C4834, ""en"", ""zh-cn""))"),"ACT+ACRE 干细胞洗发水")</f>
        <v>ACT+ACRE 干细胞洗发水</v>
      </c>
      <c r="E4834" s="1" t="str">
        <f>IFERROR(__xludf.DUMMYFUNCTION("CONCATENATE(GOOGLETRANSLATE(C4834, ""en"", ""ko""))"),"ACT+ACRE 스템셀 샴푸")</f>
        <v>ACT+ACRE 스템셀 샴푸</v>
      </c>
      <c r="F4834" s="1" t="str">
        <f>IFERROR(__xludf.DUMMYFUNCTION("CONCATENATE(GOOGLETRANSLATE(C4834, ""en"", ""ja""))"),"ACT+ACRE ステムセル シャンプー")</f>
        <v>ACT+ACRE ステムセル シャンプー</v>
      </c>
    </row>
    <row r="4835" ht="15.75" customHeight="1">
      <c r="A4835" s="1">
        <v>5997.0</v>
      </c>
      <c r="B4835" s="1" t="s">
        <v>15</v>
      </c>
      <c r="C4835" s="1" t="s">
        <v>4135</v>
      </c>
      <c r="D4835" s="1" t="str">
        <f>IFERROR(__xludf.DUMMYFUNCTION("CONCATENATE(GOOGLETRANSLATE(C4835, ""en"", ""zh-cn""))"),"One United 多合一多效治疗 Redken")</f>
        <v>One United 多合一多效治疗 Redken</v>
      </c>
      <c r="E4835" s="1" t="str">
        <f>IFERROR(__xludf.DUMMYFUNCTION("CONCATENATE(GOOGLETRANSLATE(C4835, ""en"", ""ko""))"),"원 유나이티드 올인원 멀티 혜택 트리트먼트 Redken")</f>
        <v>원 유나이티드 올인원 멀티 혜택 트리트먼트 Redken</v>
      </c>
      <c r="F4835" s="1" t="str">
        <f>IFERROR(__xludf.DUMMYFUNCTION("CONCATENATE(GOOGLETRANSLATE(C4835, ""en"", ""ja""))"),"ユナイテッド オールインワン マルチベネフィット トリートメント 1 つ レッドケン")</f>
        <v>ユナイテッド オールインワン マルチベネフィット トリートメント 1 つ レッドケン</v>
      </c>
    </row>
    <row r="4836" ht="15.75" customHeight="1">
      <c r="A4836" s="1">
        <v>6010.0</v>
      </c>
      <c r="B4836" s="1" t="s">
        <v>15</v>
      </c>
      <c r="C4836" s="1" t="s">
        <v>4136</v>
      </c>
      <c r="D4836" s="1" t="str">
        <f>IFERROR(__xludf.DUMMYFUNCTION("CONCATENATE(GOOGLETRANSLATE(C4836, ""en"", ""zh-cn""))"),"Mielle 迷迭香薄荷头皮护发油")</f>
        <v>Mielle 迷迭香薄荷头皮护发油</v>
      </c>
      <c r="E4836" s="1" t="str">
        <f>IFERROR(__xludf.DUMMYFUNCTION("CONCATENATE(GOOGLETRANSLATE(C4836, ""en"", ""ko""))"),"미엘 로즈마리 민트 두피 &amp; 모발 강화 오일")</f>
        <v>미엘 로즈마리 민트 두피 &amp; 모발 강화 오일</v>
      </c>
      <c r="F4836" s="1" t="str">
        <f>IFERROR(__xludf.DUMMYFUNCTION("CONCATENATE(GOOGLETRANSLATE(C4836, ""en"", ""ja""))"),"ミエール ローズマリー ミント スカルプ &amp; ヘア強化オイル")</f>
        <v>ミエール ローズマリー ミント スカルプ &amp; ヘア強化オイル</v>
      </c>
    </row>
    <row r="4837" ht="15.75" customHeight="1">
      <c r="A4837" s="1">
        <v>6016.0</v>
      </c>
      <c r="B4837" s="1" t="s">
        <v>15</v>
      </c>
      <c r="C4837" s="1" t="s">
        <v>4137</v>
      </c>
      <c r="D4837" s="1" t="str">
        <f>IFERROR(__xludf.DUMMYFUNCTION("CONCATENATE(GOOGLETRANSLATE(C4837, ""en"", ""zh-cn""))"),"软件浓发洗发水")</f>
        <v>软件浓发洗发水</v>
      </c>
      <c r="E4837" s="1" t="str">
        <f>IFERROR(__xludf.DUMMYFUNCTION("CONCATENATE(GOOGLETRANSLATE(C4837, ""en"", ""ko""))"),"소프트웨어 모발 농축 샴푸")</f>
        <v>소프트웨어 모발 농축 샴푸</v>
      </c>
      <c r="F4837" s="1" t="str">
        <f>IFERROR(__xludf.DUMMYFUNCTION("CONCATENATE(GOOGLETRANSLATE(C4837, ""en"", ""ja""))"),"ソフトウェア増毛シャンプー")</f>
        <v>ソフトウェア増毛シャンプー</v>
      </c>
    </row>
    <row r="4838" ht="15.75" customHeight="1">
      <c r="A4838" s="1">
        <v>6018.0</v>
      </c>
      <c r="B4838" s="1" t="s">
        <v>15</v>
      </c>
      <c r="C4838" s="1" t="s">
        <v>4138</v>
      </c>
      <c r="D4838" s="1" t="str">
        <f>IFERROR(__xludf.DUMMYFUNCTION("CONCATENATE(GOOGLETRANSLATE(C4838, ""en"", ""zh-cn""))"),"Cenovis 头发皮肤指甲 60 片")</f>
        <v>Cenovis 头发皮肤指甲 60 片</v>
      </c>
      <c r="E4838" s="1" t="str">
        <f>IFERROR(__xludf.DUMMYFUNCTION("CONCATENATE(GOOGLETRANSLATE(C4838, ""en"", ""ko""))"),"세노비스 헤어 스킨 네일 60정")</f>
        <v>세노비스 헤어 스킨 네일 60정</v>
      </c>
      <c r="F4838" s="1" t="str">
        <f>IFERROR(__xludf.DUMMYFUNCTION("CONCATENATE(GOOGLETRANSLATE(C4838, ""en"", ""ja""))"),"セノビス ヘアスキンネイル 60錠")</f>
        <v>セノビス ヘアスキンネイル 60錠</v>
      </c>
    </row>
    <row r="4839" ht="15.75" customHeight="1">
      <c r="A4839" s="1">
        <v>6021.0</v>
      </c>
      <c r="B4839" s="1" t="s">
        <v>15</v>
      </c>
      <c r="C4839" s="1" t="s">
        <v>3701</v>
      </c>
      <c r="D4839" s="1" t="str">
        <f>IFERROR(__xludf.DUMMYFUNCTION("CONCATENATE(GOOGLETRANSLATE(C4839, ""en"", ""zh-cn""))"),"Solgar 皮肤 指甲 头发")</f>
        <v>Solgar 皮肤 指甲 头发</v>
      </c>
      <c r="E4839" s="1" t="str">
        <f>IFERROR(__xludf.DUMMYFUNCTION("CONCATENATE(GOOGLETRANSLATE(C4839, ""en"", ""ko""))"),"솔가 스킨 네일 헤어")</f>
        <v>솔가 스킨 네일 헤어</v>
      </c>
      <c r="F4839" s="1" t="str">
        <f>IFERROR(__xludf.DUMMYFUNCTION("CONCATENATE(GOOGLETRANSLATE(C4839, ""en"", ""ja""))"),"ソルガー スキン ネイル ヘア")</f>
        <v>ソルガー スキン ネイル ヘア</v>
      </c>
    </row>
    <row r="4840" ht="15.75" customHeight="1">
      <c r="A4840" s="1">
        <v>6030.0</v>
      </c>
      <c r="B4840" s="1" t="s">
        <v>15</v>
      </c>
      <c r="C4840" s="1" t="s">
        <v>4139</v>
      </c>
      <c r="D4840" s="1" t="str">
        <f>IFERROR(__xludf.DUMMYFUNCTION("CONCATENATE(GOOGLETRANSLATE(C4840, ""en"", ""zh-cn""))"),"乳木果保湿椰子木槿卷曲亮泽洗发水")</f>
        <v>乳木果保湿椰子木槿卷曲亮泽洗发水</v>
      </c>
      <c r="E4840" s="1" t="str">
        <f>IFERROR(__xludf.DUMMYFUNCTION("CONCATENATE(GOOGLETRANSLATE(C4840, ""en"", ""ko""))"),"시어 모이스처 코코넛 히비스커스 컬 샤인 샴푸")</f>
        <v>시어 모이스처 코코넛 히비스커스 컬 샤인 샴푸</v>
      </c>
      <c r="F4840" s="1" t="str">
        <f>IFERROR(__xludf.DUMMYFUNCTION("CONCATENATE(GOOGLETRANSLATE(C4840, ""en"", ""ja""))"),"シア モイスチャー ココナッツ ハイビスカス カール シャイン シャンプー")</f>
        <v>シア モイスチャー ココナッツ ハイビスカス カール シャイン シャンプー</v>
      </c>
    </row>
    <row r="4841" ht="15.75" customHeight="1">
      <c r="A4841" s="1">
        <v>6040.0</v>
      </c>
      <c r="B4841" s="1" t="s">
        <v>15</v>
      </c>
      <c r="C4841" s="1" t="s">
        <v>1852</v>
      </c>
      <c r="D4841" s="1" t="str">
        <f>IFERROR(__xludf.DUMMYFUNCTION("CONCATENATE(GOOGLETRANSLATE(C4841, ""en"", ""zh-cn""))"),"Roxenda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4841" s="1" t="str">
        <f>IFERROR(__xludf.DUMMYFUNCTION("CONCATENATE(GOOGLETRANSLATE(C4841, ""en"", ""ko""))"),"Roxenda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4841" s="1" t="str">
        <f>IFERROR(__xludf.DUMMYFUNCTION("CONCATENATE(GOOGLETRANSLATE(C4841, ""en"", ""ja""))"),"Roxenda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4842" ht="15.75" customHeight="1">
      <c r="A4842" s="1">
        <v>6041.0</v>
      </c>
      <c r="B4842" s="1" t="s">
        <v>15</v>
      </c>
      <c r="C4842" s="1" t="s">
        <v>1861</v>
      </c>
      <c r="D4842" s="1" t="str">
        <f>IFERROR(__xludf.DUMMYFUNCTION("CONCATENATE(GOOGLETRANSLATE(C4842, ""en"", ""zh-cn""))"),"博克芬诺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4842" s="1" t="str">
        <f>IFERROR(__xludf.DUMMYFUNCTION("CONCATENATE(GOOGLETRANSLATE(C4842, ""en"", ""ko""))"),"Bokefenuo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4842" s="1" t="str">
        <f>IFERROR(__xludf.DUMMYFUNCTION("CONCATENATE(GOOGLETRANSLATE(C4842, ""en"", ""ja""))"),"Bokefenuo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4843" ht="15.75" customHeight="1">
      <c r="A4843" s="1">
        <v>6043.0</v>
      </c>
      <c r="B4843" s="1" t="s">
        <v>15</v>
      </c>
      <c r="C4843" s="1" t="s">
        <v>1845</v>
      </c>
      <c r="D4843" s="1" t="str">
        <f>IFERROR(__xludf.DUMMYFUNCTION("CONCATENATE(GOOGLETRANSLATE(C4843, ""en"", ""zh-cn""))"),"LiangCuber GAN 13磁悬浮旗舰磁力3x3无贴纸GAN13 M速度魔方（磨砂版）")</f>
        <v>LiangCuber GAN 13磁悬浮旗舰磁力3x3无贴纸GAN13 M速度魔方（磨砂版）</v>
      </c>
      <c r="E4843" s="1" t="str">
        <f>IFERROR(__xludf.DUMMYFUNCTION("CONCATENATE(GOOGLETRANSLATE(C4843, ""en"", ""ko""))"),"LiangCuber GAN 13 자기 부상 플래그십 마그네틱 3x3 스티커 없는 GAN13 M 스피드 큐브(반투명 버전)")</f>
        <v>LiangCuber GAN 13 자기 부상 플래그십 마그네틱 3x3 스티커 없는 GAN13 M 스피드 큐브(반투명 버전)</v>
      </c>
      <c r="F4843" s="1" t="str">
        <f>IFERROR(__xludf.DUMMYFUNCTION("CONCATENATE(GOOGLETRANSLATE(C4843, ""en"", ""ja""))"),"LiangCuber GAN 13 マグレブ旗艦 磁気 3x3 ステッカーレス GAN13 M スピード キューブ (つや消しバージョン)")</f>
        <v>LiangCuber GAN 13 マグレブ旗艦 磁気 3x3 ステッカーレス GAN13 M スピード キューブ (つや消しバージョン)</v>
      </c>
    </row>
    <row r="4844" ht="15.75" customHeight="1">
      <c r="A4844" s="1">
        <v>6049.0</v>
      </c>
      <c r="B4844" s="1" t="s">
        <v>15</v>
      </c>
      <c r="C4844" s="1" t="s">
        <v>1852</v>
      </c>
      <c r="D4844" s="1" t="str">
        <f>IFERROR(__xludf.DUMMYFUNCTION("CONCATENATE(GOOGLETRANSLATE(C4844, ""en"", ""zh-cn""))"),"Roxenda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4844" s="1" t="str">
        <f>IFERROR(__xludf.DUMMYFUNCTION("CONCATENATE(GOOGLETRANSLATE(C4844, ""en"", ""ko""))"),"Roxenda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4844" s="1" t="str">
        <f>IFERROR(__xludf.DUMMYFUNCTION("CONCATENATE(GOOGLETRANSLATE(C4844, ""en"", ""ja""))"),"Roxenda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4845" ht="15.75" customHeight="1">
      <c r="A4845" s="1">
        <v>6064.0</v>
      </c>
      <c r="B4845" s="1" t="s">
        <v>15</v>
      </c>
      <c r="C4845" s="1" t="s">
        <v>1827</v>
      </c>
      <c r="D4845" s="1" t="str">
        <f>IFERROR(__xludf.DUMMYFUNCTION("CONCATENATE(GOOGLETRANSLATE(C4845, ""en"", ""zh-cn""))"),"宁神茶丸 甘麦大枣丸 (1000 茶丸)3383E-MAYWAY by Mayway")</f>
        <v>宁神茶丸 甘麦大枣丸 (1000 茶丸)3383E-MAYWAY by Mayway</v>
      </c>
      <c r="E4845" s="1" t="str">
        <f>IFERROR(__xludf.DUMMYFUNCTION("CONCATENATE(GOOGLETRANSLATE(C4845, ""en"", ""ko""))"),"Calm Spirit Teapills Gan Mai Da Zao Wan (1000 티필)3383E-MAYWAY by Mayway")</f>
        <v>Calm Spirit Teapills Gan Mai Da Zao Wan (1000 티필)3383E-MAYWAY by Mayway</v>
      </c>
      <c r="F4845" s="1" t="str">
        <f>IFERROR(__xludf.DUMMYFUNCTION("CONCATENATE(GOOGLETRANSLATE(C4845, ""en"", ""ja""))"),"Calm Spirit Teapills Gan Mai Da Zao Wan (1000 Teapills)3383E-MAYWAY by Mayway")</f>
        <v>Calm Spirit Teapills Gan Mai Da Zao Wan (1000 Teapills)3383E-MAYWAY by Mayway</v>
      </c>
    </row>
    <row r="4846" ht="15.75" customHeight="1">
      <c r="A4846" s="1">
        <v>6066.0</v>
      </c>
      <c r="B4846" s="1" t="s">
        <v>15</v>
      </c>
      <c r="C4846" s="1" t="s">
        <v>1861</v>
      </c>
      <c r="D4846" s="1" t="str">
        <f>IFERROR(__xludf.DUMMYFUNCTION("CONCATENATE(GOOGLETRANSLATE(C4846, ""en"", ""zh-cn""))"),"博克芬诺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4846" s="1" t="str">
        <f>IFERROR(__xludf.DUMMYFUNCTION("CONCATENATE(GOOGLETRANSLATE(C4846, ""en"", ""ko""))"),"Bokefenuo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4846" s="1" t="str">
        <f>IFERROR(__xludf.DUMMYFUNCTION("CONCATENATE(GOOGLETRANSLATE(C4846, ""en"", ""ja""))"),"Bokefenuo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4847" ht="15.75" customHeight="1">
      <c r="A4847" s="1">
        <v>6091.0</v>
      </c>
      <c r="B4847" s="1" t="s">
        <v>15</v>
      </c>
      <c r="C4847" s="1" t="s">
        <v>1910</v>
      </c>
      <c r="D4847" s="1" t="str">
        <f>IFERROR(__xludf.DUMMYFUNCTION("CONCATENATE(GOOGLETRANSLATE(C4847, ""en"", ""zh-cn""))"),"Vento Powerstrap R2 Aeroweave")</f>
        <v>Vento Powerstrap R2 Aeroweave</v>
      </c>
      <c r="E4847" s="1" t="str">
        <f>IFERROR(__xludf.DUMMYFUNCTION("CONCATENATE(GOOGLETRANSLATE(C4847, ""en"", ""ko""))"),"벤토 파워스트랩 R2 에어로위브")</f>
        <v>벤토 파워스트랩 R2 에어로위브</v>
      </c>
      <c r="F4847" s="1" t="str">
        <f>IFERROR(__xludf.DUMMYFUNCTION("CONCATENATE(GOOGLETRANSLATE(C4847, ""en"", ""ja""))"),"ヴェント パワーストラップ R2 エアロウィーブ")</f>
        <v>ヴェント パワーストラップ R2 エアロウィーブ</v>
      </c>
    </row>
    <row r="4848" ht="15.75" customHeight="1">
      <c r="A4848" s="1">
        <v>6093.0</v>
      </c>
      <c r="B4848" s="1" t="s">
        <v>15</v>
      </c>
      <c r="C4848" s="1" t="s">
        <v>2324</v>
      </c>
      <c r="D4848" s="1" t="str">
        <f>IFERROR(__xludf.DUMMYFUNCTION("CONCATENATE(GOOGLETRANSLATE(C4848, ""en"", ""zh-cn""))"),"罗林斯| Renegade 系列棒球接球手套装 | NOCSAE 认证 |成人 |中级|青年|多种颜色")</f>
        <v>罗林斯| Renegade 系列棒球接球手套装 | NOCSAE 认证 |成人 |中级|青年|多种颜色</v>
      </c>
      <c r="E4848" s="1" t="str">
        <f>IFERROR(__xludf.DUMMYFUNCTION("CONCATENATE(GOOGLETRANSLATE(C4848, ""en"", ""ko""))"),"롤링스 | 레니게이드 시리즈 야구 포수 세트 | NOCSAE 인증 | 성인 | 중급 | 청소년 | 다양한 색상")</f>
        <v>롤링스 | 레니게이드 시리즈 야구 포수 세트 | NOCSAE 인증 | 성인 | 중급 | 청소년 | 다양한 색상</v>
      </c>
      <c r="F4848" s="1" t="str">
        <f>IFERROR(__xludf.DUMMYFUNCTION("CONCATENATE(GOOGLETRANSLATE(C4848, ""en"", ""ja""))"),"ローリングス | Renegade シリーズ野球キャッチャーセット | NOCSAE 認定 |アダルト |中級 |若者 |複数の色")</f>
        <v>ローリングス | Renegade シリーズ野球キャッチャーセット | NOCSAE 認定 |アダルト |中級 |若者 |複数の色</v>
      </c>
    </row>
    <row r="4849" ht="15.75" customHeight="1">
      <c r="A4849" s="1">
        <v>6102.0</v>
      </c>
      <c r="B4849" s="1" t="s">
        <v>15</v>
      </c>
      <c r="C4849" s="1" t="s">
        <v>1852</v>
      </c>
      <c r="D4849" s="1" t="str">
        <f>IFERROR(__xludf.DUMMYFUNCTION("CONCATENATE(GOOGLETRANSLATE(C4849, ""en"", ""zh-cn""))"),"Roxenda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4849" s="1" t="str">
        <f>IFERROR(__xludf.DUMMYFUNCTION("CONCATENATE(GOOGLETRANSLATE(C4849, ""en"", ""ko""))"),"Roxenda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4849" s="1" t="str">
        <f>IFERROR(__xludf.DUMMYFUNCTION("CONCATENATE(GOOGLETRANSLATE(C4849, ""en"", ""ja""))"),"Roxenda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4850" ht="15.75" customHeight="1">
      <c r="A4850" s="1">
        <v>6113.0</v>
      </c>
      <c r="B4850" s="1" t="s">
        <v>15</v>
      </c>
      <c r="C4850" s="1" t="s">
        <v>1827</v>
      </c>
      <c r="D4850" s="1" t="str">
        <f>IFERROR(__xludf.DUMMYFUNCTION("CONCATENATE(GOOGLETRANSLATE(C4850, ""en"", ""zh-cn""))"),"宁神茶丸 甘麦大枣丸 (1000 茶丸)3383E-MAYWAY by Mayway")</f>
        <v>宁神茶丸 甘麦大枣丸 (1000 茶丸)3383E-MAYWAY by Mayway</v>
      </c>
      <c r="E4850" s="1" t="str">
        <f>IFERROR(__xludf.DUMMYFUNCTION("CONCATENATE(GOOGLETRANSLATE(C4850, ""en"", ""ko""))"),"Calm Spirit Teapills Gan Mai Da Zao Wan (1000 티필)3383E-MAYWAY by Mayway")</f>
        <v>Calm Spirit Teapills Gan Mai Da Zao Wan (1000 티필)3383E-MAYWAY by Mayway</v>
      </c>
      <c r="F4850" s="1" t="str">
        <f>IFERROR(__xludf.DUMMYFUNCTION("CONCATENATE(GOOGLETRANSLATE(C4850, ""en"", ""ja""))"),"Calm Spirit Teapills Gan Mai Da Zao Wan (1000 Teapills)3383E-MAYWAY by Mayway")</f>
        <v>Calm Spirit Teapills Gan Mai Da Zao Wan (1000 Teapills)3383E-MAYWAY by Mayway</v>
      </c>
    </row>
    <row r="4851" ht="15.75" customHeight="1">
      <c r="A4851" s="1">
        <v>6115.0</v>
      </c>
      <c r="B4851" s="1" t="s">
        <v>15</v>
      </c>
      <c r="C4851" s="1" t="s">
        <v>1851</v>
      </c>
      <c r="D4851" s="1" t="str">
        <f>IFERROR(__xludf.DUMMYFUNCTION("CONCATENATE(GOOGLETRANSLATE(C4851, ""en"", ""zh-cn""))"),"GAN Megaminx M，五角磁力测速魔方，无贴纸")</f>
        <v>GAN Megaminx M，五角磁力测速魔方，无贴纸</v>
      </c>
      <c r="E4851" s="1" t="str">
        <f>IFERROR(__xludf.DUMMYFUNCTION("CONCATENATE(GOOGLETRANSLATE(C4851, ""en"", ""ko""))"),"GAN Megaminx M, 오각형 자기 속도 큐브, 스티커 없음")</f>
        <v>GAN Megaminx M, 오각형 자기 속도 큐브, 스티커 없음</v>
      </c>
      <c r="F4851" s="1" t="str">
        <f>IFERROR(__xludf.DUMMYFUNCTION("CONCATENATE(GOOGLETRANSLATE(C4851, ""en"", ""ja""))"),"GAN メガミンクス M、五角形磁気スピードキューブ、ステッカーレス")</f>
        <v>GAN メガミンクス M、五角形磁気スピードキューブ、ステッカーレス</v>
      </c>
    </row>
    <row r="4852" ht="15.75" customHeight="1">
      <c r="A4852" s="1">
        <v>6117.0</v>
      </c>
      <c r="B4852" s="1" t="s">
        <v>15</v>
      </c>
      <c r="C4852" s="1" t="s">
        <v>1840</v>
      </c>
      <c r="D4852" s="1" t="str">
        <f>IFERROR(__xludf.DUMMYFUNCTION("CONCATENATE(GOOGLETRANSLATE(C4852, ""en"", ""zh-cn""))"),"Cuberspeed GAN 13 uv 涂层 MagLev 无贴纸 3x3 速度立方拼图 gan13 maglev uv 涂层旗舰拼图")</f>
        <v>Cuberspeed GAN 13 uv 涂层 MagLev 无贴纸 3x3 速度立方拼图 gan13 maglev uv 涂层旗舰拼图</v>
      </c>
      <c r="E4852" s="1" t="str">
        <f>IFERROR(__xludf.DUMMYFUNCTION("CONCATENATE(GOOGLETRANSLATE(C4852, ""en"", ""ko""))"),"Cuberspeed GAN 13 uv 코팅 MagLev 스티커가 없는 3x3 스피드 큐브 퍼즐 gan13 maglev uv 코팅 플래그십 퍼즐")</f>
        <v>Cuberspeed GAN 13 uv 코팅 MagLev 스티커가 없는 3x3 스피드 큐브 퍼즐 gan13 maglev uv 코팅 플래그십 퍼즐</v>
      </c>
      <c r="F4852" s="1" t="str">
        <f>IFERROR(__xludf.DUMMYFUNCTION("CONCATENATE(GOOGLETRANSLATE(C4852, ""en"", ""ja""))"),"Cuberspeed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4853" ht="15.75" customHeight="1">
      <c r="A4853" s="1">
        <v>6118.0</v>
      </c>
      <c r="B4853" s="1" t="s">
        <v>15</v>
      </c>
      <c r="C4853" s="1" t="s">
        <v>1849</v>
      </c>
      <c r="D4853" s="1" t="str">
        <f>IFERROR(__xludf.DUMMYFUNCTION("CONCATENATE(GOOGLETRANSLATE(C4853, ""en"", ""zh-cn""))"),"GAN 460 M， Gan 4x4 磁性速度魔方， gan 460 m 4 x 4 儿童和成人无贴纸拼图玩具")</f>
        <v>GAN 460 M， Gan 4x4 磁性速度魔方， gan 460 m 4 x 4 儿童和成人无贴纸拼图玩具</v>
      </c>
      <c r="E4853" s="1" t="str">
        <f>IFERROR(__xludf.DUMMYFUNCTION("CONCATENATE(GOOGLETRANSLATE(C4853, ""en"", ""ko""))"),"GAN 460 M, Gan 4x4 자기 속도 큐브, gan 460 m 4 by 4 어린이와 성인을 위한 스티커 없는 퍼즐 장난감")</f>
        <v>GAN 460 M, Gan 4x4 자기 속도 큐브, gan 460 m 4 by 4 어린이와 성인을 위한 스티커 없는 퍼즐 장난감</v>
      </c>
      <c r="F4853" s="1" t="str">
        <f>IFERROR(__xludf.DUMMYFUNCTION("CONCATENATE(GOOGLETRANSLATE(C4853, ""en"", ""ja""))"),"GAN 460 M、Gan 4x4 磁気スピードキューブ、GAN 460 m 4 by 4 ステッカーレスパズルおもちゃ子供と大人向け")</f>
        <v>GAN 460 M、Gan 4x4 磁気スピードキューブ、GAN 460 m 4 by 4 ステッカーレスパズルおもちゃ子供と大人向け</v>
      </c>
    </row>
    <row r="4854" ht="15.75" customHeight="1">
      <c r="A4854" s="1">
        <v>6121.0</v>
      </c>
      <c r="B4854" s="1" t="s">
        <v>15</v>
      </c>
      <c r="C4854" s="1" t="s">
        <v>1826</v>
      </c>
      <c r="D4854" s="1" t="str">
        <f>IFERROR(__xludf.DUMMYFUNCTION("CONCATENATE(GOOGLETRANSLATE(C4854, ""en"", ""zh-cn""))"),"GAN 460 M 速度魔方， 4x4 磁性魔方 Gans 460M 拼图玩具（无贴纸）")</f>
        <v>GAN 460 M 速度魔方， 4x4 磁性魔方 Gans 460M 拼图玩具（无贴纸）</v>
      </c>
      <c r="E4854" s="1" t="str">
        <f>IFERROR(__xludf.DUMMYFUNCTION("CONCATENATE(GOOGLETRANSLATE(C4854, ""en"", ""ko""))"),"GAN 460 M 스피드 큐브, 4x4 마그네틱 마스터 큐브 Gans 460M 퍼즐 장난감(스티커 없음)")</f>
        <v>GAN 460 M 스피드 큐브, 4x4 마그네틱 마스터 큐브 Gans 460M 퍼즐 장난감(스티커 없음)</v>
      </c>
      <c r="F4854" s="1" t="str">
        <f>IFERROR(__xludf.DUMMYFUNCTION("CONCATENATE(GOOGLETRANSLATE(C4854, ""en"", ""ja""))"),"GAN 460 M スピード キューブ、4x4 磁気マスター キューブ Gans 460M パズルおもちゃ (ステッカーなし)")</f>
        <v>GAN 460 M スピード キューブ、4x4 磁気マスター キューブ Gans 460M パズルおもちゃ (ステッカーなし)</v>
      </c>
    </row>
    <row r="4855" ht="15.75" customHeight="1">
      <c r="A4855" s="1">
        <v>6128.0</v>
      </c>
      <c r="B4855" s="1" t="s">
        <v>15</v>
      </c>
      <c r="C4855" s="1" t="s">
        <v>2371</v>
      </c>
      <c r="D4855" s="1" t="str">
        <f>IFERROR(__xludf.DUMMYFUNCTION("CONCATENATE(GOOGLETRANSLATE(C4855, ""en"", ""zh-cn""))"),"BFSB5 链传动室内自行车")</f>
        <v>BFSB5 链传动室内自行车</v>
      </c>
      <c r="E4855" s="1" t="str">
        <f>IFERROR(__xludf.DUMMYFUNCTION("CONCATENATE(GOOGLETRANSLATE(C4855, ""en"", ""ko""))"),"BFSB5 체인 드라이브 실내 사이클링 자전거")</f>
        <v>BFSB5 체인 드라이브 실내 사이클링 자전거</v>
      </c>
      <c r="F4855" s="1" t="str">
        <f>IFERROR(__xludf.DUMMYFUNCTION("CONCATENATE(GOOGLETRANSLATE(C4855, ""en"", ""ja""))"),"BFSB5 チェーンドライブインドアサイクリングバイク")</f>
        <v>BFSB5 チェーンドライブインドアサイクリングバイク</v>
      </c>
    </row>
    <row r="4856" ht="15.75" customHeight="1">
      <c r="A4856" s="1">
        <v>6129.0</v>
      </c>
      <c r="B4856" s="1" t="s">
        <v>15</v>
      </c>
      <c r="C4856" s="1" t="s">
        <v>2791</v>
      </c>
      <c r="D4856" s="1" t="str">
        <f>IFERROR(__xludf.DUMMYFUNCTION("CONCATENATE(GOOGLETRANSLATE(C4856, ""en"", ""zh-cn""))"),"罗林斯| HEART OF THE HIDE 棒球手套 |轻量级 HYPERSHELL 和 SPEEDSHELL 型号 |多种风格")</f>
        <v>罗林斯| HEART OF THE HIDE 棒球手套 |轻量级 HYPERSHELL 和 SPEEDSHELL 型号 |多种风格</v>
      </c>
      <c r="E4856" s="1" t="str">
        <f>IFERROR(__xludf.DUMMYFUNCTION("CONCATENATE(GOOGLETRANSLATE(C4856, ""en"", ""ko""))"),"롤링스 | 숨은 야구 글러브의 심장 | 경량 HYPERSHELL 및 SPEEDSHELL 모델 | 다양한 스타일")</f>
        <v>롤링스 | 숨은 야구 글러브의 심장 | 경량 HYPERSHELL 및 SPEEDSHELL 모델 | 다양한 스타일</v>
      </c>
      <c r="F4856" s="1" t="str">
        <f>IFERROR(__xludf.DUMMYFUNCTION("CONCATENATE(GOOGLETRANSLATE(C4856, ""en"", ""ja""))"),"ローリングス | HEART OF THE HIDE 野球グローブ |軽量HYPERSHELL &amp; SPEEDSHELLモデル |複数のスタイル")</f>
        <v>ローリングス | HEART OF THE HIDE 野球グローブ |軽量HYPERSHELL &amp; SPEEDSHELLモデル |複数のスタイル</v>
      </c>
    </row>
    <row r="4857" ht="15.75" customHeight="1">
      <c r="A4857" s="1">
        <v>6132.0</v>
      </c>
      <c r="B4857" s="1" t="s">
        <v>15</v>
      </c>
      <c r="C4857" s="1" t="s">
        <v>2012</v>
      </c>
      <c r="D4857" s="1" t="str">
        <f>IFERROR(__xludf.DUMMYFUNCTION("CONCATENATE(GOOGLETRANSLATE(C4857, ""en"", ""zh-cn""))"),"Lake 男鞋 Cx238")</f>
        <v>Lake 男鞋 Cx238</v>
      </c>
      <c r="E4857" s="1" t="str">
        <f>IFERROR(__xludf.DUMMYFUNCTION("CONCATENATE(GOOGLETRANSLATE(C4857, ""en"", ""ko""))"),"레이크 남성 신발 Cx238")</f>
        <v>레이크 남성 신발 Cx238</v>
      </c>
      <c r="F4857" s="1" t="str">
        <f>IFERROR(__xludf.DUMMYFUNCTION("CONCATENATE(GOOGLETRANSLATE(C4857, ""en"", ""ja""))"),"レイク メンズ シューズ CX238")</f>
        <v>レイク メンズ シューズ CX238</v>
      </c>
    </row>
    <row r="4858" ht="15.75" customHeight="1">
      <c r="A4858" s="1">
        <v>6144.0</v>
      </c>
      <c r="B4858" s="1" t="s">
        <v>15</v>
      </c>
      <c r="C4858" s="1" t="s">
        <v>2011</v>
      </c>
      <c r="D4858" s="1" t="str">
        <f>IFERROR(__xludf.DUMMYFUNCTION("CONCATENATE(GOOGLETRANSLATE(C4858, ""en"", ""zh-cn""))"),"罗林斯| HEART OF THE HIDE 棒球手套 | R2G 和轮廓贴合模型 |高级磨合|多种风格")</f>
        <v>罗林斯| HEART OF THE HIDE 棒球手套 | R2G 和轮廓贴合模型 |高级磨合|多种风格</v>
      </c>
      <c r="E4858" s="1" t="str">
        <f>IFERROR(__xludf.DUMMYFUNCTION("CONCATENATE(GOOGLETRANSLATE(C4858, ""en"", ""ko""))"),"롤링스 | 숨은 야구 글러브의 심장 | R2G 및 윤곽 맞춤 모델 | 고급 침입 | 다양한 스타일")</f>
        <v>롤링스 | 숨은 야구 글러브의 심장 | R2G 및 윤곽 맞춤 모델 | 고급 침입 | 다양한 스타일</v>
      </c>
      <c r="F4858" s="1" t="str">
        <f>IFERROR(__xludf.DUMMYFUNCTION("CONCATENATE(GOOGLETRANSLATE(C4858, ""en"", ""ja""))"),"ローリングス | HEART OF THE HIDE 野球グローブ | R2G &amp; 輪郭フィットモデル |高度な慣らし運転 |複数のスタイル")</f>
        <v>ローリングス | HEART OF THE HIDE 野球グローブ | R2G &amp; 輪郭フィットモデル |高度な慣らし運転 |複数のスタイル</v>
      </c>
    </row>
    <row r="4859" ht="15.75" customHeight="1">
      <c r="A4859" s="1">
        <v>6145.0</v>
      </c>
      <c r="B4859" s="1" t="s">
        <v>15</v>
      </c>
      <c r="C4859" s="1" t="s">
        <v>2309</v>
      </c>
      <c r="D4859" s="1" t="str">
        <f>IFERROR(__xludf.DUMMYFUNCTION("CONCATENATE(GOOGLETRANSLATE(C4859, ""en"", ""zh-cn""))"),"BiSaddle SRT 超短无鼻可调自行车鞍座黑色带钛导轨定制舒适，均码")</f>
        <v>BiSaddle SRT 超短无鼻可调自行车鞍座黑色带钛导轨定制舒适，均码</v>
      </c>
      <c r="E4859" s="1" t="str">
        <f>IFERROR(__xludf.DUMMYFUNCTION("CONCATENATE(GOOGLETRANSLATE(C4859, ""en"", ""ko""))"),"BiSaddle SRT 슈퍼 짧은 노즈리스 조절식 자전거 안장 블랙(티타늄 레일 포함) 맞춤형 컴포트, 단일 사이즈")</f>
        <v>BiSaddle SRT 슈퍼 짧은 노즈리스 조절식 자전거 안장 블랙(티타늄 레일 포함) 맞춤형 컴포트, 단일 사이즈</v>
      </c>
      <c r="F4859" s="1" t="str">
        <f>IFERROR(__xludf.DUMMYFUNCTION("CONCATENATE(GOOGLETRANSLATE(C4859, ""en"", ""ja""))"),"BiSaddle SRT スーパーショート ノーズレス 調節可能 自転車サドル ブラック チタンレール付き カスタムフィット コンフォート、ワンサイズ")</f>
        <v>BiSaddle SRT スーパーショート ノーズレス 調節可能 自転車サドル ブラック チタンレール付き カスタムフィット コンフォート、ワンサイズ</v>
      </c>
    </row>
    <row r="4860" ht="15.75" customHeight="1">
      <c r="A4860" s="1">
        <v>6148.0</v>
      </c>
      <c r="B4860" s="1" t="s">
        <v>15</v>
      </c>
      <c r="C4860" s="1" t="s">
        <v>2014</v>
      </c>
      <c r="D4860" s="1" t="str">
        <f>IFERROR(__xludf.DUMMYFUNCTION("CONCATENATE(GOOGLETRANSLATE(C4860, ""en"", ""zh-cn""))"),"Atotfusion 棉质厚轻桌凳靠背坐垫瑜伽椅垫适用于室内/室外家庭办公室花园装饰棉质坐垫 3 座长凳坐垫，150 x 50 x 8 厘米（灰色）")</f>
        <v>Atotfusion 棉质厚轻桌凳靠背坐垫瑜伽椅垫适用于室内/室外家庭办公室花园装饰棉质坐垫 3 座长凳坐垫，150 x 50 x 8 厘米（灰色）</v>
      </c>
      <c r="E4860" s="1" t="str">
        <f>IFERROR(__xludf.DUMMYFUNCTION("CONCATENATE(GOOGLETRANSLATE(C4860, ""en"", ""ko""))"),"Atootfusion 면 두꺼운 경량 테이블 의자 뒷좌석 쿠션 요가 의자 패드 실내/실외 홈 오피스 정원 장식 면 쿠션 3인용 벤치 쿠션, 150 x 50 x 8 cm(회색)")</f>
        <v>Atootfusion 면 두꺼운 경량 테이블 의자 뒷좌석 쿠션 요가 의자 패드 실내/실외 홈 오피스 정원 장식 면 쿠션 3인용 벤치 쿠션, 150 x 50 x 8 cm(회색)</v>
      </c>
      <c r="F4860" s="1" t="str">
        <f>IFERROR(__xludf.DUMMYFUNCTION("CONCATENATE(GOOGLETRANSLATE(C4860, ""en"", ""ja""))"),"Atootfusion コットン 厚手 軽量 テーブル スツール バックシートクッション ヨガチェアパッド 屋内/屋外 ホームオフィス ガーデン装飾 コットンクッション 3人掛けベンチクッション 150 x 50 x 8 cm (グレー)")</f>
        <v>Atootfusion コットン 厚手 軽量 テーブル スツール バックシートクッション ヨガチェアパッド 屋内/屋外 ホームオフィス ガーデン装飾 コットンクッション 3人掛けベンチクッション 150 x 50 x 8 cm (グレー)</v>
      </c>
    </row>
    <row r="4861" ht="15.75" customHeight="1">
      <c r="A4861" s="1">
        <v>6179.0</v>
      </c>
      <c r="B4861" s="1" t="s">
        <v>15</v>
      </c>
      <c r="C4861" s="1" t="s">
        <v>1839</v>
      </c>
      <c r="D4861" s="1" t="str">
        <f>IFERROR(__xludf.DUMMYFUNCTION("CONCATENATE(GOOGLETRANSLATE(C4861, ""en"", ""zh-cn""))"),"GAN 13 磁悬浮 UV 涂层，磁性速度魔方 3x3 无贴纸 56 毫米磁铁魔方拼图玩具，GAN 2022 旗舰")</f>
        <v>GAN 13 磁悬浮 UV 涂层，磁性速度魔方 3x3 无贴纸 56 毫米磁铁魔方拼图玩具，GAN 2022 旗舰</v>
      </c>
      <c r="E4861" s="1" t="str">
        <f>IFERROR(__xludf.DUMMYFUNCTION("CONCATENATE(GOOGLETRANSLATE(C4861, ""en"", ""ko""))"),"GAN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4861" s="1" t="str">
        <f>IFERROR(__xludf.DUMMYFUNCTION("CONCATENATE(GOOGLETRANSLATE(C4861, ""en"", ""ja""))"),"GAN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4862" ht="15.75" customHeight="1">
      <c r="A4862" s="1">
        <v>6204.0</v>
      </c>
      <c r="B4862" s="1" t="s">
        <v>15</v>
      </c>
      <c r="C4862" s="1" t="s">
        <v>1909</v>
      </c>
      <c r="D4862" s="1" t="str">
        <f>IFERROR(__xludf.DUMMYFUNCTION("CONCATENATE(GOOGLETRANSLATE(C4862, ""en"", ""zh-cn""))"),"YOGABODY 瑜伽吊架，室内外使用")</f>
        <v>YOGABODY 瑜伽吊架，室内外使用</v>
      </c>
      <c r="E4862" s="1" t="str">
        <f>IFERROR(__xludf.DUMMYFUNCTION("CONCATENATE(GOOGLETRANSLATE(C4862, ""en"", ""ko""))"),"YOGABODY 요가 공중 그네 스탠드, 실내 및 실외 사용")</f>
        <v>YOGABODY 요가 공중 그네 스탠드, 실내 및 실외 사용</v>
      </c>
      <c r="F4862" s="1" t="str">
        <f>IFERROR(__xludf.DUMMYFUNCTION("CONCATENATE(GOOGLETRANSLATE(C4862, ""en"", ""ja""))"),"YOGABODY ヨガ空中ブランコスタンド、屋内および屋外で使用可能")</f>
        <v>YOGABODY ヨガ空中ブランコスタンド、屋内および屋外で使用可能</v>
      </c>
    </row>
    <row r="4863" ht="15.75" customHeight="1">
      <c r="A4863" s="1">
        <v>6205.0</v>
      </c>
      <c r="B4863" s="1" t="s">
        <v>15</v>
      </c>
      <c r="C4863" s="1" t="s">
        <v>1818</v>
      </c>
      <c r="D4863" s="1" t="str">
        <f>IFERROR(__xludf.DUMMYFUNCTION("CONCATENATE(GOOGLETRANSLATE(C4863, ""en"", ""zh-cn""))"),"Alexia D371-E063 冥想座椅（布料，沙色）")</f>
        <v>Alexia D371-E063 冥想座椅（布料，沙色）</v>
      </c>
      <c r="E4863" s="1" t="str">
        <f>IFERROR(__xludf.DUMMYFUNCTION("CONCATENATE(GOOGLETRANSLATE(C4863, ""en"", ""ko""))"),"알렉시아 D371-E063 명상의자 (천, 모래)")</f>
        <v>알렉시아 D371-E063 명상의자 (천, 모래)</v>
      </c>
      <c r="F4863" s="1" t="str">
        <f>IFERROR(__xludf.DUMMYFUNCTION("CONCATENATE(GOOGLETRANSLATE(C4863, ""en"", ""ja""))"),"Alexia D371-E063 瞑想シート (ファブリック、サンド)")</f>
        <v>Alexia D371-E063 瞑想シート (ファブリック、サンド)</v>
      </c>
    </row>
    <row r="4864" ht="15.75" customHeight="1">
      <c r="A4864" s="1">
        <v>6208.0</v>
      </c>
      <c r="B4864" s="1" t="s">
        <v>15</v>
      </c>
      <c r="C4864" s="1" t="s">
        <v>4140</v>
      </c>
      <c r="D4864" s="1" t="str">
        <f>IFERROR(__xludf.DUMMYFUNCTION("CONCATENATE(GOOGLETRANSLATE(C4864, ""en"", ""zh-cn""))"),"Altor SAF 锁 - 防角磨机自行车 U 型锁")</f>
        <v>Altor SAF 锁 - 防角磨机自行车 U 型锁</v>
      </c>
      <c r="E4864" s="1" t="str">
        <f>IFERROR(__xludf.DUMMYFUNCTION("CONCATENATE(GOOGLETRANSLATE(C4864, ""en"", ""ko""))"),"Altor SAF 잠금 장치 - 앵글 그라인더 방지 자전거 U 잠금 장치")</f>
        <v>Altor SAF 잠금 장치 - 앵글 그라인더 방지 자전거 U 잠금 장치</v>
      </c>
      <c r="F4864" s="1" t="str">
        <f>IFERROR(__xludf.DUMMYFUNCTION("CONCATENATE(GOOGLETRANSLATE(C4864, ""en"", ""ja""))"),"Altor SAF ロック - アングル グラインダー プルーフ自転車 U ロック")</f>
        <v>Altor SAF ロック - アングル グラインダー プルーフ自転車 U ロック</v>
      </c>
    </row>
    <row r="4865" ht="15.75" customHeight="1">
      <c r="A4865" s="1">
        <v>6211.0</v>
      </c>
      <c r="B4865" s="1" t="s">
        <v>15</v>
      </c>
      <c r="C4865" s="1" t="s">
        <v>2373</v>
      </c>
      <c r="D4865" s="1" t="str">
        <f>IFERROR(__xludf.DUMMYFUNCTION("CONCATENATE(GOOGLETRANSLATE(C4865, ""en"", ""zh-cn""))"),"Sunny Health &amp; Fitness 磁性椭圆训练机带平板电脑支架、液晶显示器、最大 220 磅体重和脉搏监视器 - SF-E3810，灰色")</f>
        <v>Sunny Health &amp; Fitness 磁性椭圆训练机带平板电脑支架、液晶显示器、最大 220 磅体重和脉搏监视器 - SF-E3810，灰色</v>
      </c>
      <c r="E4865" s="1" t="str">
        <f>IFERROR(__xludf.DUMMYFUNCTION("CONCATENATE(GOOGLETRANSLATE(C4865, ""en"", ""ko""))"),"Sunny 건강 및 피트니스 자기 타원형 트레이너 기계, 태블릿 홀더, LCD 모니터, 220LB 최대 중량 및 맥박 모니터 포함 - SF-E3810, 회색")</f>
        <v>Sunny 건강 및 피트니스 자기 타원형 트레이너 기계, 태블릿 홀더, LCD 모니터, 220LB 최대 중량 및 맥박 모니터 포함 - SF-E3810, 회색</v>
      </c>
      <c r="F4865" s="1" t="str">
        <f>IFERROR(__xludf.DUMMYFUNCTION("CONCATENATE(GOOGLETRANSLATE(C4865, ""en"", ""ja""))"),"Sunny Health &amp; Fitness 磁気エリプティカル トレーナー マシン、タブレット ホルダー、LCD モニター、最大 220 ポンドの体重および脈拍モニター付き - SF-E3810、グレー")</f>
        <v>Sunny Health &amp; Fitness 磁気エリプティカル トレーナー マシン、タブレット ホルダー、LCD モニター、最大 220 ポンドの体重および脈拍モニター付き - SF-E3810、グレー</v>
      </c>
    </row>
    <row r="4866" ht="15.75" customHeight="1">
      <c r="A4866" s="1">
        <v>6219.0</v>
      </c>
      <c r="B4866" s="1" t="s">
        <v>15</v>
      </c>
      <c r="C4866" s="1" t="s">
        <v>1853</v>
      </c>
      <c r="D4866" s="1" t="str">
        <f>IFERROR(__xludf.DUMMYFUNCTION("CONCATENATE(GOOGLETRANSLATE(C4866, ""en"", ""zh-cn""))"),"带金属腿和盖子的拼图桌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4866" s="1" t="str">
        <f>IFERROR(__xludf.DUMMYFUNCTION("CONCATENATE(GOOGLETRANSLATE(C4866, ""en"", ""ko""))"),"금속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4866" s="1" t="str">
        <f>IFERROR(__xludf.DUMMYFUNCTION("CONCATENATE(GOOGLETRANSLATE(C4866, ""en"", ""ja""))"),"金属製の脚とカバー付きパズルテーブル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4867" ht="15.75" customHeight="1">
      <c r="A4867" s="1">
        <v>6234.0</v>
      </c>
      <c r="B4867" s="1" t="s">
        <v>15</v>
      </c>
      <c r="C4867" s="1" t="s">
        <v>1649</v>
      </c>
      <c r="D4867" s="1" t="str">
        <f>IFERROR(__xludf.DUMMYFUNCTION("CONCATENATE(GOOGLETRANSLATE(C4867, ""en"", ""zh-cn""))"),"GAN 机器人，魔方解谜机自动解谜器和解谜器，兼容 GAN 356i2 i3 iplay iCarry Speed Cubes（不含魔方）和最新版本 APP")</f>
        <v>GAN 机器人，魔方解谜机自动解谜器和解谜器，兼容 GAN 356i2 i3 iplay iCarry Speed Cubes（不含魔方）和最新版本 APP</v>
      </c>
      <c r="E4867" s="1" t="str">
        <f>IFERROR(__xludf.DUMMYFUNCTION("CONCATENATE(GOOGLETRANSLATE(C4867, ""en"", ""ko""))"),"GAN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4867" s="1" t="str">
        <f>IFERROR(__xludf.DUMMYFUNCTION("CONCATENATE(GOOGLETRANSLATE(C4867, ""en"", ""ja""))"),"GAN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4868" ht="15.75" customHeight="1">
      <c r="A4868" s="1">
        <v>6235.0</v>
      </c>
      <c r="B4868" s="1" t="s">
        <v>15</v>
      </c>
      <c r="C4868" s="1" t="s">
        <v>2327</v>
      </c>
      <c r="D4868" s="1" t="str">
        <f>IFERROR(__xludf.DUMMYFUNCTION("CONCATENATE(GOOGLETRANSLATE(C4868, ""en"", ""zh-cn""))"),"GAN 356 i 3 无贴纸速度魔方，3x3 智能魔方 356 i3 甘斯磁力魔方智能跟踪计时运动步骤与 CubeStation 应用程序甘魔方拼图玩具（不含 GAN 机器人）")</f>
        <v>GAN 356 i 3 无贴纸速度魔方，3x3 智能魔方 356 i3 甘斯磁力魔方智能跟踪计时运动步骤与 CubeStation 应用程序甘魔方拼图玩具（不含 GAN 机器人）</v>
      </c>
      <c r="E4868" s="1" t="str">
        <f>IFERROR(__xludf.DUMMYFUNCTION("CONCATENATE(GOOGLETRANSLATE(C4868, ""en"", ""ko""))"),"GAN 356 i 3 스티커 없는 스피드 큐브, 3x3 스마트 큐브 356 i3 Gans 마그네틱 큐브 CubeStation 앱을 사용한 지능형 추적 타이밍 동작 단계 Gan 큐브 퍼즐 장난감(GAN 로봇은 포함되지 않음)")</f>
        <v>GAN 356 i 3 스티커 없는 스피드 큐브, 3x3 스마트 큐브 356 i3 Gans 마그네틱 큐브 CubeStation 앱을 사용한 지능형 추적 타이밍 동작 단계 Gan 큐브 퍼즐 장난감(GAN 로봇은 포함되지 않음)</v>
      </c>
      <c r="F4868" s="1" t="str">
        <f>IFERROR(__xludf.DUMMYFUNCTION("CONCATENATE(GOOGLETRANSLATE(C4868, ""en"", ""ja""))"),"GAN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f>
        <v>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v>
      </c>
    </row>
    <row r="4869" ht="15.75" customHeight="1">
      <c r="A4869" s="1">
        <v>6250.0</v>
      </c>
      <c r="B4869" s="1" t="s">
        <v>15</v>
      </c>
      <c r="C4869" s="1" t="s">
        <v>2845</v>
      </c>
      <c r="D4869" s="1" t="str">
        <f>IFERROR(__xludf.DUMMYFUNCTION("CONCATENATE(GOOGLETRANSLATE(C4869, ""en"", ""zh-cn""))"),"Igloo BMX 72 夸脱冷却器采用 Cool Riser 技术、鱼尺和系紧点")</f>
        <v>Igloo BMX 72 夸脱冷却器采用 Cool Riser 技术、鱼尺和系紧点</v>
      </c>
      <c r="E4869" s="1" t="str">
        <f>IFERROR(__xludf.DUMMYFUNCTION("CONCATENATE(GOOGLETRANSLATE(C4869, ""en"", ""ko""))"),"쿨 라이저 기술, 피시 눈금자 및 타이다운 포인트를 갖춘 이글루 BMX 72쿼트 쿨러")</f>
        <v>쿨 라이저 기술, 피시 눈금자 및 타이다운 포인트를 갖춘 이글루 BMX 72쿼트 쿨러</v>
      </c>
      <c r="F4869" s="1" t="str">
        <f>IFERROR(__xludf.DUMMYFUNCTION("CONCATENATE(GOOGLETRANSLATE(C4869, ""en"", ""ja""))"),"Igloo BMX 72 クォート クーラー、クール ライザー テクノロジー、フィッシュ ルーラー、タイダウン ポイント付き")</f>
        <v>Igloo BMX 72 クォート クーラー、クール ライザー テクノロジー、フィッシュ ルーラー、タイダウン ポイント付き</v>
      </c>
    </row>
    <row r="4870" ht="15.75" customHeight="1">
      <c r="A4870" s="1">
        <v>6267.0</v>
      </c>
      <c r="B4870" s="1" t="s">
        <v>15</v>
      </c>
      <c r="C4870" s="1" t="s">
        <v>1850</v>
      </c>
      <c r="D4870" s="1" t="str">
        <f>IFERROR(__xludf.DUMMYFUNCTION("CONCATENATE(GOOGLETRANSLATE(C4870, ""en"", ""zh-cn""))"),"GAN 13 磁悬浮磨砂涂层，磁性速度魔方 3x3 无贴纸 56 毫米磁铁魔方拼图玩具，GAN 2022 旗舰")</f>
        <v>GAN 13 磁悬浮磨砂涂层，磁性速度魔方 3x3 无贴纸 56 毫米磁铁魔方拼图玩具，GAN 2022 旗舰</v>
      </c>
      <c r="E4870" s="1" t="str">
        <f>IFERROR(__xludf.DUMMYFUNCTION("CONCATENATE(GOOGLETRANSLATE(C4870, ""en"", ""ko""))"),"GAN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4870" s="1" t="str">
        <f>IFERROR(__xludf.DUMMYFUNCTION("CONCATENATE(GOOGLETRANSLATE(C4870, ""en"", ""ja""))"),"GAN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4871" ht="15.75" customHeight="1">
      <c r="A4871" s="1">
        <v>6272.0</v>
      </c>
      <c r="B4871" s="1" t="s">
        <v>15</v>
      </c>
      <c r="C4871" s="1" t="s">
        <v>1824</v>
      </c>
      <c r="D4871" s="1" t="str">
        <f>IFERROR(__xludf.DUMMYFUNCTION("CONCATENATE(GOOGLETRANSLATE(C4871, ""en"", ""zh-cn""))"),"ALL4JIG 1500 件便携式带腿拼图桌，可调节拼图板，带 4 个抽屉和盖子，3 倾斜角度成人拼图桌")</f>
        <v>ALL4JIG 1500 件便携式带腿拼图桌，可调节拼图板，带 4 个抽屉和盖子，3 倾斜角度成人拼图桌</v>
      </c>
      <c r="E4871" s="1" t="str">
        <f>IFERROR(__xludf.DUMMYFUNCTION("CONCATENATE(GOOGLETRANSLATE(C4871, ""en"", ""ko""))"),"ALL4JIG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4871" s="1" t="str">
        <f>IFERROR(__xludf.DUMMYFUNCTION("CONCATENATE(GOOGLETRANSLATE(C4871, ""en"", ""ja""))"),"ALL4JIG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4872" ht="15.75" customHeight="1">
      <c r="A4872" s="1">
        <v>6293.0</v>
      </c>
      <c r="B4872" s="1" t="s">
        <v>15</v>
      </c>
      <c r="C4872" s="1" t="s">
        <v>1845</v>
      </c>
      <c r="D4872" s="1" t="str">
        <f>IFERROR(__xludf.DUMMYFUNCTION("CONCATENATE(GOOGLETRANSLATE(C4872, ""en"", ""zh-cn""))"),"LiangCuber GAN 13磁悬浮旗舰磁力3x3无贴纸GAN13 M速度魔方（磨砂版）")</f>
        <v>LiangCuber GAN 13磁悬浮旗舰磁力3x3无贴纸GAN13 M速度魔方（磨砂版）</v>
      </c>
      <c r="E4872" s="1" t="str">
        <f>IFERROR(__xludf.DUMMYFUNCTION("CONCATENATE(GOOGLETRANSLATE(C4872, ""en"", ""ko""))"),"LiangCuber GAN 13 자기 부상 플래그십 마그네틱 3x3 스티커 없는 GAN13 M 스피드 큐브(반투명 버전)")</f>
        <v>LiangCuber GAN 13 자기 부상 플래그십 마그네틱 3x3 스티커 없는 GAN13 M 스피드 큐브(반투명 버전)</v>
      </c>
      <c r="F4872" s="1" t="str">
        <f>IFERROR(__xludf.DUMMYFUNCTION("CONCATENATE(GOOGLETRANSLATE(C4872, ""en"", ""ja""))"),"LiangCuber GAN 13 マグレブ旗艦 磁気 3x3 ステッカーレス GAN13 M スピード キューブ (つや消しバージョン)")</f>
        <v>LiangCuber GAN 13 マグレブ旗艦 磁気 3x3 ステッカーレス GAN13 M スピード キューブ (つや消しバージョン)</v>
      </c>
    </row>
    <row r="4873" ht="15.75" customHeight="1">
      <c r="A4873" s="1">
        <v>6309.0</v>
      </c>
      <c r="B4873" s="1" t="s">
        <v>15</v>
      </c>
      <c r="C4873" s="1" t="s">
        <v>2846</v>
      </c>
      <c r="D4873" s="1" t="str">
        <f>IFERROR(__xludf.DUMMYFUNCTION("CONCATENATE(GOOGLETRANSLATE(C4873, ""en"", ""zh-cn""))"),"Troy Lee 设计 A3 MIPS 头盔")</f>
        <v>Troy Lee 设计 A3 MIPS 头盔</v>
      </c>
      <c r="E4873" s="1" t="str">
        <f>IFERROR(__xludf.DUMMYFUNCTION("CONCATENATE(GOOGLETRANSLATE(C4873, ""en"", ""ko""))"),"Troy Lee, A3 MIPS 헬멧 디자인")</f>
        <v>Troy Lee, A3 MIPS 헬멧 디자인</v>
      </c>
      <c r="F4873" s="1" t="str">
        <f>IFERROR(__xludf.DUMMYFUNCTION("CONCATENATE(GOOGLETRANSLATE(C4873, ""en"", ""ja""))"),"Troy Lee デザイン A3 MIPS ヘルメット")</f>
        <v>Troy Lee デザイン A3 MIPS ヘルメット</v>
      </c>
    </row>
    <row r="4874" ht="15.75" customHeight="1">
      <c r="A4874" s="1">
        <v>6332.0</v>
      </c>
      <c r="B4874" s="1" t="s">
        <v>15</v>
      </c>
      <c r="C4874" s="1" t="s">
        <v>1846</v>
      </c>
      <c r="D4874" s="1" t="str">
        <f>IFERROR(__xludf.DUMMYFUNCTION("CONCATENATE(GOOGLETRANSLATE(C4874, ""en"", ""zh-cn""))"),"带抽屉和盖垫的拼图板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4874" s="1" t="str">
        <f>IFERROR(__xludf.DUMMYFUNCTION("CONCATENATE(GOOGLETRANSLATE(C4874, ""en"", ""ko""))"),"서랍과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4874" s="1" t="str">
        <f>IFERROR(__xludf.DUMMYFUNCTION("CONCATENATE(GOOGLETRANSLATE(C4874, ""en"", ""ja""))"),"引き出しとカバー付きパズルボード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4875" ht="15.75" customHeight="1">
      <c r="A4875" s="1">
        <v>6333.0</v>
      </c>
      <c r="B4875" s="1" t="s">
        <v>15</v>
      </c>
      <c r="C4875" s="1" t="s">
        <v>1850</v>
      </c>
      <c r="D4875" s="1" t="str">
        <f>IFERROR(__xludf.DUMMYFUNCTION("CONCATENATE(GOOGLETRANSLATE(C4875, ""en"", ""zh-cn""))"),"GAN 13 磁悬浮磨砂涂层，磁性速度魔方 3x3 无贴纸 56 毫米磁铁魔方拼图玩具，GAN 2022 旗舰")</f>
        <v>GAN 13 磁悬浮磨砂涂层，磁性速度魔方 3x3 无贴纸 56 毫米磁铁魔方拼图玩具，GAN 2022 旗舰</v>
      </c>
      <c r="E4875" s="1" t="str">
        <f>IFERROR(__xludf.DUMMYFUNCTION("CONCATENATE(GOOGLETRANSLATE(C4875, ""en"", ""ko""))"),"GAN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4875" s="1" t="str">
        <f>IFERROR(__xludf.DUMMYFUNCTION("CONCATENATE(GOOGLETRANSLATE(C4875, ""en"", ""ja""))"),"GAN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4876" ht="15.75" customHeight="1">
      <c r="A4876" s="1">
        <v>6334.0</v>
      </c>
      <c r="B4876" s="1" t="s">
        <v>15</v>
      </c>
      <c r="C4876" s="1" t="s">
        <v>1845</v>
      </c>
      <c r="D4876" s="1" t="str">
        <f>IFERROR(__xludf.DUMMYFUNCTION("CONCATENATE(GOOGLETRANSLATE(C4876, ""en"", ""zh-cn""))"),"LiangCuber GAN 13磁悬浮旗舰磁力3x3无贴纸GAN13 M速度魔方（磨砂版）")</f>
        <v>LiangCuber GAN 13磁悬浮旗舰磁力3x3无贴纸GAN13 M速度魔方（磨砂版）</v>
      </c>
      <c r="E4876" s="1" t="str">
        <f>IFERROR(__xludf.DUMMYFUNCTION("CONCATENATE(GOOGLETRANSLATE(C4876, ""en"", ""ko""))"),"LiangCuber GAN 13 자기 부상 플래그십 마그네틱 3x3 스티커 없는 GAN13 M 스피드 큐브(반투명 버전)")</f>
        <v>LiangCuber GAN 13 자기 부상 플래그십 마그네틱 3x3 스티커 없는 GAN13 M 스피드 큐브(반투명 버전)</v>
      </c>
      <c r="F4876" s="1" t="str">
        <f>IFERROR(__xludf.DUMMYFUNCTION("CONCATENATE(GOOGLETRANSLATE(C4876, ""en"", ""ja""))"),"LiangCuber GAN 13 マグレブ旗艦 磁気 3x3 ステッカーレス GAN13 M スピード キューブ (つや消しバージョン)")</f>
        <v>LiangCuber GAN 13 マグレブ旗艦 磁気 3x3 ステッカーレス GAN13 M スピード キューブ (つや消しバージョン)</v>
      </c>
    </row>
    <row r="4877" ht="15.75" customHeight="1">
      <c r="A4877" s="1">
        <v>6345.0</v>
      </c>
      <c r="B4877" s="1" t="s">
        <v>15</v>
      </c>
      <c r="C4877" s="1" t="s">
        <v>1843</v>
      </c>
      <c r="D4877" s="1" t="str">
        <f>IFERROR(__xludf.DUMMYFUNCTION("CONCATENATE(GOOGLETRANSLATE(C4877, ""en"", ""zh-cn""))"),"BroMocube 的 GAN 11M Pro 3x3 速度魔方 GAN 11 磁性拼图魔方 Gan11M 魔方（GAN 11 M Pro 磨砂无贴纸（黑色））")</f>
        <v>BroMocube 的 GAN 11M Pro 3x3 速度魔方 GAN 11 磁性拼图魔方 Gan11M 魔方（GAN 11 M Pro 磨砂无贴纸（黑色））</v>
      </c>
      <c r="E4877" s="1" t="str">
        <f>IFERROR(__xludf.DUMMYFUNCTION("CONCATENATE(GOOGLETRANSLATE(C4877, ""en"", ""ko""))"),"GAN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4877" s="1" t="str">
        <f>IFERROR(__xludf.DUMMYFUNCTION("CONCATENATE(GOOGLETRANSLATE(C4877, ""en"", ""ja""))"),"GAN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4878" ht="15.75" customHeight="1">
      <c r="A4878" s="1">
        <v>6349.0</v>
      </c>
      <c r="B4878" s="1" t="s">
        <v>15</v>
      </c>
      <c r="C4878" s="1" t="s">
        <v>1840</v>
      </c>
      <c r="D4878" s="1" t="str">
        <f>IFERROR(__xludf.DUMMYFUNCTION("CONCATENATE(GOOGLETRANSLATE(C4878, ""en"", ""zh-cn""))"),"Cuberspeed GAN 13 uv 涂层 MagLev 无贴纸 3x3 速度立方拼图 gan13 maglev uv 涂层旗舰拼图")</f>
        <v>Cuberspeed GAN 13 uv 涂层 MagLev 无贴纸 3x3 速度立方拼图 gan13 maglev uv 涂层旗舰拼图</v>
      </c>
      <c r="E4878" s="1" t="str">
        <f>IFERROR(__xludf.DUMMYFUNCTION("CONCATENATE(GOOGLETRANSLATE(C4878, ""en"", ""ko""))"),"Cuberspeed GAN 13 uv 코팅 MagLev 스티커가 없는 3x3 스피드 큐브 퍼즐 gan13 maglev uv 코팅 플래그십 퍼즐")</f>
        <v>Cuberspeed GAN 13 uv 코팅 MagLev 스티커가 없는 3x3 스피드 큐브 퍼즐 gan13 maglev uv 코팅 플래그십 퍼즐</v>
      </c>
      <c r="F4878" s="1" t="str">
        <f>IFERROR(__xludf.DUMMYFUNCTION("CONCATENATE(GOOGLETRANSLATE(C4878, ""en"", ""ja""))"),"Cuberspeed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4879" ht="15.75" customHeight="1">
      <c r="A4879" s="1">
        <v>6350.0</v>
      </c>
      <c r="B4879" s="1" t="s">
        <v>15</v>
      </c>
      <c r="C4879" s="1" t="s">
        <v>1846</v>
      </c>
      <c r="D4879" s="1" t="str">
        <f>IFERROR(__xludf.DUMMYFUNCTION("CONCATENATE(GOOGLETRANSLATE(C4879, ""en"", ""zh-cn""))"),"带抽屉和盖垫的拼图板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4879" s="1" t="str">
        <f>IFERROR(__xludf.DUMMYFUNCTION("CONCATENATE(GOOGLETRANSLATE(C4879, ""en"", ""ko""))"),"서랍과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4879" s="1" t="str">
        <f>IFERROR(__xludf.DUMMYFUNCTION("CONCATENATE(GOOGLETRANSLATE(C4879, ""en"", ""ja""))"),"引き出しとカバー付きパズルボード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4880" ht="15.75" customHeight="1">
      <c r="A4880" s="1">
        <v>6385.0</v>
      </c>
      <c r="B4880" s="1" t="s">
        <v>15</v>
      </c>
      <c r="C4880" s="1" t="s">
        <v>4141</v>
      </c>
      <c r="D4880" s="1" t="str">
        <f>IFERROR(__xludf.DUMMYFUNCTION("CONCATENATE(GOOGLETRANSLATE(C4880, ""en"", ""zh-cn""))"),"女式高低不对称荷叶边下摆荷叶边衬衫连衣裙")</f>
        <v>女式高低不对称荷叶边下摆荷叶边衬衫连衣裙</v>
      </c>
      <c r="E4880" s="1" t="str">
        <f>IFERROR(__xludf.DUMMYFUNCTION("CONCATENATE(GOOGLETRANSLATE(C4880, ""en"", ""ko""))"),"여성용 하이 로우 비대칭 프릴 밑단 페플럼 셔츠 드레스")</f>
        <v>여성용 하이 로우 비대칭 프릴 밑단 페플럼 셔츠 드레스</v>
      </c>
      <c r="F4880" s="1" t="str">
        <f>IFERROR(__xludf.DUMMYFUNCTION("CONCATENATE(GOOGLETRANSLATE(C4880, ""en"", ""ja""))"),"レディースハイロー非対称フリルヘムペプラムシャツドレス")</f>
        <v>レディースハイロー非対称フリルヘムペプラムシャツドレス</v>
      </c>
    </row>
    <row r="4881" ht="15.75" customHeight="1">
      <c r="A4881" s="1">
        <v>6396.0</v>
      </c>
      <c r="B4881" s="1" t="s">
        <v>15</v>
      </c>
      <c r="C4881" s="1" t="s">
        <v>4142</v>
      </c>
      <c r="D4881" s="1" t="str">
        <f>IFERROR(__xludf.DUMMYFUNCTION("CONCATENATE(GOOGLETRANSLATE(C4881, ""en"", ""zh-cn""))"),"Dokotoo 女式正装休闲 V 领 3/4 袖上衣")</f>
        <v>Dokotoo 女式正装休闲 V 领 3/4 袖上衣</v>
      </c>
      <c r="E4881" s="1" t="str">
        <f>IFERROR(__xludf.DUMMYFUNCTION("CONCATENATE(GOOGLETRANSLATE(C4881, ""en"", ""ko""))"),"도코투 여성 드레시 캐주얼 브이넥 3/4슬리브 탑")</f>
        <v>도코투 여성 드레시 캐주얼 브이넥 3/4슬리브 탑</v>
      </c>
      <c r="F4881" s="1" t="str">
        <f>IFERROR(__xludf.DUMMYFUNCTION("CONCATENATE(GOOGLETRANSLATE(C4881, ""en"", ""ja""))"),"Dokotoo レディース ドレッシー カジュアル V ネック 7/4 スリーブ トップ")</f>
        <v>Dokotoo レディース ドレッシー カジュアル V ネック 7/4 スリーブ トップ</v>
      </c>
    </row>
    <row r="4882" ht="15.75" customHeight="1">
      <c r="A4882" s="1">
        <v>6402.0</v>
      </c>
      <c r="B4882" s="1" t="s">
        <v>15</v>
      </c>
      <c r="C4882" s="1" t="s">
        <v>4143</v>
      </c>
      <c r="D4882" s="1" t="str">
        <f>IFERROR(__xludf.DUMMYFUNCTION("CONCATENATE(GOOGLETRANSLATE(C4882, ""en"", ""zh-cn""))"),"女式圆领长袖衬衫和裤子套装")</f>
        <v>女式圆领长袖衬衫和裤子套装</v>
      </c>
      <c r="E4882" s="1" t="str">
        <f>IFERROR(__xludf.DUMMYFUNCTION("CONCATENATE(GOOGLETRANSLATE(C4882, ""en"", ""ko""))"),"여성용 라운드 넥 긴 소매 블라우스 및 바지 세트")</f>
        <v>여성용 라운드 넥 긴 소매 블라우스 및 바지 세트</v>
      </c>
      <c r="F4882" s="1" t="str">
        <f>IFERROR(__xludf.DUMMYFUNCTION("CONCATENATE(GOOGLETRANSLATE(C4882, ""en"", ""ja""))"),"レディース ラウンドネック長袖ブラウスとパンツのセット")</f>
        <v>レディース ラウンドネック長袖ブラウスとパンツのセット</v>
      </c>
    </row>
    <row r="4883" ht="15.75" customHeight="1">
      <c r="A4883" s="1">
        <v>6404.0</v>
      </c>
      <c r="B4883" s="1" t="s">
        <v>15</v>
      </c>
      <c r="C4883" s="1" t="s">
        <v>4144</v>
      </c>
      <c r="D4883" s="1" t="str">
        <f>IFERROR(__xludf.DUMMYFUNCTION("CONCATENATE(GOOGLETRANSLATE(C4883, ""en"", ""zh-cn""))"),"Shibever 秋季女式衬衫长袖上衣纽扣休闲衬衫宽松 V 领纯色")</f>
        <v>Shibever 秋季女式衬衫长袖上衣纽扣休闲衬衫宽松 V 领纯色</v>
      </c>
      <c r="E4883" s="1" t="str">
        <f>IFERROR(__xludf.DUMMYFUNCTION("CONCATENATE(GOOGLETRANSLATE(C4883, ""en"", ""ko""))"),"Shibever 가을 셔츠 여성용 긴 소매 탑 버튼 캐주얼 블라우스 루즈 피트 v 넥 솔리드")</f>
        <v>Shibever 가을 셔츠 여성용 긴 소매 탑 버튼 캐주얼 블라우스 루즈 피트 v 넥 솔리드</v>
      </c>
      <c r="F4883" s="1" t="str">
        <f>IFERROR(__xludf.DUMMYFUNCTION("CONCATENATE(GOOGLETRANSLATE(C4883, ""en"", ""ja""))"),"Shibever 秋シャツ レディース 長袖 トップス ボタン付き カジュアル ブラウス ルーズフィット Vネック ソリッド")</f>
        <v>Shibever 秋シャツ レディース 長袖 トップス ボタン付き カジュアル ブラウス ルーズフィット Vネック ソリッド</v>
      </c>
    </row>
    <row r="4884" ht="15.75" customHeight="1">
      <c r="A4884" s="1">
        <v>6417.0</v>
      </c>
      <c r="B4884" s="1" t="s">
        <v>15</v>
      </c>
      <c r="C4884" s="1" t="s">
        <v>4145</v>
      </c>
      <c r="D4884" s="1" t="str">
        <f>IFERROR(__xludf.DUMMYFUNCTION("CONCATENATE(GOOGLETRANSLATE(C4884, ""en"", ""zh-cn""))"),"Alex Vando 男式常规版型长袖弹力正装衬衫")</f>
        <v>Alex Vando 男式常规版型长袖弹力正装衬衫</v>
      </c>
      <c r="E4884" s="1" t="str">
        <f>IFERROR(__xludf.DUMMYFUNCTION("CONCATENATE(GOOGLETRANSLATE(C4884, ""en"", ""ko""))"),"Alex Vando 남성 레귤러핏 긴 소매 스트레치 드레스 셔츠")</f>
        <v>Alex Vando 남성 레귤러핏 긴 소매 스트레치 드레스 셔츠</v>
      </c>
      <c r="F4884" s="1" t="str">
        <f>IFERROR(__xludf.DUMMYFUNCTION("CONCATENATE(GOOGLETRANSLATE(C4884, ""en"", ""ja""))"),"Alex Vando メンズ レギュラーフィット 長袖 ストレッチ ドレスシャツ")</f>
        <v>Alex Vando メンズ レギュラーフィット 長袖 ストレッチ ドレスシャツ</v>
      </c>
    </row>
    <row r="4885" ht="15.75" customHeight="1">
      <c r="A4885" s="1">
        <v>6419.0</v>
      </c>
      <c r="B4885" s="1" t="s">
        <v>15</v>
      </c>
      <c r="C4885" s="1" t="s">
        <v>4146</v>
      </c>
      <c r="D4885" s="1" t="str">
        <f>IFERROR(__xludf.DUMMYFUNCTION("CONCATENATE(GOOGLETRANSLATE(C4885, ""en"", ""zh-cn""))"),"Fashion Nova 男士绉纱纽扣衬衫")</f>
        <v>Fashion Nova 男士绉纱纽扣衬衫</v>
      </c>
      <c r="E4885" s="1" t="str">
        <f>IFERROR(__xludf.DUMMYFUNCTION("CONCATENATE(GOOGLETRANSLATE(C4885, ""en"", ""ko""))"),"패션 노바 남성 크레이프 버튼 업 셔츠")</f>
        <v>패션 노바 남성 크레이프 버튼 업 셔츠</v>
      </c>
      <c r="F4885" s="1" t="str">
        <f>IFERROR(__xludf.DUMMYFUNCTION("CONCATENATE(GOOGLETRANSLATE(C4885, ""en"", ""ja""))"),"Fashion Nova メンズ クレープ ボタンアップ シャツ")</f>
        <v>Fashion Nova メンズ クレープ ボタンアップ シャツ</v>
      </c>
    </row>
    <row r="4886" ht="15.75" customHeight="1">
      <c r="A4886" s="1">
        <v>6421.0</v>
      </c>
      <c r="B4886" s="1" t="s">
        <v>15</v>
      </c>
      <c r="C4886" s="1" t="s">
        <v>4147</v>
      </c>
      <c r="D4886" s="1" t="str">
        <f>IFERROR(__xludf.DUMMYFUNCTION("CONCATENATE(GOOGLETRANSLATE(C4886, ""en"", ""zh-cn""))"),"ATG Wrangler 男士合成实用长裤")</f>
        <v>ATG Wrangler 男士合成实用长裤</v>
      </c>
      <c r="E4886" s="1" t="str">
        <f>IFERROR(__xludf.DUMMYFUNCTION("CONCATENATE(GOOGLETRANSLATE(C4886, ""en"", ""ko""))"),"ATG 랭글러 남성용 합성 유틸리티 팬츠")</f>
        <v>ATG 랭글러 남성용 합성 유틸리티 팬츠</v>
      </c>
      <c r="F4886" s="1" t="str">
        <f>IFERROR(__xludf.DUMMYFUNCTION("CONCATENATE(GOOGLETRANSLATE(C4886, ""en"", ""ja""))"),"ATG ラングラー メンズ 合成ユーティリティ パンツ")</f>
        <v>ATG ラングラー メンズ 合成ユーティリティ パンツ</v>
      </c>
    </row>
    <row r="4887" ht="15.75" customHeight="1">
      <c r="A4887" s="1">
        <v>6433.0</v>
      </c>
      <c r="B4887" s="1" t="s">
        <v>15</v>
      </c>
      <c r="C4887" s="1" t="s">
        <v>4148</v>
      </c>
      <c r="D4887" s="1" t="str">
        <f>IFERROR(__xludf.DUMMYFUNCTION("CONCATENATE(GOOGLETRANSLATE(C4887, ""en"", ""zh-cn""))"),"Tommy Hilfiger 男士绗缝羽绒夹克")</f>
        <v>Tommy Hilfiger 男士绗缝羽绒夹克</v>
      </c>
      <c r="E4887" s="1" t="str">
        <f>IFERROR(__xludf.DUMMYFUNCTION("CONCATENATE(GOOGLETRANSLATE(C4887, ""en"", ""ko""))"),"Tommy Hilfiger 남성 퀼팅 퍼퍼 재킷")</f>
        <v>Tommy Hilfiger 남성 퀼팅 퍼퍼 재킷</v>
      </c>
      <c r="F4887" s="1" t="str">
        <f>IFERROR(__xludf.DUMMYFUNCTION("CONCATENATE(GOOGLETRANSLATE(C4887, ""en"", ""ja""))"),"トミー ヒルフィガー メンズ キルティング パファー ジャケット")</f>
        <v>トミー ヒルフィガー メンズ キルティング パファー ジャケット</v>
      </c>
    </row>
    <row r="4888" ht="15.75" customHeight="1">
      <c r="A4888" s="1">
        <v>6457.0</v>
      </c>
      <c r="B4888" s="1" t="s">
        <v>15</v>
      </c>
      <c r="C4888" s="1" t="s">
        <v>4149</v>
      </c>
      <c r="D4888" s="1" t="str">
        <f>IFERROR(__xludf.DUMMYFUNCTION("CONCATENATE(GOOGLETRANSLATE(C4888, ""en"", ""zh-cn""))"),"Corsair Nautilus 240 RS ARGB 液体 CPU 冷却器")</f>
        <v>Corsair Nautilus 240 RS ARGB 液体 CPU 冷却器</v>
      </c>
      <c r="E4888" s="1" t="str">
        <f>IFERROR(__xludf.DUMMYFUNCTION("CONCATENATE(GOOGLETRANSLATE(C4888, ""en"", ""ko""))"),"Corsair Nautilus 240 RS ARGB 액체 CPU 쿨러")</f>
        <v>Corsair Nautilus 240 RS ARGB 액체 CPU 쿨러</v>
      </c>
      <c r="F4888" s="1" t="str">
        <f>IFERROR(__xludf.DUMMYFUNCTION("CONCATENATE(GOOGLETRANSLATE(C4888, ""en"", ""ja""))"),"Corsair Nautilus 240 RS ARGB 液体 CPU クーラー")</f>
        <v>Corsair Nautilus 240 RS ARGB 液体 CPU クーラー</v>
      </c>
    </row>
    <row r="4889" ht="15.75" customHeight="1">
      <c r="A4889" s="1">
        <v>6472.0</v>
      </c>
      <c r="B4889" s="1" t="s">
        <v>15</v>
      </c>
      <c r="C4889" s="1" t="s">
        <v>4150</v>
      </c>
      <c r="D4889" s="1" t="str">
        <f>IFERROR(__xludf.DUMMYFUNCTION("CONCATENATE(GOOGLETRANSLATE(C4889, ""en"", ""zh-cn""))"),"芯能 DDR5 64GB 内存")</f>
        <v>芯能 DDR5 64GB 内存</v>
      </c>
      <c r="E4889" s="1" t="str">
        <f>IFERROR(__xludf.DUMMYFUNCTION("CONCATENATE(GOOGLETRANSLATE(C4889, ""en"", ""ko""))"),"실리콘 파워 DDR5 64GB 메모리")</f>
        <v>실리콘 파워 DDR5 64GB 메모리</v>
      </c>
      <c r="F4889" s="1" t="str">
        <f>IFERROR(__xludf.DUMMYFUNCTION("CONCATENATE(GOOGLETRANSLATE(C4889, ""en"", ""ja""))"),"シリコンパワーDDR5 64GBメモリ")</f>
        <v>シリコンパワーDDR5 64GBメモリ</v>
      </c>
    </row>
    <row r="4890" ht="15.75" customHeight="1">
      <c r="A4890" s="1">
        <v>6473.0</v>
      </c>
      <c r="B4890" s="1" t="s">
        <v>15</v>
      </c>
      <c r="C4890" s="1" t="s">
        <v>4151</v>
      </c>
      <c r="D4890" s="1" t="str">
        <f>IFERROR(__xludf.DUMMYFUNCTION("CONCATENATE(GOOGLETRANSLATE(C4890, ""en"", ""zh-cn""))"),"GEEKOM A8 Max Ai 迷你电脑")</f>
        <v>GEEKOM A8 Max Ai 迷你电脑</v>
      </c>
      <c r="E4890" s="1" t="str">
        <f>IFERROR(__xludf.DUMMYFUNCTION("CONCATENATE(GOOGLETRANSLATE(C4890, ""en"", ""ko""))"),"GEEKOM A8 Max Ai 미니 PC")</f>
        <v>GEEKOM A8 Max Ai 미니 PC</v>
      </c>
      <c r="F4890" s="1" t="str">
        <f>IFERROR(__xludf.DUMMYFUNCTION("CONCATENATE(GOOGLETRANSLATE(C4890, ""en"", ""ja""))"),"GEEKOM A8 Max Ai ミニ PC")</f>
        <v>GEEKOM A8 Max Ai ミニ PC</v>
      </c>
    </row>
    <row r="4891" ht="15.75" customHeight="1">
      <c r="A4891" s="1">
        <v>6474.0</v>
      </c>
      <c r="B4891" s="1" t="s">
        <v>15</v>
      </c>
      <c r="C4891" s="1" t="s">
        <v>4152</v>
      </c>
      <c r="D4891" s="1" t="str">
        <f>IFERROR(__xludf.DUMMYFUNCTION("CONCATENATE(GOOGLETRANSLATE(C4891, ""en"", ""zh-cn""))"),"“惠普便携式笔记本电脑，学生和商用，14 英寸高清显示屏，英特尔四核 N4120，16GB DDR4 RAM，64GB eMMC，1 年 Office 365，网络摄像头，SD 卡读卡器")</f>
        <v>“惠普便携式笔记本电脑，学生和商用，14 英寸高清显示屏，英特尔四核 N4120，16GB DDR4 RAM，64GB eMMC，1 年 Office 365，网络摄像头，SD 卡读卡器</v>
      </c>
      <c r="E4891" s="1" t="str">
        <f>IFERROR(__xludf.DUMMYFUNCTION("CONCATENATE(GOOGLETRANSLATE(C4891, ""en"", ""ko""))"),"""HP 휴대용 노트북, 학생 및 비즈니스, 14"" HD 디스플레이, Intel 쿼드 코어 N4120, 16GB DDR4 RAM, 64GB eMMC, 1년 Office 365, 웹캠, SD 카드 리더")</f>
        <v>"HP 휴대용 노트북, 학생 및 비즈니스, 14" HD 디스플레이, Intel 쿼드 코어 N4120, 16GB DDR4 RAM, 64GB eMMC, 1년 Office 365, 웹캠, SD 카드 리더</v>
      </c>
      <c r="F4891" s="1" t="str">
        <f>IFERROR(__xludf.DUMMYFUNCTION("CONCATENATE(GOOGLETRANSLATE(C4891, ""en"", ""ja""))"),"「HP ポータブル ラップトップ、学生およびビジネス、14 インチ HD ディスプレイ、インテル クアッドコア N4120、16GB DDR4 RAM、64GB eMMC、1 年間の Office 365、Web カメラ、SD カード リーダー")</f>
        <v>「HP ポータブル ラップトップ、学生およびビジネス、14 インチ HD ディスプレイ、インテル クアッドコア N4120、16GB DDR4 RAM、64GB eMMC、1 年間の Office 365、Web カメラ、SD カード リーダー</v>
      </c>
    </row>
    <row r="4892" ht="15.75" customHeight="1">
      <c r="A4892" s="1">
        <v>6481.0</v>
      </c>
      <c r="B4892" s="1" t="s">
        <v>15</v>
      </c>
      <c r="C4892" s="1" t="s">
        <v>4153</v>
      </c>
      <c r="D4892" s="1" t="str">
        <f>IFERROR(__xludf.DUMMYFUNCTION("CONCATENATE(GOOGLETRANSLATE(C4892, ""en"", ""zh-cn""))"),"荣耀 Model O 2 有线游戏鼠标")</f>
        <v>荣耀 Model O 2 有线游戏鼠标</v>
      </c>
      <c r="E4892" s="1" t="str">
        <f>IFERROR(__xludf.DUMMYFUNCTION("CONCATENATE(GOOGLETRANSLATE(C4892, ""en"", ""ko""))"),"Glorious Model O 2 유선 게이밍 마우스")</f>
        <v>Glorious Model O 2 유선 게이밍 마우스</v>
      </c>
      <c r="F4892" s="1" t="str">
        <f>IFERROR(__xludf.DUMMYFUNCTION("CONCATENATE(GOOGLETRANSLATE(C4892, ""en"", ""ja""))"),"Glorious Model O 2 有線ゲーミングマウス")</f>
        <v>Glorious Model O 2 有線ゲーミングマウス</v>
      </c>
    </row>
    <row r="4893" ht="15.75" customHeight="1">
      <c r="A4893" s="1">
        <v>6490.0</v>
      </c>
      <c r="B4893" s="1" t="s">
        <v>15</v>
      </c>
      <c r="C4893" s="1" t="s">
        <v>4154</v>
      </c>
      <c r="D4893" s="1" t="str">
        <f>IFERROR(__xludf.DUMMYFUNCTION("CONCATENATE(GOOGLETRANSLATE(C4893, ""en"", ""zh-cn""))"),"HP 通用 USB-C 集线器和笔记本电脑充电器组合")</f>
        <v>HP 通用 USB-C 集线器和笔记本电脑充电器组合</v>
      </c>
      <c r="E4893" s="1" t="str">
        <f>IFERROR(__xludf.DUMMYFUNCTION("CONCATENATE(GOOGLETRANSLATE(C4893, ""en"", ""ko""))"),"HP 범용 USB-C 허브 및 노트북 충전기 콤보")</f>
        <v>HP 범용 USB-C 허브 및 노트북 충전기 콤보</v>
      </c>
      <c r="F4893" s="1" t="str">
        <f>IFERROR(__xludf.DUMMYFUNCTION("CONCATENATE(GOOGLETRANSLATE(C4893, ""en"", ""ja""))"),"HP ユニバーサル USB-C ハブとラップトップ充電器のコンボ")</f>
        <v>HP ユニバーサル USB-C ハブとラップトップ充電器のコンボ</v>
      </c>
    </row>
    <row r="4894" ht="15.75" customHeight="1">
      <c r="A4894" s="1">
        <v>6505.0</v>
      </c>
      <c r="B4894" s="1" t="s">
        <v>15</v>
      </c>
      <c r="C4894" s="1" t="s">
        <v>4155</v>
      </c>
      <c r="D4894" s="1" t="str">
        <f>IFERROR(__xludf.DUMMYFUNCTION("CONCATENATE(GOOGLETRANSLATE(C4894, ""en"", ""zh-cn""))"),"戴尔 OptiPlex 7000 7020 Plus 台式电脑英特尔酷睿 i7 第 14 代 i7-14700")</f>
        <v>戴尔 OptiPlex 7000 7020 Plus 台式电脑英特尔酷睿 i7 第 14 代 i7-14700</v>
      </c>
      <c r="E4894" s="1" t="str">
        <f>IFERROR(__xludf.DUMMYFUNCTION("CONCATENATE(GOOGLETRANSLATE(C4894, ""en"", ""ko""))"),"델 옵티플렉스 7000 7020 플러스 데스크탑 컴퓨터 인텔 코어 i7 14세대 i7-14700")</f>
        <v>델 옵티플렉스 7000 7020 플러스 데스크탑 컴퓨터 인텔 코어 i7 14세대 i7-14700</v>
      </c>
      <c r="F4894" s="1" t="str">
        <f>IFERROR(__xludf.DUMMYFUNCTION("CONCATENATE(GOOGLETRANSLATE(C4894, ""en"", ""ja""))"),"Dell OptiPlex 7000 7020 Plus デスクトップ コンピュータ Intel Core i7 第 14 世代 i7-14700")</f>
        <v>Dell OptiPlex 7000 7020 Plus デスクトップ コンピュータ Intel Core i7 第 14 世代 i7-14700</v>
      </c>
    </row>
    <row r="4895" ht="15.75" customHeight="1">
      <c r="A4895" s="1">
        <v>6507.0</v>
      </c>
      <c r="B4895" s="1" t="s">
        <v>15</v>
      </c>
      <c r="C4895" s="1" t="s">
        <v>4156</v>
      </c>
      <c r="D4895" s="1" t="str">
        <f>IFERROR(__xludf.DUMMYFUNCTION("CONCATENATE(GOOGLETRANSLATE(C4895, ""en"", ""zh-cn""))"),"Keychron K3 超薄无线机械键盘")</f>
        <v>Keychron K3 超薄无线机械键盘</v>
      </c>
      <c r="E4895" s="1" t="str">
        <f>IFERROR(__xludf.DUMMYFUNCTION("CONCATENATE(GOOGLETRANSLATE(C4895, ""en"", ""ko""))"),"Keychron K3 울트라슬림 무선 기계식 키보드")</f>
        <v>Keychron K3 울트라슬림 무선 기계식 키보드</v>
      </c>
      <c r="F4895" s="1" t="str">
        <f>IFERROR(__xludf.DUMMYFUNCTION("CONCATENATE(GOOGLETRANSLATE(C4895, ""en"", ""ja""))"),"Keychron K3 ウルトラスリム ワイヤレス メカニカル キーボード")</f>
        <v>Keychron K3 ウルトラスリム ワイヤレス メカニカル キーボード</v>
      </c>
    </row>
    <row r="4896" ht="15.75" customHeight="1">
      <c r="A4896" s="1">
        <v>6515.0</v>
      </c>
      <c r="B4896" s="1" t="s">
        <v>15</v>
      </c>
      <c r="C4896" s="1" t="s">
        <v>4157</v>
      </c>
      <c r="D4896" s="1" t="str">
        <f>IFERROR(__xludf.DUMMYFUNCTION("CONCATENATE(GOOGLETRANSLATE(C4896, ""en"", ""zh-cn""))"),"Corsair K55 RGB PRO 游戏键盘")</f>
        <v>Corsair K55 RGB PRO 游戏键盘</v>
      </c>
      <c r="E4896" s="1" t="str">
        <f>IFERROR(__xludf.DUMMYFUNCTION("CONCATENATE(GOOGLETRANSLATE(C4896, ""en"", ""ko""))"),"Corsair K55 RGB PRO 게이밍 키보드")</f>
        <v>Corsair K55 RGB PRO 게이밍 키보드</v>
      </c>
      <c r="F4896" s="1" t="str">
        <f>IFERROR(__xludf.DUMMYFUNCTION("CONCATENATE(GOOGLETRANSLATE(C4896, ""en"", ""ja""))"),"Corsair K55 RGB PRO ゲーミング キーボード")</f>
        <v>Corsair K55 RGB PRO ゲーミング キーボード</v>
      </c>
    </row>
    <row r="4897" ht="15.75" customHeight="1">
      <c r="A4897" s="1">
        <v>6524.0</v>
      </c>
      <c r="B4897" s="1" t="s">
        <v>15</v>
      </c>
      <c r="C4897" s="1" t="s">
        <v>4158</v>
      </c>
      <c r="D4897" s="1" t="str">
        <f>IFERROR(__xludf.DUMMYFUNCTION("CONCATENATE(GOOGLETRANSLATE(C4897, ""en"", ""zh-cn""))"),"Corsair K70 RGB TKL Champion 系列机械游戏键盘")</f>
        <v>Corsair K70 RGB TKL Champion 系列机械游戏键盘</v>
      </c>
      <c r="E4897" s="1" t="str">
        <f>IFERROR(__xludf.DUMMYFUNCTION("CONCATENATE(GOOGLETRANSLATE(C4897, ""en"", ""ko""))"),"Corsair K70 RGB TKL Champion 시리즈 기계식 게이밍 키보드")</f>
        <v>Corsair K70 RGB TKL Champion 시리즈 기계식 게이밍 키보드</v>
      </c>
      <c r="F4897" s="1" t="str">
        <f>IFERROR(__xludf.DUMMYFUNCTION("CONCATENATE(GOOGLETRANSLATE(C4897, ""en"", ""ja""))"),"Corsair K70 RGB TKL Champion シリーズ メカニカル ゲーミング キーボード")</f>
        <v>Corsair K70 RGB TKL Champion シリーズ メカニカル ゲーミング キーボード</v>
      </c>
    </row>
    <row r="4898" ht="15.75" customHeight="1">
      <c r="A4898" s="1">
        <v>6529.0</v>
      </c>
      <c r="B4898" s="1" t="s">
        <v>15</v>
      </c>
      <c r="C4898" s="1" t="s">
        <v>4159</v>
      </c>
      <c r="D4898" s="1" t="str">
        <f>IFERROR(__xludf.DUMMYFUNCTION("CONCATENATE(GOOGLETRANSLATE(C4898, ""en"", ""zh-cn""))"),"10 合 1 C 型扩展坞")</f>
        <v>10 合 1 C 型扩展坞</v>
      </c>
      <c r="E4898" s="1" t="str">
        <f>IFERROR(__xludf.DUMMYFUNCTION("CONCATENATE(GOOGLETRANSLATE(C4898, ""en"", ""ko""))"),"10 in 1 유형 C 도킹 스테이션")</f>
        <v>10 in 1 유형 C 도킹 스테이션</v>
      </c>
      <c r="F4898" s="1" t="str">
        <f>IFERROR(__xludf.DUMMYFUNCTION("CONCATENATE(GOOGLETRANSLATE(C4898, ""en"", ""ja""))"),"10 in 1 Type C ドッキング ステーション")</f>
        <v>10 in 1 Type C ドッキング ステーション</v>
      </c>
    </row>
    <row r="4899" ht="15.75" customHeight="1">
      <c r="A4899" s="1">
        <v>6543.0</v>
      </c>
      <c r="B4899" s="1" t="s">
        <v>15</v>
      </c>
      <c r="C4899" s="1" t="s">
        <v>4160</v>
      </c>
      <c r="D4899" s="1" t="str">
        <f>IFERROR(__xludf.DUMMYFUNCTION("CONCATENATE(GOOGLETRANSLATE(C4899, ""en"", ""zh-cn""))"),"玩具系列飞机玩具")</f>
        <v>玩具系列飞机玩具</v>
      </c>
      <c r="E4899" s="1" t="str">
        <f>IFERROR(__xludf.DUMMYFUNCTION("CONCATENATE(GOOGLETRANSLATE(C4899, ""en"", ""ko""))"),"장난감 비행기 장난감")</f>
        <v>장난감 비행기 장난감</v>
      </c>
      <c r="F4899" s="1" t="str">
        <f>IFERROR(__xludf.DUMMYFUNCTION("CONCATENATE(GOOGLETRANSLATE(C4899, ""en"", ""ja""))"),"Toysery 飛行機のおもちゃ")</f>
        <v>Toysery 飛行機のおもちゃ</v>
      </c>
    </row>
    <row r="4900" ht="15.75" customHeight="1">
      <c r="A4900" s="1">
        <v>6544.0</v>
      </c>
      <c r="B4900" s="1" t="s">
        <v>15</v>
      </c>
      <c r="C4900" s="1" t="s">
        <v>4161</v>
      </c>
      <c r="D4900" s="1" t="str">
        <f>IFERROR(__xludf.DUMMYFUNCTION("CONCATENATE(GOOGLETRANSLATE(C4900, ""en"", ""zh-cn""))"),"FKATEEN 儿童智能手机")</f>
        <v>FKATEEN 儿童智能手机</v>
      </c>
      <c r="E4900" s="1" t="str">
        <f>IFERROR(__xludf.DUMMYFUNCTION("CONCATENATE(GOOGLETRANSLATE(C4900, ""en"", ""ko""))"),"FKATEEN 키즈 스마트폰")</f>
        <v>FKATEEN 키즈 스마트폰</v>
      </c>
      <c r="F4900" s="1" t="str">
        <f>IFERROR(__xludf.DUMMYFUNCTION("CONCATENATE(GOOGLETRANSLATE(C4900, ""en"", ""ja""))"),"FKATEEN キッズスマートフォン")</f>
        <v>FKATEEN キッズスマートフォン</v>
      </c>
    </row>
    <row r="4901" ht="15.75" customHeight="1">
      <c r="A4901" s="1">
        <v>6555.0</v>
      </c>
      <c r="B4901" s="1" t="s">
        <v>15</v>
      </c>
      <c r="C4901" s="1" t="s">
        <v>4162</v>
      </c>
      <c r="D4901" s="1" t="str">
        <f>IFERROR(__xludf.DUMMYFUNCTION("CONCATENATE(GOOGLETRANSLATE(C4901, ""en"", ""zh-cn""))"),"麦格纳太空瓷砖 32 件套")</f>
        <v>麦格纳太空瓷砖 32 件套</v>
      </c>
      <c r="E4901" s="1" t="str">
        <f>IFERROR(__xludf.DUMMYFUNCTION("CONCATENATE(GOOGLETRANSLATE(C4901, ""en"", ""ko""))"),"마그나 타일 스페이스 32피스 세트")</f>
        <v>마그나 타일 스페이스 32피스 세트</v>
      </c>
      <c r="F4901" s="1" t="str">
        <f>IFERROR(__xludf.DUMMYFUNCTION("CONCATENATE(GOOGLETRANSLATE(C4901, ""en"", ""ja""))"),"マグナタイル スペース 32枚セット")</f>
        <v>マグナタイル スペース 32枚セット</v>
      </c>
    </row>
    <row r="4902" ht="15.75" customHeight="1">
      <c r="A4902" s="1">
        <v>6560.0</v>
      </c>
      <c r="B4902" s="1" t="s">
        <v>15</v>
      </c>
      <c r="C4902" s="1" t="s">
        <v>4163</v>
      </c>
      <c r="D4902" s="1" t="str">
        <f>IFERROR(__xludf.DUMMYFUNCTION("CONCATENATE(GOOGLETRANSLATE(C4902, ""en"", ""zh-cn""))"),"华克建筑玩具 109 件茎玩具")</f>
        <v>华克建筑玩具 109 件茎玩具</v>
      </c>
      <c r="E4902" s="1" t="str">
        <f>IFERROR(__xludf.DUMMYFUNCTION("CONCATENATE(GOOGLETRANSLATE(C4902, ""en"", ""ko""))"),"Huaker 빌딩 장난감 109 조각 줄기 장난감")</f>
        <v>Huaker 빌딩 장난감 109 조각 줄기 장난감</v>
      </c>
      <c r="F4902" s="1" t="str">
        <f>IFERROR(__xludf.DUMMYFUNCTION("CONCATENATE(GOOGLETRANSLATE(C4902, ""en"", ""ja""))"),"Huaker 組み立ておもちゃ 109 ピース ステムおもちゃ")</f>
        <v>Huaker 組み立ておもちゃ 109 ピース ステムおもちゃ</v>
      </c>
    </row>
    <row r="4903" ht="15.75" customHeight="1">
      <c r="A4903" s="1">
        <v>6564.0</v>
      </c>
      <c r="B4903" s="1" t="s">
        <v>15</v>
      </c>
      <c r="C4903" s="1" t="s">
        <v>4164</v>
      </c>
      <c r="D4903" s="1" t="str">
        <f>IFERROR(__xludf.DUMMYFUNCTION("CONCATENATE(GOOGLETRANSLATE(C4903, ""en"", ""zh-cn""))"),"伟易达魔星学习桌")</f>
        <v>伟易达魔星学习桌</v>
      </c>
      <c r="E4903" s="1" t="str">
        <f>IFERROR(__xludf.DUMMYFUNCTION("CONCATENATE(GOOGLETRANSLATE(C4903, ""en"", ""ko""))"),"VTech 매직 스타 학습 테이블")</f>
        <v>VTech 매직 스타 학습 테이블</v>
      </c>
      <c r="F4903" s="1" t="str">
        <f>IFERROR(__xludf.DUMMYFUNCTION("CONCATENATE(GOOGLETRANSLATE(C4903, ""en"", ""ja""))"),"VTech マジックスター学習テーブル")</f>
        <v>VTech マジックスター学習テーブル</v>
      </c>
    </row>
    <row r="4904" ht="15.75" customHeight="1">
      <c r="A4904" s="1">
        <v>6594.0</v>
      </c>
      <c r="B4904" s="1" t="s">
        <v>15</v>
      </c>
      <c r="C4904" s="1" t="s">
        <v>4165</v>
      </c>
      <c r="D4904" s="1" t="str">
        <f>IFERROR(__xludf.DUMMYFUNCTION("CONCATENATE(GOOGLETRANSLATE(C4904, ""en"", ""zh-cn""))"),"富兰克林体育 X-40 户外匹克球")</f>
        <v>富兰克林体育 X-40 户外匹克球</v>
      </c>
      <c r="E4904" s="1" t="str">
        <f>IFERROR(__xludf.DUMMYFUNCTION("CONCATENATE(GOOGLETRANSLATE(C4904, ""en"", ""ko""))"),"프랭클린 스포츠 X-40 야외 피클볼")</f>
        <v>프랭클린 스포츠 X-40 야외 피클볼</v>
      </c>
      <c r="F4904" s="1" t="str">
        <f>IFERROR(__xludf.DUMMYFUNCTION("CONCATENATE(GOOGLETRANSLATE(C4904, ""en"", ""ja""))"),"フランクリン スポーツ X-40 アウトドア ピックルボール")</f>
        <v>フランクリン スポーツ X-40 アウトドア ピックルボール</v>
      </c>
    </row>
    <row r="4905" ht="15.75" customHeight="1">
      <c r="A4905" s="1">
        <v>6606.0</v>
      </c>
      <c r="B4905" s="1" t="s">
        <v>15</v>
      </c>
      <c r="C4905" s="1" t="s">
        <v>4166</v>
      </c>
      <c r="D4905" s="1" t="str">
        <f>IFERROR(__xludf.DUMMYFUNCTION("CONCATENATE(GOOGLETRANSLATE(C4905, ""en"", ""zh-cn""))"),"天行者运动排球套件")</f>
        <v>天行者运动排球套件</v>
      </c>
      <c r="E4905" s="1" t="str">
        <f>IFERROR(__xludf.DUMMYFUNCTION("CONCATENATE(GOOGLETRANSLATE(C4905, ""en"", ""ko""))"),"스카이워커 스포츠 배구 키트")</f>
        <v>스카이워커 스포츠 배구 키트</v>
      </c>
      <c r="F4905" s="1" t="str">
        <f>IFERROR(__xludf.DUMMYFUNCTION("CONCATENATE(GOOGLETRANSLATE(C4905, ""en"", ""ja""))"),"スカイウォーカー スポーツ バレーボール キット")</f>
        <v>スカイウォーカー スポーツ バレーボール キット</v>
      </c>
    </row>
    <row r="4906" ht="15.75" customHeight="1">
      <c r="A4906" s="1">
        <v>6626.0</v>
      </c>
      <c r="B4906" s="1" t="s">
        <v>15</v>
      </c>
      <c r="C4906" s="1" t="s">
        <v>4167</v>
      </c>
      <c r="D4906" s="1" t="str">
        <f>IFERROR(__xludf.DUMMYFUNCTION("CONCATENATE(GOOGLETRANSLATE(C4906, ""en"", ""zh-cn""))"),"Michele Serein 计时石英钻石腕表")</f>
        <v>Michele Serein 计时石英钻石腕表</v>
      </c>
      <c r="E4906" s="1" t="str">
        <f>IFERROR(__xludf.DUMMYFUNCTION("CONCATENATE(GOOGLETRANSLATE(C4906, ""en"", ""ko""))"),"Michele Serein 크로노그래프 쿼츠 다이아몬드 시계")</f>
        <v>Michele Serein 크로노그래프 쿼츠 다이아몬드 시계</v>
      </c>
      <c r="F4906" s="1" t="str">
        <f>IFERROR(__xludf.DUMMYFUNCTION("CONCATENATE(GOOGLETRANSLATE(C4906, ""en"", ""ja""))"),"ミシェル セライン クロノグラフ クォーツ ダイヤモンド ウォッチ")</f>
        <v>ミシェル セライン クロノグラフ クォーツ ダイヤモンド ウォッチ</v>
      </c>
    </row>
    <row r="4907" ht="15.75" customHeight="1">
      <c r="A4907" s="1">
        <v>6642.0</v>
      </c>
      <c r="B4907" s="1" t="s">
        <v>15</v>
      </c>
      <c r="C4907" s="1" t="s">
        <v>4168</v>
      </c>
      <c r="D4907" s="1" t="str">
        <f>IFERROR(__xludf.DUMMYFUNCTION("CONCATENATE(GOOGLETRANSLATE(C4907, ""en"", ""zh-cn""))"),"女士西铁城石英手表 EU6080-58D")</f>
        <v>女士西铁城石英手表 EU6080-58D</v>
      </c>
      <c r="E4907" s="1" t="str">
        <f>IFERROR(__xludf.DUMMYFUNCTION("CONCATENATE(GOOGLETRANSLATE(C4907, ""en"", ""ko""))"),"여성용 시티즌 쿼츠 시계 EU6080-58D")</f>
        <v>여성용 시티즌 쿼츠 시계 EU6080-58D</v>
      </c>
      <c r="F4907" s="1" t="str">
        <f>IFERROR(__xludf.DUMMYFUNCTION("CONCATENATE(GOOGLETRANSLATE(C4907, ""en"", ""ja""))"),"レディース シチズン クォーツ時計 EU6080-58D")</f>
        <v>レディース シチズン クォーツ時計 EU6080-58D</v>
      </c>
    </row>
    <row r="4908" ht="15.75" customHeight="1">
      <c r="A4908" s="1">
        <v>6653.0</v>
      </c>
      <c r="B4908" s="1" t="s">
        <v>15</v>
      </c>
      <c r="C4908" s="1" t="s">
        <v>4169</v>
      </c>
      <c r="D4908" s="1" t="str">
        <f>IFERROR(__xludf.DUMMYFUNCTION("CONCATENATE(GOOGLETRANSLATE(C4908, ""en"", ""zh-cn""))"),"Mous 彩虹色手机壳（适用于 iPhone 16 Plus）")</f>
        <v>Mous 彩虹色手机壳（适用于 iPhone 16 Plus）</v>
      </c>
      <c r="E4908" s="1" t="str">
        <f>IFERROR(__xludf.DUMMYFUNCTION("CONCATENATE(GOOGLETRANSLATE(C4908, ""en"", ""ko""))"),"iPhone 16 Plus용 Mous 무지개빛 휴대폰 케이스")</f>
        <v>iPhone 16 Plus용 Mous 무지개빛 휴대폰 케이스</v>
      </c>
      <c r="F4908" s="1" t="str">
        <f>IFERROR(__xludf.DUMMYFUNCTION("CONCATENATE(GOOGLETRANSLATE(C4908, ""en"", ""ja""))"),"Mous 虹色電話ケース iPhone 16 Plus用")</f>
        <v>Mous 虹色電話ケース iPhone 16 Plus用</v>
      </c>
    </row>
    <row r="4909" ht="15.75" customHeight="1">
      <c r="A4909" s="1">
        <v>6654.0</v>
      </c>
      <c r="B4909" s="1" t="s">
        <v>15</v>
      </c>
      <c r="C4909" s="1" t="s">
        <v>4170</v>
      </c>
      <c r="D4909" s="1" t="str">
        <f>IFERROR(__xludf.DUMMYFUNCTION("CONCATENATE(GOOGLETRANSLATE(C4909, ""en"", ""zh-cn""))"),"ESR HaloLock 通用 MagSafe 环")</f>
        <v>ESR HaloLock 通用 MagSafe 环</v>
      </c>
      <c r="E4909" s="1" t="str">
        <f>IFERROR(__xludf.DUMMYFUNCTION("CONCATENATE(GOOGLETRANSLATE(C4909, ""en"", ""ko""))"),"ESR HaloLock 범용 MagSafe 링")</f>
        <v>ESR HaloLock 범용 MagSafe 링</v>
      </c>
      <c r="F4909" s="1" t="str">
        <f>IFERROR(__xludf.DUMMYFUNCTION("CONCATENATE(GOOGLETRANSLATE(C4909, ""en"", ""ja""))"),"ESR HaloLock ユニバーサル MagSafe リング")</f>
        <v>ESR HaloLock ユニバーサル MagSafe リング</v>
      </c>
    </row>
    <row r="4910" ht="15.75" customHeight="1">
      <c r="A4910" s="1">
        <v>6671.0</v>
      </c>
      <c r="B4910" s="1" t="s">
        <v>15</v>
      </c>
      <c r="C4910" s="1" t="s">
        <v>4171</v>
      </c>
      <c r="D4910" s="1" t="str">
        <f>IFERROR(__xludf.DUMMYFUNCTION("CONCATENATE(GOOGLETRANSLATE(C4910, ""en"", ""zh-cn""))"),"电话循环")</f>
        <v>电话循环</v>
      </c>
      <c r="E4910" s="1" t="str">
        <f>IFERROR(__xludf.DUMMYFUNCTION("CONCATENATE(GOOGLETRANSLATE(C4910, ""en"", ""ko""))"),"전화 루프")</f>
        <v>전화 루프</v>
      </c>
      <c r="F4910" s="1" t="str">
        <f>IFERROR(__xludf.DUMMYFUNCTION("CONCATENATE(GOOGLETRANSLATE(C4910, ""en"", ""ja""))"),"電話ループ")</f>
        <v>電話ループ</v>
      </c>
    </row>
    <row r="4911" ht="15.75" customHeight="1">
      <c r="A4911" s="1">
        <v>6679.0</v>
      </c>
      <c r="B4911" s="1" t="s">
        <v>15</v>
      </c>
      <c r="C4911" s="1" t="s">
        <v>4172</v>
      </c>
      <c r="D4911" s="1" t="str">
        <f>IFERROR(__xludf.DUMMYFUNCTION("CONCATENATE(GOOGLETRANSLATE(C4911, ""en"", ""zh-cn""))"),"PopSockets PopGrip 滑动拉伸")</f>
        <v>PopSockets PopGrip 滑动拉伸</v>
      </c>
      <c r="E4911" s="1" t="str">
        <f>IFERROR(__xludf.DUMMYFUNCTION("CONCATENATE(GOOGLETRANSLATE(C4911, ""en"", ""ko""))"),"PopSockets PopGrip 슬라이드 스트레치")</f>
        <v>PopSockets PopGrip 슬라이드 스트레치</v>
      </c>
      <c r="F4911" s="1" t="str">
        <f>IFERROR(__xludf.DUMMYFUNCTION("CONCATENATE(GOOGLETRANSLATE(C4911, ""en"", ""ja""))"),"ポップソケッツ ポップグリップ スライド ストレッチ")</f>
        <v>ポップソケッツ ポップグリップ スライド ストレッチ</v>
      </c>
    </row>
    <row r="4912" ht="15.75" customHeight="1">
      <c r="A4912" s="1">
        <v>6688.0</v>
      </c>
      <c r="B4912" s="1" t="s">
        <v>15</v>
      </c>
      <c r="C4912" s="1" t="s">
        <v>4173</v>
      </c>
      <c r="D4912" s="1" t="str">
        <f>IFERROR(__xludf.DUMMYFUNCTION("CONCATENATE(GOOGLETRANSLATE(C4912, ""en"", ""zh-cn""))"),"PHOOZY Apollo II + 抗菌剂")</f>
        <v>PHOOZY Apollo II + 抗菌剂</v>
      </c>
      <c r="E4912" s="1" t="str">
        <f>IFERROR(__xludf.DUMMYFUNCTION("CONCATENATE(GOOGLETRANSLATE(C4912, ""en"", ""ko""))"),"PHOOZY Apollo II + 항균제")</f>
        <v>PHOOZY Apollo II + 항균제</v>
      </c>
      <c r="F4912" s="1" t="str">
        <f>IFERROR(__xludf.DUMMYFUNCTION("CONCATENATE(GOOGLETRANSLATE(C4912, ""en"", ""ja""))"),"PHOOZY アポロ II + 抗菌")</f>
        <v>PHOOZY アポロ II + 抗菌</v>
      </c>
    </row>
    <row r="4913" ht="15.75" customHeight="1">
      <c r="A4913" s="1">
        <v>6695.0</v>
      </c>
      <c r="B4913" s="1" t="s">
        <v>15</v>
      </c>
      <c r="C4913" s="1" t="s">
        <v>4174</v>
      </c>
      <c r="D4913" s="1" t="str">
        <f>IFERROR(__xludf.DUMMYFUNCTION("CONCATENATE(GOOGLETRANSLATE(C4913, ""en"", ""zh-cn""))"),"SMEG 50 复古风格迷你冰箱")</f>
        <v>SMEG 50 复古风格迷你冰箱</v>
      </c>
      <c r="E4913" s="1" t="str">
        <f>IFERROR(__xludf.DUMMYFUNCTION("CONCATENATE(GOOGLETRANSLATE(C4913, ""en"", ""ko""))"),"스메그 50년대 레트로 스타일 미니 냉장고")</f>
        <v>스메그 50년대 레트로 스타일 미니 냉장고</v>
      </c>
      <c r="F4913" s="1" t="str">
        <f>IFERROR(__xludf.DUMMYFUNCTION("CONCATENATE(GOOGLETRANSLATE(C4913, ""en"", ""ja""))"),"Smeg 50's レトロスタイル ミニ冷蔵庫")</f>
        <v>Smeg 50's レトロスタイル ミニ冷蔵庫</v>
      </c>
    </row>
    <row r="4914" ht="15.75" customHeight="1">
      <c r="A4914" s="1">
        <v>6696.0</v>
      </c>
      <c r="B4914" s="1" t="s">
        <v>15</v>
      </c>
      <c r="C4914" s="1" t="s">
        <v>4175</v>
      </c>
      <c r="D4914" s="1" t="str">
        <f>IFERROR(__xludf.DUMMYFUNCTION("CONCATENATE(GOOGLETRANSLATE(C4914, ""en"", ""zh-cn""))"),"冰箱 3.2 铜。英尺。带内置侧开瓶器的复古紧凑型冰箱")</f>
        <v>冰箱 3.2 铜。英尺。带内置侧开瓶器的复古紧凑型冰箱</v>
      </c>
      <c r="E4914" s="1" t="str">
        <f>IFERROR(__xludf.DUMMYFUNCTION("CONCATENATE(GOOGLETRANSLATE(C4914, ""en"", ""ko""))"),"냉장고 3.2 Cu. 포트. 측면 병따개 내장형 레트로 컴팩트 냉장고")</f>
        <v>냉장고 3.2 Cu. 포트. 측면 병따개 내장형 레트로 컴팩트 냉장고</v>
      </c>
      <c r="F4914" s="1" t="str">
        <f>IFERROR(__xludf.DUMMYFUNCTION("CONCATENATE(GOOGLETRANSLATE(C4914, ""en"", ""ja""))"),"フリジデア 3.2Cu。フォートサイド栓抜き内蔵レトロコンパクト冷蔵庫")</f>
        <v>フリジデア 3.2Cu。フォートサイド栓抜き内蔵レトロコンパクト冷蔵庫</v>
      </c>
    </row>
    <row r="4915" ht="15.75" customHeight="1">
      <c r="A4915" s="1">
        <v>6709.0</v>
      </c>
      <c r="B4915" s="1" t="s">
        <v>15</v>
      </c>
      <c r="C4915" s="1" t="s">
        <v>4176</v>
      </c>
      <c r="D4915" s="1" t="str">
        <f>IFERROR(__xludf.DUMMYFUNCTION("CONCATENATE(GOOGLETRANSLATE(C4915, ""en"", ""zh-cn""))"),"德鲁·巴里摩尔 (Drew Barrymore) 美丽的旋转比利时华夫饼机")</f>
        <v>德鲁·巴里摩尔 (Drew Barrymore) 美丽的旋转比利时华夫饼机</v>
      </c>
      <c r="E4915" s="1" t="str">
        <f>IFERROR(__xludf.DUMMYFUNCTION("CONCATENATE(GOOGLETRANSLATE(C4915, ""en"", ""ko""))"),"드류 베리모어 아름다운 회전식 벨기에 와플 메이커")</f>
        <v>드류 베리모어 아름다운 회전식 벨기에 와플 메이커</v>
      </c>
      <c r="F4915" s="1" t="str">
        <f>IFERROR(__xludf.DUMMYFUNCTION("CONCATENATE(GOOGLETRANSLATE(C4915, ""en"", ""ja""))"),"ドリュー・バリモア 美しい回転ベルギーワッフルメーカー")</f>
        <v>ドリュー・バリモア 美しい回転ベルギーワッフルメーカー</v>
      </c>
    </row>
    <row r="4916" ht="15.75" customHeight="1">
      <c r="A4916" s="1">
        <v>6717.0</v>
      </c>
      <c r="B4916" s="1" t="s">
        <v>15</v>
      </c>
      <c r="C4916" s="1" t="s">
        <v>4177</v>
      </c>
      <c r="D4916" s="1" t="str">
        <f>IFERROR(__xludf.DUMMYFUNCTION("CONCATENATE(GOOGLETRANSLATE(C4916, ""en"", ""zh-cn""))"),"Frigidaire Gallery 24 内置洗碗机")</f>
        <v>Frigidaire Gallery 24 内置洗碗机</v>
      </c>
      <c r="E4916" s="1" t="str">
        <f>IFERROR(__xludf.DUMMYFUNCTION("CONCATENATE(GOOGLETRANSLATE(C4916, ""en"", ""ko""))"),"Frigidaire Gallery 24 빌트인 식기세척기")</f>
        <v>Frigidaire Gallery 24 빌트인 식기세척기</v>
      </c>
      <c r="F4916" s="1" t="str">
        <f>IFERROR(__xludf.DUMMYFUNCTION("CONCATENATE(GOOGLETRANSLATE(C4916, ""en"", ""ja""))"),"フリジデア ギャラリー 24 ビルトイン食器洗い機")</f>
        <v>フリジデア ギャラリー 24 ビルトイン食器洗い機</v>
      </c>
    </row>
    <row r="4917" ht="15.75" customHeight="1">
      <c r="A4917" s="1">
        <v>6718.0</v>
      </c>
      <c r="B4917" s="1" t="s">
        <v>15</v>
      </c>
      <c r="C4917" s="1" t="s">
        <v>4178</v>
      </c>
      <c r="D4917" s="1" t="str">
        <f>IFERROR(__xludf.DUMMYFUNCTION("CONCATENATE(GOOGLETRANSLATE(C4917, ""en"", ""zh-cn""))"),"Haden Heritage 4 片宽槽烤面包机带电热水壶")</f>
        <v>Haden Heritage 4 片宽槽烤面包机带电热水壶</v>
      </c>
      <c r="E4917" s="1" t="str">
        <f>IFERROR(__xludf.DUMMYFUNCTION("CONCATENATE(GOOGLETRANSLATE(C4917, ""en"", ""ko""))"),"Haden Heritage 4 슬라이스 와이드 슬롯 토스터(전기 물 주전자 포함)")</f>
        <v>Haden Heritage 4 슬라이스 와이드 슬롯 토스터(전기 물 주전자 포함)</v>
      </c>
      <c r="F4917" s="1" t="str">
        <f>IFERROR(__xludf.DUMMYFUNCTION("CONCATENATE(GOOGLETRANSLATE(C4917, ""en"", ""ja""))"),"Haden Heritage 4 スライス ワイド スロット トースター 電気ケトル付き")</f>
        <v>Haden Heritage 4 スライス ワイド スロット トースター 電気ケトル付き</v>
      </c>
    </row>
    <row r="4918" ht="15.75" customHeight="1">
      <c r="A4918" s="1">
        <v>6731.0</v>
      </c>
      <c r="B4918" s="1" t="s">
        <v>15</v>
      </c>
      <c r="C4918" s="1" t="s">
        <v>4179</v>
      </c>
      <c r="D4918" s="1" t="str">
        <f>IFERROR(__xludf.DUMMYFUNCTION("CONCATENATE(GOOGLETRANSLATE(C4918, ""en"", ""zh-cn""))"),"常规健康无香洗发水")</f>
        <v>常规健康无香洗发水</v>
      </c>
      <c r="E4918" s="1" t="str">
        <f>IFERROR(__xludf.DUMMYFUNCTION("CONCATENATE(GOOGLETRANSLATE(C4918, ""en"", ""ko""))"),"루틴 웰니스 무향 샴푸")</f>
        <v>루틴 웰니스 무향 샴푸</v>
      </c>
      <c r="F4918" s="1" t="str">
        <f>IFERROR(__xludf.DUMMYFUNCTION("CONCATENATE(GOOGLETRANSLATE(C4918, ""en"", ""ja""))"),"ルーティンウェルネス無香料シャンプー")</f>
        <v>ルーティンウェルネス無香料シャンプー</v>
      </c>
    </row>
    <row r="4919" ht="15.75" customHeight="1">
      <c r="A4919" s="1">
        <v>6755.0</v>
      </c>
      <c r="B4919" s="1" t="s">
        <v>15</v>
      </c>
      <c r="C4919" s="1" t="s">
        <v>3265</v>
      </c>
      <c r="D4919" s="1" t="str">
        <f>IFERROR(__xludf.DUMMYFUNCTION("CONCATENATE(GOOGLETRANSLATE(C4919, ""en"", ""zh-cn""))"),"生物素头发生长补充剂")</f>
        <v>生物素头发生长补充剂</v>
      </c>
      <c r="E4919" s="1" t="str">
        <f>IFERROR(__xludf.DUMMYFUNCTION("CONCATENATE(GOOGLETRANSLATE(C4919, ""en"", ""ko""))"),"비오틴 모발 성장 보조제")</f>
        <v>비오틴 모발 성장 보조제</v>
      </c>
      <c r="F4919" s="1" t="str">
        <f>IFERROR(__xludf.DUMMYFUNCTION("CONCATENATE(GOOGLETRANSLATE(C4919, ""en"", ""ja""))"),"ビオチン育毛サプリメント")</f>
        <v>ビオチン育毛サプリメント</v>
      </c>
    </row>
    <row r="4920" ht="15.75" customHeight="1">
      <c r="A4920" s="1">
        <v>6758.0</v>
      </c>
      <c r="B4920" s="1" t="s">
        <v>15</v>
      </c>
      <c r="C4920" s="1" t="s">
        <v>4180</v>
      </c>
      <c r="D4920" s="1" t="str">
        <f>IFERROR(__xludf.DUMMYFUNCTION("CONCATENATE(GOOGLETRANSLATE(C4920, ""en"", ""zh-cn""))"),"头发生物学摩洛哥坚果油驯服精华含生物素")</f>
        <v>头发生物学摩洛哥坚果油驯服精华含生物素</v>
      </c>
      <c r="E4920" s="1" t="str">
        <f>IFERROR(__xludf.DUMMYFUNCTION("CONCATENATE(GOOGLETRANSLATE(C4920, ""en"", ""ko""))"),"헤어바이올로지 아르간 오일 테이밍 세럼(비오틴 포함)")</f>
        <v>헤어바이올로지 아르간 오일 테이밍 세럼(비오틴 포함)</v>
      </c>
      <c r="F4920" s="1" t="str">
        <f>IFERROR(__xludf.DUMMYFUNCTION("CONCATENATE(GOOGLETRANSLATE(C4920, ""en"", ""ja""))"),"Hair Biology アルガン オイル テイミング セラム (ビオチン配合)")</f>
        <v>Hair Biology アルガン オイル テイミング セラム (ビオチン配合)</v>
      </c>
    </row>
    <row r="4921" ht="15.75" customHeight="1">
      <c r="A4921" s="1">
        <v>6796.0</v>
      </c>
      <c r="B4921" s="1" t="s">
        <v>15</v>
      </c>
      <c r="C4921" s="1" t="s">
        <v>4181</v>
      </c>
      <c r="D4921" s="1" t="str">
        <f>IFERROR(__xludf.DUMMYFUNCTION("CONCATENATE(GOOGLETRANSLATE(C4921, ""en"", ""zh-cn""))"),"海藻提取物美容直发面膜基底的功效")</f>
        <v>海藻提取物美容直发面膜基底的功效</v>
      </c>
      <c r="E4921" s="1" t="str">
        <f>IFERROR(__xludf.DUMMYFUNCTION("CONCATENATE(GOOGLETRANSLATE(C4921, ""en"", ""ko""))"),"해조추출물을 함유한 뷰티 스트레이트 헤어 마스크 베이스의 기능")</f>
        <v>해조추출물을 함유한 뷰티 스트레이트 헤어 마스크 베이스의 기능</v>
      </c>
      <c r="F4921" s="1" t="str">
        <f>IFERROR(__xludf.DUMMYFUNCTION("CONCATENATE(GOOGLETRANSLATE(C4921, ""en"", ""ja""))"),"海藻エキス配合ビューティストレートヘアマスクベースの働き")</f>
        <v>海藻エキス配合ビューティストレートヘアマスクベースの働き</v>
      </c>
    </row>
    <row r="4922" ht="15.75" customHeight="1">
      <c r="A4922" s="1">
        <v>6808.0</v>
      </c>
      <c r="B4922" s="1" t="s">
        <v>15</v>
      </c>
      <c r="C4922" s="1" t="s">
        <v>4182</v>
      </c>
      <c r="D4922" s="1" t="str">
        <f>IFERROR(__xludf.DUMMYFUNCTION("CONCATENATE(GOOGLETRANSLATE(C4922, ""en"", ""zh-cn""))"),"美容直发洗发水的功能")</f>
        <v>美容直发洗发水的功能</v>
      </c>
      <c r="E4922" s="1" t="str">
        <f>IFERROR(__xludf.DUMMYFUNCTION("CONCATENATE(GOOGLETRANSLATE(C4922, ""en"", ""ko""))"),"뷰티 스트레이트 헤어 샴푸의 기능")</f>
        <v>뷰티 스트레이트 헤어 샴푸의 기능</v>
      </c>
      <c r="F4922" s="1" t="str">
        <f>IFERROR(__xludf.DUMMYFUNCTION("CONCATENATE(GOOGLETRANSLATE(C4922, ""en"", ""ja""))"),"美ストレートヘアシャンプーの働き")</f>
        <v>美ストレートヘアシャンプーの働き</v>
      </c>
    </row>
    <row r="4923" ht="15.75" customHeight="1">
      <c r="A4923" s="1">
        <v>6824.0</v>
      </c>
      <c r="B4923" s="1" t="s">
        <v>15</v>
      </c>
      <c r="C4923" s="1" t="s">
        <v>4183</v>
      </c>
      <c r="D4923" s="1" t="str">
        <f>IFERROR(__xludf.DUMMYFUNCTION("CONCATENATE(GOOGLETRANSLATE(C4923, ""en"", ""zh-cn""))"),"我们能做的最好的事情：一本带插图的回忆录")</f>
        <v>我们能做的最好的事情：一本带插图的回忆录</v>
      </c>
      <c r="E4923" s="1" t="str">
        <f>IFERROR(__xludf.DUMMYFUNCTION("CONCATENATE(GOOGLETRANSLATE(C4923, ""en"", ""ko""))"),"우리가 할 수 있는 최선: 그림이 담긴 회고록")</f>
        <v>우리가 할 수 있는 최선: 그림이 담긴 회고록</v>
      </c>
      <c r="F4923" s="1" t="str">
        <f>IFERROR(__xludf.DUMMYFUNCTION("CONCATENATE(GOOGLETRANSLATE(C4923, ""en"", ""ja""))"),"私たちにできる最善のこと：イラスト付き回想録")</f>
        <v>私たちにできる最善のこと：イラスト付き回想録</v>
      </c>
    </row>
    <row r="4924" ht="15.75" customHeight="1">
      <c r="A4924" s="1">
        <v>6828.0</v>
      </c>
      <c r="B4924" s="1" t="s">
        <v>15</v>
      </c>
      <c r="C4924" s="1" t="s">
        <v>4184</v>
      </c>
      <c r="D4924" s="1" t="str">
        <f>IFERROR(__xludf.DUMMYFUNCTION("CONCATENATE(GOOGLETRANSLATE(C4924, ""en"", ""zh-cn""))"),"阿喀琉斯之歌，电子书")</f>
        <v>阿喀琉斯之歌，电子书</v>
      </c>
      <c r="E4924" s="1" t="str">
        <f>IFERROR(__xludf.DUMMYFUNCTION("CONCATENATE(GOOGLETRANSLATE(C4924, ""en"", ""ko""))"),"아킬레스의 노래, 전자책")</f>
        <v>아킬레스의 노래, 전자책</v>
      </c>
      <c r="F4924" s="1" t="str">
        <f>IFERROR(__xludf.DUMMYFUNCTION("CONCATENATE(GOOGLETRANSLATE(C4924, ""en"", ""ja""))"),"アキレスの歌、電子書籍")</f>
        <v>アキレスの歌、電子書籍</v>
      </c>
    </row>
    <row r="4925" ht="15.75" customHeight="1">
      <c r="A4925" s="1">
        <v>6831.0</v>
      </c>
      <c r="B4925" s="1" t="s">
        <v>15</v>
      </c>
      <c r="C4925" s="1" t="s">
        <v>4185</v>
      </c>
      <c r="D4925" s="1" t="str">
        <f>IFERROR(__xludf.DUMMYFUNCTION("CONCATENATE(GOOGLETRANSLATE(C4925, ""en"", ""zh-cn""))"),"如果他和我在一起[电子书]")</f>
        <v>如果他和我在一起[电子书]</v>
      </c>
      <c r="E4925" s="1" t="str">
        <f>IFERROR(__xludf.DUMMYFUNCTION("CONCATENATE(GOOGLETRANSLATE(C4925, ""en"", ""ko""))"),"그 사람이 나와 함께 있었다면 [전자책]")</f>
        <v>그 사람이 나와 함께 있었다면 [전자책]</v>
      </c>
      <c r="F4925" s="1" t="str">
        <f>IFERROR(__xludf.DUMMYFUNCTION("CONCATENATE(GOOGLETRANSLATE(C4925, ""en"", ""ja""))"),"もし彼が私と一緒にいたら [電子書籍]")</f>
        <v>もし彼が私と一緒にいたら [電子書籍]</v>
      </c>
    </row>
    <row r="4926" ht="15.75" customHeight="1">
      <c r="A4926" s="1">
        <v>6837.0</v>
      </c>
      <c r="B4926" s="1" t="s">
        <v>15</v>
      </c>
      <c r="C4926" s="1" t="s">
        <v>4186</v>
      </c>
      <c r="D4926" s="1" t="str">
        <f>IFERROR(__xludf.DUMMYFUNCTION("CONCATENATE(GOOGLETRANSLATE(C4926, ""en"", ""zh-cn""))"),"之前的麻烦[电子书]")</f>
        <v>之前的麻烦[电子书]</v>
      </c>
      <c r="E4926" s="1" t="str">
        <f>IFERROR(__xludf.DUMMYFUNCTION("CONCATENATE(GOOGLETRANSLATE(C4926, ""en"", ""ko""))"),"이전의 문제 [eBook]")</f>
        <v>이전의 문제 [eBook]</v>
      </c>
      <c r="F4926" s="1" t="str">
        <f>IFERROR(__xludf.DUMMYFUNCTION("CONCATENATE(GOOGLETRANSLATE(C4926, ""en"", ""ja""))"),"以前のトラブル [電子書籍]")</f>
        <v>以前のトラブル [電子書籍]</v>
      </c>
    </row>
    <row r="4927" ht="15.75" customHeight="1">
      <c r="A4927" s="1">
        <v>6852.0</v>
      </c>
      <c r="B4927" s="1" t="s">
        <v>15</v>
      </c>
      <c r="C4927" s="1" t="s">
        <v>4187</v>
      </c>
      <c r="D4927" s="1" t="str">
        <f>IFERROR(__xludf.DUMMYFUNCTION("CONCATENATE(GOOGLETRANSLATE(C4927, ""en"", ""zh-cn""))"),"PlayStation 商店礼品卡")</f>
        <v>PlayStation 商店礼品卡</v>
      </c>
      <c r="E4927" s="1" t="str">
        <f>IFERROR(__xludf.DUMMYFUNCTION("CONCATENATE(GOOGLETRANSLATE(C4927, ""en"", ""ko""))"),"PlayStation Store 기프트 카드")</f>
        <v>PlayStation Store 기프트 카드</v>
      </c>
      <c r="F4927" s="1" t="str">
        <f>IFERROR(__xludf.DUMMYFUNCTION("CONCATENATE(GOOGLETRANSLATE(C4927, ""en"", ""ja""))"),"PlayStation Store ギフトカード")</f>
        <v>PlayStation Store ギフトカード</v>
      </c>
    </row>
    <row r="4928" ht="15.75" customHeight="1">
      <c r="A4928" s="1">
        <v>6853.0</v>
      </c>
      <c r="B4928" s="1" t="s">
        <v>15</v>
      </c>
      <c r="C4928" s="1" t="s">
        <v>4188</v>
      </c>
      <c r="D4928" s="1" t="str">
        <f>IFERROR(__xludf.DUMMYFUNCTION("CONCATENATE(GOOGLETRANSLATE(C4928, ""en"", ""zh-cn""))"),"索尼 ZV-1F 视频博客相机")</f>
        <v>索尼 ZV-1F 视频博客相机</v>
      </c>
      <c r="E4928" s="1" t="str">
        <f>IFERROR(__xludf.DUMMYFUNCTION("CONCATENATE(GOOGLETRANSLATE(C4928, ""en"", ""ko""))"),"Sony ZV-1F 동영상 블로그 카메라")</f>
        <v>Sony ZV-1F 동영상 블로그 카메라</v>
      </c>
      <c r="F4928" s="1" t="str">
        <f>IFERROR(__xludf.DUMMYFUNCTION("CONCATENATE(GOOGLETRANSLATE(C4928, ""en"", ""ja""))"),"ソニー ZV-1F ビデオブログカメラ")</f>
        <v>ソニー ZV-1F ビデオブログカメラ</v>
      </c>
    </row>
    <row r="4929" ht="15.75" customHeight="1">
      <c r="A4929" s="1">
        <v>6856.0</v>
      </c>
      <c r="B4929" s="1" t="s">
        <v>15</v>
      </c>
      <c r="C4929" s="1" t="s">
        <v>4189</v>
      </c>
      <c r="D4929" s="1" t="str">
        <f>IFERROR(__xludf.DUMMYFUNCTION("CONCATENATE(GOOGLETRANSLATE(C4929, ""en"", ""zh-cn""))"),"PlayStation 商店数字礼品卡")</f>
        <v>PlayStation 商店数字礼品卡</v>
      </c>
      <c r="E4929" s="1" t="str">
        <f>IFERROR(__xludf.DUMMYFUNCTION("CONCATENATE(GOOGLETRANSLATE(C4929, ""en"", ""ko""))"),"PlayStation Store 디지털 기프트 카드")</f>
        <v>PlayStation Store 디지털 기프트 카드</v>
      </c>
      <c r="F4929" s="1" t="str">
        <f>IFERROR(__xludf.DUMMYFUNCTION("CONCATENATE(GOOGLETRANSLATE(C4929, ""en"", ""ja""))"),"PlayStation Store デジタルギフトカード")</f>
        <v>PlayStation Store デジタルギフトカード</v>
      </c>
    </row>
    <row r="4930" ht="15.75" customHeight="1">
      <c r="A4930" s="1">
        <v>6857.0</v>
      </c>
      <c r="B4930" s="1" t="s">
        <v>15</v>
      </c>
      <c r="C4930" s="1" t="s">
        <v>4190</v>
      </c>
      <c r="D4930" s="1" t="str">
        <f>IFERROR(__xludf.DUMMYFUNCTION("CONCATENATE(GOOGLETRANSLATE(C4930, ""en"", ""zh-cn""))"),"PlayStation 礼品卡")</f>
        <v>PlayStation 礼品卡</v>
      </c>
      <c r="E4930" s="1" t="str">
        <f>IFERROR(__xludf.DUMMYFUNCTION("CONCATENATE(GOOGLETRANSLATE(C4930, ""en"", ""ko""))"),"PlayStation 기프트 카드")</f>
        <v>PlayStation 기프트 카드</v>
      </c>
      <c r="F4930" s="1" t="str">
        <f>IFERROR(__xludf.DUMMYFUNCTION("CONCATENATE(GOOGLETRANSLATE(C4930, ""en"", ""ja""))"),"プレイステーション ギフトカード")</f>
        <v>プレイステーション ギフトカード</v>
      </c>
    </row>
    <row r="4931" ht="15.75" customHeight="1">
      <c r="A4931" s="1">
        <v>6859.0</v>
      </c>
      <c r="B4931" s="1" t="s">
        <v>15</v>
      </c>
      <c r="C4931" s="1" t="s">
        <v>4191</v>
      </c>
      <c r="D4931" s="1" t="str">
        <f>IFERROR(__xludf.DUMMYFUNCTION("CONCATENATE(GOOGLETRANSLATE(C4931, ""en"", ""zh-cn""))"),"索尼 PlayStation 商店赠送 25 礼品卡")</f>
        <v>索尼 PlayStation 商店赠送 25 礼品卡</v>
      </c>
      <c r="E4931" s="1" t="str">
        <f>IFERROR(__xludf.DUMMYFUNCTION("CONCATENATE(GOOGLETRANSLATE(C4931, ""en"", ""ko""))"),"Sony PlayStation Store 기프트 카드 25개 선물하기")</f>
        <v>Sony PlayStation Store 기프트 카드 25개 선물하기</v>
      </c>
      <c r="F4931" s="1" t="str">
        <f>IFERROR(__xludf.DUMMYFUNCTION("CONCATENATE(GOOGLETRANSLATE(C4931, ""en"", ""ja""))"),"Sony PlayStation Store Gifting 25 ギフトカード")</f>
        <v>Sony PlayStation Store Gifting 25 ギフトカード</v>
      </c>
    </row>
    <row r="4932" ht="15.75" customHeight="1">
      <c r="A4932" s="1">
        <v>6865.0</v>
      </c>
      <c r="B4932" s="1" t="s">
        <v>15</v>
      </c>
      <c r="C4932" s="1" t="s">
        <v>4192</v>
      </c>
      <c r="D4932" s="1" t="str">
        <f>IFERROR(__xludf.DUMMYFUNCTION("CONCATENATE(GOOGLETRANSLATE(C4932, ""en"", ""zh-cn""))"),"对马岛之魂导演剪辑版")</f>
        <v>对马岛之魂导演剪辑版</v>
      </c>
      <c r="E4932" s="1" t="str">
        <f>IFERROR(__xludf.DUMMYFUNCTION("CONCATENATE(GOOGLETRANSLATE(C4932, ""en"", ""ko""))"),"쓰시마의 유령 감독판")</f>
        <v>쓰시마의 유령 감독판</v>
      </c>
      <c r="F4932" s="1" t="str">
        <f>IFERROR(__xludf.DUMMYFUNCTION("CONCATENATE(GOOGLETRANSLATE(C4932, ""en"", ""ja""))"),"Ghost of Tsushima ディレクターズカット")</f>
        <v>Ghost of Tsushima ディレクターズカット</v>
      </c>
    </row>
    <row r="4933" ht="15.75" customHeight="1">
      <c r="A4933" s="1">
        <v>6870.0</v>
      </c>
      <c r="B4933" s="1" t="s">
        <v>15</v>
      </c>
      <c r="C4933" s="1" t="s">
        <v>4193</v>
      </c>
      <c r="D4933" s="1" t="str">
        <f>IFERROR(__xludf.DUMMYFUNCTION("CONCATENATE(GOOGLETRANSLATE(C4933, ""en"", ""zh-cn""))"),"血源 PlayStation")</f>
        <v>血源 PlayStation</v>
      </c>
      <c r="E4933" s="1" t="str">
        <f>IFERROR(__xludf.DUMMYFUNCTION("CONCATENATE(GOOGLETRANSLATE(C4933, ""en"", ""ko""))"),"블러드본 플레이스테이션")</f>
        <v>블러드본 플레이스테이션</v>
      </c>
      <c r="F4933" s="1" t="str">
        <f>IFERROR(__xludf.DUMMYFUNCTION("CONCATENATE(GOOGLETRANSLATE(C4933, ""en"", ""ja""))"),"ブラッドボーン プレイステーション")</f>
        <v>ブラッドボーン プレイステーション</v>
      </c>
    </row>
    <row r="4934" ht="15.75" customHeight="1">
      <c r="A4934" s="1">
        <v>6884.0</v>
      </c>
      <c r="B4934" s="1" t="s">
        <v>15</v>
      </c>
      <c r="C4934" s="1" t="s">
        <v>4194</v>
      </c>
      <c r="D4934" s="1" t="str">
        <f>IFERROR(__xludf.DUMMYFUNCTION("CONCATENATE(GOOGLETRANSLATE(C4934, ""en"", ""zh-cn""))"),"转录 - Sony PlayStation 4 [数字下载]")</f>
        <v>转录 - Sony PlayStation 4 [数字下载]</v>
      </c>
      <c r="E4934" s="1" t="str">
        <f>IFERROR(__xludf.DUMMYFUNCTION("CONCATENATE(GOOGLETRANSLATE(C4934, ""en"", ""ko""))"),"대본 - Sony PlayStation 4 [디지털 다운로드]")</f>
        <v>대본 - Sony PlayStation 4 [디지털 다운로드]</v>
      </c>
      <c r="F4934" s="1" t="str">
        <f>IFERROR(__xludf.DUMMYFUNCTION("CONCATENATE(GOOGLETRANSLATE(C4934, ""en"", ""ja""))"),"転写 - Sony PlayStation 4 [デジタル ダウンロード]")</f>
        <v>転写 - Sony PlayStation 4 [デジタル ダウンロード]</v>
      </c>
    </row>
    <row r="4935" ht="15.75" customHeight="1">
      <c r="A4935" s="1">
        <v>6895.0</v>
      </c>
      <c r="B4935" s="1" t="s">
        <v>15</v>
      </c>
      <c r="C4935" s="1" t="s">
        <v>4195</v>
      </c>
      <c r="D4935" s="1" t="str">
        <f>IFERROR(__xludf.DUMMYFUNCTION("CONCATENATE(GOOGLETRANSLATE(C4935, ""en"", ""zh-cn""))"),"200 美元 Apple 礼品卡（通过电子邮件发送）")</f>
        <v>200 美元 Apple 礼品卡（通过电子邮件发送）</v>
      </c>
      <c r="E4935" s="1" t="str">
        <f>IFERROR(__xludf.DUMMYFUNCTION("CONCATENATE(GOOGLETRANSLATE(C4935, ""en"", ""ko""))"),"$200 Apple 기프트 카드(이메일 배송)")</f>
        <v>$200 Apple 기프트 카드(이메일 배송)</v>
      </c>
      <c r="F4935" s="1" t="str">
        <f>IFERROR(__xludf.DUMMYFUNCTION("CONCATENATE(GOOGLETRANSLATE(C4935, ""en"", ""ja""))"),"$200 Apple ギフト カード (メール配信)")</f>
        <v>$200 Apple ギフト カード (メール配信)</v>
      </c>
    </row>
    <row r="4936" ht="15.75" customHeight="1">
      <c r="A4936" s="1">
        <v>6904.0</v>
      </c>
      <c r="B4936" s="1" t="s">
        <v>15</v>
      </c>
      <c r="C4936" s="1" t="s">
        <v>4196</v>
      </c>
      <c r="D4936" s="1" t="str">
        <f>IFERROR(__xludf.DUMMYFUNCTION("CONCATENATE(GOOGLETRANSLATE(C4936, ""en"", ""zh-cn""))"),"给我礼物：苹果礼品卡")</f>
        <v>给我礼物：苹果礼品卡</v>
      </c>
      <c r="E4936" s="1" t="str">
        <f>IFERROR(__xludf.DUMMYFUNCTION("CONCATENATE(GOOGLETRANSLATE(C4936, ""en"", ""ko""))"),"나에게 선물하세요: Apple 기프트 카드")</f>
        <v>나에게 선물하세요: Apple 기프트 카드</v>
      </c>
      <c r="F4936" s="1" t="str">
        <f>IFERROR(__xludf.DUMMYFUNCTION("CONCATENATE(GOOGLETRANSLATE(C4936, ""en"", ""ja""))"),"ギフトを贈ってください: Apple ギフトカード")</f>
        <v>ギフトを贈ってください: Apple ギフトカード</v>
      </c>
    </row>
    <row r="4937" ht="15.75" customHeight="1">
      <c r="A4937" s="1">
        <v>6907.0</v>
      </c>
      <c r="B4937" s="1" t="s">
        <v>15</v>
      </c>
      <c r="C4937" s="1" t="s">
        <v>4197</v>
      </c>
      <c r="D4937" s="1" t="str">
        <f>IFERROR(__xludf.DUMMYFUNCTION("CONCATENATE(GOOGLETRANSLATE(C4937, ""en"", ""zh-cn""))"),"购买 50 美元加拿大 Apple 礼品卡 - 电子邮件发送")</f>
        <v>购买 50 美元加拿大 Apple 礼品卡 - 电子邮件发送</v>
      </c>
      <c r="E4937" s="1" t="str">
        <f>IFERROR(__xludf.DUMMYFUNCTION("CONCATENATE(GOOGLETRANSLATE(C4937, ""en"", ""ko""))"),"$50 캐나다 Apple 기프트 카드 구매 - 이메일 배송")</f>
        <v>$50 캐나다 Apple 기프트 카드 구매 - 이메일 배송</v>
      </c>
      <c r="F4937" s="1" t="str">
        <f>IFERROR(__xludf.DUMMYFUNCTION("CONCATENATE(GOOGLETRANSLATE(C4937, ""en"", ""ja""))"),"50 ドルのカナダ Apple ギフト カードを購入 - 電子メール配信")</f>
        <v>50 ドルのカナダ Apple ギフト カードを購入 - 電子メール配信</v>
      </c>
    </row>
    <row r="4938" ht="15.75" customHeight="1">
      <c r="A4938" s="1">
        <v>6911.0</v>
      </c>
      <c r="B4938" s="1" t="s">
        <v>15</v>
      </c>
      <c r="C4938" s="1" t="s">
        <v>4198</v>
      </c>
      <c r="D4938" s="1" t="str">
        <f>IFERROR(__xludf.DUMMYFUNCTION("CONCATENATE(GOOGLETRANSLATE(C4938, ""en"", ""zh-cn""))"),"Apple 100 美元礼品卡（美国）- 数字钥匙")</f>
        <v>Apple 100 美元礼品卡（美国）- 数字钥匙</v>
      </c>
      <c r="E4938" s="1" t="str">
        <f>IFERROR(__xludf.DUMMYFUNCTION("CONCATENATE(GOOGLETRANSLATE(C4938, ""en"", ""ko""))"),"Apple 100 USD 기프트 카드(미국) - 디지털 키")</f>
        <v>Apple 100 USD 기프트 카드(미국) - 디지털 키</v>
      </c>
      <c r="F4938" s="1" t="str">
        <f>IFERROR(__xludf.DUMMYFUNCTION("CONCATENATE(GOOGLETRANSLATE(C4938, ""en"", ""ja""))"),"Apple 100 USD ギフトカード (米国) - デジタルキー")</f>
        <v>Apple 100 USD ギフトカード (米国) - デジタルキー</v>
      </c>
    </row>
    <row r="4939" ht="15.75" customHeight="1">
      <c r="A4939" s="1">
        <v>6912.0</v>
      </c>
      <c r="B4939" s="1" t="s">
        <v>15</v>
      </c>
      <c r="C4939" s="1" t="s">
        <v>4199</v>
      </c>
      <c r="D4939" s="1" t="str">
        <f>IFERROR(__xludf.DUMMYFUNCTION("CONCATENATE(GOOGLETRANSLATE(C4939, ""en"", ""zh-cn""))"),"使用美元硬币购买 Apple 礼品卡 - 价值 50 美元")</f>
        <v>使用美元硬币购买 Apple 礼品卡 - 价值 50 美元</v>
      </c>
      <c r="E4939" s="1" t="str">
        <f>IFERROR(__xludf.DUMMYFUNCTION("CONCATENATE(GOOGLETRANSLATE(C4939, ""en"", ""ko""))"),"USD 코인으로 Apple 기프트 카드 구매 - 가치 50 USD")</f>
        <v>USD 코인으로 Apple 기프트 카드 구매 - 가치 50 USD</v>
      </c>
      <c r="F4939" s="1" t="str">
        <f>IFERROR(__xludf.DUMMYFUNCTION("CONCATENATE(GOOGLETRANSLATE(C4939, ""en"", ""ja""))"),"Apple ギフトカードを USD コインで購入 - 価値 50 USD")</f>
        <v>Apple ギフトカードを USD コインで購入 - 価値 50 USD</v>
      </c>
    </row>
    <row r="4940" ht="15.75" customHeight="1">
      <c r="A4940" s="1">
        <v>6916.0</v>
      </c>
      <c r="B4940" s="1" t="s">
        <v>15</v>
      </c>
      <c r="C4940" s="1" t="s">
        <v>4200</v>
      </c>
      <c r="D4940" s="1" t="str">
        <f>IFERROR(__xludf.DUMMYFUNCTION("CONCATENATE(GOOGLETRANSLATE(C4940, ""en"", ""zh-cn""))"),"Apple 礼品卡 App Store Itunes 值：10.25.50.100。仅供我们使用")</f>
        <v>Apple 礼品卡 App Store Itunes 值：10.25.50.100。仅供我们使用</v>
      </c>
      <c r="E4940" s="1" t="str">
        <f>IFERROR(__xludf.DUMMYFUNCTION("CONCATENATE(GOOGLETRANSLATE(C4940, ""en"", ""ko""))"),"Apple 기프트 카드 앱 스토어 Itunes 값:10.25.50.100. 우리만을 위해")</f>
        <v>Apple 기프트 카드 앱 스토어 Itunes 값:10.25.50.100. 우리만을 위해</v>
      </c>
      <c r="F4940" s="1" t="str">
        <f>IFERROR(__xludf.DUMMYFUNCTION("CONCATENATE(GOOGLETRANSLATE(C4940, ""en"", ""ja""))"),"Apple Gift Card App Store Itunes 値:10.25.50.100。私たち専用")</f>
        <v>Apple Gift Card App Store Itunes 値:10.25.50.100。私たち専用</v>
      </c>
    </row>
    <row r="4941" ht="15.75" customHeight="1">
      <c r="A4941" s="1">
        <v>6919.0</v>
      </c>
      <c r="B4941" s="1" t="s">
        <v>15</v>
      </c>
      <c r="C4941" s="1" t="s">
        <v>4201</v>
      </c>
      <c r="D4941" s="1" t="str">
        <f>IFERROR(__xludf.DUMMYFUNCTION("CONCATENATE(GOOGLETRANSLATE(C4941, ""en"", ""zh-cn""))"),"Apple iTunes 礼品卡 8 美元 - iTunes Key - 美国")</f>
        <v>Apple iTunes 礼品卡 8 美元 - iTunes Key - 美国</v>
      </c>
      <c r="E4941" s="1" t="str">
        <f>IFERROR(__xludf.DUMMYFUNCTION("CONCATENATE(GOOGLETRANSLATE(C4941, ""en"", ""ko""))"),"Apple iTunes 기프트 카드 8 USD - iTunes 키 - 미국")</f>
        <v>Apple iTunes 기프트 카드 8 USD - iTunes 키 - 미국</v>
      </c>
      <c r="F4941" s="1" t="str">
        <f>IFERROR(__xludf.DUMMYFUNCTION("CONCATENATE(GOOGLETRANSLATE(C4941, ""en"", ""ja""))"),"Apple iTunes ギフトカード 8 USD - iTunes キー - 米国")</f>
        <v>Apple iTunes ギフトカード 8 USD - iTunes キー - 米国</v>
      </c>
    </row>
    <row r="4942" ht="15.75" customHeight="1">
      <c r="A4942" s="1">
        <v>6930.0</v>
      </c>
      <c r="B4942" s="1" t="s">
        <v>15</v>
      </c>
      <c r="C4942" s="1" t="s">
        <v>4202</v>
      </c>
      <c r="D4942" s="1" t="str">
        <f>IFERROR(__xludf.DUMMYFUNCTION("CONCATENATE(GOOGLETRANSLATE(C4942, ""en"", ""zh-cn""))"),"购买 100 波兰兹罗提的波兰 Apple 礼品卡 - 电子邮件发送")</f>
        <v>购买 100 波兰兹罗提的波兰 Apple 礼品卡 - 电子邮件发送</v>
      </c>
      <c r="E4942" s="1" t="str">
        <f>IFERROR(__xludf.DUMMYFUNCTION("CONCATENATE(GOOGLETRANSLATE(C4942, ""en"", ""ko""))"),"100PLN 폴란드 Apple 기프트 카드 구매 - 이메일 배달")</f>
        <v>100PLN 폴란드 Apple 기프트 카드 구매 - 이메일 배달</v>
      </c>
      <c r="F4942" s="1" t="str">
        <f>IFERROR(__xludf.DUMMYFUNCTION("CONCATENATE(GOOGLETRANSLATE(C4942, ""en"", ""ja""))"),"100PLN ポーランド Apple ギフト カードを購入 - 電子メール配信")</f>
        <v>100PLN ポーランド Apple ギフト カードを購入 - 電子メール配信</v>
      </c>
    </row>
    <row r="4943" ht="15.75" customHeight="1">
      <c r="A4943" s="1">
        <v>6936.0</v>
      </c>
      <c r="B4943" s="1" t="s">
        <v>15</v>
      </c>
      <c r="C4943" s="1" t="s">
        <v>4203</v>
      </c>
      <c r="D4943" s="1" t="str">
        <f>IFERROR(__xludf.DUMMYFUNCTION("CONCATENATE(GOOGLETRANSLATE(C4943, ""en"", ""zh-cn""))"),"需要我；电子书；作者 - 辛西娅·伊登")</f>
        <v>需要我；电子书；作者 - 辛西娅·伊登</v>
      </c>
      <c r="E4943" s="1" t="str">
        <f>IFERROR(__xludf.DUMMYFUNCTION("CONCATENATE(GOOGLETRANSLATE(C4943, ""en"", ""ko""))"),"나 필요; 전자책; 저자 - 신시아 에덴")</f>
        <v>나 필요; 전자책; 저자 - 신시아 에덴</v>
      </c>
      <c r="F4943" s="1" t="str">
        <f>IFERROR(__xludf.DUMMYFUNCTION("CONCATENATE(GOOGLETRANSLATE(C4943, ""en"", ""ja""))"),"私が必要です。電子書籍;著者 - シンシア・エデン")</f>
        <v>私が必要です。電子書籍;著者 - シンシア・エデン</v>
      </c>
    </row>
    <row r="4944" ht="15.75" customHeight="1">
      <c r="A4944" s="1">
        <v>6947.0</v>
      </c>
      <c r="B4944" s="1" t="s">
        <v>15</v>
      </c>
      <c r="C4944" s="1" t="s">
        <v>4204</v>
      </c>
      <c r="D4944" s="1" t="str">
        <f>IFERROR(__xludf.DUMMYFUNCTION("CONCATENATE(GOOGLETRANSLATE(C4944, ""en"", ""zh-cn""))"),"变得更快乐的完整指南（电子书捆绑包）")</f>
        <v>变得更快乐的完整指南（电子书捆绑包）</v>
      </c>
      <c r="E4944" s="1" t="str">
        <f>IFERROR(__xludf.DUMMYFUNCTION("CONCATENATE(GOOGLETRANSLATE(C4944, ""en"", ""ko""))"),"더 행복해지기 위한 완전한 가이드(EBOOK 번들)")</f>
        <v>더 행복해지기 위한 완전한 가이드(EBOOK 번들)</v>
      </c>
      <c r="F4944" s="1" t="str">
        <f>IFERROR(__xludf.DUMMYFUNCTION("CONCATENATE(GOOGLETRANSLATE(C4944, ""en"", ""ja""))"),"より幸せになるための完全ガイド (EBOOK バンドル)")</f>
        <v>より幸せになるための完全ガイド (EBOOK バンドル)</v>
      </c>
    </row>
    <row r="4945" ht="15.75" customHeight="1">
      <c r="A4945" s="1">
        <v>6948.0</v>
      </c>
      <c r="B4945" s="1" t="s">
        <v>15</v>
      </c>
      <c r="C4945" s="1" t="s">
        <v>4205</v>
      </c>
      <c r="D4945" s="1" t="str">
        <f>IFERROR(__xludf.DUMMYFUNCTION("CONCATENATE(GOOGLETRANSLATE(C4945, ""en"", ""zh-cn""))"),"为你疯狂[电子书]")</f>
        <v>为你疯狂[电子书]</v>
      </c>
      <c r="E4945" s="1" t="str">
        <f>IFERROR(__xludf.DUMMYFUNCTION("CONCATENATE(GOOGLETRANSLATE(C4945, ""en"", ""ko""))"),"당신에 대해 미쳤어요 [eBook]")</f>
        <v>당신에 대해 미쳤어요 [eBook]</v>
      </c>
      <c r="F4945" s="1" t="str">
        <f>IFERROR(__xludf.DUMMYFUNCTION("CONCATENATE(GOOGLETRANSLATE(C4945, ""en"", ""ja""))"),"クレイジー・アバウト・ユー [電子書籍]")</f>
        <v>クレイジー・アバウト・ユー [電子書籍]</v>
      </c>
    </row>
    <row r="4946" ht="15.75" customHeight="1">
      <c r="A4946" s="1">
        <v>6967.0</v>
      </c>
      <c r="B4946" s="1" t="s">
        <v>15</v>
      </c>
      <c r="C4946" s="1" t="s">
        <v>4206</v>
      </c>
      <c r="D4946" s="1" t="str">
        <f>IFERROR(__xludf.DUMMYFUNCTION("CONCATENATE(GOOGLETRANSLATE(C4946, ""en"", ""zh-cn""))"),"社交：一本小说")</f>
        <v>社交：一本小说</v>
      </c>
      <c r="E4946" s="1" t="str">
        <f>IFERROR(__xludf.DUMMYFUNCTION("CONCATENATE(GOOGLETRANSLATE(C4946, ""en"", ""ko""))"),"사교적: 소설")</f>
        <v>사교적: 소설</v>
      </c>
      <c r="F4946" s="1" t="str">
        <f>IFERROR(__xludf.DUMMYFUNCTION("CONCATENATE(GOOGLETRANSLATE(C4946, ""en"", ""ja""))"),"社交的: 小説")</f>
        <v>社交的: 小説</v>
      </c>
    </row>
    <row r="4947" ht="15.75" customHeight="1">
      <c r="A4947" s="1">
        <v>6969.0</v>
      </c>
      <c r="B4947" s="1" t="s">
        <v>15</v>
      </c>
      <c r="C4947" s="1" t="s">
        <v>4207</v>
      </c>
      <c r="D4947" s="1" t="str">
        <f>IFERROR(__xludf.DUMMYFUNCTION("CONCATENATE(GOOGLETRANSLATE(C4947, ""en"", ""zh-cn""))"),"赋权：普通人，非凡产品 [电子书]")</f>
        <v>赋权：普通人，非凡产品 [电子书]</v>
      </c>
      <c r="E4947" s="1" t="str">
        <f>IFERROR(__xludf.DUMMYFUNCTION("CONCATENATE(GOOGLETRANSLATE(C4947, ""en"", ""ko""))"),"권한 부여: 평범한 사람, 특별한 제품 [eBook]")</f>
        <v>권한 부여: 평범한 사람, 특별한 제품 [eBook]</v>
      </c>
      <c r="F4947" s="1" t="str">
        <f>IFERROR(__xludf.DUMMYFUNCTION("CONCATENATE(GOOGLETRANSLATE(C4947, ""en"", ""ja""))"),"エンパワード: 普通の人々、並外れた製品 [電子書籍]")</f>
        <v>エンパワード: 普通の人々、並外れた製品 [電子書籍]</v>
      </c>
    </row>
    <row r="4948" ht="15.75" customHeight="1">
      <c r="A4948" s="1">
        <v>6971.0</v>
      </c>
      <c r="B4948" s="1" t="s">
        <v>15</v>
      </c>
      <c r="C4948" s="1" t="s">
        <v>4208</v>
      </c>
      <c r="D4948" s="1" t="str">
        <f>IFERROR(__xludf.DUMMYFUNCTION("CONCATENATE(GOOGLETRANSLATE(C4948, ""en"", ""zh-cn""))"),"任天堂 eShop 礼品卡")</f>
        <v>任天堂 eShop 礼品卡</v>
      </c>
      <c r="E4948" s="1" t="str">
        <f>IFERROR(__xludf.DUMMYFUNCTION("CONCATENATE(GOOGLETRANSLATE(C4948, ""en"", ""ko""))"),"Nintendo eShop 기프트 카드")</f>
        <v>Nintendo eShop 기프트 카드</v>
      </c>
      <c r="F4948" s="1" t="str">
        <f>IFERROR(__xludf.DUMMYFUNCTION("CONCATENATE(GOOGLETRANSLATE(C4948, ""en"", ""ja""))"),"ニンテンドーeショップギフトカード")</f>
        <v>ニンテンドーeショップギフトカード</v>
      </c>
    </row>
    <row r="4949" ht="15.75" customHeight="1">
      <c r="A4949" s="1">
        <v>6976.0</v>
      </c>
      <c r="B4949" s="1" t="s">
        <v>15</v>
      </c>
      <c r="C4949" s="1" t="s">
        <v>4209</v>
      </c>
      <c r="D4949" s="1" t="str">
        <f>IFERROR(__xludf.DUMMYFUNCTION("CONCATENATE(GOOGLETRANSLATE(C4949, ""en"", ""zh-cn""))"),"任天堂 Switch 内部")</f>
        <v>任天堂 Switch 内部</v>
      </c>
      <c r="E4949" s="1" t="str">
        <f>IFERROR(__xludf.DUMMYFUNCTION("CONCATENATE(GOOGLETRANSLATE(C4949, ""en"", ""ko""))"),"닌텐도 스위치 내부")</f>
        <v>닌텐도 스위치 내부</v>
      </c>
      <c r="F4949" s="1" t="str">
        <f>IFERROR(__xludf.DUMMYFUNCTION("CONCATENATE(GOOGLETRANSLATE(C4949, ""en"", ""ja""))"),"Nintendo Switchの内部")</f>
        <v>Nintendo Switchの内部</v>
      </c>
    </row>
    <row r="4950" ht="15.75" customHeight="1">
      <c r="A4950" s="1">
        <v>6994.0</v>
      </c>
      <c r="B4950" s="1" t="s">
        <v>15</v>
      </c>
      <c r="C4950" s="1" t="s">
        <v>4210</v>
      </c>
      <c r="D4950" s="1" t="str">
        <f>IFERROR(__xludf.DUMMYFUNCTION("CONCATENATE(GOOGLETRANSLATE(C4950, ""en"", ""zh-cn""))"),"俱乐部会所游戏 51 场全球经典")</f>
        <v>俱乐部会所游戏 51 场全球经典</v>
      </c>
      <c r="E4950" s="1" t="str">
        <f>IFERROR(__xludf.DUMMYFUNCTION("CONCATENATE(GOOGLETRANSLATE(C4950, ""en"", ""ko""))"),"클럽하우스 게임 51 월드와이드 클래식")</f>
        <v>클럽하우스 게임 51 월드와이드 클래식</v>
      </c>
      <c r="F4950" s="1" t="str">
        <f>IFERROR(__xludf.DUMMYFUNCTION("CONCATENATE(GOOGLETRANSLATE(C4950, ""en"", ""ja""))"),"クラブハウス ゲーム 51 のワールドワイド クラシック")</f>
        <v>クラブハウス ゲーム 51 のワールドワイド クラシック</v>
      </c>
    </row>
    <row r="4951" ht="15.75" customHeight="1">
      <c r="A4951" s="1">
        <v>6996.0</v>
      </c>
      <c r="B4951" s="1" t="s">
        <v>15</v>
      </c>
      <c r="C4951" s="1" t="s">
        <v>4211</v>
      </c>
      <c r="D4951" s="1" t="str">
        <f>IFERROR(__xludf.DUMMYFUNCTION("CONCATENATE(GOOGLETRANSLATE(C4951, ""en"", ""zh-cn""))"),"游戏机流浪者")</f>
        <v>游戏机流浪者</v>
      </c>
      <c r="E4951" s="1" t="str">
        <f>IFERROR(__xludf.DUMMYFUNCTION("CONCATENATE(GOOGLETRANSLATE(C4951, ""en"", ""ko""))"),"플레이스테이션 스트레이")</f>
        <v>플레이스테이션 스트레이</v>
      </c>
      <c r="F4951" s="1" t="str">
        <f>IFERROR(__xludf.DUMMYFUNCTION("CONCATENATE(GOOGLETRANSLATE(C4951, ""en"", ""ja""))"),"プレイステーション・ストレイ")</f>
        <v>プレイステーション・ストレイ</v>
      </c>
    </row>
    <row r="4952" ht="15.75" customHeight="1">
      <c r="A4952" s="1">
        <v>7002.0</v>
      </c>
      <c r="B4952" s="1" t="s">
        <v>15</v>
      </c>
      <c r="C4952" s="1" t="s">
        <v>4212</v>
      </c>
      <c r="D4952" s="1" t="str">
        <f>IFERROR(__xludf.DUMMYFUNCTION("CONCATENATE(GOOGLETRANSLATE(C4952, ""en"", ""zh-cn""))"),"塞尔达传说：王国之泪")</f>
        <v>塞尔达传说：王国之泪</v>
      </c>
      <c r="E4952" s="1" t="str">
        <f>IFERROR(__xludf.DUMMYFUNCTION("CONCATENATE(GOOGLETRANSLATE(C4952, ""en"", ""ko""))"),"젤다의 전설: 왕국의 눈물")</f>
        <v>젤다의 전설: 왕국의 눈물</v>
      </c>
      <c r="F4952" s="1" t="str">
        <f>IFERROR(__xludf.DUMMYFUNCTION("CONCATENATE(GOOGLETRANSLATE(C4952, ""en"", ""ja""))"),"ゼルダの伝説 涙の王国")</f>
        <v>ゼルダの伝説 涙の王国</v>
      </c>
    </row>
    <row r="4953" ht="15.75" customHeight="1">
      <c r="A4953" s="1">
        <v>7011.0</v>
      </c>
      <c r="B4953" s="1" t="s">
        <v>15</v>
      </c>
      <c r="C4953" s="1" t="s">
        <v>4213</v>
      </c>
      <c r="D4953" s="1" t="str">
        <f>IFERROR(__xludf.DUMMYFUNCTION("CONCATENATE(GOOGLETRANSLATE(C4953, ""en"", ""zh-cn""))"),"adidas Originals 女式 Essentials 抓绒宽松慢跑裤")</f>
        <v>adidas Originals 女式 Essentials 抓绒宽松慢跑裤</v>
      </c>
      <c r="E4953" s="1" t="str">
        <f>IFERROR(__xludf.DUMMYFUNCTION("CONCATENATE(GOOGLETRANSLATE(C4953, ""en"", ""ko""))"),"adidas Originals 여성 에센셜 플리스 루즈 조거팬츠")</f>
        <v>adidas Originals 여성 에센셜 플리스 루즈 조거팬츠</v>
      </c>
      <c r="F4953" s="1" t="str">
        <f>IFERROR(__xludf.DUMMYFUNCTION("CONCATENATE(GOOGLETRANSLATE(C4953, ""en"", ""ja""))"),"アディダス オリジナルス レディース エッセンシャル フリース ルーズ ジョガー")</f>
        <v>アディダス オリジナルス レディース エッセンシャル フリース ルーズ ジョガー</v>
      </c>
    </row>
    <row r="4954" ht="15.75" customHeight="1">
      <c r="A4954" s="1">
        <v>7022.0</v>
      </c>
      <c r="B4954" s="1" t="s">
        <v>15</v>
      </c>
      <c r="C4954" s="1" t="s">
        <v>4214</v>
      </c>
      <c r="D4954" s="1" t="str">
        <f>IFERROR(__xludf.DUMMYFUNCTION("CONCATENATE(GOOGLETRANSLATE(C4954, ""en"", ""zh-cn""))"),"adidas Originals 男士 Adicolor 经典贝肯鲍尔运动裤")</f>
        <v>adidas Originals 男士 Adicolor 经典贝肯鲍尔运动裤</v>
      </c>
      <c r="E4954" s="1" t="str">
        <f>IFERROR(__xludf.DUMMYFUNCTION("CONCATENATE(GOOGLETRANSLATE(C4954, ""en"", ""ko""))"),"아디다스 오리지널스 남성 아디컬러 클래식 베켄바우어 트랙 팬츠")</f>
        <v>아디다스 오리지널스 남성 아디컬러 클래식 베켄바우어 트랙 팬츠</v>
      </c>
      <c r="F4954" s="1" t="str">
        <f>IFERROR(__xludf.DUMMYFUNCTION("CONCATENATE(GOOGLETRANSLATE(C4954, ""en"", ""ja""))"),"アディダス オリジナルス メンズ アディカラー クラシック ベッケンバウアー トラック パンツ")</f>
        <v>アディダス オリジナルス メンズ アディカラー クラシック ベッケンバウアー トラック パンツ</v>
      </c>
    </row>
    <row r="4955" ht="15.75" customHeight="1">
      <c r="A4955" s="1">
        <v>7025.0</v>
      </c>
      <c r="B4955" s="1" t="s">
        <v>15</v>
      </c>
      <c r="C4955" s="1" t="s">
        <v>4215</v>
      </c>
      <c r="D4955" s="1" t="str">
        <f>IFERROR(__xludf.DUMMYFUNCTION("CONCATENATE(GOOGLETRANSLATE(C4955, ""en"", ""zh-cn""))"),"阿迪达斯 (adidas) 女式 All Me 7/8 打底裤")</f>
        <v>阿迪达斯 (adidas) 女式 All Me 7/8 打底裤</v>
      </c>
      <c r="E4955" s="1" t="str">
        <f>IFERROR(__xludf.DUMMYFUNCTION("CONCATENATE(GOOGLETRANSLATE(C4955, ""en"", ""ko""))"),"아디다스 여성용 올미 7/8 레깅스")</f>
        <v>아디다스 여성용 올미 7/8 레깅스</v>
      </c>
      <c r="F4955" s="1" t="str">
        <f>IFERROR(__xludf.DUMMYFUNCTION("CONCATENATE(GOOGLETRANSLATE(C4955, ""en"", ""ja""))"),"adidas レディース オール ミー 7/8 レギンス")</f>
        <v>adidas レディース オール ミー 7/8 レギンス</v>
      </c>
    </row>
    <row r="4956" ht="15.75" customHeight="1">
      <c r="A4956" s="1">
        <v>7030.0</v>
      </c>
      <c r="B4956" s="1" t="s">
        <v>15</v>
      </c>
      <c r="C4956" s="1" t="s">
        <v>4216</v>
      </c>
      <c r="D4956" s="1" t="str">
        <f>IFERROR(__xludf.DUMMYFUNCTION("CONCATENATE(GOOGLETRANSLATE(C4956, ""en"", ""zh-cn""))"),"阿迪达斯三条纹喇叭火鸟女式运动裤米色")</f>
        <v>阿迪达斯三条纹喇叭火鸟女式运动裤米色</v>
      </c>
      <c r="E4956" s="1" t="str">
        <f>IFERROR(__xludf.DUMMYFUNCTION("CONCATENATE(GOOGLETRANSLATE(C4956, ""en"", ""ko""))"),"아디다스 3-스트라이프 플레어 파이어버드 여성용 트랙 팬츠 베이지")</f>
        <v>아디다스 3-스트라이프 플레어 파이어버드 여성용 트랙 팬츠 베이지</v>
      </c>
      <c r="F4956" s="1" t="str">
        <f>IFERROR(__xludf.DUMMYFUNCTION("CONCATENATE(GOOGLETRANSLATE(C4956, ""en"", ""ja""))"),"アディダス 3 ストライプ フレア ファイアバード ウィメンズ トラック パンツ ベージュ")</f>
        <v>アディダス 3 ストライプ フレア ファイアバード ウィメンズ トラック パンツ ベージュ</v>
      </c>
    </row>
    <row r="4957" ht="15.75" customHeight="1">
      <c r="A4957" s="1">
        <v>7063.0</v>
      </c>
      <c r="B4957" s="1" t="s">
        <v>15</v>
      </c>
      <c r="C4957" s="1" t="s">
        <v>4217</v>
      </c>
      <c r="D4957" s="1" t="str">
        <f>IFERROR(__xludf.DUMMYFUNCTION("CONCATENATE(GOOGLETRANSLATE(C4957, ""en"", ""zh-cn""))"),"ASICS 男士 ACTIBREEZE 梭织短裤")</f>
        <v>ASICS 男士 ACTIBREEZE 梭织短裤</v>
      </c>
      <c r="E4957" s="1" t="str">
        <f>IFERROR(__xludf.DUMMYFUNCTION("CONCATENATE(GOOGLETRANSLATE(C4957, ""en"", ""ko""))"),"ASICS 남성 ACTIBREEZE 우븐 반바지")</f>
        <v>ASICS 남성 ACTIBREEZE 우븐 반바지</v>
      </c>
      <c r="F4957" s="1" t="str">
        <f>IFERROR(__xludf.DUMMYFUNCTION("CONCATENATE(GOOGLETRANSLATE(C4957, ""en"", ""ja""))"),"アシックス メンズ ACTIBREEZE ウーブンショーツ")</f>
        <v>アシックス メンズ ACTIBREEZE ウーブンショーツ</v>
      </c>
    </row>
    <row r="4958" ht="15.75" customHeight="1">
      <c r="A4958" s="1">
        <v>7067.0</v>
      </c>
      <c r="B4958" s="1" t="s">
        <v>15</v>
      </c>
      <c r="C4958" s="1" t="s">
        <v>4218</v>
      </c>
      <c r="D4958" s="1" t="str">
        <f>IFERROR(__xludf.DUMMYFUNCTION("CONCATENATE(GOOGLETRANSLATE(C4958, ""en"", ""zh-cn""))"),"ASICS 女式 ACTIBREEZE 轻便短裤")</f>
        <v>ASICS 女式 ACTIBREEZE 轻便短裤</v>
      </c>
      <c r="E4958" s="1" t="str">
        <f>IFERROR(__xludf.DUMMYFUNCTION("CONCATENATE(GOOGLETRANSLATE(C4958, ""en"", ""ko""))"),"ASICS 여성용 ACTIBREEZE 라이트 반바지")</f>
        <v>ASICS 여성용 ACTIBREEZE 라이트 반바지</v>
      </c>
      <c r="F4958" s="1" t="str">
        <f>IFERROR(__xludf.DUMMYFUNCTION("CONCATENATE(GOOGLETRANSLATE(C4958, ""en"", ""ja""))"),"アシックス ACTIBREEZE ライトショーツ レディース")</f>
        <v>アシックス ACTIBREEZE ライトショーツ レディース</v>
      </c>
    </row>
    <row r="4959" ht="15.75" customHeight="1">
      <c r="A4959" s="1">
        <v>7071.0</v>
      </c>
      <c r="B4959" s="1" t="s">
        <v>15</v>
      </c>
      <c r="C4959" s="1" t="s">
        <v>4219</v>
      </c>
      <c r="D4959" s="1" t="str">
        <f>IFERROR(__xludf.DUMMYFUNCTION("CONCATENATE(GOOGLETRANSLATE(C4959, ""en"", ""zh-cn""))"),"ASICS 女式徽标 7/8 紧身裤")</f>
        <v>ASICS 女式徽标 7/8 紧身裤</v>
      </c>
      <c r="E4959" s="1" t="str">
        <f>IFERROR(__xludf.DUMMYFUNCTION("CONCATENATE(GOOGLETRANSLATE(C4959, ""en"", ""ko""))"),"아식스 여성용 로고 7/8 타이트")</f>
        <v>아식스 여성용 로고 7/8 타이트</v>
      </c>
      <c r="F4959" s="1" t="str">
        <f>IFERROR(__xludf.DUMMYFUNCTION("CONCATENATE(GOOGLETRANSLATE(C4959, ""en"", ""ja""))"),"アシックス ウィメンズ ロゴ 7/8 タイト")</f>
        <v>アシックス ウィメンズ ロゴ 7/8 タイト</v>
      </c>
    </row>
    <row r="4960" ht="15.75" customHeight="1">
      <c r="A4960" s="1">
        <v>7096.0</v>
      </c>
      <c r="B4960" s="1" t="s">
        <v>15</v>
      </c>
      <c r="C4960" s="1" t="s">
        <v>4220</v>
      </c>
      <c r="D4960" s="1" t="str">
        <f>IFERROR(__xludf.DUMMYFUNCTION("CONCATENATE(GOOGLETRANSLATE(C4960, ""en"", ""zh-cn""))"),"Gymshark Vital 无缝 2.0 短款上衣")</f>
        <v>Gymshark Vital 无缝 2.0 短款上衣</v>
      </c>
      <c r="E4960" s="1" t="str">
        <f>IFERROR(__xludf.DUMMYFUNCTION("CONCATENATE(GOOGLETRANSLATE(C4960, ""en"", ""ko""))"),"Gymshark Vital Seamless 2.0 크롭 탑")</f>
        <v>Gymshark Vital Seamless 2.0 크롭 탑</v>
      </c>
      <c r="F4960" s="1" t="str">
        <f>IFERROR(__xludf.DUMMYFUNCTION("CONCATENATE(GOOGLETRANSLATE(C4960, ""en"", ""ja""))"),"Gymshark Vital シームレス 2.0 クロップトップ")</f>
        <v>Gymshark Vital シームレス 2.0 クロップトップ</v>
      </c>
    </row>
    <row r="4961" ht="15.75" customHeight="1">
      <c r="A4961" s="1">
        <v>7098.0</v>
      </c>
      <c r="B4961" s="1" t="s">
        <v>15</v>
      </c>
      <c r="C4961" s="1" t="s">
        <v>4221</v>
      </c>
      <c r="D4961" s="1" t="str">
        <f>IFERROR(__xludf.DUMMYFUNCTION("CONCATENATE(GOOGLETRANSLATE(C4961, ""en"", ""zh-cn""))"),"Gymshark Energy+ 无缝 T 恤")</f>
        <v>Gymshark Energy+ 无缝 T 恤</v>
      </c>
      <c r="E4961" s="1" t="str">
        <f>IFERROR(__xludf.DUMMYFUNCTION("CONCATENATE(GOOGLETRANSLATE(C4961, ""en"", ""ko""))"),"Gymshark Energy+ 심리스 티셔츠")</f>
        <v>Gymshark Energy+ 심리스 티셔츠</v>
      </c>
      <c r="F4961" s="1" t="str">
        <f>IFERROR(__xludf.DUMMYFUNCTION("CONCATENATE(GOOGLETRANSLATE(C4961, ""en"", ""ja""))"),"Gymshark Energy+ シームレス T シャツ")</f>
        <v>Gymshark Energy+ シームレス T シャツ</v>
      </c>
    </row>
    <row r="4962" ht="15.75" customHeight="1">
      <c r="A4962" s="1">
        <v>7111.0</v>
      </c>
      <c r="B4962" s="1" t="s">
        <v>15</v>
      </c>
      <c r="C4962" s="1" t="s">
        <v>3502</v>
      </c>
      <c r="D4962" s="1" t="str">
        <f>IFERROR(__xludf.DUMMYFUNCTION("CONCATENATE(GOOGLETRANSLATE(C4962, ""en"", ""zh-cn""))"),"Gymshark Adapt Fleck 无缝打底裤")</f>
        <v>Gymshark Adapt Fleck 无缝打底裤</v>
      </c>
      <c r="E4962" s="1" t="str">
        <f>IFERROR(__xludf.DUMMYFUNCTION("CONCATENATE(GOOGLETRANSLATE(C4962, ""en"", ""ko""))"),"Gymshark Adapt Fleck 심리스 레깅스")</f>
        <v>Gymshark Adapt Fleck 심리스 레깅스</v>
      </c>
      <c r="F4962" s="1" t="str">
        <f>IFERROR(__xludf.DUMMYFUNCTION("CONCATENATE(GOOGLETRANSLATE(C4962, ""en"", ""ja""))"),"Gymshark アダプト フレック シームレス レギンス")</f>
        <v>Gymshark アダプト フレック シームレス レギンス</v>
      </c>
    </row>
    <row r="4963" ht="15.75" customHeight="1">
      <c r="A4963" s="1">
        <v>7112.0</v>
      </c>
      <c r="B4963" s="1" t="s">
        <v>15</v>
      </c>
      <c r="C4963" s="1" t="s">
        <v>4222</v>
      </c>
      <c r="D4963" s="1" t="str">
        <f>IFERROR(__xludf.DUMMYFUNCTION("CONCATENATE(GOOGLETRANSLATE(C4963, ""en"", ""zh-cn""))"),"Gymshark Vital 无缝紧身裤")</f>
        <v>Gymshark Vital 无缝紧身裤</v>
      </c>
      <c r="E4963" s="1" t="str">
        <f>IFERROR(__xludf.DUMMYFUNCTION("CONCATENATE(GOOGLETRANSLATE(C4963, ""en"", ""ko""))"),"Gymshark 바이탈 심리스 레깅스")</f>
        <v>Gymshark 바이탈 심리스 레깅스</v>
      </c>
      <c r="F4963" s="1" t="str">
        <f>IFERROR(__xludf.DUMMYFUNCTION("CONCATENATE(GOOGLETRANSLATE(C4963, ""en"", ""ja""))"),"Gymshark Vital シームレス レギンス")</f>
        <v>Gymshark Vital シームレス レギンス</v>
      </c>
    </row>
    <row r="4964" ht="15.75" customHeight="1">
      <c r="A4964" s="1">
        <v>7116.0</v>
      </c>
      <c r="B4964" s="1" t="s">
        <v>15</v>
      </c>
      <c r="C4964" s="1" t="s">
        <v>4223</v>
      </c>
      <c r="D4964" s="1" t="str">
        <f>IFERROR(__xludf.DUMMYFUNCTION("CONCATENATE(GOOGLETRANSLATE(C4964, ""en"", ""zh-cn""))"),"Gymshark Arrival 5' 短裤")</f>
        <v>Gymshark Arrival 5' 短裤</v>
      </c>
      <c r="E4964" s="1" t="str">
        <f>IFERROR(__xludf.DUMMYFUNCTION("CONCATENATE(GOOGLETRANSLATE(C4964, ""en"", ""ko""))"),"Gymshark 어라이벌 5' 반바지")</f>
        <v>Gymshark 어라이벌 5' 반바지</v>
      </c>
      <c r="F4964" s="1" t="str">
        <f>IFERROR(__xludf.DUMMYFUNCTION("CONCATENATE(GOOGLETRANSLATE(C4964, ""en"", ""ja""))"),"Gymshark アライバル 5 フィート ショーツ")</f>
        <v>Gymshark アライバル 5 フィート ショーツ</v>
      </c>
    </row>
    <row r="4965" ht="15.75" customHeight="1">
      <c r="A4965" s="1">
        <v>7129.0</v>
      </c>
      <c r="B4965" s="1" t="s">
        <v>15</v>
      </c>
      <c r="C4965" s="1" t="s">
        <v>4224</v>
      </c>
      <c r="D4965" s="1" t="str">
        <f>IFERROR(__xludf.DUMMYFUNCTION("CONCATENATE(GOOGLETRANSLATE(C4965, ""en"", ""zh-cn""))"),"Gymshark Sweat 无缝打底裤")</f>
        <v>Gymshark Sweat 无缝打底裤</v>
      </c>
      <c r="E4965" s="1" t="str">
        <f>IFERROR(__xludf.DUMMYFUNCTION("CONCATENATE(GOOGLETRANSLATE(C4965, ""en"", ""ko""))"),"Gymshark 스웨트 심리스 레깅스")</f>
        <v>Gymshark 스웨트 심리스 레깅스</v>
      </c>
      <c r="F4965" s="1" t="str">
        <f>IFERROR(__xludf.DUMMYFUNCTION("CONCATENATE(GOOGLETRANSLATE(C4965, ""en"", ""ja""))"),"ジムシャーク スウェット シームレス レギンス")</f>
        <v>ジムシャーク スウェット シームレス レギンス</v>
      </c>
    </row>
    <row r="4966" ht="15.75" customHeight="1">
      <c r="A4966" s="1">
        <v>7130.0</v>
      </c>
      <c r="B4966" s="1" t="s">
        <v>15</v>
      </c>
      <c r="C4966" s="1" t="s">
        <v>4225</v>
      </c>
      <c r="D4966" s="1" t="str">
        <f>IFERROR(__xludf.DUMMYFUNCTION("CONCATENATE(GOOGLETRANSLATE(C4966, ""en"", ""zh-cn""))"),"Gymshark Arrival 7' 短裤")</f>
        <v>Gymshark Arrival 7' 短裤</v>
      </c>
      <c r="E4966" s="1" t="str">
        <f>IFERROR(__xludf.DUMMYFUNCTION("CONCATENATE(GOOGLETRANSLATE(C4966, ""en"", ""ko""))"),"Gymshark 어라이벌 7' 반바지")</f>
        <v>Gymshark 어라이벌 7' 반바지</v>
      </c>
      <c r="F4966" s="1" t="str">
        <f>IFERROR(__xludf.DUMMYFUNCTION("CONCATENATE(GOOGLETRANSLATE(C4966, ""en"", ""ja""))"),"Gymshark アライバル 7 フィート ショーツ")</f>
        <v>Gymshark アライバル 7 フィート ショーツ</v>
      </c>
    </row>
    <row r="4967" ht="15.75" customHeight="1">
      <c r="A4967" s="1">
        <v>7134.0</v>
      </c>
      <c r="B4967" s="1" t="s">
        <v>15</v>
      </c>
      <c r="C4967" s="1" t="s">
        <v>4226</v>
      </c>
      <c r="D4967" s="1" t="str">
        <f>IFERROR(__xludf.DUMMYFUNCTION("CONCATENATE(GOOGLETRANSLATE(C4967, ""en"", ""zh-cn""))"),"耐克女式运动服俱乐部抓绒全拉链连帽衫")</f>
        <v>耐克女式运动服俱乐部抓绒全拉链连帽衫</v>
      </c>
      <c r="E4967" s="1" t="str">
        <f>IFERROR(__xludf.DUMMYFUNCTION("CONCATENATE(GOOGLETRANSLATE(C4967, ""en"", ""ko""))"),"나이키 여성 스포츠웨어 클럽 플리스 풀집 후디")</f>
        <v>나이키 여성 스포츠웨어 클럽 플리스 풀집 후디</v>
      </c>
      <c r="F4967" s="1" t="str">
        <f>IFERROR(__xludf.DUMMYFUNCTION("CONCATENATE(GOOGLETRANSLATE(C4967, ""en"", ""ja""))"),"ナイキ レディース スポーツウェア クラブ フリース フルジップ パーカー")</f>
        <v>ナイキ レディース スポーツウェア クラブ フリース フルジップ パーカー</v>
      </c>
    </row>
    <row r="4968" ht="15.75" customHeight="1">
      <c r="A4968" s="1">
        <v>7137.0</v>
      </c>
      <c r="B4968" s="1" t="s">
        <v>15</v>
      </c>
      <c r="C4968" s="1" t="s">
        <v>4227</v>
      </c>
      <c r="D4968" s="1" t="str">
        <f>IFERROR(__xludf.DUMMYFUNCTION("CONCATENATE(GOOGLETRANSLATE(C4968, ""en"", ""zh-cn""))"),"耐克女式运动服 Tech Fleece 高腰修身裤")</f>
        <v>耐克女式运动服 Tech Fleece 高腰修身裤</v>
      </c>
      <c r="E4968" s="1" t="str">
        <f>IFERROR(__xludf.DUMMYFUNCTION("CONCATENATE(GOOGLETRANSLATE(C4968, ""en"", ""ko""))"),"나이키 여성용 스포츠웨어 테크 플리스 하이웨이스트 슬림 팬츠")</f>
        <v>나이키 여성용 스포츠웨어 테크 플리스 하이웨이스트 슬림 팬츠</v>
      </c>
      <c r="F4968" s="1" t="str">
        <f>IFERROR(__xludf.DUMMYFUNCTION("CONCATENATE(GOOGLETRANSLATE(C4968, ""en"", ""ja""))"),"ナイキ レディース スポーツウェア テック フリース ハイウエスト スリム パンツ")</f>
        <v>ナイキ レディース スポーツウェア テック フリース ハイウエスト スリム パンツ</v>
      </c>
    </row>
    <row r="4969" ht="15.75" customHeight="1">
      <c r="A4969" s="1">
        <v>7140.0</v>
      </c>
      <c r="B4969" s="1" t="s">
        <v>15</v>
      </c>
      <c r="C4969" s="1" t="s">
        <v>4228</v>
      </c>
      <c r="D4969" s="1" t="str">
        <f>IFERROR(__xludf.DUMMYFUNCTION("CONCATENATE(GOOGLETRANSLATE(C4969, ""en"", ""zh-cn""))"),"耐克女式高腰阔腿 Phoenix 抓绒运动裤")</f>
        <v>耐克女式高腰阔腿 Phoenix 抓绒运动裤</v>
      </c>
      <c r="E4969" s="1" t="str">
        <f>IFERROR(__xludf.DUMMYFUNCTION("CONCATENATE(GOOGLETRANSLATE(C4969, ""en"", ""ko""))"),"나이키 여성용 하이웨이스트 와이드 레그 피닉스 플리스 스웨트팬츠")</f>
        <v>나이키 여성용 하이웨이스트 와이드 레그 피닉스 플리스 스웨트팬츠</v>
      </c>
      <c r="F4969" s="1" t="str">
        <f>IFERROR(__xludf.DUMMYFUNCTION("CONCATENATE(GOOGLETRANSLATE(C4969, ""en"", ""ja""))"),"ナイキ レディース ハイウエスト ワイドレッグ フェニックス フリース スウェットパンツ")</f>
        <v>ナイキ レディース ハイウエスト ワイドレッグ フェニックス フリース スウェットパンツ</v>
      </c>
    </row>
    <row r="4970" ht="15.75" customHeight="1">
      <c r="A4970" s="1">
        <v>7158.0</v>
      </c>
      <c r="B4970" s="1" t="s">
        <v>15</v>
      </c>
      <c r="C4970" s="1" t="s">
        <v>4229</v>
      </c>
      <c r="D4970" s="1" t="str">
        <f>IFERROR(__xludf.DUMMYFUNCTION("CONCATENATE(GOOGLETRANSLATE(C4970, ""en"", ""zh-cn""))"),"Nike 男士 Solo Swoosh 运动裤")</f>
        <v>Nike 男士 Solo Swoosh 运动裤</v>
      </c>
      <c r="E4970" s="1" t="str">
        <f>IFERROR(__xludf.DUMMYFUNCTION("CONCATENATE(GOOGLETRANSLATE(C4970, ""en"", ""ko""))"),"나이키 남성 솔로 스우시 트랙 팬츠")</f>
        <v>나이키 남성 솔로 스우시 트랙 팬츠</v>
      </c>
      <c r="F4970" s="1" t="str">
        <f>IFERROR(__xludf.DUMMYFUNCTION("CONCATENATE(GOOGLETRANSLATE(C4970, ""en"", ""ja""))"),"ナイキ メンズ ソロ スウッシュ トラック パンツ")</f>
        <v>ナイキ メンズ ソロ スウッシュ トラック パンツ</v>
      </c>
    </row>
    <row r="4971" ht="15.75" customHeight="1">
      <c r="A4971" s="1">
        <v>7160.0</v>
      </c>
      <c r="B4971" s="1" t="s">
        <v>15</v>
      </c>
      <c r="C4971" s="1" t="s">
        <v>4230</v>
      </c>
      <c r="D4971" s="1" t="str">
        <f>IFERROR(__xludf.DUMMYFUNCTION("CONCATENATE(GOOGLETRANSLATE(C4971, ""en"", ""zh-cn""))"),"耐克女式运动装必备高腰梭织长裤")</f>
        <v>耐克女式运动装必备高腰梭织长裤</v>
      </c>
      <c r="E4971" s="1" t="str">
        <f>IFERROR(__xludf.DUMMYFUNCTION("CONCATENATE(GOOGLETRANSLATE(C4971, ""en"", ""ko""))"),"나이키 여성 스포츠웨어 에센셜 하이라이즈 우븐 팬츠")</f>
        <v>나이키 여성 스포츠웨어 에센셜 하이라이즈 우븐 팬츠</v>
      </c>
      <c r="F4971" s="1" t="str">
        <f>IFERROR(__xludf.DUMMYFUNCTION("CONCATENATE(GOOGLETRANSLATE(C4971, ""en"", ""ja""))"),"ナイキ レディース スポーツウェア エッセンシャル ハイライズ ウーブン パンツ")</f>
        <v>ナイキ レディース スポーツウェア エッセンシャル ハイライズ ウーブン パンツ</v>
      </c>
    </row>
    <row r="4972" ht="15.75" customHeight="1">
      <c r="A4972" s="1">
        <v>7172.0</v>
      </c>
      <c r="B4972" s="1" t="s">
        <v>15</v>
      </c>
      <c r="C4972" s="1" t="s">
        <v>4231</v>
      </c>
      <c r="D4972" s="1" t="str">
        <f>IFERROR(__xludf.DUMMYFUNCTION("CONCATENATE(GOOGLETRANSLATE(C4972, ""en"", ""zh-cn""))"),"Reebok 男士锻炼运动裤")</f>
        <v>Reebok 男士锻炼运动裤</v>
      </c>
      <c r="E4972" s="1" t="str">
        <f>IFERROR(__xludf.DUMMYFUNCTION("CONCATENATE(GOOGLETRANSLATE(C4972, ""en"", ""ko""))"),"Reebok 남성 워크아웃 레디 트랙 팬츠")</f>
        <v>Reebok 남성 워크아웃 레디 트랙 팬츠</v>
      </c>
      <c r="F4972" s="1" t="str">
        <f>IFERROR(__xludf.DUMMYFUNCTION("CONCATENATE(GOOGLETRANSLATE(C4972, ""en"", ""ja""))"),"リーボック メンズ ワークアウトレディ トラックパンツ")</f>
        <v>リーボック メンズ ワークアウトレディ トラックパンツ</v>
      </c>
    </row>
    <row r="4973" ht="15.75" customHeight="1">
      <c r="A4973" s="1">
        <v>7175.0</v>
      </c>
      <c r="B4973" s="1" t="s">
        <v>15</v>
      </c>
      <c r="C4973" s="1" t="s">
        <v>4232</v>
      </c>
      <c r="D4973" s="1" t="str">
        <f>IFERROR(__xludf.DUMMYFUNCTION("CONCATENATE(GOOGLETRANSLATE(C4973, ""en"", ""zh-cn""))"),"Reebok 男士 Identity 开口下摆长裤")</f>
        <v>Reebok 男士 Identity 开口下摆长裤</v>
      </c>
      <c r="E4973" s="1" t="str">
        <f>IFERROR(__xludf.DUMMYFUNCTION("CONCATENATE(GOOGLETRANSLATE(C4973, ""en"", ""ko""))"),"Reebok 남성 아이덴티티 오픈 헴 팬츠")</f>
        <v>Reebok 남성 아이덴티티 오픈 헴 팬츠</v>
      </c>
      <c r="F4973" s="1" t="str">
        <f>IFERROR(__xludf.DUMMYFUNCTION("CONCATENATE(GOOGLETRANSLATE(C4973, ""en"", ""ja""))"),"リーボック メンズ アイデンティティ オープンヘム パンツ")</f>
        <v>リーボック メンズ アイデンティティ オープンヘム パンツ</v>
      </c>
    </row>
    <row r="4974" ht="15.75" customHeight="1">
      <c r="A4974" s="1">
        <v>7177.0</v>
      </c>
      <c r="B4974" s="1" t="s">
        <v>15</v>
      </c>
      <c r="C4974" s="1" t="s">
        <v>4233</v>
      </c>
      <c r="D4974" s="1" t="str">
        <f>IFERROR(__xludf.DUMMYFUNCTION("CONCATENATE(GOOGLETRANSLATE(C4974, ""en"", ""zh-cn""))"),"Reebok 女式 Identity Back 矢量经编运动裤")</f>
        <v>Reebok 女式 Identity Back 矢量经编运动裤</v>
      </c>
      <c r="E4974" s="1" t="str">
        <f>IFERROR(__xludf.DUMMYFUNCTION("CONCATENATE(GOOGLETRANSLATE(C4974, ""en"", ""ko""))"),"Reebok 여성용 아이덴티티 백 벡터 트리코 트랙 팬츠")</f>
        <v>Reebok 여성용 아이덴티티 백 벡터 트리코 트랙 팬츠</v>
      </c>
      <c r="F4974" s="1" t="str">
        <f>IFERROR(__xludf.DUMMYFUNCTION("CONCATENATE(GOOGLETRANSLATE(C4974, ""en"", ""ja""))"),"リーボック レディース アイデンティティ バック ベクター トリコット トラック パンツ")</f>
        <v>リーボック レディース アイデンティティ バック ベクター トリコット トラック パンツ</v>
      </c>
    </row>
    <row r="4975" ht="15.75" customHeight="1">
      <c r="A4975" s="1">
        <v>7179.0</v>
      </c>
      <c r="B4975" s="1" t="s">
        <v>15</v>
      </c>
      <c r="C4975" s="1" t="s">
        <v>4234</v>
      </c>
      <c r="D4975" s="1" t="str">
        <f>IFERROR(__xludf.DUMMYFUNCTION("CONCATENATE(GOOGLETRANSLATE(C4975, ""en"", ""zh-cn""))"),"Reebok 女式锻炼裤计划微喇裤")</f>
        <v>Reebok 女式锻炼裤计划微喇裤</v>
      </c>
      <c r="E4975" s="1" t="str">
        <f>IFERROR(__xludf.DUMMYFUNCTION("CONCATENATE(GOOGLETRANSLATE(C4975, ""en"", ""ko""))"),"Reebok 여성 워크아웃 레디 팬츠 프로그램 부츠컷 팬츠")</f>
        <v>Reebok 여성 워크아웃 레디 팬츠 프로그램 부츠컷 팬츠</v>
      </c>
      <c r="F4975" s="1" t="str">
        <f>IFERROR(__xludf.DUMMYFUNCTION("CONCATENATE(GOOGLETRANSLATE(C4975, ""en"", ""ja""))"),"リーボック レディース Workout Ready Pant プログラム ブーツカット パンツ")</f>
        <v>リーボック レディース Workout Ready Pant プログラム ブーツカット パンツ</v>
      </c>
    </row>
    <row r="4976" ht="15.75" customHeight="1">
      <c r="A4976" s="1">
        <v>7181.0</v>
      </c>
      <c r="B4976" s="1" t="s">
        <v>15</v>
      </c>
      <c r="C4976" s="1" t="s">
        <v>4235</v>
      </c>
      <c r="D4976" s="1" t="str">
        <f>IFERROR(__xludf.DUMMYFUNCTION("CONCATENATE(GOOGLETRANSLATE(C4976, ""en"", ""zh-cn""))"),"Reebok 女式 Active Collective DreamBlend 7/8 打底裤")</f>
        <v>Reebok 女式 Active Collective DreamBlend 7/8 打底裤</v>
      </c>
      <c r="E4976" s="1" t="str">
        <f>IFERROR(__xludf.DUMMYFUNCTION("CONCATENATE(GOOGLETRANSLATE(C4976, ""en"", ""ko""))"),"Reebok 여성 액티브 컬렉티브 드림블렌드 7/8 레깅스")</f>
        <v>Reebok 여성 액티브 컬렉티브 드림블렌드 7/8 레깅스</v>
      </c>
      <c r="F4976" s="1" t="str">
        <f>IFERROR(__xludf.DUMMYFUNCTION("CONCATENATE(GOOGLETRANSLATE(C4976, ""en"", ""ja""))"),"Reebok レディース アクティブ コレクティブ ドリームブレンド 7/8 レギンス")</f>
        <v>Reebok レディース アクティブ コレクティブ ドリームブレンド 7/8 レギンス</v>
      </c>
    </row>
    <row r="4977" ht="15.75" customHeight="1">
      <c r="A4977" s="1">
        <v>7182.0</v>
      </c>
      <c r="B4977" s="1" t="s">
        <v>15</v>
      </c>
      <c r="C4977" s="1" t="s">
        <v>4236</v>
      </c>
      <c r="D4977" s="1" t="str">
        <f>IFERROR(__xludf.DUMMYFUNCTION("CONCATENATE(GOOGLETRANSLATE(C4977, ""en"", ""zh-cn""))"),"Reebok 女式 Identity 小徽标抓绒阔腿裤")</f>
        <v>Reebok 女式 Identity 小徽标抓绒阔腿裤</v>
      </c>
      <c r="E4977" s="1" t="str">
        <f>IFERROR(__xludf.DUMMYFUNCTION("CONCATENATE(GOOGLETRANSLATE(C4977, ""en"", ""ko""))"),"Reebok 여성용 아이덴티티 스몰 로고 플리스 와이드 레그 팬츠")</f>
        <v>Reebok 여성용 아이덴티티 스몰 로고 플리스 와이드 레그 팬츠</v>
      </c>
      <c r="F4977" s="1" t="str">
        <f>IFERROR(__xludf.DUMMYFUNCTION("CONCATENATE(GOOGLETRANSLATE(C4977, ""en"", ""ja""))"),"リーボック レディース アイデンティティ スモール ロゴ フリース ワイドレッグ パンツ")</f>
        <v>リーボック レディース アイデンティティ スモール ロゴ フリース ワイドレッグ パンツ</v>
      </c>
    </row>
    <row r="4978" ht="15.75" customHeight="1">
      <c r="A4978" s="1">
        <v>7185.0</v>
      </c>
      <c r="B4978" s="1" t="s">
        <v>15</v>
      </c>
      <c r="C4978" s="1" t="s">
        <v>4237</v>
      </c>
      <c r="D4978" s="1" t="str">
        <f>IFERROR(__xludf.DUMMYFUNCTION("CONCATENATE(GOOGLETRANSLATE(C4978, ""en"", ""zh-cn""))"),"Reebok 女士经典系列运动裤")</f>
        <v>Reebok 女士经典系列运动裤</v>
      </c>
      <c r="E4978" s="1" t="str">
        <f>IFERROR(__xludf.DUMMYFUNCTION("CONCATENATE(GOOGLETRANSLATE(C4978, ""en"", ""ko""))"),"Reebok 여성 클래식 프랜차이즈 트랙 팬츠")</f>
        <v>Reebok 여성 클래식 프랜차이즈 트랙 팬츠</v>
      </c>
      <c r="F4978" s="1" t="str">
        <f>IFERROR(__xludf.DUMMYFUNCTION("CONCATENATE(GOOGLETRANSLATE(C4978, ""en"", ""ja""))"),"リーボック レディース クラシック フランチャイズ トラック パンツ")</f>
        <v>リーボック レディース クラシック フランチャイズ トラック パンツ</v>
      </c>
    </row>
    <row r="4979" ht="15.75" customHeight="1">
      <c r="A4979" s="1">
        <v>7193.0</v>
      </c>
      <c r="B4979" s="1" t="s">
        <v>15</v>
      </c>
      <c r="C4979" s="1" t="s">
        <v>4238</v>
      </c>
      <c r="D4979" s="1" t="str">
        <f>IFERROR(__xludf.DUMMYFUNCTION("CONCATENATE(GOOGLETRANSLATE(C4979, ""en"", ""zh-cn""))"),"Reebok 男士 Club C 85 复古鞋")</f>
        <v>Reebok 男士 Club C 85 复古鞋</v>
      </c>
      <c r="E4979" s="1" t="str">
        <f>IFERROR(__xludf.DUMMYFUNCTION("CONCATENATE(GOOGLETRANSLATE(C4979, ""en"", ""ko""))"),"리복 남성 클럽 C 85 빈티지 신발")</f>
        <v>리복 남성 클럽 C 85 빈티지 신발</v>
      </c>
      <c r="F4979" s="1" t="str">
        <f>IFERROR(__xludf.DUMMYFUNCTION("CONCATENATE(GOOGLETRANSLATE(C4979, ""en"", ""ja""))"),"[リーボック] メンズ クラブ C 85 ヴィンテージ シューズ")</f>
        <v>[リーボック] メンズ クラブ C 85 ヴィンテージ シューズ</v>
      </c>
    </row>
    <row r="4980" ht="15.75" customHeight="1">
      <c r="A4980" s="1">
        <v>7207.0</v>
      </c>
      <c r="B4980" s="1" t="s">
        <v>15</v>
      </c>
      <c r="C4980" s="1" t="s">
        <v>4239</v>
      </c>
      <c r="D4980" s="1" t="str">
        <f>IFERROR(__xludf.DUMMYFUNCTION("CONCATENATE(GOOGLETRANSLATE(C4980, ""en"", ""zh-cn""))"),"Reebok 男士 Ri Brand Proud 裤子")</f>
        <v>Reebok 男士 Ri Brand Proud 裤子</v>
      </c>
      <c r="E4980" s="1" t="str">
        <f>IFERROR(__xludf.DUMMYFUNCTION("CONCATENATE(GOOGLETRANSLATE(C4980, ""en"", ""ko""))"),"Reebok 남성 Ri 브랜드 프라우드 팬츠")</f>
        <v>Reebok 남성 Ri 브랜드 프라우드 팬츠</v>
      </c>
      <c r="F4980" s="1" t="str">
        <f>IFERROR(__xludf.DUMMYFUNCTION("CONCATENATE(GOOGLETRANSLATE(C4980, ""en"", ""ja""))"),"Reebok メンズ Ri ブランド プラウド パンツ")</f>
        <v>Reebok メンズ Ri ブランド プラウド パンツ</v>
      </c>
    </row>
    <row r="4981" ht="15.75" customHeight="1">
      <c r="A4981" s="1">
        <v>7215.0</v>
      </c>
      <c r="B4981" s="1" t="s">
        <v>15</v>
      </c>
      <c r="C4981" s="1" t="s">
        <v>1851</v>
      </c>
      <c r="D4981" s="1" t="str">
        <f>IFERROR(__xludf.DUMMYFUNCTION("CONCATENATE(GOOGLETRANSLATE(C4981, ""en"", ""zh-cn""))"),"GAN Megaminx M，五角磁力测速魔方，无贴纸")</f>
        <v>GAN Megaminx M，五角磁力测速魔方，无贴纸</v>
      </c>
      <c r="E4981" s="1" t="str">
        <f>IFERROR(__xludf.DUMMYFUNCTION("CONCATENATE(GOOGLETRANSLATE(C4981, ""en"", ""ko""))"),"GAN Megaminx M, 오각형 자기 속도 큐브, 스티커 없음")</f>
        <v>GAN Megaminx M, 오각형 자기 속도 큐브, 스티커 없음</v>
      </c>
      <c r="F4981" s="1" t="str">
        <f>IFERROR(__xludf.DUMMYFUNCTION("CONCATENATE(GOOGLETRANSLATE(C4981, ""en"", ""ja""))"),"GAN メガミンクス M、五角形磁気スピードキューブ、ステッカーレス")</f>
        <v>GAN メガミンクス M、五角形磁気スピードキューブ、ステッカーレス</v>
      </c>
    </row>
    <row r="4982" ht="15.75" customHeight="1">
      <c r="A4982" s="1">
        <v>7218.0</v>
      </c>
      <c r="B4982" s="1" t="s">
        <v>15</v>
      </c>
      <c r="C4982" s="1" t="s">
        <v>1839</v>
      </c>
      <c r="D4982" s="1" t="str">
        <f>IFERROR(__xludf.DUMMYFUNCTION("CONCATENATE(GOOGLETRANSLATE(C4982, ""en"", ""zh-cn""))"),"GAN 13 磁悬浮 UV 涂层，磁性速度魔方 3x3 无贴纸 56 毫米磁铁魔方拼图玩具，GAN 2022 旗舰")</f>
        <v>GAN 13 磁悬浮 UV 涂层，磁性速度魔方 3x3 无贴纸 56 毫米磁铁魔方拼图玩具，GAN 2022 旗舰</v>
      </c>
      <c r="E4982" s="1" t="str">
        <f>IFERROR(__xludf.DUMMYFUNCTION("CONCATENATE(GOOGLETRANSLATE(C4982, ""en"", ""ko""))"),"GAN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4982" s="1" t="str">
        <f>IFERROR(__xludf.DUMMYFUNCTION("CONCATENATE(GOOGLETRANSLATE(C4982, ""en"", ""ja""))"),"GAN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4983" ht="15.75" customHeight="1">
      <c r="A4983" s="1">
        <v>7219.0</v>
      </c>
      <c r="B4983" s="1" t="s">
        <v>15</v>
      </c>
      <c r="C4983" s="1" t="s">
        <v>1847</v>
      </c>
      <c r="D4983" s="1" t="str">
        <f>IFERROR(__xludf.DUMMYFUNCTION("CONCATENATE(GOOGLETRANSLATE(C4983, ""en"", ""zh-cn""))"),"Bukefuno GAN 12 Maglev 3x3 磁性魔方 GAN12Maglev Speed GAN 12Maglev 拼图魔方 GAN12 Maglev 3x3 魔方（磨砂表面无贴纸）")</f>
        <v>Bukefuno GAN 12 Maglev 3x3 磁性魔方 GAN12Maglev Speed GAN 12Maglev 拼图魔方 GAN12 Maglev 3x3 魔方（磨砂表面无贴纸）</v>
      </c>
      <c r="E4983" s="1" t="str">
        <f>IFERROR(__xludf.DUMMYFUNCTION("CONCATENATE(GOOGLETRANSLATE(C4983, ""en"", ""ko""))"),"Bukefuno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4983" s="1" t="str">
        <f>IFERROR(__xludf.DUMMYFUNCTION("CONCATENATE(GOOGLETRANSLATE(C4983, ""en"", ""ja""))"),"Bukefuno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4984" ht="15.75" customHeight="1">
      <c r="A4984" s="1">
        <v>7237.0</v>
      </c>
      <c r="B4984" s="1" t="s">
        <v>15</v>
      </c>
      <c r="C4984" s="1" t="s">
        <v>2319</v>
      </c>
      <c r="D4984" s="1" t="str">
        <f>IFERROR(__xludf.DUMMYFUNCTION("CONCATENATE(GOOGLETRANSLATE(C4984, ""en"", ""zh-cn""))"),"Giro 男士公路自行车鞋， 33 EU")</f>
        <v>Giro 男士公路自行车鞋， 33 EU</v>
      </c>
      <c r="E4984" s="1" t="str">
        <f>IFERROR(__xludf.DUMMYFUNCTION("CONCATENATE(GOOGLETRANSLATE(C4984, ""en"", ""ko""))"),"Giro 남성용 로드 자전거 신발, 33 EU")</f>
        <v>Giro 남성용 로드 자전거 신발, 33 EU</v>
      </c>
      <c r="F4984" s="1" t="str">
        <f>IFERROR(__xludf.DUMMYFUNCTION("CONCATENATE(GOOGLETRANSLATE(C4984, ""en"", ""ja""))"),"Giro メンズ ロードバイク シューズ、33 EU")</f>
        <v>Giro メンズ ロードバイク シューズ、33 EU</v>
      </c>
    </row>
    <row r="4985" ht="15.75" customHeight="1">
      <c r="A4985" s="1">
        <v>7240.0</v>
      </c>
      <c r="B4985" s="1" t="s">
        <v>15</v>
      </c>
      <c r="C4985" s="1" t="s">
        <v>1906</v>
      </c>
      <c r="D4985" s="1" t="str">
        <f>IFERROR(__xludf.DUMMYFUNCTION("CONCATENATE(GOOGLETRANSLATE(C4985, ""en"", ""zh-cn""))"),"Igloo 54 夸脱钢带传统不锈钢冷却器带开瓶器")</f>
        <v>Igloo 54 夸脱钢带传统不锈钢冷却器带开瓶器</v>
      </c>
      <c r="E4985" s="1" t="str">
        <f>IFERROR(__xludf.DUMMYFUNCTION("CONCATENATE(GOOGLETRANSLATE(C4985, ""en"", ""ko""))"),"이글루 54 Qt 스틸 벨티드 레거시 스테인리스 스틸 쿨러(병따개 포함)")</f>
        <v>이글루 54 Qt 스틸 벨티드 레거시 스테인리스 스틸 쿨러(병따개 포함)</v>
      </c>
      <c r="F4985" s="1" t="str">
        <f>IFERROR(__xludf.DUMMYFUNCTION("CONCATENATE(GOOGLETRANSLATE(C4985, ""en"", ""ja""))"),"Igloo 54 Qt スチールベルト付きレガシーステンレススチールクーラー ボトルオープナー付き")</f>
        <v>Igloo 54 Qt スチールベルト付きレガシーステンレススチールクーラー ボトルオープナー付き</v>
      </c>
    </row>
    <row r="4986" ht="15.75" customHeight="1">
      <c r="A4986" s="1">
        <v>7247.0</v>
      </c>
      <c r="B4986" s="1" t="s">
        <v>15</v>
      </c>
      <c r="C4986" s="1" t="s">
        <v>2309</v>
      </c>
      <c r="D4986" s="1" t="str">
        <f>IFERROR(__xludf.DUMMYFUNCTION("CONCATENATE(GOOGLETRANSLATE(C4986, ""en"", ""zh-cn""))"),"BiSaddle SRT 超短无鼻可调自行车鞍座黑色带钛导轨定制舒适，均码")</f>
        <v>BiSaddle SRT 超短无鼻可调自行车鞍座黑色带钛导轨定制舒适，均码</v>
      </c>
      <c r="E4986" s="1" t="str">
        <f>IFERROR(__xludf.DUMMYFUNCTION("CONCATENATE(GOOGLETRANSLATE(C4986, ""en"", ""ko""))"),"BiSaddle SRT 슈퍼 짧은 노즈리스 조절식 자전거 안장 블랙(티타늄 레일 포함) 맞춤형 컴포트, 단일 사이즈")</f>
        <v>BiSaddle SRT 슈퍼 짧은 노즈리스 조절식 자전거 안장 블랙(티타늄 레일 포함) 맞춤형 컴포트, 단일 사이즈</v>
      </c>
      <c r="F4986" s="1" t="str">
        <f>IFERROR(__xludf.DUMMYFUNCTION("CONCATENATE(GOOGLETRANSLATE(C4986, ""en"", ""ja""))"),"BiSaddle SRT スーパーショート ノーズレス 調節可能 自転車サドル ブラック チタンレール付き カスタムフィット コンフォート、ワンサイズ")</f>
        <v>BiSaddle SRT スーパーショート ノーズレス 調節可能 自転車サドル ブラック チタンレール付き カスタムフィット コンフォート、ワンサイズ</v>
      </c>
    </row>
    <row r="4987" ht="15.75" customHeight="1">
      <c r="A4987" s="1">
        <v>7252.0</v>
      </c>
      <c r="B4987" s="1" t="s">
        <v>15</v>
      </c>
      <c r="C4987" s="1" t="s">
        <v>2376</v>
      </c>
      <c r="D4987" s="1" t="str">
        <f>IFERROR(__xludf.DUMMYFUNCTION("CONCATENATE(GOOGLETRANSLATE(C4987, ""en"", ""zh-cn""))"),"美国 Pride 家具瑜伽系列现代人造皮革弧形躺椅，适合伸展和放松，非常适合卧室、客厅、冥想室或办公室，常规，午夜黑")</f>
        <v>美国 Pride 家具瑜伽系列现代人造皮革弧形躺椅，适合伸展和放松，非常适合卧室、客厅、冥想室或办公室，常规，午夜黑</v>
      </c>
      <c r="E4987" s="1" t="str">
        <f>IFERROR(__xludf.DUMMYFUNCTION("CONCATENATE(GOOGLETRANSLATE(C4987, ""en"", ""ko""))"),"US Pride Furniture Yoga Collection 스트레칭과 휴식을 위한 현대적인 인조 가죽 곡선 라운지 의자, 침실, 거실, 명상실 또는 사무실에 이상적, 일반, 미드나잇 블랙")</f>
        <v>US Pride Furniture Yoga Collection 스트레칭과 휴식을 위한 현대적인 인조 가죽 곡선 라운지 의자, 침실, 거실, 명상실 또는 사무실에 이상적, 일반, 미드나잇 블랙</v>
      </c>
      <c r="F4987" s="1" t="str">
        <f>IFERROR(__xludf.DUMMYFUNCTION("CONCATENATE(GOOGLETRANSLATE(C4987, ""en"", ""ja""))"),"USプライドファニチャーヨガコレクション ストレッチとリラクゼーションのためのモダンなフェイクレザーの湾曲したラウンジ長椅子、寝室、リビング、瞑想室またはオフィスに最適、レギュラー、ミッドナイトブラック")</f>
        <v>USプライドファニチャーヨガコレクション ストレッチとリラクゼーションのためのモダンなフェイクレザーの湾曲したラウンジ長椅子、寝室、リビング、瞑想室またはオフィスに最適、レギュラー、ミッドナイトブラック</v>
      </c>
    </row>
    <row r="4988" ht="15.75" customHeight="1">
      <c r="A4988" s="1">
        <v>7263.0</v>
      </c>
      <c r="B4988" s="1" t="s">
        <v>15</v>
      </c>
      <c r="C4988" s="1" t="s">
        <v>4240</v>
      </c>
      <c r="D4988" s="1" t="str">
        <f>IFERROR(__xludf.DUMMYFUNCTION("CONCATENATE(GOOGLETRANSLATE(C4988, ""en"", ""zh-cn""))"),"Fluidmaster 马桶进水阀 400A")</f>
        <v>Fluidmaster 马桶进水阀 400A</v>
      </c>
      <c r="E4988" s="1" t="str">
        <f>IFERROR(__xludf.DUMMYFUNCTION("CONCATENATE(GOOGLETRANSLATE(C4988, ""en"", ""ko""))"),"Fluidmaster 화장실 채우기 밸브 400A")</f>
        <v>Fluidmaster 화장실 채우기 밸브 400A</v>
      </c>
      <c r="F4988" s="1" t="str">
        <f>IFERROR(__xludf.DUMMYFUNCTION("CONCATENATE(GOOGLETRANSLATE(C4988, ""en"", ""ja""))"),"Fluidmaster トイレ充填バルブ 400A")</f>
        <v>Fluidmaster トイレ充填バルブ 400A</v>
      </c>
    </row>
    <row r="4989" ht="15.75" customHeight="1">
      <c r="A4989" s="1">
        <v>7283.0</v>
      </c>
      <c r="B4989" s="1" t="s">
        <v>15</v>
      </c>
      <c r="C4989" s="1" t="s">
        <v>4241</v>
      </c>
      <c r="D4989" s="1" t="str">
        <f>IFERROR(__xludf.DUMMYFUNCTION("CONCATENATE(GOOGLETRANSLATE(C4989, ""en"", ""zh-cn""))"),"带挡板的 Fluidmaster 2"" 冲洗阀 507A")</f>
        <v>带挡板的 Fluidmaster 2" 冲洗阀 507A</v>
      </c>
      <c r="E4989" s="1" t="str">
        <f>IFERROR(__xludf.DUMMYFUNCTION("CONCATENATE(GOOGLETRANSLATE(C4989, ""en"", ""ko""))"),"Fluidmaster 2"" 플러시 밸브(플래퍼 507A 포함)")</f>
        <v>Fluidmaster 2" 플러시 밸브(플래퍼 507A 포함)</v>
      </c>
      <c r="F4989" s="1" t="str">
        <f>IFERROR(__xludf.DUMMYFUNCTION("CONCATENATE(GOOGLETRANSLATE(C4989, ""en"", ""ja""))"),"Fluidmaster 2 インチ フラッパー付きフラッシュ バルブ 507A")</f>
        <v>Fluidmaster 2 インチ フラッパー付きフラッシュ バルブ 507A</v>
      </c>
    </row>
    <row r="4990" ht="15.75" customHeight="1">
      <c r="A4990" s="1">
        <v>7289.0</v>
      </c>
      <c r="B4990" s="1" t="s">
        <v>15</v>
      </c>
      <c r="C4990" s="1" t="s">
        <v>4242</v>
      </c>
      <c r="D4990" s="1" t="str">
        <f>IFERROR(__xludf.DUMMYFUNCTION("CONCATENATE(GOOGLETRANSLATE(C4990, ""en"", ""zh-cn""))"),"Fluidmaster Sure Fit 通用马桶挡板 503")</f>
        <v>Fluidmaster Sure Fit 通用马桶挡板 503</v>
      </c>
      <c r="E4990" s="1" t="str">
        <f>IFERROR(__xludf.DUMMYFUNCTION("CONCATENATE(GOOGLETRANSLATE(C4990, ""en"", ""ko""))"),"Fluidmaster Sure Fit 범용 변기 플래퍼 503")</f>
        <v>Fluidmaster Sure Fit 범용 변기 플래퍼 503</v>
      </c>
      <c r="F4990" s="1" t="str">
        <f>IFERROR(__xludf.DUMMYFUNCTION("CONCATENATE(GOOGLETRANSLATE(C4990, ""en"", ""ja""))"),"Fluidmaster シュア フィット ユニバーサル トイレ フラッパー 503")</f>
        <v>Fluidmaster シュア フィット ユニバーサル トイレ フラッパー 503</v>
      </c>
    </row>
    <row r="4991" ht="15.75" customHeight="1">
      <c r="A4991" s="1">
        <v>7304.0</v>
      </c>
      <c r="B4991" s="1" t="s">
        <v>15</v>
      </c>
      <c r="C4991" s="1" t="s">
        <v>4243</v>
      </c>
      <c r="D4991" s="1" t="str">
        <f>IFERROR(__xludf.DUMMYFUNCTION("CONCATENATE(GOOGLETRANSLATE(C4991, ""en"", ""zh-cn""))"),"Homfa 马桶上方储物架")</f>
        <v>Homfa 马桶上方储物架</v>
      </c>
      <c r="E4991" s="1" t="str">
        <f>IFERROR(__xludf.DUMMYFUNCTION("CONCATENATE(GOOGLETRANSLATE(C4991, ""en"", ""ko""))"),"Homfa 화장실 보관함")</f>
        <v>Homfa 화장실 보관함</v>
      </c>
      <c r="F4991" s="1" t="str">
        <f>IFERROR(__xludf.DUMMYFUNCTION("CONCATENATE(GOOGLETRANSLATE(C4991, ""en"", ""ja""))"),"ホムファオーバートイレ収納ラック")</f>
        <v>ホムファオーバートイレ収納ラック</v>
      </c>
    </row>
    <row r="4992" ht="15.75" customHeight="1">
      <c r="A4992" s="1">
        <v>7307.0</v>
      </c>
      <c r="B4992" s="1" t="s">
        <v>15</v>
      </c>
      <c r="C4992" s="1" t="s">
        <v>4244</v>
      </c>
      <c r="D4992" s="1" t="str">
        <f>IFERROR(__xludf.DUMMYFUNCTION("CONCATENATE(GOOGLETRANSLATE(C4992, ""en"", ""zh-cn""))"),"Homfa 70.3""H 浴室储物柜")</f>
        <v>Homfa 70.3"H 浴室储物柜</v>
      </c>
      <c r="E4992" s="1" t="str">
        <f>IFERROR(__xludf.DUMMYFUNCTION("CONCATENATE(GOOGLETRANSLATE(C4992, ""en"", ""ko""))"),"Homfa 70.3""H 욕실 수납장")</f>
        <v>Homfa 70.3"H 욕실 수납장</v>
      </c>
      <c r="F4992" s="1" t="str">
        <f>IFERROR(__xludf.DUMMYFUNCTION("CONCATENATE(GOOGLETRANSLATE(C4992, ""en"", ""ja""))"),"Homfa 高さ 70.3 インチのバスルーム収納キャビネット")</f>
        <v>Homfa 高さ 70.3 インチのバスルーム収納キャビネット</v>
      </c>
    </row>
    <row r="4993" ht="15.75" customHeight="1">
      <c r="A4993" s="1">
        <v>7314.0</v>
      </c>
      <c r="B4993" s="1" t="s">
        <v>15</v>
      </c>
      <c r="C4993" s="1" t="s">
        <v>4245</v>
      </c>
      <c r="D4993" s="1" t="str">
        <f>IFERROR(__xludf.DUMMYFUNCTION("CONCATENATE(GOOGLETRANSLATE(C4993, ""en"", ""zh-cn""))"),"优雅灯光格兰特单人浴室梳妆台 VF90230")</f>
        <v>优雅灯光格兰特单人浴室梳妆台 VF90230</v>
      </c>
      <c r="E4993" s="1" t="str">
        <f>IFERROR(__xludf.DUMMYFUNCTION("CONCATENATE(GOOGLETRANSLATE(C4993, ""en"", ""ko""))"),"우아한 조명 그랜트 싱글 욕실 세면대 VF90230")</f>
        <v>우아한 조명 그랜트 싱글 욕실 세면대 VF90230</v>
      </c>
      <c r="F4993" s="1" t="str">
        <f>IFERROR(__xludf.DUMMYFUNCTION("CONCATENATE(GOOGLETRANSLATE(C4993, ""en"", ""ja""))"),"エレガント ライティング グラント シングル 洗面化粧台 VF90230")</f>
        <v>エレガント ライティング グラント シングル 洗面化粧台 VF90230</v>
      </c>
    </row>
    <row r="4994" ht="15.75" customHeight="1">
      <c r="A4994" s="1">
        <v>7335.0</v>
      </c>
      <c r="B4994" s="1" t="s">
        <v>15</v>
      </c>
      <c r="C4994" s="1" t="s">
        <v>4246</v>
      </c>
      <c r="D4994" s="1" t="str">
        <f>IFERROR(__xludf.DUMMYFUNCTION("CONCATENATE(GOOGLETRANSLATE(C4994, ""en"", ""zh-cn""))"),"现代壁挂式浴室柜，带抽屉、门和架子")</f>
        <v>现代壁挂式浴室柜，带抽屉、门和架子</v>
      </c>
      <c r="E4994" s="1" t="str">
        <f>IFERROR(__xludf.DUMMYFUNCTION("CONCATENATE(GOOGLETRANSLATE(C4994, ""en"", ""ko""))"),"서랍, 문, 선반이 있는 현대적인 벽걸이형 욕실 캐비닛")</f>
        <v>서랍, 문, 선반이 있는 현대적인 벽걸이형 욕실 캐비닛</v>
      </c>
      <c r="F4994" s="1" t="str">
        <f>IFERROR(__xludf.DUMMYFUNCTION("CONCATENATE(GOOGLETRANSLATE(C4994, ""en"", ""ja""))"),"引き出し、ドア、棚付きのモダンな壁掛けバスルームキャビネット")</f>
        <v>引き出し、ドア、棚付きのモダンな壁掛けバスルームキャビネット</v>
      </c>
    </row>
    <row r="4995" ht="15.75" customHeight="1">
      <c r="A4995" s="1">
        <v>7342.0</v>
      </c>
      <c r="B4995" s="1" t="s">
        <v>15</v>
      </c>
      <c r="C4995" s="1" t="s">
        <v>4247</v>
      </c>
      <c r="D4995" s="1" t="str">
        <f>IFERROR(__xludf.DUMMYFUNCTION("CONCATENATE(GOOGLETRANSLATE(C4995, ""en"", ""zh-cn""))"),"Ktaxon浴室地柜")</f>
        <v>Ktaxon浴室地柜</v>
      </c>
      <c r="E4995" s="1" t="str">
        <f>IFERROR(__xludf.DUMMYFUNCTION("CONCATENATE(GOOGLETRANSLATE(C4995, ""en"", ""ko""))"),"Ktaxon 욕실 바닥 캐비닛")</f>
        <v>Ktaxon 욕실 바닥 캐비닛</v>
      </c>
      <c r="F4995" s="1" t="str">
        <f>IFERROR(__xludf.DUMMYFUNCTION("CONCATENATE(GOOGLETRANSLATE(C4995, ""en"", ""ja""))"),"Ktaxon バスルーム フロア キャビネット")</f>
        <v>Ktaxon バスルーム フロア キャビネット</v>
      </c>
    </row>
    <row r="4996" ht="15.75" customHeight="1">
      <c r="A4996" s="1">
        <v>7360.0</v>
      </c>
      <c r="B4996" s="1" t="s">
        <v>15</v>
      </c>
      <c r="C4996" s="1" t="s">
        <v>4248</v>
      </c>
      <c r="D4996" s="1" t="str">
        <f>IFERROR(__xludf.DUMMYFUNCTION("CONCATENATE(GOOGLETRANSLATE(C4996, ""en"", ""zh-cn""))"),"Ktaxon 马桶上方浴室储物空间节省器，独立式浴室柜，带双门和可调节搁板，白色饰面，尺寸：23.63")</f>
        <v>Ktaxon 马桶上方浴室储物空间节省器，独立式浴室柜，带双门和可调节搁板，白色饰面，尺寸：23.63</v>
      </c>
      <c r="E4996" s="1" t="str">
        <f>IFERROR(__xludf.DUMMYFUNCTION("CONCATENATE(GOOGLETRANSLATE(C4996, ""en"", ""ko""))"),"Ktaxon 화장실 위 욕실 보관 공간 보호기, 이중 도어와 조절 가능한 선반이 있는 독립형 욕실 캐비닛, 흰색 마감, 크기: 23.63")</f>
        <v>Ktaxon 화장실 위 욕실 보관 공간 보호기, 이중 도어와 조절 가능한 선반이 있는 독립형 욕실 캐비닛, 흰색 마감, 크기: 23.63</v>
      </c>
      <c r="F4996" s="1" t="str">
        <f>IFERROR(__xludf.DUMMYFUNCTION("CONCATENATE(GOOGLETRANSLATE(C4996, ""en"", ""ja""))"),"Ktaxon トイレの上のバスルーム収納スペースセーバー、両開きドアと調節可能な棚付き自立型バスルームキャビネット、ホワイト仕上げ、サイズ: 23.63")</f>
        <v>Ktaxon トイレの上のバスルーム収納スペースセーバー、両開きドアと調節可能な棚付き自立型バスルームキャビネット、ホワイト仕上げ、サイズ: 23.63</v>
      </c>
    </row>
    <row r="4997" ht="15.75" customHeight="1">
      <c r="A4997" s="1">
        <v>7366.0</v>
      </c>
      <c r="B4997" s="1" t="s">
        <v>15</v>
      </c>
      <c r="C4997" s="1" t="s">
        <v>4249</v>
      </c>
      <c r="D4997" s="1" t="str">
        <f>IFERROR(__xludf.DUMMYFUNCTION("CONCATENATE(GOOGLETRANSLATE(C4997, ""en"", ""zh-cn""))"),"Costway 浴室储物木质 4 抽屉柜橱柜 2 层架独立式")</f>
        <v>Costway 浴室储物木质 4 抽屉柜橱柜 2 层架独立式</v>
      </c>
      <c r="E4997" s="1" t="str">
        <f>IFERROR(__xludf.DUMMYFUNCTION("CONCATENATE(GOOGLETRANSLATE(C4997, ""en"", ""ko""))"),"Costway 욕실 보관함 목재 4개 서랍 캐비닛 찬장 2개 선반 독립형")</f>
        <v>Costway 욕실 보관함 목재 4개 서랍 캐비닛 찬장 2개 선반 독립형</v>
      </c>
      <c r="F4997" s="1" t="str">
        <f>IFERROR(__xludf.DUMMYFUNCTION("CONCATENATE(GOOGLETRANSLATE(C4997, ""en"", ""ja""))"),"Costway バスルーム収納 木製 4 引き出しキャビネット 食器棚 2 棚 自立式")</f>
        <v>Costway バスルーム収納 木製 4 引き出しキャビネット 食器棚 2 棚 自立式</v>
      </c>
    </row>
    <row r="4998" ht="15.75" customHeight="1">
      <c r="A4998" s="1">
        <v>7402.0</v>
      </c>
      <c r="B4998" s="1" t="s">
        <v>15</v>
      </c>
      <c r="C4998" s="1" t="s">
        <v>4250</v>
      </c>
      <c r="D4998" s="1" t="str">
        <f>IFERROR(__xludf.DUMMYFUNCTION("CONCATENATE(GOOGLETRANSLATE(C4998, ""en"", ""zh-cn""))"),"Brita Stream 过滤水罐")</f>
        <v>Brita Stream 过滤水罐</v>
      </c>
      <c r="E4998" s="1" t="str">
        <f>IFERROR(__xludf.DUMMYFUNCTION("CONCATENATE(GOOGLETRANSLATE(C4998, ""en"", ""ko""))"),"브리타 스트림 필터 피처")</f>
        <v>브리타 스트림 필터 피처</v>
      </c>
      <c r="F4998" s="1" t="str">
        <f>IFERROR(__xludf.DUMMYFUNCTION("CONCATENATE(GOOGLETRANSLATE(C4998, ""en"", ""ja""))"),"ブリタ ストリームフィルターピッチャー")</f>
        <v>ブリタ ストリームフィルターピッチャー</v>
      </c>
    </row>
    <row r="4999" ht="15.75" customHeight="1">
      <c r="A4999" s="1">
        <v>7427.0</v>
      </c>
      <c r="B4999" s="1" t="s">
        <v>15</v>
      </c>
      <c r="C4999" s="1" t="s">
        <v>4251</v>
      </c>
      <c r="D4999" s="1" t="str">
        <f>IFERROR(__xludf.DUMMYFUNCTION("CONCATENATE(GOOGLETRANSLATE(C4999, ""en"", ""zh-cn""))"),"PUR 水罐替换过滤器 4 件装")</f>
        <v>PUR 水罐替换过滤器 4 件装</v>
      </c>
      <c r="E4999" s="1" t="str">
        <f>IFERROR(__xludf.DUMMYFUNCTION("CONCATENATE(GOOGLETRANSLATE(C4999, ""en"", ""ko""))"),"PUR 물 주전자 교체 필터 4팩")</f>
        <v>PUR 물 주전자 교체 필터 4팩</v>
      </c>
      <c r="F4999" s="1" t="str">
        <f>IFERROR(__xludf.DUMMYFUNCTION("CONCATENATE(GOOGLETRANSLATE(C4999, ""en"", ""ja""))"),"PURウォーターピッチャー交換フィルター4個パック")</f>
        <v>PURウォーターピッチャー交換フィルター4個パック</v>
      </c>
    </row>
    <row r="5000" ht="15.75" customHeight="1">
      <c r="A5000" s="1">
        <v>7432.0</v>
      </c>
      <c r="B5000" s="1" t="s">
        <v>15</v>
      </c>
      <c r="C5000" s="1" t="s">
        <v>4252</v>
      </c>
      <c r="D5000" s="1" t="str">
        <f>IFERROR(__xludf.DUMMYFUNCTION("CONCATENATE(GOOGLETRANSLATE(C5000, ""en"", ""zh-cn""))"),"P&amp;G Purifier of Water 便携式净水器包")</f>
        <v>P&amp;G Purifier of Water 便携式净水器包</v>
      </c>
      <c r="E5000" s="1" t="str">
        <f>IFERROR(__xludf.DUMMYFUNCTION("CONCATENATE(GOOGLETRANSLATE(C5000, ""en"", ""ko""))"),"P&amp;G 정수기 휴대용 정수기 패킷")</f>
        <v>P&amp;G 정수기 휴대용 정수기 패킷</v>
      </c>
      <c r="F5000" s="1" t="str">
        <f>IFERROR(__xludf.DUMMYFUNCTION("CONCATENATE(GOOGLETRANSLATE(C5000, ""en"", ""ja""))"),"P&amp;G 浄水器 ポータブル浄水器 パケット")</f>
        <v>P&amp;G 浄水器 ポータブル浄水器 パケット</v>
      </c>
    </row>
    <row r="5001" ht="15.75" customHeight="1">
      <c r="A5001" s="1">
        <v>7441.0</v>
      </c>
      <c r="B5001" s="1" t="s">
        <v>15</v>
      </c>
      <c r="C5001" s="1" t="s">
        <v>4253</v>
      </c>
      <c r="D5001" s="1" t="str">
        <f>IFERROR(__xludf.DUMMYFUNCTION("CONCATENATE(GOOGLETRANSLATE(C5001, ""en"", ""zh-cn""))"),"PUREPLUS PUR 台面滤水罐 CRF950Z PPF900Z")</f>
        <v>PUREPLUS PUR 台面滤水罐 CRF950Z PPF900Z</v>
      </c>
      <c r="E5001" s="1" t="str">
        <f>IFERROR(__xludf.DUMMYFUNCTION("CONCATENATE(GOOGLETRANSLATE(C5001, ""en"", ""ko""))"),"PUREPLUS PUR 조리대 정수 필터 투수 CRF950Z PPF900Z")</f>
        <v>PUREPLUS PUR 조리대 정수 필터 투수 CRF950Z PPF900Z</v>
      </c>
      <c r="F5001" s="1" t="str">
        <f>IFERROR(__xludf.DUMMYFUNCTION("CONCATENATE(GOOGLETRANSLATE(C5001, ""en"", ""ja""))"),"ピュアプラス PUR 卓上浄水器ピッチャー CRF950Z PPF900Z")</f>
        <v>ピュアプラス PUR 卓上浄水器ピッチャー CRF950Z PPF900Z</v>
      </c>
    </row>
    <row r="5002" ht="15.75" customHeight="1">
      <c r="A5002" s="1">
        <v>7442.0</v>
      </c>
      <c r="B5002" s="1" t="s">
        <v>15</v>
      </c>
      <c r="C5002" s="1" t="s">
        <v>4254</v>
      </c>
      <c r="D5002" s="1" t="str">
        <f>IFERROR(__xludf.DUMMYFUNCTION("CONCATENATE(GOOGLETRANSLATE(C5002, ""en"", ""zh-cn""))"),"PUR 水罐替换过滤器 2 件装")</f>
        <v>PUR 水罐替换过滤器 2 件装</v>
      </c>
      <c r="E5002" s="1" t="str">
        <f>IFERROR(__xludf.DUMMYFUNCTION("CONCATENATE(GOOGLETRANSLATE(C5002, ""en"", ""ko""))"),"PUR 물 주전자 교체 필터 2팩")</f>
        <v>PUR 물 주전자 교체 필터 2팩</v>
      </c>
      <c r="F5002" s="1" t="str">
        <f>IFERROR(__xludf.DUMMYFUNCTION("CONCATENATE(GOOGLETRANSLATE(C5002, ""en"", ""ja""))"),"PURウォーターピッチャー交換フィルター2個パック")</f>
        <v>PURウォーターピッチャー交換フィルター2個パック</v>
      </c>
    </row>
    <row r="5003" ht="15.75" customHeight="1">
      <c r="A5003" s="1">
        <v>7446.0</v>
      </c>
      <c r="B5003" s="1" t="s">
        <v>15</v>
      </c>
      <c r="C5003" s="1" t="s">
        <v>4255</v>
      </c>
      <c r="D5003" s="1" t="str">
        <f>IFERROR(__xludf.DUMMYFUNCTION("CONCATENATE(GOOGLETRANSLATE(C5003, ""en"", ""zh-cn""))"),"霍尼韦尔 Pur 11 杯滤水罐 CR1100C")</f>
        <v>霍尼韦尔 Pur 11 杯滤水罐 CR1100C</v>
      </c>
      <c r="E5003" s="1" t="str">
        <f>IFERROR(__xludf.DUMMYFUNCTION("CONCATENATE(GOOGLETRANSLATE(C5003, ""en"", ""ko""))"),"하니웰 Pur 11컵 정수 필터 투수 CR1100C")</f>
        <v>하니웰 Pur 11컵 정수 필터 투수 CR1100C</v>
      </c>
      <c r="F5003" s="1" t="str">
        <f>IFERROR(__xludf.DUMMYFUNCTION("CONCATENATE(GOOGLETRANSLATE(C5003, ""en"", ""ja""))"),"ハネウェル Pur 11 カップ浄水フィルターピッチャー CR1100C")</f>
        <v>ハネウェル Pur 11 カップ浄水フィルターピッチャー CR1100C</v>
      </c>
    </row>
    <row r="5004" ht="15.75" customHeight="1">
      <c r="A5004" s="1">
        <v>7447.0</v>
      </c>
      <c r="B5004" s="1" t="s">
        <v>15</v>
      </c>
      <c r="C5004" s="1" t="s">
        <v>4256</v>
      </c>
      <c r="D5004" s="1" t="str">
        <f>IFERROR(__xludf.DUMMYFUNCTION("CONCATENATE(GOOGLETRANSLATE(C5004, ""en"", ""zh-cn""))"),"PUR Plus 11 杯水罐过滤系统 PPT110WA")</f>
        <v>PUR Plus 11 杯水罐过滤系统 PPT110WA</v>
      </c>
      <c r="E5004" s="1" t="str">
        <f>IFERROR(__xludf.DUMMYFUNCTION("CONCATENATE(GOOGLETRANSLATE(C5004, ""en"", ""ko""))"),"PUR Plus 11컵 물 투수 여과 시스템 PPT110WA")</f>
        <v>PUR Plus 11컵 물 투수 여과 시스템 PPT110WA</v>
      </c>
      <c r="F5004" s="1" t="str">
        <f>IFERROR(__xludf.DUMMYFUNCTION("CONCATENATE(GOOGLETRANSLATE(C5004, ""en"", ""ja""))"),"PUR Plus 11 カップウォーターピッチャー濾過システム PPT110WA")</f>
        <v>PUR Plus 11 カップウォーターピッチャー濾過システム PPT110WA</v>
      </c>
    </row>
    <row r="5005" ht="15.75" customHeight="1">
      <c r="A5005" s="1">
        <v>7452.0</v>
      </c>
      <c r="B5005" s="1" t="s">
        <v>15</v>
      </c>
      <c r="C5005" s="1" t="s">
        <v>4257</v>
      </c>
      <c r="D5005" s="1" t="str">
        <f>IFERROR(__xludf.DUMMYFUNCTION("CONCATENATE(GOOGLETRANSLATE(C5005, ""en"", ""zh-cn""))"),"6 件装水过滤器替换件，适用于 Pur 水过滤器水龙头，Pur RF-9999，与所有 Pur 水龙头安装过滤系统兼容，经 NSF 认证")</f>
        <v>6 件装水过滤器替换件，适用于 Pur 水过滤器水龙头，Pur RF-9999，与所有 Pur 水龙头安装过滤系统兼容，经 NSF 认证</v>
      </c>
      <c r="E5005" s="1" t="str">
        <f>IFERROR(__xludf.DUMMYFUNCTION("CONCATENATE(GOOGLETRANSLATE(C5005, ""en"", ""ko""))"),"Pur 정수 필터 수도꼭지용 6팩 정수 필터 교체, Pur RF-9999, 모든 Pur 수도꼭지 마운트 여과 시스템과 호환, NSF 인증")</f>
        <v>Pur 정수 필터 수도꼭지용 6팩 정수 필터 교체, Pur RF-9999, 모든 Pur 수도꼭지 마운트 여과 시스템과 호환, NSF 인증</v>
      </c>
      <c r="F5005" s="1" t="str">
        <f>IFERROR(__xludf.DUMMYFUNCTION("CONCATENATE(GOOGLETRANSLATE(C5005, ""en"", ""ja""))"),"Pur ウォーターフィルター蛇口用交換用水フィルター 6 個パック、Pur RF-9999、すべての Pur 蛇口マウント濾過システムと互換性あり、NSF 認定")</f>
        <v>Pur ウォーターフィルター蛇口用交換用水フィルター 6 個パック、Pur RF-9999、すべての Pur 蛇口マウント濾過システムと互換性あり、NSF 認定</v>
      </c>
    </row>
    <row r="5006" ht="15.75" customHeight="1">
      <c r="A5006" s="1">
        <v>7466.0</v>
      </c>
      <c r="B5006" s="1" t="s">
        <v>15</v>
      </c>
      <c r="C5006" s="1" t="s">
        <v>4258</v>
      </c>
      <c r="D5006" s="1" t="str">
        <f>IFERROR(__xludf.DUMMYFUNCTION("CONCATENATE(GOOGLETRANSLATE(C5006, ""en"", ""zh-cn""))"),"Equate 脚气抗真菌霜")</f>
        <v>Equate 脚气抗真菌霜</v>
      </c>
      <c r="E5006" s="1" t="str">
        <f>IFERROR(__xludf.DUMMYFUNCTION("CONCATENATE(GOOGLETRANSLATE(C5006, ""en"", ""ko""))"),"Equate 무좀 항진균 크림")</f>
        <v>Equate 무좀 항진균 크림</v>
      </c>
      <c r="F5006" s="1" t="str">
        <f>IFERROR(__xludf.DUMMYFUNCTION("CONCATENATE(GOOGLETRANSLATE(C5006, ""en"", ""ja""))"),"エクアテ水虫抗真菌クリーム")</f>
        <v>エクアテ水虫抗真菌クリーム</v>
      </c>
    </row>
    <row r="5007" ht="15.75" customHeight="1">
      <c r="A5007" s="1">
        <v>7471.0</v>
      </c>
      <c r="B5007" s="1" t="s">
        <v>15</v>
      </c>
      <c r="C5007" s="1" t="s">
        <v>4259</v>
      </c>
      <c r="D5007" s="1" t="str">
        <f>IFERROR(__xludf.DUMMYFUNCTION("CONCATENATE(GOOGLETRANSLATE(C5007, ""en"", ""zh-cn""))"),"Equate Comfort Flow 洗鼻系统")</f>
        <v>Equate Comfort Flow 洗鼻系统</v>
      </c>
      <c r="E5007" s="1" t="str">
        <f>IFERROR(__xludf.DUMMYFUNCTION("CONCATENATE(GOOGLETRANSLATE(C5007, ""en"", ""ko""))"),"Equate Comfort Flow 비강 세척 시스템")</f>
        <v>Equate Comfort Flow 비강 세척 시스템</v>
      </c>
      <c r="F5007" s="1" t="str">
        <f>IFERROR(__xludf.DUMMYFUNCTION("CONCATENATE(GOOGLETRANSLATE(C5007, ""en"", ""ja""))"),"Equate Comfort Flow 鼻洗浄システム")</f>
        <v>Equate Comfort Flow 鼻洗浄システム</v>
      </c>
    </row>
    <row r="5008" ht="15.75" customHeight="1">
      <c r="A5008" s="1">
        <v>7472.0</v>
      </c>
      <c r="B5008" s="1" t="s">
        <v>15</v>
      </c>
      <c r="C5008" s="1" t="s">
        <v>4260</v>
      </c>
      <c r="D5008" s="1" t="str">
        <f>IFERROR(__xludf.DUMMYFUNCTION("CONCATENATE(GOOGLETRANSLATE(C5008, ""en"", ""zh-cn""))"),"Equate 过氧化苯甲酰痤疮治疗凝胶")</f>
        <v>Equate 过氧化苯甲酰痤疮治疗凝胶</v>
      </c>
      <c r="E5008" s="1" t="str">
        <f>IFERROR(__xludf.DUMMYFUNCTION("CONCATENATE(GOOGLETRANSLATE(C5008, ""en"", ""ko""))"),"Equate 벤조일 퍼옥사이드 여드름 치료 젤")</f>
        <v>Equate 벤조일 퍼옥사이드 여드름 치료 젤</v>
      </c>
      <c r="F5008" s="1" t="str">
        <f>IFERROR(__xludf.DUMMYFUNCTION("CONCATENATE(GOOGLETRANSLATE(C5008, ""en"", ""ja""))"),"Equate過酸化ベンゾイルニキビ治療ジェル")</f>
        <v>Equate過酸化ベンゾイルニキビ治療ジェル</v>
      </c>
    </row>
    <row r="5009" ht="15.75" customHeight="1">
      <c r="A5009" s="1">
        <v>7479.0</v>
      </c>
      <c r="B5009" s="1" t="s">
        <v>15</v>
      </c>
      <c r="C5009" s="1" t="s">
        <v>4261</v>
      </c>
      <c r="D5009" s="1" t="str">
        <f>IFERROR(__xludf.DUMMYFUNCTION("CONCATENATE(GOOGLETRANSLATE(C5009, ""en"", ""zh-cn""))"),"Equate 疗法组合装 2 件")</f>
        <v>Equate 疗法组合装 2 件</v>
      </c>
      <c r="E5009" s="1" t="str">
        <f>IFERROR(__xludf.DUMMYFUNCTION("CONCATENATE(GOOGLETRANSLATE(C5009, ""en"", ""ko""))"),"Equate Therapy 콤보 팩 2개")</f>
        <v>Equate Therapy 콤보 팩 2개</v>
      </c>
      <c r="F5009" s="1" t="str">
        <f>IFERROR(__xludf.DUMMYFUNCTION("CONCATENATE(GOOGLETRANSLATE(C5009, ""en"", ""ja""))"),"イコール セラピー コンボ パック 2 個")</f>
        <v>イコール セラピー コンボ パック 2 個</v>
      </c>
    </row>
    <row r="5010" ht="15.75" customHeight="1">
      <c r="A5010" s="1">
        <v>7480.0</v>
      </c>
      <c r="B5010" s="1" t="s">
        <v>15</v>
      </c>
      <c r="C5010" s="1" t="s">
        <v>4262</v>
      </c>
      <c r="D5010" s="1" t="str">
        <f>IFERROR(__xludf.DUMMYFUNCTION("CONCATENATE(GOOGLETRANSLATE(C5010, ""en"", ""zh-cn""))"),"Equate 清爽杏子磨砂膏")</f>
        <v>Equate 清爽杏子磨砂膏</v>
      </c>
      <c r="E5010" s="1" t="str">
        <f>IFERROR(__xludf.DUMMYFUNCTION("CONCATENATE(GOOGLETRANSLATE(C5010, ""en"", ""ko""))"),"Equate 상쾌한 살구 스크럽")</f>
        <v>Equate 상쾌한 살구 스크럽</v>
      </c>
      <c r="F5010" s="1" t="str">
        <f>IFERROR(__xludf.DUMMYFUNCTION("CONCATENATE(GOOGLETRANSLATE(C5010, ""en"", ""ja""))"),"エクアテ リフレッシュ アプリコット スクラブ")</f>
        <v>エクアテ リフレッシュ アプリコット スクラブ</v>
      </c>
    </row>
    <row r="5011" ht="15.75" customHeight="1">
      <c r="A5011" s="1">
        <v>7482.0</v>
      </c>
      <c r="B5011" s="1" t="s">
        <v>15</v>
      </c>
      <c r="C5011" s="1" t="s">
        <v>4263</v>
      </c>
      <c r="D5011" s="1" t="str">
        <f>IFERROR(__xludf.DUMMYFUNCTION("CONCATENATE(GOOGLETRANSLATE(C5011, ""en"", ""zh-cn""))"),"Equate 女性米诺地尔外用溶液促进头发再生")</f>
        <v>Equate 女性米诺地尔外用溶液促进头发再生</v>
      </c>
      <c r="E5011" s="1" t="str">
        <f>IFERROR(__xludf.DUMMYFUNCTION("CONCATENATE(GOOGLETRANSLATE(C5011, ""en"", ""ko""))"),"모발 재성장을 위한 여성용 미녹시딜 국소 솔루션")</f>
        <v>모발 재성장을 위한 여성용 미녹시딜 국소 솔루션</v>
      </c>
      <c r="F5011" s="1" t="str">
        <f>IFERROR(__xludf.DUMMYFUNCTION("CONCATENATE(GOOGLETRANSLATE(C5011, ""en"", ""ja""))"),"女性用ミノキシジル局所ソリューションを発毛に同等とみなす")</f>
        <v>女性用ミノキシジル局所ソリューションを発毛に同等とみなす</v>
      </c>
    </row>
    <row r="5012" ht="15.75" customHeight="1">
      <c r="A5012" s="1">
        <v>7486.0</v>
      </c>
      <c r="B5012" s="1" t="s">
        <v>15</v>
      </c>
      <c r="C5012" s="1" t="s">
        <v>4264</v>
      </c>
      <c r="D5012" s="1" t="str">
        <f>IFERROR(__xludf.DUMMYFUNCTION("CONCATENATE(GOOGLETRANSLATE(C5012, ""en"", ""zh-cn""))"),"Equate 婴儿尿布疹膏")</f>
        <v>Equate 婴儿尿布疹膏</v>
      </c>
      <c r="E5012" s="1" t="str">
        <f>IFERROR(__xludf.DUMMYFUNCTION("CONCATENATE(GOOGLETRANSLATE(C5012, ""en"", ""ko""))"),"Equate 아기 기저귀 발진 페이스트")</f>
        <v>Equate 아기 기저귀 발진 페이스트</v>
      </c>
      <c r="F5012" s="1" t="str">
        <f>IFERROR(__xludf.DUMMYFUNCTION("CONCATENATE(GOOGLETRANSLATE(C5012, ""en"", ""ja""))"),"Equate ベビーおむつかぶれペースト")</f>
        <v>Equate ベビーおむつかぶれペースト</v>
      </c>
    </row>
    <row r="5013" ht="15.75" customHeight="1">
      <c r="A5013" s="1">
        <v>7490.0</v>
      </c>
      <c r="B5013" s="1" t="s">
        <v>15</v>
      </c>
      <c r="C5013" s="1" t="s">
        <v>4265</v>
      </c>
      <c r="D5013" s="1" t="str">
        <f>IFERROR(__xludf.DUMMYFUNCTION("CONCATENATE(GOOGLETRANSLATE(C5013, ""en"", ""zh-cn""))"),"Equate 止痒凝胶")</f>
        <v>Equate 止痒凝胶</v>
      </c>
      <c r="E5013" s="1" t="str">
        <f>IFERROR(__xludf.DUMMYFUNCTION("CONCATENATE(GOOGLETRANSLATE(C5013, ""en"", ""ko""))"),"Equate 가려움 완화 젤")</f>
        <v>Equate 가려움 완화 젤</v>
      </c>
      <c r="F5013" s="1" t="str">
        <f>IFERROR(__xludf.DUMMYFUNCTION("CONCATENATE(GOOGLETRANSLATE(C5013, ""en"", ""ja""))"),"イクエイトのかゆみ緩和ジェル")</f>
        <v>イクエイトのかゆみ緩和ジェル</v>
      </c>
    </row>
    <row r="5014" ht="15.75" customHeight="1">
      <c r="A5014" s="1">
        <v>7517.0</v>
      </c>
      <c r="B5014" s="1" t="s">
        <v>15</v>
      </c>
      <c r="C5014" s="1" t="s">
        <v>4266</v>
      </c>
      <c r="D5014" s="1" t="str">
        <f>IFERROR(__xludf.DUMMYFUNCTION("CONCATENATE(GOOGLETRANSLATE(C5014, ""en"", ""zh-cn""))"),"Hi-Pro-Pac 茶树薄荷头发头皮面膜")</f>
        <v>Hi-Pro-Pac 茶树薄荷头发头皮面膜</v>
      </c>
      <c r="E5014" s="1" t="str">
        <f>IFERROR(__xludf.DUMMYFUNCTION("CONCATENATE(GOOGLETRANSLATE(C5014, ""en"", ""ko""))"),"하이프로팩 ​​티트리 &amp; 민트 헤어 &amp; 두피 마스크")</f>
        <v>하이프로팩 ​​티트리 &amp; 민트 헤어 &amp; 두피 마스크</v>
      </c>
      <c r="F5014" s="1" t="str">
        <f>IFERROR(__xludf.DUMMYFUNCTION("CONCATENATE(GOOGLETRANSLATE(C5014, ""en"", ""ja""))"),"ハイプロパック ティーツリー＆ミントヘア＆スカルプマスク")</f>
        <v>ハイプロパック ティーツリー＆ミントヘア＆スカルプマスク</v>
      </c>
    </row>
    <row r="5015" ht="15.75" customHeight="1">
      <c r="A5015" s="1">
        <v>7529.0</v>
      </c>
      <c r="B5015" s="1" t="s">
        <v>15</v>
      </c>
      <c r="C5015" s="1" t="s">
        <v>4267</v>
      </c>
      <c r="D5015" s="1" t="str">
        <f>IFERROR(__xludf.DUMMYFUNCTION("CONCATENATE(GOOGLETRANSLATE(C5015, ""en"", ""zh-cn""))"),"Hi Pro Pac 澳洲坚果油滋养面膜")</f>
        <v>Hi Pro Pac 澳洲坚果油滋养面膜</v>
      </c>
      <c r="E5015" s="1" t="str">
        <f>IFERROR(__xludf.DUMMYFUNCTION("CONCATENATE(GOOGLETRANSLATE(C5015, ""en"", ""ko""))"),"하이프로팩 ​​마카다미아 넛 오일 너리싱 마스크")</f>
        <v>하이프로팩 ​​마카다미아 넛 오일 너리싱 마스크</v>
      </c>
      <c r="F5015" s="1" t="str">
        <f>IFERROR(__xludf.DUMMYFUNCTION("CONCATENATE(GOOGLETRANSLATE(C5015, ""en"", ""ja""))"),"ハイプロパック マカダミアナッツオイルナリッシングマスク")</f>
        <v>ハイプロパック マカダミアナッツオイルナリッシングマスク</v>
      </c>
    </row>
    <row r="5016" ht="15.75" customHeight="1">
      <c r="A5016" s="1">
        <v>7530.0</v>
      </c>
      <c r="B5016" s="1" t="s">
        <v>15</v>
      </c>
      <c r="C5016" s="1" t="s">
        <v>4268</v>
      </c>
      <c r="D5016" s="1" t="str">
        <f>IFERROR(__xludf.DUMMYFUNCTION("CONCATENATE(GOOGLETRANSLATE(C5016, ""en"", ""zh-cn""))"),"Hi-Pro-Pac 角蛋白强化蛋白护理")</f>
        <v>Hi-Pro-Pac 角蛋白强化蛋白护理</v>
      </c>
      <c r="E5016" s="1" t="str">
        <f>IFERROR(__xludf.DUMMYFUNCTION("CONCATENATE(GOOGLETRANSLATE(C5016, ""en"", ""ko""))"),"하이프로팩 ​​케라틴 인텐스 프로틴 트리트먼트")</f>
        <v>하이프로팩 ​​케라틴 인텐스 프로틴 트리트먼트</v>
      </c>
      <c r="F5016" s="1" t="str">
        <f>IFERROR(__xludf.DUMMYFUNCTION("CONCATENATE(GOOGLETRANSLATE(C5016, ""en"", ""ja""))"),"ハイプロパック ケラチン インテンス プロテイン トリートメント")</f>
        <v>ハイプロパック ケラチン インテンス プロテイン トリートメント</v>
      </c>
    </row>
    <row r="5017" ht="15.75" customHeight="1">
      <c r="A5017" s="1">
        <v>7531.0</v>
      </c>
      <c r="B5017" s="1" t="s">
        <v>15</v>
      </c>
      <c r="C5017" s="1" t="s">
        <v>2973</v>
      </c>
      <c r="D5017" s="1" t="str">
        <f>IFERROR(__xludf.DUMMYFUNCTION("CONCATENATE(GOOGLETRANSLATE(C5017, ""en"", ""zh-cn""))"),"Hi Pro Pac 角蛋白防毛躁头发强效蛋白质护理")</f>
        <v>Hi Pro Pac 角蛋白防毛躁头发强效蛋白质护理</v>
      </c>
      <c r="E5017" s="1" t="str">
        <f>IFERROR(__xludf.DUMMYFUNCTION("CONCATENATE(GOOGLETRANSLATE(C5017, ""en"", ""ko""))"),"하이프로팩 ​​케라틴 프로틴 곱슬거림 없는 헤어 인텐스 프로틴 트리트먼트")</f>
        <v>하이프로팩 ​​케라틴 프로틴 곱슬거림 없는 헤어 인텐스 프로틴 트리트먼트</v>
      </c>
      <c r="F5017" s="1" t="str">
        <f>IFERROR(__xludf.DUMMYFUNCTION("CONCATENATE(GOOGLETRANSLATE(C5017, ""en"", ""ja""))"),"Hi Pro Pac ケラチン プロテイン 縮れ防止ヘア インテンス プロテイン トリートメント")</f>
        <v>Hi Pro Pac ケラチン プロテイン 縮れ防止ヘア インテンス プロテイン トリートメント</v>
      </c>
    </row>
    <row r="5018" ht="15.75" customHeight="1">
      <c r="A5018" s="1">
        <v>7542.0</v>
      </c>
      <c r="B5018" s="1" t="s">
        <v>15</v>
      </c>
      <c r="C5018" s="1" t="s">
        <v>4269</v>
      </c>
      <c r="D5018" s="1" t="str">
        <f>IFERROR(__xludf.DUMMYFUNCTION("CONCATENATE(GOOGLETRANSLATE(C5018, ""en"", ""zh-cn""))"),"露得清现场痤疮治疗")</f>
        <v>露得清现场痤疮治疗</v>
      </c>
      <c r="E5018" s="1" t="str">
        <f>IFERROR(__xludf.DUMMYFUNCTION("CONCATENATE(GOOGLETRANSLATE(C5018, ""en"", ""ko""))"),"뉴트로지나 온 더 스팟 여드름 치료")</f>
        <v>뉴트로지나 온 더 스팟 여드름 치료</v>
      </c>
      <c r="F5018" s="1" t="str">
        <f>IFERROR(__xludf.DUMMYFUNCTION("CONCATENATE(GOOGLETRANSLATE(C5018, ""en"", ""ja""))"),"ニュートロジーナのオンザスポットニキビ治療")</f>
        <v>ニュートロジーナのオンザスポットニキビ治療</v>
      </c>
    </row>
    <row r="5019" ht="15.75" customHeight="1">
      <c r="A5019" s="1">
        <v>7553.0</v>
      </c>
      <c r="B5019" s="1" t="s">
        <v>15</v>
      </c>
      <c r="C5019" s="1" t="s">
        <v>3422</v>
      </c>
      <c r="D5019" s="1" t="str">
        <f>IFERROR(__xludf.DUMMYFUNCTION("CONCATENATE(GOOGLETRANSLATE(C5019, ""en"", ""zh-cn""))"),"露得清光疗痤疮斑治疗")</f>
        <v>露得清光疗痤疮斑治疗</v>
      </c>
      <c r="E5019" s="1" t="str">
        <f>IFERROR(__xludf.DUMMYFUNCTION("CONCATENATE(GOOGLETRANSLATE(C5019, ""en"", ""ko""))"),"뉴트로지나 라이트 테라피 여드름 스팟 트리트먼트")</f>
        <v>뉴트로지나 라이트 테라피 여드름 스팟 트리트먼트</v>
      </c>
      <c r="F5019" s="1" t="str">
        <f>IFERROR(__xludf.DUMMYFUNCTION("CONCATENATE(GOOGLETRANSLATE(C5019, ""en"", ""ja""))"),"ニュートロジーナ ライト セラピー アクネ スポット トリートメント")</f>
        <v>ニュートロジーナ ライト セラピー アクネ スポット トリートメント</v>
      </c>
    </row>
    <row r="5020" ht="15.75" customHeight="1">
      <c r="A5020" s="1">
        <v>7560.0</v>
      </c>
      <c r="B5020" s="1" t="s">
        <v>15</v>
      </c>
      <c r="C5020" s="1" t="s">
        <v>2980</v>
      </c>
      <c r="D5020" s="1" t="str">
        <f>IFERROR(__xludf.DUMMYFUNCTION("CONCATENATE(GOOGLETRANSLATE(C5020, ""en"", ""zh-cn""))"),"Neutrogena Ageless Intenses 抗皱深层皱纹保湿夜间保湿霜")</f>
        <v>Neutrogena Ageless Intenses 抗皱深层皱纹保湿夜间保湿霜</v>
      </c>
      <c r="E5020" s="1" t="str">
        <f>IFERROR(__xludf.DUMMYFUNCTION("CONCATENATE(GOOGLETRANSLATE(C5020, ""en"", ""ko""))"),"뉴트로지나 에이지리스 인텐시브 안티 링클 딥 링클 모이스처 나이트 모이스처라이저")</f>
        <v>뉴트로지나 에이지리스 인텐시브 안티 링클 딥 링클 모이스처 나이트 모이스처라이저</v>
      </c>
      <c r="F5020" s="1" t="str">
        <f>IFERROR(__xludf.DUMMYFUNCTION("CONCATENATE(GOOGLETRANSLATE(C5020, ""en"", ""ja""))"),"ニュートロジーナ エイジレス インテンシブ アンチリンクル ディープリンクル モイスチャー ナイト モイスチャライザー")</f>
        <v>ニュートロジーナ エイジレス インテンシブ アンチリンクル ディープリンクル モイスチャー ナイト モイスチャライザー</v>
      </c>
    </row>
    <row r="5021" ht="15.75" customHeight="1">
      <c r="A5021" s="1">
        <v>7568.0</v>
      </c>
      <c r="B5021" s="1" t="s">
        <v>15</v>
      </c>
      <c r="C5021" s="1" t="s">
        <v>3855</v>
      </c>
      <c r="D5021" s="1" t="str">
        <f>IFERROR(__xludf.DUMMYFUNCTION("CONCATENATE(GOOGLETRANSLATE(C5021, ""en"", ""zh-cn""))"),"Neutrogena 舒适润唇膏深层保湿 300ml")</f>
        <v>Neutrogena 舒适润唇膏深层保湿 300ml</v>
      </c>
      <c r="E5021" s="1" t="str">
        <f>IFERROR(__xludf.DUMMYFUNCTION("CONCATENATE(GOOGLETRANSLATE(C5021, ""en"", ""ko""))"),"뉴트로지나 컴포트 밤 딥 하이드레이션 300ml")</f>
        <v>뉴트로지나 컴포트 밤 딥 하이드레이션 300ml</v>
      </c>
      <c r="F5021" s="1" t="str">
        <f>IFERROR(__xludf.DUMMYFUNCTION("CONCATENATE(GOOGLETRANSLATE(C5021, ""en"", ""ja""))"),"ニュートロジーナ コンフォート バーム ディープ ハイドレーション 300ml")</f>
        <v>ニュートロジーナ コンフォート バーム ディープ ハイドレーション 300ml</v>
      </c>
    </row>
    <row r="5022" ht="15.75" customHeight="1">
      <c r="A5022" s="1">
        <v>7571.0</v>
      </c>
      <c r="B5022" s="1" t="s">
        <v>15</v>
      </c>
      <c r="C5022" s="1" t="s">
        <v>2534</v>
      </c>
      <c r="D5022" s="1" t="str">
        <f>IFERROR(__xludf.DUMMYFUNCTION("CONCATENATE(GOOGLETRANSLATE(C5022, ""en"", ""zh-cn""))"),"露得清快速抗皱修复视黄醇再生霜")</f>
        <v>露得清快速抗皱修复视黄醇再生霜</v>
      </c>
      <c r="E5022" s="1" t="str">
        <f>IFERROR(__xludf.DUMMYFUNCTION("CONCATENATE(GOOGLETRANSLATE(C5022, ""en"", ""ko""))"),"뉴트로지나 래피드 링클 리페어 레티놀 재생 크림")</f>
        <v>뉴트로지나 래피드 링클 리페어 레티놀 재생 크림</v>
      </c>
      <c r="F5022" s="1" t="str">
        <f>IFERROR(__xludf.DUMMYFUNCTION("CONCATENATE(GOOGLETRANSLATE(C5022, ""en"", ""ja""))"),"ニュートロジーナ ラピッド リンクル リペア レチノール リジェネレーティング クリーム")</f>
        <v>ニュートロジーナ ラピッド リンクル リペア レチノール リジェネレーティング クリーム</v>
      </c>
    </row>
    <row r="5023" ht="15.75" customHeight="1">
      <c r="A5023" s="1">
        <v>7579.0</v>
      </c>
      <c r="B5023" s="1" t="s">
        <v>15</v>
      </c>
      <c r="C5023" s="1" t="s">
        <v>3423</v>
      </c>
      <c r="D5023" s="1" t="str">
        <f>IFERROR(__xludf.DUMMYFUNCTION("CONCATENATE(GOOGLETRANSLATE(C5023, ""en"", ""zh-cn""))"),"露得清 Hydro Boost 保湿晚面膜")</f>
        <v>露得清 Hydro Boost 保湿晚面膜</v>
      </c>
      <c r="E5023" s="1" t="str">
        <f>IFERROR(__xludf.DUMMYFUNCTION("CONCATENATE(GOOGLETRANSLATE(C5023, ""en"", ""ko""))"),"뉴트로지나 하이드로 부스트 모이스처라이징 나이트 마스크")</f>
        <v>뉴트로지나 하이드로 부스트 모이스처라이징 나이트 마스크</v>
      </c>
      <c r="F5023" s="1" t="str">
        <f>IFERROR(__xludf.DUMMYFUNCTION("CONCATENATE(GOOGLETRANSLATE(C5023, ""en"", ""ja""))"),"ニュートロジーナ ハイドロ ブースト モイスチャライジング ナイト マスク")</f>
        <v>ニュートロジーナ ハイドロ ブースト モイスチャライジング ナイト マスク</v>
      </c>
    </row>
    <row r="5024" ht="15.75" customHeight="1">
      <c r="A5024" s="1">
        <v>7582.0</v>
      </c>
      <c r="B5024" s="1" t="s">
        <v>15</v>
      </c>
      <c r="C5024" s="1" t="s">
        <v>3423</v>
      </c>
      <c r="D5024" s="1" t="str">
        <f>IFERROR(__xludf.DUMMYFUNCTION("CONCATENATE(GOOGLETRANSLATE(C5024, ""en"", ""zh-cn""))"),"露得清 Hydro Boost 保湿晚面膜")</f>
        <v>露得清 Hydro Boost 保湿晚面膜</v>
      </c>
      <c r="E5024" s="1" t="str">
        <f>IFERROR(__xludf.DUMMYFUNCTION("CONCATENATE(GOOGLETRANSLATE(C5024, ""en"", ""ko""))"),"뉴트로지나 하이드로 부스트 모이스처라이징 나이트 마스크")</f>
        <v>뉴트로지나 하이드로 부스트 모이스처라이징 나이트 마스크</v>
      </c>
      <c r="F5024" s="1" t="str">
        <f>IFERROR(__xludf.DUMMYFUNCTION("CONCATENATE(GOOGLETRANSLATE(C5024, ""en"", ""ja""))"),"ニュートロジーナ ハイドロ ブースト モイスチャライジング ナイト マスク")</f>
        <v>ニュートロジーナ ハイドロ ブースト モイスチャライジング ナイト マスク</v>
      </c>
    </row>
    <row r="5025" ht="15.75" customHeight="1">
      <c r="A5025" s="1">
        <v>7586.0</v>
      </c>
      <c r="B5025" s="1" t="s">
        <v>15</v>
      </c>
      <c r="C5025" s="1" t="s">
        <v>2532</v>
      </c>
      <c r="D5025" s="1" t="str">
        <f>IFERROR(__xludf.DUMMYFUNCTION("CONCATENATE(GOOGLETRANSLATE(C5025, ""en"", ""zh-cn""))"),"露得清防晒药用舒缓凝胶")</f>
        <v>露得清防晒药用舒缓凝胶</v>
      </c>
      <c r="E5025" s="1" t="str">
        <f>IFERROR(__xludf.DUMMYFUNCTION("CONCATENATE(GOOGLETRANSLATE(C5025, ""en"", ""ko""))"),"뉴트로지나 썬 레스큐 약용 릴리프 젤")</f>
        <v>뉴트로지나 썬 레스큐 약용 릴리프 젤</v>
      </c>
      <c r="F5025" s="1" t="str">
        <f>IFERROR(__xludf.DUMMYFUNCTION("CONCATENATE(GOOGLETRANSLATE(C5025, ""en"", ""ja""))"),"ニュートロジーナ サン レスキュー 薬用リリーフジェル")</f>
        <v>ニュートロジーナ サン レスキュー 薬用リリーフジェル</v>
      </c>
    </row>
    <row r="5026" ht="15.75" customHeight="1">
      <c r="A5026" s="1">
        <v>7589.0</v>
      </c>
      <c r="B5026" s="1" t="s">
        <v>15</v>
      </c>
      <c r="C5026" s="1" t="s">
        <v>2535</v>
      </c>
      <c r="D5026" s="1" t="str">
        <f>IFERROR(__xludf.DUMMYFUNCTION("CONCATENATE(GOOGLETRANSLATE(C5026, ""en"", ""zh-cn""))"),"露得清快速皱纹修复抗衰老视黄醇霜")</f>
        <v>露得清快速皱纹修复抗衰老视黄醇霜</v>
      </c>
      <c r="E5026" s="1" t="str">
        <f>IFERROR(__xludf.DUMMYFUNCTION("CONCATENATE(GOOGLETRANSLATE(C5026, ""en"", ""ko""))"),"뉴트로지나 래피드 링클 리페어 안티에이징 레티놀 크림")</f>
        <v>뉴트로지나 래피드 링클 리페어 안티에이징 레티놀 크림</v>
      </c>
      <c r="F5026" s="1" t="str">
        <f>IFERROR(__xludf.DUMMYFUNCTION("CONCATENATE(GOOGLETRANSLATE(C5026, ""en"", ""ja""))"),"ニュートロジーナ ラピッド リンクル リペア アンチエイジング レチノール クリーム")</f>
        <v>ニュートロジーナ ラピッド リンクル リペア アンチエイジング レチノール クリーム</v>
      </c>
    </row>
    <row r="5027" ht="15.75" customHeight="1">
      <c r="A5027" s="1">
        <v>7591.0</v>
      </c>
      <c r="B5027" s="1" t="s">
        <v>15</v>
      </c>
      <c r="C5027" s="1" t="s">
        <v>4270</v>
      </c>
      <c r="D5027" s="1" t="str">
        <f>IFERROR(__xludf.DUMMYFUNCTION("CONCATENATE(GOOGLETRANSLATE(C5027, ""en"", ""zh-cn""))"),"露得清顽固身体痤疮治疗喷雾")</f>
        <v>露得清顽固身体痤疮治疗喷雾</v>
      </c>
      <c r="E5027" s="1" t="str">
        <f>IFERROR(__xludf.DUMMYFUNCTION("CONCATENATE(GOOGLETRANSLATE(C5027, ""en"", ""ko""))"),"뉴트로지나 스터번 바디 아크네 트리트먼트 스프레이")</f>
        <v>뉴트로지나 스터번 바디 아크네 트리트먼트 스프레이</v>
      </c>
      <c r="F5027" s="1" t="str">
        <f>IFERROR(__xludf.DUMMYFUNCTION("CONCATENATE(GOOGLETRANSLATE(C5027, ""en"", ""ja""))"),"ニュートロジーナ 頑固なボディニキビ治療スプレー")</f>
        <v>ニュートロジーナ 頑固なボディニキビ治療スプレー</v>
      </c>
    </row>
    <row r="5028" ht="15.75" customHeight="1">
      <c r="A5028" s="1">
        <v>7630.0</v>
      </c>
      <c r="B5028" s="1" t="s">
        <v>15</v>
      </c>
      <c r="C5028" s="1" t="s">
        <v>4270</v>
      </c>
      <c r="D5028" s="1" t="str">
        <f>IFERROR(__xludf.DUMMYFUNCTION("CONCATENATE(GOOGLETRANSLATE(C5028, ""en"", ""zh-cn""))"),"露得清顽固身体痤疮治疗喷雾")</f>
        <v>露得清顽固身体痤疮治疗喷雾</v>
      </c>
      <c r="E5028" s="1" t="str">
        <f>IFERROR(__xludf.DUMMYFUNCTION("CONCATENATE(GOOGLETRANSLATE(C5028, ""en"", ""ko""))"),"뉴트로지나 스터번 바디 아크네 트리트먼트 스프레이")</f>
        <v>뉴트로지나 스터번 바디 아크네 트리트먼트 스프레이</v>
      </c>
      <c r="F5028" s="1" t="str">
        <f>IFERROR(__xludf.DUMMYFUNCTION("CONCATENATE(GOOGLETRANSLATE(C5028, ""en"", ""ja""))"),"ニュートロジーナ 頑固なボディニキビ治療スプレー")</f>
        <v>ニュートロジーナ 頑固なボディニキビ治療スプレー</v>
      </c>
    </row>
    <row r="5029" ht="15.75" customHeight="1">
      <c r="A5029" s="1">
        <v>7631.0</v>
      </c>
      <c r="B5029" s="1" t="s">
        <v>15</v>
      </c>
      <c r="C5029" s="1" t="s">
        <v>3853</v>
      </c>
      <c r="D5029" s="1" t="str">
        <f>IFERROR(__xludf.DUMMYFUNCTION("CONCATENATE(GOOGLETRANSLATE(C5029, ""en"", ""zh-cn""))"),"Neutrogena Norwegische FORMEL Sofort Einziehende Feuchtigkeitscreme，200 毫升霜")</f>
        <v>Neutrogena Norwegische FORMEL Sofort Einziehende Feuchtigkeitscreme，200 毫升霜</v>
      </c>
      <c r="E5029" s="1" t="str">
        <f>IFERROR(__xludf.DUMMYFUNCTION("CONCATENATE(GOOGLETRANSLATE(C5029, ""en"", ""ko""))"),"Neutrogena Norwegische FORMEL Sofort Einziehende Feuchtigkeitscreme, 200ml 크림")</f>
        <v>Neutrogena Norwegische FORMEL Sofort Einziehende Feuchtigkeitscreme, 200ml 크림</v>
      </c>
      <c r="F5029" s="1" t="str">
        <f>IFERROR(__xludf.DUMMYFUNCTION("CONCATENATE(GOOGLETRANSLATE(C5029, ""en"", ""ja""))"),"Neutrogena Norwegische FORMEL Sofort Einziehende Feuchtigkeitscreme、200 ml クリーム")</f>
        <v>Neutrogena Norwegische FORMEL Sofort Einziehende Feuchtigkeitscreme、200 ml クリーム</v>
      </c>
    </row>
    <row r="5030" ht="15.75" customHeight="1">
      <c r="A5030" s="1">
        <v>7633.0</v>
      </c>
      <c r="B5030" s="1" t="s">
        <v>15</v>
      </c>
      <c r="C5030" s="1" t="s">
        <v>2048</v>
      </c>
      <c r="D5030" s="1" t="str">
        <f>IFERROR(__xludf.DUMMYFUNCTION("CONCATENATE(GOOGLETRANSLATE(C5030, ""en"", ""zh-cn""))"),"露得清快速清除顽固痤疮斑凝胶")</f>
        <v>露得清快速清除顽固痤疮斑凝胶</v>
      </c>
      <c r="E5030" s="1" t="str">
        <f>IFERROR(__xludf.DUMMYFUNCTION("CONCATENATE(GOOGLETRANSLATE(C5030, ""en"", ""ko""))"),"뉴트로지나 래피드 클리어 스터번 아크네 스팟 젤")</f>
        <v>뉴트로지나 래피드 클리어 스터번 아크네 스팟 젤</v>
      </c>
      <c r="F5030" s="1" t="str">
        <f>IFERROR(__xludf.DUMMYFUNCTION("CONCATENATE(GOOGLETRANSLATE(C5030, ""en"", ""ja""))"),"ニュートロジーナ ラピッド クリア 頑固なニキビスポット ジェル")</f>
        <v>ニュートロジーナ ラピッド クリア 頑固なニキビスポット ジェル</v>
      </c>
    </row>
    <row r="5031" ht="15.75" customHeight="1">
      <c r="A5031" s="1">
        <v>7638.0</v>
      </c>
      <c r="B5031" s="1" t="s">
        <v>15</v>
      </c>
      <c r="C5031" s="1" t="s">
        <v>4271</v>
      </c>
      <c r="D5031" s="1" t="str">
        <f>IFERROR(__xludf.DUMMYFUNCTION("CONCATENATE(GOOGLETRANSLATE(C5031, ""en"", ""zh-cn""))"),"Arm &amp; Hammer 猫用二合一除臭去屑洗发水，去除皮屑和异味的去屑剂，小苏打保湿和除臭，薰衣草洋甘菊香味，20 液体盎司（1 件装）")</f>
        <v>Arm &amp; Hammer 猫用二合一除臭去屑洗发水，去除皮屑和异味的去屑剂，小苏打保湿和除臭，薰衣草洋甘菊香味，20 液体盎司（1 件装）</v>
      </c>
      <c r="E5031" s="1" t="str">
        <f>IFERROR(__xludf.DUMMYFUNCTION("CONCATENATE(GOOGLETRANSLATE(C5031, ""en"", ""ko""))"),"Arm &amp; Hammer 2-in-1 고양이용 탈취 및 비듬 감소 샴푸, 비듬 및 냄새 제거제, 베이킹 소다 보습 및 탈취, 라벤더 카모마일 향, 20 Fl Oz (1 팩)")</f>
        <v>Arm &amp; Hammer 2-in-1 고양이용 탈취 및 비듬 감소 샴푸, 비듬 및 냄새 제거제, 베이킹 소다 보습 및 탈취, 라벤더 카모마일 향, 20 Fl Oz (1 팩)</v>
      </c>
      <c r="F5031" s="1" t="str">
        <f>IFERROR(__xludf.DUMMYFUNCTION("CONCATENATE(GOOGLETRANSLATE(C5031, ""en"", ""ja""))"),"Arm &amp; Hammer 猫用 2-in-1 消臭 &amp; フケ軽減シャンプー、フケと臭いを除去するフケ除去剤、重曹が保湿と消臭、ラベンダー カモミールの香り、20 液量オンス (1 パック)")</f>
        <v>Arm &amp; Hammer 猫用 2-in-1 消臭 &amp; フケ軽減シャンプー、フケと臭いを除去するフケ除去剤、重曹が保湿と消臭、ラベンダー カモミールの香り、20 液量オンス (1 パック)</v>
      </c>
    </row>
    <row r="5032" ht="15.75" customHeight="1">
      <c r="A5032" s="1">
        <v>7643.0</v>
      </c>
      <c r="B5032" s="1" t="s">
        <v>15</v>
      </c>
      <c r="C5032" s="1" t="s">
        <v>4272</v>
      </c>
      <c r="D5032" s="1" t="str">
        <f>IFERROR(__xludf.DUMMYFUNCTION("CONCATENATE(GOOGLETRANSLATE(C5032, ""en"", ""zh-cn""))"),"Arm &amp; Hammer 宠物临床护理牙科酶牙膏狗用 |舒缓发炎的牙龈 |对小狗来说是安全的 |清新口气香草姜 - 72 包")</f>
        <v>Arm &amp; Hammer 宠物临床护理牙科酶牙膏狗用 |舒缓发炎的牙龈 |对小狗来说是安全的 |清新口气香草姜 - 72 包</v>
      </c>
      <c r="E5032" s="1" t="str">
        <f>IFERROR(__xludf.DUMMYFUNCTION("CONCATENATE(GOOGLETRANSLATE(C5032, ""en"", ""ko""))"),"암 앤 해머 for Pets Clinical Care 강아지용 치과 효소 치약 | 염증이 있는 잇몸을 진정시킵니다 | 강아지에게 안전함 | Fresh Breath 바닐라 생강 - 72팩")</f>
        <v>암 앤 해머 for Pets Clinical Care 강아지용 치과 효소 치약 | 염증이 있는 잇몸을 진정시킵니다 | 강아지에게 안전함 | Fresh Breath 바닐라 생강 - 72팩</v>
      </c>
      <c r="F5032" s="1" t="str">
        <f>IFERROR(__xludf.DUMMYFUNCTION("CONCATENATE(GOOGLETRANSLATE(C5032, ""en"", ""ja""))"),"ペット用アーム＆ハンマー クリニカルケア 犬用酵素入り歯磨き粉 |炎症を起こした歯茎を和らげます |子犬にとっても安全 |フレッシュブレス バニラジンジャー - 72 パック")</f>
        <v>ペット用アーム＆ハンマー クリニカルケア 犬用酵素入り歯磨き粉 |炎症を起こした歯茎を和らげます |子犬にとっても安全 |フレッシュブレス バニラジンジャー - 72 パック</v>
      </c>
    </row>
    <row r="5033" ht="15.75" customHeight="1">
      <c r="A5033" s="1">
        <v>7658.0</v>
      </c>
      <c r="B5033" s="1" t="s">
        <v>15</v>
      </c>
      <c r="C5033" s="1" t="s">
        <v>4273</v>
      </c>
      <c r="D5033" s="1" t="str">
        <f>IFERROR(__xludf.DUMMYFUNCTION("CONCATENATE(GOOGLETRANSLATE(C5033, ""en"", ""zh-cn""))"),"宠物手臂和锤子完整护理猫和小猫牙科套件 |包括 2.5 盎司金枪鱼味酶猫牙膏、猫牙刷和猫用橡胶指刷")</f>
        <v>宠物手臂和锤子完整护理猫和小猫牙科套件 |包括 2.5 盎司金枪鱼味酶猫牙膏、猫牙刷和猫用橡胶指刷</v>
      </c>
      <c r="E5033" s="1" t="str">
        <f>IFERROR(__xludf.DUMMYFUNCTION("CONCATENATE(GOOGLETRANSLATE(C5033, ""en"", ""ko""))"),"애완동물용 암 앤 해머 Complete Care Cat &amp; Kitten 치과용 키트 | 2.5 온스 참치 맛 효소 고양이 치약, 고양이 칫솔, 고양이용 고무 손가락 브러쉬 포함")</f>
        <v>애완동물용 암 앤 해머 Complete Care Cat &amp; Kitten 치과용 키트 | 2.5 온스 참치 맛 효소 고양이 치약, 고양이 칫솔, 고양이용 고무 손가락 브러쉬 포함</v>
      </c>
      <c r="F5033" s="1" t="str">
        <f>IFERROR(__xludf.DUMMYFUNCTION("CONCATENATE(GOOGLETRANSLATE(C5033, ""en"", ""ja""))"),"ペット用アーム＆ハンマー コンプリートケア 猫と子猫のデンタルキット | 2.5オンスのマグロ風味の酵素入り猫用歯磨き粉、猫用歯ブラシ、猫用ゴム製フィンガーブラシが含まれています")</f>
        <v>ペット用アーム＆ハンマー コンプリートケア 猫と子猫のデンタルキット | 2.5オンスのマグロ風味の酵素入り猫用歯磨き粉、猫用歯ブラシ、猫用ゴム製フィンガーブラシが含まれています</v>
      </c>
    </row>
    <row r="5034" ht="15.75" customHeight="1">
      <c r="A5034" s="1">
        <v>7661.0</v>
      </c>
      <c r="B5034" s="1" t="s">
        <v>15</v>
      </c>
      <c r="C5034" s="1" t="s">
        <v>4274</v>
      </c>
      <c r="D5034" s="1" t="str">
        <f>IFERROR(__xludf.DUMMYFUNCTION("CONCATENATE(GOOGLETRANSLATE(C5034, ""en"", ""zh-cn""))"),"Arm &amp; Hammer Complete Care 狗用新鲜牙齿水添加剂，16 液量盎司 - 无味狗水添加剂、狗漱口水、狗牙齿冲洗液、宠物水添加剂、宠物口腔护理治疗口臭")</f>
        <v>Arm &amp; Hammer Complete Care 狗用新鲜牙齿水添加剂，16 液量盎司 - 无味狗水添加剂、狗漱口水、狗牙齿冲洗液、宠物水添加剂、宠物口腔护理治疗口臭</v>
      </c>
      <c r="E5034" s="1" t="str">
        <f>IFERROR(__xludf.DUMMYFUNCTION("CONCATENATE(GOOGLETRANSLATE(C5034, ""en"", ""ko""))"),"Arm &amp; Hammer Complete Care 개용 신선한 치과용 물 첨가제, 16 Fl Oz - 무향 개 물 첨가제, 개 입 세척제, 개 치과 린스, 애완동물 물 첨가제, 애완동물 구취 제거용 치과 치료")</f>
        <v>Arm &amp; Hammer Complete Care 개용 신선한 치과용 물 첨가제, 16 Fl Oz - 무향 개 물 첨가제, 개 입 세척제, 개 치과 린스, 애완동물 물 첨가제, 애완동물 구취 제거용 치과 치료</v>
      </c>
      <c r="F5034" s="1" t="str">
        <f>IFERROR(__xludf.DUMMYFUNCTION("CONCATENATE(GOOGLETRANSLATE(C5034, ""en"", ""ja""))"),"Arm &amp; Hammer 犬用コンプリートケアフレッシュデンタルウォーター添加剤、16 液量オンス - 無味犬用水添加剤、犬用マウスウォッシュ、犬用デンタルリンス、ペットウォーター添加剤、ペットの口臭ケア用デンタルケア")</f>
        <v>Arm &amp; Hammer 犬用コンプリートケアフレッシュデンタルウォーター添加剤、16 液量オンス - 無味犬用水添加剤、犬用マウスウォッシュ、犬用デンタルリンス、ペットウォーター添加剤、ペットの口臭ケア用デンタルケア</v>
      </c>
    </row>
    <row r="5035" ht="15.75" customHeight="1">
      <c r="A5035" s="1">
        <v>7663.0</v>
      </c>
      <c r="B5035" s="1" t="s">
        <v>15</v>
      </c>
      <c r="C5035" s="1" t="s">
        <v>4275</v>
      </c>
      <c r="D5035" s="1" t="str">
        <f>IFERROR(__xludf.DUMMYFUNCTION("CONCATENATE(GOOGLETRANSLATE(C5035, ""en"", ""zh-cn""))"),"ARM HAMMER Naturals 猫砂，多只猫，18 磅袋装")</f>
        <v>ARM HAMMER Naturals 猫砂，多只猫，18 磅袋装</v>
      </c>
      <c r="E5035" s="1" t="str">
        <f>IFERROR(__xludf.DUMMYFUNCTION("CONCATENATE(GOOGLETRANSLATE(C5035, ""en"", ""ko""))"),"ARM HAMMER Naturals 고양이 쓰레기, 멀티 고양이, 18파운드 가방")</f>
        <v>ARM HAMMER Naturals 고양이 쓰레기, 멀티 고양이, 18파운드 가방</v>
      </c>
      <c r="F5035" s="1" t="str">
        <f>IFERROR(__xludf.DUMMYFUNCTION("CONCATENATE(GOOGLETRANSLATE(C5035, ""en"", ""ja""))"),"ARM HAMMER Naturals 猫砂、マルチキャット、18ポンドバッグ")</f>
        <v>ARM HAMMER Naturals 猫砂、マルチキャット、18ポンドバッグ</v>
      </c>
    </row>
    <row r="5036" ht="15.75" customHeight="1">
      <c r="A5036" s="1">
        <v>7666.0</v>
      </c>
      <c r="B5036" s="1" t="s">
        <v>15</v>
      </c>
      <c r="C5036" s="1" t="s">
        <v>4276</v>
      </c>
      <c r="D5036" s="1" t="str">
        <f>IFERROR(__xludf.DUMMYFUNCTION("CONCATENATE(GOOGLETRANSLATE(C5036, ""en"", ""zh-cn""))"),"Arm &amp; Hammer Cloud Control 白金多猫结块猫砂，具有低过敏性淡味，14 天控制异味，18 磅，在线独家配方")</f>
        <v>Arm &amp; Hammer Cloud Control 白金多猫结块猫砂，具有低过敏性淡味，14 天控制异味，18 磅，在线独家配方</v>
      </c>
      <c r="E5036" s="1" t="str">
        <f>IFERROR(__xludf.DUMMYFUNCTION("CONCATENATE(GOOGLETRANSLATE(C5036, ""en"", ""ko""))"),"Arm &amp; Hammer Cloud Control 플래티넘 멀티캣 클럼핑 고양이 모래, 저자극성 가벼운 향기, 14일 냄새 제어, 18lbs, 온라인 독점 포뮬러")</f>
        <v>Arm &amp; Hammer Cloud Control 플래티넘 멀티캣 클럼핑 고양이 모래, 저자극성 가벼운 향기, 14일 냄새 제어, 18lbs, 온라인 독점 포뮬러</v>
      </c>
      <c r="F5036" s="1" t="str">
        <f>IFERROR(__xludf.DUMMYFUNCTION("CONCATENATE(GOOGLETRANSLATE(C5036, ""en"", ""ja""))"),"アーム＆ハンマー クラウド コントロール プラチナ マルチキャット クランプ猫砂 低刺激性の軽い香り、14 日間の臭気コントロール、18 ポンド、オンライン限定フォーミュラ")</f>
        <v>アーム＆ハンマー クラウド コントロール プラチナ マルチキャット クランプ猫砂 低刺激性の軽い香り、14 日間の臭気コントロール、18 ポンド、オンライン限定フォーミュラ</v>
      </c>
    </row>
    <row r="5037" ht="15.75" customHeight="1">
      <c r="A5037" s="1">
        <v>7669.0</v>
      </c>
      <c r="B5037" s="1" t="s">
        <v>15</v>
      </c>
      <c r="C5037" s="1" t="s">
        <v>4277</v>
      </c>
      <c r="D5037" s="1" t="str">
        <f>IFERROR(__xludf.DUMMYFUNCTION("CONCATENATE(GOOGLETRANSLATE(C5037, ""en"", ""zh-cn""))"),"猫科松白金不结块猫砂 18 磅。")</f>
        <v>猫科松白金不结块猫砂 18 磅。</v>
      </c>
      <c r="E5037" s="1" t="str">
        <f>IFERROR(__xludf.DUMMYFUNCTION("CONCATENATE(GOOGLETRANSLATE(C5037, ""en"", ""ko""))"),"고양이 소나무 플래티넘 덩어리지지 않는 고양이 모래 18lb.")</f>
        <v>고양이 소나무 플래티넘 덩어리지지 않는 고양이 모래 18lb.</v>
      </c>
      <c r="F5037" s="1" t="str">
        <f>IFERROR(__xludf.DUMMYFUNCTION("CONCATENATE(GOOGLETRANSLATE(C5037, ""en"", ""ja""))"),"ネコパインプラチナ 固まらない猫砂 18ポンド")</f>
        <v>ネコパインプラチナ 固まらない猫砂 18ポンド</v>
      </c>
    </row>
    <row r="5038" ht="15.75" customHeight="1">
      <c r="A5038" s="1">
        <v>7675.0</v>
      </c>
      <c r="B5038" s="1" t="s">
        <v>15</v>
      </c>
      <c r="C5038" s="1" t="s">
        <v>4278</v>
      </c>
      <c r="D5038" s="1" t="str">
        <f>IFERROR(__xludf.DUMMYFUNCTION("CONCATENATE(GOOGLETRANSLATE(C5038, ""en"", ""zh-cn""))"),"PetSafe Drinkwell Platinum 狗猫饮水器替换泵或作为清洁期间的备用泵")</f>
        <v>PetSafe Drinkwell Platinum 狗猫饮水器替换泵或作为清洁期间的备用泵</v>
      </c>
      <c r="E5038" s="1" t="str">
        <f>IFERROR(__xludf.DUMMYFUNCTION("CONCATENATE(GOOGLETRANSLATE(C5038, ""en"", ""ko""))"),"PetSafe Drinkwell Platinum 개 및 고양이 분수 교체 펌프 또는 청소 중 백업 펌프로 사용")</f>
        <v>PetSafe Drinkwell Platinum 개 및 고양이 분수 교체 펌프 또는 청소 중 백업 펌프로 사용</v>
      </c>
      <c r="F5038" s="1" t="str">
        <f>IFERROR(__xludf.DUMMYFUNCTION("CONCATENATE(GOOGLETRANSLATE(C5038, ""en"", ""ja""))"),"PetSafe ドリンクウェル プラチナ犬猫用ウォーターファウンテンの交換用ポンプまたは掃除中のバックアップポンプとして")</f>
        <v>PetSafe ドリンクウェル プラチナ犬猫用ウォーターファウンテンの交換用ポンプまたは掃除中のバックアップポンプとして</v>
      </c>
    </row>
    <row r="5039" ht="15.75" customHeight="1">
      <c r="A5039" s="1">
        <v>7677.0</v>
      </c>
      <c r="B5039" s="1" t="s">
        <v>15</v>
      </c>
      <c r="C5039" s="1" t="s">
        <v>4279</v>
      </c>
      <c r="D5039" s="1" t="str">
        <f>IFERROR(__xludf.DUMMYFUNCTION("CONCATENATE(GOOGLETRANSLATE(C5039, ""en"", ""zh-cn""))"),"PetSafe Drinkwell 户外狗饮水器替换过滤器包，3 个碳过滤器和 1 个泡沫过滤器")</f>
        <v>PetSafe Drinkwell 户外狗饮水器替换过滤器包，3 个碳过滤器和 1 个泡沫过滤器</v>
      </c>
      <c r="E5039" s="1" t="str">
        <f>IFERROR(__xludf.DUMMYFUNCTION("CONCATENATE(GOOGLETRANSLATE(C5039, ""en"", ""ko""))"),"야외용 개 분수용 PetSafe Drinkwell 교체 필터 팩, 탄소 필터 3개 및 폼 필터 1개")</f>
        <v>야외용 개 분수용 PetSafe Drinkwell 교체 필터 팩, 탄소 필터 3개 및 폼 필터 1개</v>
      </c>
      <c r="F5039" s="1" t="str">
        <f>IFERROR(__xludf.DUMMYFUNCTION("CONCATENATE(GOOGLETRANSLATE(C5039, ""en"", ""ja""))"),"PetSafe ドリンクウェル交換用フィルターパック 屋外犬用噴水用 カーボンフィルター 3 個 &amp; フォームフィルター 1 個")</f>
        <v>PetSafe ドリンクウェル交換用フィルターパック 屋外犬用噴水用 カーボンフィルター 3 個 &amp; フォームフィルター 1 個</v>
      </c>
    </row>
    <row r="5040" ht="15.75" customHeight="1">
      <c r="A5040" s="1">
        <v>7700.0</v>
      </c>
      <c r="B5040" s="1" t="s">
        <v>15</v>
      </c>
      <c r="C5040" s="1" t="s">
        <v>4280</v>
      </c>
      <c r="D5040" s="1" t="str">
        <f>IFERROR(__xludf.DUMMYFUNCTION("CONCATENATE(GOOGLETRANSLATE(C5040, ""en"", ""zh-cn""))"),"MidWest Homes for Pets Ultima Pro 系列 36 英尺狗笼 |超坚固双门折叠金属狗笼，带分隔板、地板保护“滚轮脚”和防漏塑料盘")</f>
        <v>MidWest Homes for Pets Ultima Pro 系列 36 英尺狗笼 |超坚固双门折叠金属狗笼，带分隔板、地板保护“滚轮脚”和防漏塑料盘</v>
      </c>
      <c r="E5040" s="1" t="str">
        <f>IFERROR(__xludf.DUMMYFUNCTION("CONCATENATE(GOOGLETRANSLATE(C5040, ""en"", ""ko""))"),"애완 동물을 위한 MidWest 주택 Ultima Pro 시리즈 36' 개 상자 | 매우 강력한 이중 문 접이식 금속 개 상자, 칸막이 패널 포함, 바닥 보호 '롤러 피트' 및 누수 방지 플라스틱 팬")</f>
        <v>애완 동물을 위한 MidWest 주택 Ultima Pro 시리즈 36' 개 상자 | 매우 강력한 이중 문 접이식 금속 개 상자, 칸막이 패널 포함, 바닥 보호 '롤러 피트' 및 누수 방지 플라스틱 팬</v>
      </c>
      <c r="F5040" s="1" t="str">
        <f>IFERROR(__xludf.DUMMYFUNCTION("CONCATENATE(GOOGLETRANSLATE(C5040, ""en"", ""ja""))"),"MidWest Homes for Pets Ultima Pro シリーズ 36 フィート ドッグ クレート |非常に強力な両開きドア折りたたみ金属製犬用クレート、仕切りパネル、床保護「ローラーフィート」、漏れ防止プラスチックパン付き")</f>
        <v>MidWest Homes for Pets Ultima Pro シリーズ 36 フィート ドッグ クレート |非常に強力な両開きドア折りたたみ金属製犬用クレート、仕切りパネル、床保護「ローラーフィート」、漏れ防止プラスチックパン付き</v>
      </c>
    </row>
    <row r="5041" ht="15.75" customHeight="1">
      <c r="A5041" s="1">
        <v>7746.0</v>
      </c>
      <c r="B5041" s="1" t="s">
        <v>15</v>
      </c>
      <c r="C5041" s="1" t="s">
        <v>4281</v>
      </c>
      <c r="D5041" s="1" t="str">
        <f>IFERROR(__xludf.DUMMYFUNCTION("CONCATENATE(GOOGLETRANSLATE(C5041, ""en"", ""zh-cn""))"),"带 LED 照明的 Aqueon 水族箱入门套件")</f>
        <v>带 LED 照明的 Aqueon 水族箱入门套件</v>
      </c>
      <c r="E5041" s="1" t="str">
        <f>IFERROR(__xludf.DUMMYFUNCTION("CONCATENATE(GOOGLETRANSLATE(C5041, ""en"", ""ko""))"),"LED 조명을 갖춘 Aqueon 수족관 스타터 키트")</f>
        <v>LED 조명을 갖춘 Aqueon 수족관 스타터 키트</v>
      </c>
      <c r="F5041" s="1" t="str">
        <f>IFERROR(__xludf.DUMMYFUNCTION("CONCATENATE(GOOGLETRANSLATE(C5041, ""en"", ""ja""))"),"アクアリウム スターターキット LED照明付き")</f>
        <v>アクアリウム スターターキット LED照明付き</v>
      </c>
    </row>
    <row r="5042" ht="15.75" customHeight="1">
      <c r="A5042" s="1">
        <v>7761.0</v>
      </c>
      <c r="B5042" s="1" t="s">
        <v>15</v>
      </c>
      <c r="C5042" s="1" t="s">
        <v>4282</v>
      </c>
      <c r="D5042" s="1" t="str">
        <f>IFERROR(__xludf.DUMMYFUNCTION("CONCATENATE(GOOGLETRANSLATE(C5042, ""en"", ""zh-cn""))"),"Aqueon 55 加仑 LED 水族箱套件")</f>
        <v>Aqueon 55 加仑 LED 水族箱套件</v>
      </c>
      <c r="E5042" s="1" t="str">
        <f>IFERROR(__xludf.DUMMYFUNCTION("CONCATENATE(GOOGLETRANSLATE(C5042, ""en"", ""ko""))"),"Aqueon 55갤런 LED 수족관 키트")</f>
        <v>Aqueon 55갤런 LED 수족관 키트</v>
      </c>
      <c r="F5042" s="1" t="str">
        <f>IFERROR(__xludf.DUMMYFUNCTION("CONCATENATE(GOOGLETRANSLATE(C5042, ""en"", ""ja""))"),"Aqueon 55 ガロン LED 水族館キット")</f>
        <v>Aqueon 55 ガロン LED 水族館キット</v>
      </c>
    </row>
    <row r="5043" ht="15.75" customHeight="1">
      <c r="A5043" s="1">
        <v>7765.0</v>
      </c>
      <c r="B5043" s="1" t="s">
        <v>15</v>
      </c>
      <c r="C5043" s="1" t="s">
        <v>4283</v>
      </c>
      <c r="D5043" s="1" t="str">
        <f>IFERROR(__xludf.DUMMYFUNCTION("CONCATENATE(GOOGLETRANSLATE(C5043, ""en"", ""zh-cn""))"),"Aqueon 水族馆必需品套件")</f>
        <v>Aqueon 水族馆必需品套件</v>
      </c>
      <c r="E5043" s="1" t="str">
        <f>IFERROR(__xludf.DUMMYFUNCTION("CONCATENATE(GOOGLETRANSLATE(C5043, ""en"", ""ko""))"),"Aqueon 수족관 필수 키트")</f>
        <v>Aqueon 수족관 필수 키트</v>
      </c>
      <c r="F5043" s="1" t="str">
        <f>IFERROR(__xludf.DUMMYFUNCTION("CONCATENATE(GOOGLETRANSLATE(C5043, ""en"", ""ja""))"),"アクアリウムエッセンシャルキット")</f>
        <v>アクアリウムエッセンシャルキット</v>
      </c>
    </row>
    <row r="5044" ht="15.75" customHeight="1">
      <c r="A5044" s="1">
        <v>7766.0</v>
      </c>
      <c r="B5044" s="1" t="s">
        <v>15</v>
      </c>
      <c r="C5044" s="1" t="s">
        <v>4284</v>
      </c>
      <c r="D5044" s="1" t="str">
        <f>IFERROR(__xludf.DUMMYFUNCTION("CONCATENATE(GOOGLETRANSLATE(C5044, ""en"", ""zh-cn""))"),"Aqueon Bow Front LED 水族箱套件")</f>
        <v>Aqueon Bow Front LED 水族箱套件</v>
      </c>
      <c r="E5044" s="1" t="str">
        <f>IFERROR(__xludf.DUMMYFUNCTION("CONCATENATE(GOOGLETRANSLATE(C5044, ""en"", ""ko""))"),"Aqueon 활 전면 LED 수족관 키트")</f>
        <v>Aqueon 활 전면 LED 수족관 키트</v>
      </c>
      <c r="F5044" s="1" t="str">
        <f>IFERROR(__xludf.DUMMYFUNCTION("CONCATENATE(GOOGLETRANSLATE(C5044, ""en"", ""ja""))"),"Aqueon Bow フロント LED アクアリウムキット")</f>
        <v>Aqueon Bow フロント LED アクアリウムキット</v>
      </c>
    </row>
    <row r="5045" ht="15.75" customHeight="1">
      <c r="A5045" s="1">
        <v>7775.0</v>
      </c>
      <c r="B5045" s="1" t="s">
        <v>15</v>
      </c>
      <c r="C5045" s="1" t="s">
        <v>4285</v>
      </c>
      <c r="D5045" s="1" t="str">
        <f>IFERROR(__xludf.DUMMYFUNCTION("CONCATENATE(GOOGLETRANSLATE(C5045, ""en"", ""zh-cn""))"),"AQUEON LED 水族箱套件长方形已定价（29 GAL-30X12X18 英寸）")</f>
        <v>AQUEON LED 水族箱套件长方形已定价（29 GAL-30X12X18 英寸）</v>
      </c>
      <c r="E5045" s="1" t="str">
        <f>IFERROR(__xludf.DUMMYFUNCTION("CONCATENATE(GOOGLETRANSLATE(C5045, ""en"", ""ko""))"),"AQUEON LED 수족관 키트 직사각형 사전 가격(29 GAL-30X12X18 IN)")</f>
        <v>AQUEON LED 수족관 키트 직사각형 사전 가격(29 GAL-30X12X18 IN)</v>
      </c>
      <c r="F5045" s="1" t="str">
        <f>IFERROR(__xludf.DUMMYFUNCTION("CONCATENATE(GOOGLETRANSLATE(C5045, ""en"", ""ja""))"),"AQUEON LED アクアリウムキット 長方形 既価格 (29 GAL-30X12X18 インチ)")</f>
        <v>AQUEON LED アクアリウムキット 長方形 既価格 (29 GAL-30X12X18 インチ)</v>
      </c>
    </row>
    <row r="5046" ht="15.75" customHeight="1">
      <c r="A5046" s="1">
        <v>7784.0</v>
      </c>
      <c r="B5046" s="1" t="s">
        <v>15</v>
      </c>
      <c r="C5046" s="1" t="s">
        <v>4286</v>
      </c>
      <c r="D5046" s="1" t="str">
        <f>IFERROR(__xludf.DUMMYFUNCTION("CONCATENATE(GOOGLETRANSLATE(C5046, ""en"", ""zh-cn""))"),"Tetra 1 加仑半月小鱼缸带可移动 LED 灯，适合斗鱼和金鱼，水族箱")</f>
        <v>Tetra 1 加仑半月小鱼缸带可移动 LED 灯，适合斗鱼和金鱼，水族箱</v>
      </c>
      <c r="E5046" s="1" t="str">
        <f>IFERROR(__xludf.DUMMYFUNCTION("CONCATENATE(GOOGLETRANSLATE(C5046, ""en"", ""ko""))"),"테트라 1갤런 반달 소형 어항 이동식 LED 조명 포함, 베타 및 금붕어, 수족관용")</f>
        <v>테트라 1갤런 반달 소형 어항 이동식 LED 조명 포함, 베타 및 금붕어, 수족관용</v>
      </c>
      <c r="F5046" s="1" t="str">
        <f>IFERROR(__xludf.DUMMYFUNCTION("CONCATENATE(GOOGLETRANSLATE(C5046, ""en"", ""ja""))"),"Tetra 1 ガロン ハーフムーン小型水槽 可動式 LED ライト付き ベタ &amp; 金魚用 水族館")</f>
        <v>Tetra 1 ガロン ハーフムーン小型水槽 可動式 LED ライト付き ベタ &amp; 金魚用 水族館</v>
      </c>
    </row>
    <row r="5047" ht="15.75" customHeight="1">
      <c r="A5047" s="1">
        <v>7809.0</v>
      </c>
      <c r="B5047" s="1" t="s">
        <v>15</v>
      </c>
      <c r="C5047" s="1" t="s">
        <v>4287</v>
      </c>
      <c r="D5047" s="1" t="str">
        <f>IFERROR(__xludf.DUMMYFUNCTION("CONCATENATE(GOOGLETRANSLATE(C5047, ""en"", ""zh-cn""))"),"宜家邓德拉带储物活动桌")</f>
        <v>宜家邓德拉带储物活动桌</v>
      </c>
      <c r="E5047" s="1" t="str">
        <f>IFERROR(__xludf.DUMMYFUNCTION("CONCATENATE(GOOGLETRANSLATE(C5047, ""en"", ""ko""))"),"IKEA Dundra 활동 테이블(수납함 포함)")</f>
        <v>IKEA Dundra 활동 테이블(수납함 포함)</v>
      </c>
      <c r="F5047" s="1" t="str">
        <f>IFERROR(__xludf.DUMMYFUNCTION("CONCATENATE(GOOGLETRANSLATE(C5047, ""en"", ""ja""))"),"IKEA ダンドラ アクティビティテーブル 収納付き")</f>
        <v>IKEA ダンドラ アクティビティテーブル 収納付き</v>
      </c>
    </row>
    <row r="5048" ht="15.75" customHeight="1">
      <c r="A5048" s="1">
        <v>7814.0</v>
      </c>
      <c r="B5048" s="1" t="s">
        <v>15</v>
      </c>
      <c r="C5048" s="1" t="s">
        <v>4288</v>
      </c>
      <c r="D5048" s="1" t="str">
        <f>IFERROR(__xludf.DUMMYFUNCTION("CONCATENATE(GOOGLETRANSLATE(C5048, ""en"", ""zh-cn""))"),"Milliard 二合一儿童艺术桌和艺术画架桌椅套装")</f>
        <v>Milliard 二合一儿童艺术桌和艺术画架桌椅套装</v>
      </c>
      <c r="E5048" s="1" t="str">
        <f>IFERROR(__xludf.DUMMYFUNCTION("CONCATENATE(GOOGLETRANSLATE(C5048, ""en"", ""ko""))"),"Milliard 2-in-1 어린이용 아트 테이블 및 아트 이젤 테이블 의자 세트")</f>
        <v>Milliard 2-in-1 어린이용 아트 테이블 및 아트 이젤 테이블 의자 세트</v>
      </c>
      <c r="F5048" s="1" t="str">
        <f>IFERROR(__xludf.DUMMYFUNCTION("CONCATENATE(GOOGLETRANSLATE(C5048, ""en"", ""ja""))"),"Milliard 2-in-1 キッズアートテーブルとアートイーゼルテーブルチェアセット")</f>
        <v>Milliard 2-in-1 キッズアートテーブルとアートイーゼルテーブルチェアセット</v>
      </c>
    </row>
    <row r="5049" ht="15.75" customHeight="1">
      <c r="A5049" s="1">
        <v>7826.0</v>
      </c>
      <c r="B5049" s="1" t="s">
        <v>15</v>
      </c>
      <c r="C5049" s="1" t="s">
        <v>4289</v>
      </c>
      <c r="D5049" s="1" t="str">
        <f>IFERROR(__xludf.DUMMYFUNCTION("CONCATENATE(GOOGLETRANSLATE(C5049, ""en"", ""zh-cn""))"),"建设性玩具幼儿活动桌")</f>
        <v>建设性玩具幼儿活动桌</v>
      </c>
      <c r="E5049" s="1" t="str">
        <f>IFERROR(__xludf.DUMMYFUNCTION("CONCATENATE(GOOGLETRANSLATE(C5049, ""en"", ""ko""))"),"건설적인 장난감 유아 활동 테이블")</f>
        <v>건설적인 장난감 유아 활동 테이블</v>
      </c>
      <c r="F5049" s="1" t="str">
        <f>IFERROR(__xludf.DUMMYFUNCTION("CONCATENATE(GOOGLETRANSLATE(C5049, ""en"", ""ja""))"),"建設的な遊び道具幼児活動表")</f>
        <v>建設的な遊び道具幼児活動表</v>
      </c>
    </row>
    <row r="5050" ht="15.75" customHeight="1">
      <c r="A5050" s="1">
        <v>7852.0</v>
      </c>
      <c r="B5050" s="1" t="s">
        <v>15</v>
      </c>
      <c r="C5050" s="1" t="s">
        <v>4290</v>
      </c>
      <c r="D5050" s="1" t="str">
        <f>IFERROR(__xludf.DUMMYFUNCTION("CONCATENATE(GOOGLETRANSLATE(C5050, ""en"", ""zh-cn""))"),"RDS Gear Obsidian 4 季节露营庇护所")</f>
        <v>RDS Gear Obsidian 4 季节露营庇护所</v>
      </c>
      <c r="E5050" s="1" t="str">
        <f>IFERROR(__xludf.DUMMYFUNCTION("CONCATENATE(GOOGLETRANSLATE(C5050, ""en"", ""ko""))"),"RDS Gear Obsidian 4계절 캠핑 쉘터")</f>
        <v>RDS Gear Obsidian 4계절 캠핑 쉘터</v>
      </c>
      <c r="F5050" s="1" t="str">
        <f>IFERROR(__xludf.DUMMYFUNCTION("CONCATENATE(GOOGLETRANSLATE(C5050, ""en"", ""ja""))"),"RDS ギア オブシディアン 4 シーズン キャンプ シェルター")</f>
        <v>RDS ギア オブシディアン 4 シーズン キャンプ シェルター</v>
      </c>
    </row>
    <row r="5051" ht="15.75" customHeight="1">
      <c r="A5051" s="1">
        <v>7859.0</v>
      </c>
      <c r="B5051" s="1" t="s">
        <v>15</v>
      </c>
      <c r="C5051" s="1" t="s">
        <v>4291</v>
      </c>
      <c r="D5051" s="1" t="str">
        <f>IFERROR(__xludf.DUMMYFUNCTION("CONCATENATE(GOOGLETRANSLATE(C5051, ""en"", ""zh-cn""))"),"Softopper 露营者顶部帐篷")</f>
        <v>Softopper 露营者顶部帐篷</v>
      </c>
      <c r="E5051" s="1" t="str">
        <f>IFERROR(__xludf.DUMMYFUNCTION("CONCATENATE(GOOGLETRANSLATE(C5051, ""en"", ""ko""))"),"Softopper 캠퍼 탑 텐트")</f>
        <v>Softopper 캠퍼 탑 텐트</v>
      </c>
      <c r="F5051" s="1" t="str">
        <f>IFERROR(__xludf.DUMMYFUNCTION("CONCATENATE(GOOGLETRANSLATE(C5051, ""en"", ""ja""))"),"Softopper キャンパー トップ テント")</f>
        <v>Softopper キャンパー トップ テント</v>
      </c>
    </row>
    <row r="5052" ht="15.75" customHeight="1">
      <c r="A5052" s="1">
        <v>7870.0</v>
      </c>
      <c r="B5052" s="1" t="s">
        <v>15</v>
      </c>
      <c r="C5052" s="1" t="s">
        <v>4292</v>
      </c>
      <c r="D5052" s="1" t="str">
        <f>IFERROR(__xludf.DUMMYFUNCTION("CONCATENATE(GOOGLETRANSLATE(C5052, ""en"", ""zh-cn""))"),"REI Co-op Trailgate 车辆睡眠平台")</f>
        <v>REI Co-op Trailgate 车辆睡眠平台</v>
      </c>
      <c r="E5052" s="1" t="str">
        <f>IFERROR(__xludf.DUMMYFUNCTION("CONCATENATE(GOOGLETRANSLATE(C5052, ""en"", ""ko""))"),"REI Co-op Trailgate 차량 수면 플랫폼")</f>
        <v>REI Co-op Trailgate 차량 수면 플랫폼</v>
      </c>
      <c r="F5052" s="1" t="str">
        <f>IFERROR(__xludf.DUMMYFUNCTION("CONCATENATE(GOOGLETRANSLATE(C5052, ""en"", ""ja""))"),"REI Co-op トレイルゲート車両寝台プラットフォーム")</f>
        <v>REI Co-op トレイルゲート車両寝台プラットフォーム</v>
      </c>
    </row>
    <row r="5053" ht="15.75" customHeight="1">
      <c r="A5053" s="1">
        <v>7875.0</v>
      </c>
      <c r="B5053" s="1" t="s">
        <v>15</v>
      </c>
      <c r="C5053" s="1" t="s">
        <v>4293</v>
      </c>
      <c r="D5053" s="1" t="str">
        <f>IFERROR(__xludf.DUMMYFUNCTION("CONCATENATE(GOOGLETRANSLATE(C5053, ""en"", ""zh-cn""))"),"The North Face Wawona 6 帐篷")</f>
        <v>The North Face Wawona 6 帐篷</v>
      </c>
      <c r="E5053" s="1" t="str">
        <f>IFERROR(__xludf.DUMMYFUNCTION("CONCATENATE(GOOGLETRANSLATE(C5053, ""en"", ""ko""))"),"노스페이스 와워나 6 텐트")</f>
        <v>노스페이스 와워나 6 텐트</v>
      </c>
      <c r="F5053" s="1" t="str">
        <f>IFERROR(__xludf.DUMMYFUNCTION("CONCATENATE(GOOGLETRANSLATE(C5053, ""en"", ""ja""))"),"ザ・ノース・フェイス ワオナ 6 テント")</f>
        <v>ザ・ノース・フェイス ワオナ 6 テント</v>
      </c>
    </row>
    <row r="5054" ht="15.75" customHeight="1">
      <c r="A5054" s="1">
        <v>7879.0</v>
      </c>
      <c r="B5054" s="1" t="s">
        <v>15</v>
      </c>
      <c r="C5054" s="1" t="s">
        <v>4294</v>
      </c>
      <c r="D5054" s="1" t="str">
        <f>IFERROR(__xludf.DUMMYFUNCTION("CONCATENATE(GOOGLETRANSLATE(C5054, ""en"", ""zh-cn""))"),"RBM 六边形四季帐篷")</f>
        <v>RBM 六边形四季帐篷</v>
      </c>
      <c r="E5054" s="1" t="str">
        <f>IFERROR(__xludf.DUMMYFUNCTION("CONCATENATE(GOOGLETRANSLATE(C5054, ""en"", ""ko""))"),"RBM 올 시즌 텐트 헥사곤")</f>
        <v>RBM 올 시즌 텐트 헥사곤</v>
      </c>
      <c r="F5054" s="1" t="str">
        <f>IFERROR(__xludf.DUMMYFUNCTION("CONCATENATE(GOOGLETRANSLATE(C5054, ""en"", ""ja""))"),"RBM オールシーズン テント ヘキサゴン")</f>
        <v>RBM オールシーズン テント ヘキサゴン</v>
      </c>
    </row>
    <row r="5055" ht="15.75" customHeight="1">
      <c r="A5055" s="1">
        <v>7882.0</v>
      </c>
      <c r="B5055" s="1" t="s">
        <v>15</v>
      </c>
      <c r="C5055" s="1" t="s">
        <v>4295</v>
      </c>
      <c r="D5055" s="1" t="str">
        <f>IFERROR(__xludf.DUMMYFUNCTION("CONCATENATE(GOOGLETRANSLATE(C5055, ""en"", ""zh-cn""))"),"森林河房车 Sabre 36FLX")</f>
        <v>森林河房车 Sabre 36FLX</v>
      </c>
      <c r="E5055" s="1" t="str">
        <f>IFERROR(__xludf.DUMMYFUNCTION("CONCATENATE(GOOGLETRANSLATE(C5055, ""en"", ""ko""))"),"포레스트 리버 RV 세이버 36FLX")</f>
        <v>포레스트 리버 RV 세이버 36FLX</v>
      </c>
      <c r="F5055" s="1" t="str">
        <f>IFERROR(__xludf.DUMMYFUNCTION("CONCATENATE(GOOGLETRANSLATE(C5055, ""en"", ""ja""))"),"フォレストリバー RV セイバー 36FLX")</f>
        <v>フォレストリバー RV セイバー 36FLX</v>
      </c>
    </row>
    <row r="5056" ht="15.75" customHeight="1">
      <c r="A5056" s="1">
        <v>7885.0</v>
      </c>
      <c r="B5056" s="1" t="s">
        <v>15</v>
      </c>
      <c r="C5056" s="1" t="s">
        <v>4296</v>
      </c>
      <c r="D5056" s="1" t="str">
        <f>IFERROR(__xludf.DUMMYFUNCTION("CONCATENATE(GOOGLETRANSLATE(C5056, ""en"", ""zh-cn""))"),"大艾格尼丝鼠尾草峡谷庇护所豪华间")</f>
        <v>大艾格尼丝鼠尾草峡谷庇护所豪华间</v>
      </c>
      <c r="E5056" s="1" t="str">
        <f>IFERROR(__xludf.DUMMYFUNCTION("CONCATENATE(GOOGLETRANSLATE(C5056, ""en"", ""ko""))"),"빅 아그네스 세이지 캐년 쉘터 디럭스")</f>
        <v>빅 아그네스 세이지 캐년 쉘터 디럭스</v>
      </c>
      <c r="F5056" s="1" t="str">
        <f>IFERROR(__xludf.DUMMYFUNCTION("CONCATENATE(GOOGLETRANSLATE(C5056, ""en"", ""ja""))"),"ビッグ アグネス セージ キャニオン シェルター デラックス")</f>
        <v>ビッグ アグネス セージ キャニオン シェルター デラックス</v>
      </c>
    </row>
    <row r="5057" ht="15.75" customHeight="1">
      <c r="A5057" s="1">
        <v>7889.0</v>
      </c>
      <c r="B5057" s="1" t="s">
        <v>15</v>
      </c>
      <c r="C5057" s="1" t="s">
        <v>4297</v>
      </c>
      <c r="D5057" s="1" t="str">
        <f>IFERROR(__xludf.DUMMYFUNCTION("CONCATENATE(GOOGLETRANSLATE(C5057, ""en"", ""zh-cn""))"),"奥扎克步道 4 人连体帐篷")</f>
        <v>奥扎克步道 4 人连体帐篷</v>
      </c>
      <c r="E5057" s="1" t="str">
        <f>IFERROR(__xludf.DUMMYFUNCTION("CONCATENATE(GOOGLETRANSLATE(C5057, ""en"", ""ko""))"),"오자크 트레일 4인 연결 텐트")</f>
        <v>오자크 트레일 4인 연결 텐트</v>
      </c>
      <c r="F5057" s="1" t="str">
        <f>IFERROR(__xludf.DUMMYFUNCTION("CONCATENATE(GOOGLETRANSLATE(C5057, ""en"", ""ja""))"),"オザーク トレイル 4 人用コネクト テント")</f>
        <v>オザーク トレイル 4 人用コネクト テント</v>
      </c>
    </row>
    <row r="5058" ht="15.75" customHeight="1">
      <c r="A5058" s="1">
        <v>7895.0</v>
      </c>
      <c r="B5058" s="1" t="s">
        <v>15</v>
      </c>
      <c r="C5058" s="1" t="s">
        <v>4298</v>
      </c>
      <c r="D5058" s="1" t="str">
        <f>IFERROR(__xludf.DUMMYFUNCTION("CONCATENATE(GOOGLETRANSLATE(C5058, ""en"", ""zh-cn""))"),"奥扎克步道 4 人四季圆顶帐篷")</f>
        <v>奥扎克步道 4 人四季圆顶帐篷</v>
      </c>
      <c r="E5058" s="1" t="str">
        <f>IFERROR(__xludf.DUMMYFUNCTION("CONCATENATE(GOOGLETRANSLATE(C5058, ""en"", ""ko""))"),"오자크 트레일 4인용 4계절 돔 텐트")</f>
        <v>오자크 트레일 4인용 4계절 돔 텐트</v>
      </c>
      <c r="F5058" s="1" t="str">
        <f>IFERROR(__xludf.DUMMYFUNCTION("CONCATENATE(GOOGLETRANSLATE(C5058, ""en"", ""ja""))"),"オザーク トレイル 4 人用フォーシーズン ドーム テント")</f>
        <v>オザーク トレイル 4 人用フォーシーズン ドーム テント</v>
      </c>
    </row>
    <row r="5059" ht="15.75" customHeight="1">
      <c r="A5059" s="1">
        <v>7904.0</v>
      </c>
      <c r="B5059" s="1" t="s">
        <v>15</v>
      </c>
      <c r="C5059" s="1" t="s">
        <v>4299</v>
      </c>
      <c r="D5059" s="1" t="str">
        <f>IFERROR(__xludf.DUMMYFUNCTION("CONCATENATE(GOOGLETRANSLATE(C5059, ""en"", ""zh-cn""))"),"Ozark Trail Wmt-141078c 14 英尺 X 10 英尺 10 人即时小屋帐篷")</f>
        <v>Ozark Trail Wmt-141078c 14 英尺 X 10 英尺 10 人即时小屋帐篷</v>
      </c>
      <c r="E5059" s="1" t="str">
        <f>IFERROR(__xludf.DUMMYFUNCTION("CONCATENATE(GOOGLETRANSLATE(C5059, ""en"", ""ko""))"),"Ozark Trail Wmt-141078c 14 Ft X 10 Ft 10인용 인스턴트 캐빈 텐트")</f>
        <v>Ozark Trail Wmt-141078c 14 Ft X 10 Ft 10인용 인스턴트 캐빈 텐트</v>
      </c>
      <c r="F5059" s="1" t="str">
        <f>IFERROR(__xludf.DUMMYFUNCTION("CONCATENATE(GOOGLETRANSLATE(C5059, ""en"", ""ja""))"),"オザーク トレイル WMT-141078c 14 フィート X 10 フィート 10 人用インスタント キャビン テント")</f>
        <v>オザーク トレイル WMT-141078c 14 フィート X 10 フィート 10 人用インスタント キャビン テント</v>
      </c>
    </row>
    <row r="5060" ht="15.75" customHeight="1">
      <c r="A5060" s="1">
        <v>7941.0</v>
      </c>
      <c r="B5060" s="1" t="s">
        <v>15</v>
      </c>
      <c r="C5060" s="1" t="s">
        <v>4300</v>
      </c>
      <c r="D5060" s="1" t="str">
        <f>IFERROR(__xludf.DUMMYFUNCTION("CONCATENATE(GOOGLETRANSLATE(C5060, ""en"", ""zh-cn""))"),"定制配件 4 件套超值四季脚垫")</f>
        <v>定制配件 4 件套超值四季脚垫</v>
      </c>
      <c r="E5060" s="1" t="str">
        <f>IFERROR(__xludf.DUMMYFUNCTION("CONCATENATE(GOOGLETRANSLATE(C5060, ""en"", ""ko""))"),"맞춤형 액세서리 4피스 가치 올 시즌 바닥 매트")</f>
        <v>맞춤형 액세서리 4피스 가치 올 시즌 바닥 매트</v>
      </c>
      <c r="F5060" s="1" t="str">
        <f>IFERROR(__xludf.DUMMYFUNCTION("CONCATENATE(GOOGLETRANSLATE(C5060, ""en"", ""ja""))"),"カスタム アクセサリー バリュー オールシーズン フロア マット 4 点")</f>
        <v>カスタム アクセサリー バリュー オールシーズン フロア マット 4 点</v>
      </c>
    </row>
    <row r="5061" ht="15.75" customHeight="1">
      <c r="A5061" s="1">
        <v>7945.0</v>
      </c>
      <c r="B5061" s="1" t="s">
        <v>15</v>
      </c>
      <c r="C5061" s="1" t="s">
        <v>4301</v>
      </c>
      <c r="D5061" s="1" t="str">
        <f>IFERROR(__xludf.DUMMYFUNCTION("CONCATENATE(GOOGLETRANSLATE(C5061, ""en"", ""zh-cn""))"),"汽车驾驶存储和整理|悬挂式汽车收纳架|颜色： 黑色/灰色 |尺寸：Os | Dhopkins0117 的衣柜")</f>
        <v>汽车驾驶存储和整理|悬挂式汽车收纳架|颜色： 黑色/灰色 |尺寸：Os | Dhopkins0117 的衣柜</v>
      </c>
      <c r="E5061" s="1" t="str">
        <f>IFERROR(__xludf.DUMMYFUNCTION("CONCATENATE(GOOGLETRANSLATE(C5061, ""en"", ""ko""))"),"자동 드라이브 보관 및 정리 | 매달린 자동차 정리함 | 색상: 블랙/그레이 | 크기: OS | Dhopkins0117의 옷장")</f>
        <v>자동 드라이브 보관 및 정리 | 매달린 자동차 정리함 | 색상: 블랙/그레이 | 크기: OS | Dhopkins0117의 옷장</v>
      </c>
      <c r="F5061" s="1" t="str">
        <f>IFERROR(__xludf.DUMMYFUNCTION("CONCATENATE(GOOGLETRANSLATE(C5061, ""en"", ""ja""))"),"自動ドライブのストレージと整理 |ハンギングカーオーガナイザー |色: ブラック/グレー |サイズ: オス | Dhopkins0117 のクローゼット")</f>
        <v>自動ドライブのストレージと整理 |ハンギングカーオーガナイザー |色: ブラック/グレー |サイズ: オス | Dhopkins0117 のクローゼット</v>
      </c>
    </row>
    <row r="5062" ht="15.75" customHeight="1">
      <c r="A5062" s="1">
        <v>7947.0</v>
      </c>
      <c r="B5062" s="1" t="s">
        <v>15</v>
      </c>
      <c r="C5062" s="1" t="s">
        <v>4302</v>
      </c>
      <c r="D5062" s="1" t="str">
        <f>IFERROR(__xludf.DUMMYFUNCTION("CONCATENATE(GOOGLETRANSLATE(C5062, ""en"", ""zh-cn""))"),"Auto Drive 通用多口袋后座收纳袋")</f>
        <v>Auto Drive 通用多口袋后座收纳袋</v>
      </c>
      <c r="E5062" s="1" t="str">
        <f>IFERROR(__xludf.DUMMYFUNCTION("CONCATENATE(GOOGLETRANSLATE(C5062, ""en"", ""ko""))"),"자동 드라이브 범용 멀티 포켓 뒷좌석 정리함")</f>
        <v>자동 드라이브 범용 멀티 포켓 뒷좌석 정리함</v>
      </c>
      <c r="F5062" s="1" t="str">
        <f>IFERROR(__xludf.DUMMYFUNCTION("CONCATENATE(GOOGLETRANSLATE(C5062, ""en"", ""ja""))"),"Auto Drive ユニバーサル マルチポケット後部座席オーガナイザー")</f>
        <v>Auto Drive ユニバーサル マルチポケット後部座席オーガナイザー</v>
      </c>
    </row>
    <row r="5063" ht="15.75" customHeight="1">
      <c r="A5063" s="1">
        <v>7950.0</v>
      </c>
      <c r="B5063" s="1" t="s">
        <v>15</v>
      </c>
      <c r="C5063" s="1" t="s">
        <v>4303</v>
      </c>
      <c r="D5063" s="1" t="str">
        <f>IFERROR(__xludf.DUMMYFUNCTION("CONCATENATE(GOOGLETRANSLATE(C5063, ""en"", ""zh-cn""))"),"Covercraft LeBra 定制兜帽保护罩 45190-01")</f>
        <v>Covercraft LeBra 定制兜帽保护罩 45190-01</v>
      </c>
      <c r="E5063" s="1" t="str">
        <f>IFERROR(__xludf.DUMMYFUNCTION("CONCATENATE(GOOGLETRANSLATE(C5063, ""en"", ""ko""))"),"Covercraft LeBra 커스텀 후드 프로텍터 45190-01")</f>
        <v>Covercraft LeBra 커스텀 후드 프로텍터 45190-01</v>
      </c>
      <c r="F5063" s="1" t="str">
        <f>IFERROR(__xludf.DUMMYFUNCTION("CONCATENATE(GOOGLETRANSLATE(C5063, ""en"", ""ja""))"),"Covercraft LeBra カスタム フード プロテクター 45190-01")</f>
        <v>Covercraft LeBra カスタム フード プロテクター 45190-01</v>
      </c>
    </row>
    <row r="5064" ht="15.75" customHeight="1">
      <c r="A5064" s="1">
        <v>7964.0</v>
      </c>
      <c r="B5064" s="1" t="s">
        <v>15</v>
      </c>
      <c r="C5064" s="1" t="s">
        <v>4304</v>
      </c>
      <c r="D5064" s="1" t="str">
        <f>IFERROR(__xludf.DUMMYFUNCTION("CONCATENATE(GOOGLETRANSLATE(C5064, ""en"", ""zh-cn""))"),"汽车驾驶通用蝴蝶风琴遮阳罩")</f>
        <v>汽车驾驶通用蝴蝶风琴遮阳罩</v>
      </c>
      <c r="E5064" s="1" t="str">
        <f>IFERROR(__xludf.DUMMYFUNCTION("CONCATENATE(GOOGLETRANSLATE(C5064, ""en"", ""ko""))"),"오토 드라이브 유니버설 버터플라이 아코디언 선 셰이드")</f>
        <v>오토 드라이브 유니버설 버터플라이 아코디언 선 셰이드</v>
      </c>
      <c r="F5064" s="1" t="str">
        <f>IFERROR(__xludf.DUMMYFUNCTION("CONCATENATE(GOOGLETRANSLATE(C5064, ""en"", ""ja""))"),"オートドライブユニバーサルバタフライアコーディオンサンシェード")</f>
        <v>オートドライブユニバーサルバタフライアコーディオンサンシェード</v>
      </c>
    </row>
    <row r="5065" ht="15.75" customHeight="1">
      <c r="A5065" s="1">
        <v>7965.0</v>
      </c>
      <c r="B5065" s="1" t="s">
        <v>15</v>
      </c>
      <c r="C5065" s="1" t="s">
        <v>4305</v>
      </c>
      <c r="D5065" s="1" t="str">
        <f>IFERROR(__xludf.DUMMYFUNCTION("CONCATENATE(GOOGLETRANSLATE(C5065, ""en"", ""zh-cn""))"),"汽车驱动通用型碳纤维方向盘套")</f>
        <v>汽车驱动通用型碳纤维方向盘套</v>
      </c>
      <c r="E5065" s="1" t="str">
        <f>IFERROR(__xludf.DUMMYFUNCTION("CONCATENATE(GOOGLETRANSLATE(C5065, ""en"", ""ko""))"),"자동 드라이브 범용 맞춤 탄소 섬유 스티어링 휠 커버")</f>
        <v>자동 드라이브 범용 맞춤 탄소 섬유 스티어링 휠 커버</v>
      </c>
      <c r="F5065" s="1" t="str">
        <f>IFERROR(__xludf.DUMMYFUNCTION("CONCATENATE(GOOGLETRANSLATE(C5065, ""en"", ""ja""))"),"オートドライブユニバーサルフィットカーボンファイバーステアリングホイールカバー")</f>
        <v>オートドライブユニバーサルフィットカーボンファイバーステアリングホイールカバー</v>
      </c>
    </row>
    <row r="5066" ht="15.75" customHeight="1">
      <c r="A5066" s="1">
        <v>7967.0</v>
      </c>
      <c r="B5066" s="1" t="s">
        <v>15</v>
      </c>
      <c r="C5066" s="1" t="s">
        <v>4306</v>
      </c>
      <c r="D5066" s="1" t="str">
        <f>IFERROR(__xludf.DUMMYFUNCTION("CONCATENATE(GOOGLETRANSLATE(C5066, ""en"", ""zh-cn""))"),"Armor 全车清洁套件 12 件套节日礼品套装")</f>
        <v>Armor 全车清洁套件 12 件套节日礼品套装</v>
      </c>
      <c r="E5066" s="1" t="str">
        <f>IFERROR(__xludf.DUMMYFUNCTION("CONCATENATE(GOOGLETRANSLATE(C5066, ""en"", ""ko""))"),"Armor 모든 자동차 청소 키트 12피스 명절 선물 세트")</f>
        <v>Armor 모든 자동차 청소 키트 12피스 명절 선물 세트</v>
      </c>
      <c r="F5066" s="1" t="str">
        <f>IFERROR(__xludf.DUMMYFUNCTION("CONCATENATE(GOOGLETRANSLATE(C5066, ""en"", ""ja""))"),"Armor All カー クリーニング キット 12 点ホリデー ギフト セット")</f>
        <v>Armor All カー クリーニング キット 12 点ホリデー ギフト セット</v>
      </c>
    </row>
    <row r="5067" ht="15.75" customHeight="1">
      <c r="A5067" s="1">
        <v>7973.0</v>
      </c>
      <c r="B5067" s="1" t="s">
        <v>15</v>
      </c>
      <c r="C5067" s="1" t="s">
        <v>4307</v>
      </c>
      <c r="D5067" s="1" t="str">
        <f>IFERROR(__xludf.DUMMYFUNCTION("CONCATENATE(GOOGLETRANSLATE(C5067, ""en"", ""zh-cn""))"),"Armor All 4 件套四季脚垫")</f>
        <v>Armor All 4 件套四季脚垫</v>
      </c>
      <c r="E5067" s="1" t="str">
        <f>IFERROR(__xludf.DUMMYFUNCTION("CONCATENATE(GOOGLETRANSLATE(C5067, ""en"", ""ko""))"),"Armor All 4피스 올 시즌 바닥 매트")</f>
        <v>Armor All 4피스 올 시즌 바닥 매트</v>
      </c>
      <c r="F5067" s="1" t="str">
        <f>IFERROR(__xludf.DUMMYFUNCTION("CONCATENATE(GOOGLETRANSLATE(C5067, ""en"", ""ja""))"),"Armor All 4 ピース オールシーズン フロアマット")</f>
        <v>Armor All 4 ピース オールシーズン フロアマット</v>
      </c>
    </row>
    <row r="5068" ht="15.75" customHeight="1">
      <c r="A5068" s="1">
        <v>7976.0</v>
      </c>
      <c r="B5068" s="1" t="s">
        <v>15</v>
      </c>
      <c r="C5068" s="1" t="s">
        <v>4308</v>
      </c>
      <c r="D5068" s="1" t="str">
        <f>IFERROR(__xludf.DUMMYFUNCTION("CONCATENATE(GOOGLETRANSLATE(C5068, ""en"", ""zh-cn""))"),"Armor All 快速清洁套件")</f>
        <v>Armor All 快速清洁套件</v>
      </c>
      <c r="E5068" s="1" t="str">
        <f>IFERROR(__xludf.DUMMYFUNCTION("CONCATENATE(GOOGLETRANSLATE(C5068, ""en"", ""ko""))"),"아머 올 퀵 클린 키트")</f>
        <v>아머 올 퀵 클린 키트</v>
      </c>
      <c r="F5068" s="1" t="str">
        <f>IFERROR(__xludf.DUMMYFUNCTION("CONCATENATE(GOOGLETRANSLATE(C5068, ""en"", ""ja""))"),"アーマーオールクイッククリーンキット")</f>
        <v>アーマーオールクイッククリーンキット</v>
      </c>
    </row>
    <row r="5069" ht="15.75" customHeight="1">
      <c r="A5069" s="1">
        <v>7978.0</v>
      </c>
      <c r="B5069" s="1" t="s">
        <v>15</v>
      </c>
      <c r="C5069" s="1" t="s">
        <v>4309</v>
      </c>
      <c r="D5069" s="1" t="str">
        <f>IFERROR(__xludf.DUMMYFUNCTION("CONCATENATE(GOOGLETRANSLATE(C5069, ""en"", ""zh-cn""))"),"高乐氏公司 Armour 所有洗车/清洁剂")</f>
        <v>高乐氏公司 Armour 所有洗车/清洁剂</v>
      </c>
      <c r="E5069" s="1" t="str">
        <f>IFERROR(__xludf.DUMMYFUNCTION("CONCATENATE(GOOGLETRANSLATE(C5069, ""en"", ""ko""))"),"클로록스 컴퍼니 아머 올세차/클리너")</f>
        <v>클로록스 컴퍼니 아머 올세차/클리너</v>
      </c>
      <c r="F5069" s="1" t="str">
        <f>IFERROR(__xludf.DUMMYFUNCTION("CONCATENATE(GOOGLETRANSLATE(C5069, ""en"", ""ja""))"),"Clorox Company Armor オール洗車/クリーナー")</f>
        <v>Clorox Company Armor オール洗車/クリーナー</v>
      </c>
    </row>
    <row r="5070" ht="15.75" customHeight="1">
      <c r="A5070" s="1">
        <v>7987.0</v>
      </c>
      <c r="B5070" s="1" t="s">
        <v>15</v>
      </c>
      <c r="C5070" s="1" t="s">
        <v>4310</v>
      </c>
      <c r="D5070" s="1" t="str">
        <f>IFERROR(__xludf.DUMMYFUNCTION("CONCATENATE(GOOGLETRANSLATE(C5070, ""en"", ""zh-cn""))"),"Armor All Ultra Shine 防护湿巾")</f>
        <v>Armor All Ultra Shine 防护湿巾</v>
      </c>
      <c r="E5070" s="1" t="str">
        <f>IFERROR(__xludf.DUMMYFUNCTION("CONCATENATE(GOOGLETRANSLATE(C5070, ""en"", ""ko""))"),"아머 올 울트라 샤인 프로텍턴트 와이프")</f>
        <v>아머 올 울트라 샤인 프로텍턴트 와이프</v>
      </c>
      <c r="F5070" s="1" t="str">
        <f>IFERROR(__xludf.DUMMYFUNCTION("CONCATENATE(GOOGLETRANSLATE(C5070, ""en"", ""ja""))"),"アーマー オール ウルトラ シャイン プロテクタント ワイプ")</f>
        <v>アーマー オール ウルトラ シャイン プロテクタント ワイプ</v>
      </c>
    </row>
    <row r="5071" ht="15.75" customHeight="1">
      <c r="A5071" s="1">
        <v>7996.0</v>
      </c>
      <c r="B5071" s="1" t="s">
        <v>15</v>
      </c>
      <c r="C5071" s="1" t="s">
        <v>4311</v>
      </c>
      <c r="D5071" s="1" t="str">
        <f>IFERROR(__xludf.DUMMYFUNCTION("CONCATENATE(GOOGLETRANSLATE(C5071, ""en"", ""zh-cn""))"),"Armor All 原装防护湿巾 30 片")</f>
        <v>Armor All 原装防护湿巾 30 片</v>
      </c>
      <c r="E5071" s="1" t="str">
        <f>IFERROR(__xludf.DUMMYFUNCTION("CONCATENATE(GOOGLETRANSLATE(C5071, ""en"", ""ko""))"),"아머 올 오리지널 프로텍턴트 와이프 30매")</f>
        <v>아머 올 오리지널 프로텍턴트 와이프 30매</v>
      </c>
      <c r="F5071" s="1" t="str">
        <f>IFERROR(__xludf.DUMMYFUNCTION("CONCATENATE(GOOGLETRANSLATE(C5071, ""en"", ""ja""))"),"アーマーオール オリジナル プロテクタント ワイプ 30枚")</f>
        <v>アーマーオール オリジナル プロテクタント ワイプ 30枚</v>
      </c>
    </row>
    <row r="5072" ht="15.75" customHeight="1">
      <c r="A5072" s="1">
        <v>7998.0</v>
      </c>
      <c r="B5072" s="1" t="s">
        <v>15</v>
      </c>
      <c r="C5072" s="1" t="s">
        <v>4312</v>
      </c>
      <c r="D5072" s="1" t="str">
        <f>IFERROR(__xludf.DUMMYFUNCTION("CONCATENATE(GOOGLETRANSLATE(C5072, ""en"", ""zh-cn""))"),"Armor All Extreme 护盾防护剂")</f>
        <v>Armor All Extreme 护盾防护剂</v>
      </c>
      <c r="E5072" s="1" t="str">
        <f>IFERROR(__xludf.DUMMYFUNCTION("CONCATENATE(GOOGLETRANSLATE(C5072, ""en"", ""ko""))"),"아머 올 익스트림 쉴드 프로텍턴트")</f>
        <v>아머 올 익스트림 쉴드 프로텍턴트</v>
      </c>
      <c r="F5072" s="1" t="str">
        <f>IFERROR(__xludf.DUMMYFUNCTION("CONCATENATE(GOOGLETRANSLATE(C5072, ""en"", ""ja""))"),"アーマー オール エクストリーム シールド プロテクタント")</f>
        <v>アーマー オール エクストリーム シールド プロテクタント</v>
      </c>
    </row>
    <row r="5073" ht="15.75" customHeight="1">
      <c r="A5073" s="1">
        <v>8000.0</v>
      </c>
      <c r="B5073" s="1" t="s">
        <v>15</v>
      </c>
      <c r="C5073" s="1" t="s">
        <v>4313</v>
      </c>
      <c r="D5073" s="1" t="str">
        <f>IFERROR(__xludf.DUMMYFUNCTION("CONCATENATE(GOOGLETRANSLATE(C5073, ""en"", ""zh-cn""))"),"装甲全清洁套件")</f>
        <v>装甲全清洁套件</v>
      </c>
      <c r="E5073" s="1" t="str">
        <f>IFERROR(__xludf.DUMMYFUNCTION("CONCATENATE(GOOGLETRANSLATE(C5073, ""en"", ""ko""))"),"갑옷 전체 청소 키트")</f>
        <v>갑옷 전체 청소 키트</v>
      </c>
      <c r="F5073" s="1" t="str">
        <f>IFERROR(__xludf.DUMMYFUNCTION("CONCATENATE(GOOGLETRANSLATE(C5073, ""en"", ""ja""))"),"アーマーオールクリーニングキット")</f>
        <v>アーマーオールクリーニングキット</v>
      </c>
    </row>
    <row r="5074" ht="15.75" customHeight="1">
      <c r="A5074" s="1">
        <v>8011.0</v>
      </c>
      <c r="B5074" s="1" t="s">
        <v>15</v>
      </c>
      <c r="C5074" s="1" t="s">
        <v>4314</v>
      </c>
      <c r="D5074" s="1" t="str">
        <f>IFERROR(__xludf.DUMMYFUNCTION("CONCATENATE(GOOGLETRANSLATE(C5074, ""en"", ""zh-cn""))"),"佳得乐清凉蓝色解渴剂（20 液量盎司）")</f>
        <v>佳得乐清凉蓝色解渴剂（20 液量盎司）</v>
      </c>
      <c r="E5074" s="1" t="str">
        <f>IFERROR(__xludf.DUMMYFUNCTION("CONCATENATE(GOOGLETRANSLATE(C5074, ""en"", ""ko""))"),"게토레이 쿨 블루 갈증 해소제(20액량 온스)")</f>
        <v>게토레이 쿨 블루 갈증 해소제(20액량 온스)</v>
      </c>
      <c r="F5074" s="1" t="str">
        <f>IFERROR(__xludf.DUMMYFUNCTION("CONCATENATE(GOOGLETRANSLATE(C5074, ""en"", ""ja""))"),"ゲータレード クール ブルー サースト クエンチャー (20 液量オンス)")</f>
        <v>ゲータレード クール ブルー サースト クエンチャー (20 液量オンス)</v>
      </c>
    </row>
    <row r="5075" ht="15.75" customHeight="1">
      <c r="A5075" s="1">
        <v>8017.0</v>
      </c>
      <c r="B5075" s="1" t="s">
        <v>15</v>
      </c>
      <c r="C5075" s="1" t="s">
        <v>4315</v>
      </c>
      <c r="D5075" s="1" t="str">
        <f>IFERROR(__xludf.DUMMYFUNCTION("CONCATENATE(GOOGLETRANSLATE(C5075, ""en"", ""zh-cn""))"),"佳得乐解渴运动饮料 5 种口味多种装")</f>
        <v>佳得乐解渴运动饮料 5 种口味多种装</v>
      </c>
      <c r="E5075" s="1" t="str">
        <f>IFERROR(__xludf.DUMMYFUNCTION("CONCATENATE(GOOGLETRANSLATE(C5075, ""en"", ""ko""))"),"게토레이 갈증 해소 스포츠 음료 5가지 맛 버라이어티 팩")</f>
        <v>게토레이 갈증 해소 스포츠 음료 5가지 맛 버라이어티 팩</v>
      </c>
      <c r="F5075" s="1" t="str">
        <f>IFERROR(__xludf.DUMMYFUNCTION("CONCATENATE(GOOGLETRANSLATE(C5075, ""en"", ""ja""))"),"ゲータレード サースト クエンチャー スポーツドリンク 5 フレーバー バラエティ パック")</f>
        <v>ゲータレード サースト クエンチャー スポーツドリンク 5 フレーバー バラエティ パック</v>
      </c>
    </row>
    <row r="5076" ht="15.75" customHeight="1">
      <c r="A5076" s="1">
        <v>8020.0</v>
      </c>
      <c r="B5076" s="1" t="s">
        <v>15</v>
      </c>
      <c r="C5076" s="1" t="s">
        <v>4316</v>
      </c>
      <c r="D5076" s="1" t="str">
        <f>IFERROR(__xludf.DUMMYFUNCTION("CONCATENATE(GOOGLETRANSLATE(C5076, ""en"", ""zh-cn""))"),"佳得乐电解质饮料樱桃酸橙 16.9 液量盎司")</f>
        <v>佳得乐电解质饮料樱桃酸橙 16.9 液量盎司</v>
      </c>
      <c r="E5076" s="1" t="str">
        <f>IFERROR(__xludf.DUMMYFUNCTION("CONCATENATE(GOOGLETRANSLATE(C5076, ""en"", ""ko""))"),"게토레이 전해질 음료 체리 라임 16.9 fl oz")</f>
        <v>게토레이 전해질 음료 체리 라임 16.9 fl oz</v>
      </c>
      <c r="F5076" s="1" t="str">
        <f>IFERROR(__xludf.DUMMYFUNCTION("CONCATENATE(GOOGLETRANSLATE(C5076, ""en"", ""ja""))"),"ゲータレード電解質飲料 チェリーライム 16.9液量オンス")</f>
        <v>ゲータレード電解質飲料 チェリーライム 16.9液量オンス</v>
      </c>
    </row>
    <row r="5077" ht="15.75" customHeight="1">
      <c r="A5077" s="1">
        <v>8023.0</v>
      </c>
      <c r="B5077" s="1" t="s">
        <v>15</v>
      </c>
      <c r="C5077" s="1" t="s">
        <v>4317</v>
      </c>
      <c r="D5077" s="1" t="str">
        <f>IFERROR(__xludf.DUMMYFUNCTION("CONCATENATE(GOOGLETRANSLATE(C5077, ""en"", ""zh-cn""))"),"佳得乐水果宾治解渴剂")</f>
        <v>佳得乐水果宾治解渴剂</v>
      </c>
      <c r="E5077" s="1" t="str">
        <f>IFERROR(__xludf.DUMMYFUNCTION("CONCATENATE(GOOGLETRANSLATE(C5077, ""en"", ""ko""))"),"게토레이 과일 펀치 갈증 해소제")</f>
        <v>게토레이 과일 펀치 갈증 해소제</v>
      </c>
      <c r="F5077" s="1" t="str">
        <f>IFERROR(__xludf.DUMMYFUNCTION("CONCATENATE(GOOGLETRANSLATE(C5077, ""en"", ""ja""))"),"ゲータレード フルーツポンチ 喉の渇きを癒すもの")</f>
        <v>ゲータレード フルーツポンチ 喉の渇きを癒すもの</v>
      </c>
    </row>
    <row r="5078" ht="15.75" customHeight="1">
      <c r="A5078" s="1">
        <v>8024.0</v>
      </c>
      <c r="B5078" s="1" t="s">
        <v>15</v>
      </c>
      <c r="C5078" s="1" t="s">
        <v>4318</v>
      </c>
      <c r="D5078" s="1" t="str">
        <f>IFERROR(__xludf.DUMMYFUNCTION("CONCATENATE(GOOGLETRANSLATE(C5078, ""en"", ""zh-cn""))"),"佳得乐止渴霜多种装，24 包/20 液量。盎司")</f>
        <v>佳得乐止渴霜多种装，24 包/20 液量。盎司</v>
      </c>
      <c r="E5078" s="1" t="str">
        <f>IFERROR(__xludf.DUMMYFUNCTION("CONCATENATE(GOOGLETRANSLATE(C5078, ""en"", ""ko""))"),"게토레이 갈증 해소제 프로스트 버라이어티 팩, 24 팩/20 fl. 온스")</f>
        <v>게토레이 갈증 해소제 프로스트 버라이어티 팩, 24 팩/20 fl. 온스</v>
      </c>
      <c r="F5078" s="1" t="str">
        <f>IFERROR(__xludf.DUMMYFUNCTION("CONCATENATE(GOOGLETRANSLATE(C5078, ""en"", ""ja""))"),"ゲータレード サースト クエンチャー フロスト バラエティ パック、24 パック/20 fl。オンス")</f>
        <v>ゲータレード サースト クエンチャー フロスト バラエティ パック、24 パック/20 fl。オンス</v>
      </c>
    </row>
    <row r="5079" ht="15.75" customHeight="1">
      <c r="A5079" s="1">
        <v>8031.0</v>
      </c>
      <c r="B5079" s="1" t="s">
        <v>15</v>
      </c>
      <c r="C5079" s="1" t="s">
        <v>4319</v>
      </c>
      <c r="D5079" s="1" t="str">
        <f>IFERROR(__xludf.DUMMYFUNCTION("CONCATENATE(GOOGLETRANSLATE(C5079, ""en"", ""zh-cn""))"),"佳得乐多种装 20 液量盎司瓶装（12 件装）")</f>
        <v>佳得乐多种装 20 液量盎司瓶装（12 件装）</v>
      </c>
      <c r="E5079" s="1" t="str">
        <f>IFERROR(__xludf.DUMMYFUNCTION("CONCATENATE(GOOGLETRANSLATE(C5079, ""en"", ""ko""))"),"게토레이 버라이어티 팩 20fl oz 병(12팩)")</f>
        <v>게토레이 버라이어티 팩 20fl oz 병(12팩)</v>
      </c>
      <c r="F5079" s="1" t="str">
        <f>IFERROR(__xludf.DUMMYFUNCTION("CONCATENATE(GOOGLETRANSLATE(C5079, ""en"", ""ja""))"),"ゲータレード バラエティパック 20液量オンスボトル (12本パック)")</f>
        <v>ゲータレード バラエティパック 20液量オンスボトル (12本パック)</v>
      </c>
    </row>
    <row r="5080" ht="15.75" customHeight="1">
      <c r="A5080" s="1">
        <v>8032.0</v>
      </c>
      <c r="B5080" s="1" t="s">
        <v>15</v>
      </c>
      <c r="C5080" s="1" t="s">
        <v>4320</v>
      </c>
      <c r="D5080" s="1" t="str">
        <f>IFERROR(__xludf.DUMMYFUNCTION("CONCATENATE(GOOGLETRANSLATE(C5080, ""en"", ""zh-cn""))"),"佳得乐清凉蓝色解渴剂 24 液体盎司塑料瓶")</f>
        <v>佳得乐清凉蓝色解渴剂 24 液体盎司塑料瓶</v>
      </c>
      <c r="E5080" s="1" t="str">
        <f>IFERROR(__xludf.DUMMYFUNCTION("CONCATENATE(GOOGLETRANSLATE(C5080, ""en"", ""ko""))"),"게토레이 쿨 블루 갈증 해소제 24 Fld Oz 플라스틱 병")</f>
        <v>게토레이 쿨 블루 갈증 해소제 24 Fld Oz 플라스틱 병</v>
      </c>
      <c r="F5080" s="1" t="str">
        <f>IFERROR(__xludf.DUMMYFUNCTION("CONCATENATE(GOOGLETRANSLATE(C5080, ""en"", ""ja""))"),"ゲータレード クール ブルー サースト クエンチャー 24 Fld Oz プラスチック ボトル")</f>
        <v>ゲータレード クール ブルー サースト クエンチャー 24 Fld Oz プラスチック ボトル</v>
      </c>
    </row>
    <row r="5081" ht="15.75" customHeight="1">
      <c r="A5081" s="1">
        <v>8037.0</v>
      </c>
      <c r="B5081" s="1" t="s">
        <v>15</v>
      </c>
      <c r="C5081" s="1" t="s">
        <v>4321</v>
      </c>
      <c r="D5081" s="1" t="str">
        <f>IFERROR(__xludf.DUMMYFUNCTION("CONCATENATE(GOOGLETRANSLATE(C5081, ""en"", ""zh-cn""))"),"佳得乐冰霜冰镇解渴剂")</f>
        <v>佳得乐冰霜冰镇解渴剂</v>
      </c>
      <c r="E5081" s="1" t="str">
        <f>IFERROR(__xludf.DUMMYFUNCTION("CONCATENATE(GOOGLETRANSLATE(C5081, ""en"", ""ko""))"),"게토레이 프로스트 아이시 차지 갈증 해소제")</f>
        <v>게토레이 프로스트 아이시 차지 갈증 해소제</v>
      </c>
      <c r="F5081" s="1" t="str">
        <f>IFERROR(__xludf.DUMMYFUNCTION("CONCATENATE(GOOGLETRANSLATE(C5081, ""en"", ""ja""))"),"ゲータレード フロスト アイシー チャージ サースト クエンチャー")</f>
        <v>ゲータレード フロスト アイシー チャージ サースト クエンチャー</v>
      </c>
    </row>
    <row r="5082" ht="15.75" customHeight="1">
      <c r="A5082" s="1">
        <v>8051.0</v>
      </c>
      <c r="B5082" s="1" t="s">
        <v>15</v>
      </c>
      <c r="C5082" s="1" t="s">
        <v>4322</v>
      </c>
      <c r="D5082" s="1" t="str">
        <f>IFERROR(__xludf.DUMMYFUNCTION("CONCATENATE(GOOGLETRANSLATE(C5082, ""en"", ""zh-cn""))"),"宴会布朗'N Ser 法式吐司早餐")</f>
        <v>宴会布朗'N Ser 法式吐司早餐</v>
      </c>
      <c r="E5082" s="1" t="str">
        <f>IFERROR(__xludf.DUMMYFUNCTION("CONCATENATE(GOOGLETRANSLATE(C5082, ""en"", ""ko""))"),"연회 Brown 'N 서브 프렌치 토스트 아침 식사")</f>
        <v>연회 Brown 'N 서브 프렌치 토스트 아침 식사</v>
      </c>
      <c r="F5082" s="1" t="str">
        <f>IFERROR(__xludf.DUMMYFUNCTION("CONCATENATE(GOOGLETRANSLATE(C5082, ""en"", ""ja""))"),"バンケット ブラウン アンド サーブ フレンチ トーストの朝食")</f>
        <v>バンケット ブラウン アンド サーブ フレンチ トーストの朝食</v>
      </c>
    </row>
    <row r="5083" ht="15.75" customHeight="1">
      <c r="A5083" s="1">
        <v>8068.0</v>
      </c>
      <c r="B5083" s="1" t="s">
        <v>15</v>
      </c>
      <c r="C5083" s="1" t="s">
        <v>4323</v>
      </c>
      <c r="D5083" s="1" t="str">
        <f>IFERROR(__xludf.DUMMYFUNCTION("CONCATENATE(GOOGLETRANSLATE(C5083, ""en"", ""zh-cn""))"),"宴会爆米花鸡")</f>
        <v>宴会爆米花鸡</v>
      </c>
      <c r="E5083" s="1" t="str">
        <f>IFERROR(__xludf.DUMMYFUNCTION("CONCATENATE(GOOGLETRANSLATE(C5083, ""en"", ""ko""))"),"연회팝콘치킨")</f>
        <v>연회팝콘치킨</v>
      </c>
      <c r="F5083" s="1" t="str">
        <f>IFERROR(__xludf.DUMMYFUNCTION("CONCATENATE(GOOGLETRANSLATE(C5083, ""en"", ""ja""))"),"バンケットポップコーンチキン")</f>
        <v>バンケットポップコーンチキン</v>
      </c>
    </row>
    <row r="5084" ht="15.75" customHeight="1">
      <c r="A5084" s="1">
        <v>8077.0</v>
      </c>
      <c r="B5084" s="1" t="s">
        <v>15</v>
      </c>
      <c r="C5084" s="1" t="s">
        <v>3478</v>
      </c>
      <c r="D5084" s="1" t="str">
        <f>IFERROR(__xludf.DUMMYFUNCTION("CONCATENATE(GOOGLETRANSLATE(C5084, ""en"", ""zh-cn""))"),"宴会大碗乡村炸鸡")</f>
        <v>宴会大碗乡村炸鸡</v>
      </c>
      <c r="E5084" s="1" t="str">
        <f>IFERROR(__xludf.DUMMYFUNCTION("CONCATENATE(GOOGLETRANSLATE(C5084, ""en"", ""ko""))"),"연회 메가볼 컨트리 프라이드치킨")</f>
        <v>연회 메가볼 컨트리 프라이드치킨</v>
      </c>
      <c r="F5084" s="1" t="str">
        <f>IFERROR(__xludf.DUMMYFUNCTION("CONCATENATE(GOOGLETRANSLATE(C5084, ""en"", ""ja""))"),"宴会メガ丼 カントリーフライドチキン")</f>
        <v>宴会メガ丼 カントリーフライドチキン</v>
      </c>
    </row>
    <row r="5085" ht="15.75" customHeight="1">
      <c r="A5085" s="1">
        <v>8079.0</v>
      </c>
      <c r="B5085" s="1" t="s">
        <v>15</v>
      </c>
      <c r="C5085" s="1" t="s">
        <v>4324</v>
      </c>
      <c r="D5085" s="1" t="str">
        <f>IFERROR(__xludf.DUMMYFUNCTION("CONCATENATE(GOOGLETRANSLATE(C5085, ""en"", ""zh-cn""))"),"宴会经典晚餐索尔兹伯里牛排餐（11.88 盎司）|迪尔伯格")</f>
        <v>宴会经典晚餐索尔兹伯里牛排餐（11.88 盎司）|迪尔伯格</v>
      </c>
      <c r="E5085" s="1" t="str">
        <f>IFERROR(__xludf.DUMMYFUNCTION("CONCATENATE(GOOGLETRANSLATE(C5085, ""en"", ""ko""))"),"연회 클래식 디너 솔즈베리 스테이크 식사 (11.88 온스) | 디에베르그스")</f>
        <v>연회 클래식 디너 솔즈베리 스테이크 식사 (11.88 온스) | 디에베르그스</v>
      </c>
      <c r="F5085" s="1" t="str">
        <f>IFERROR(__xludf.DUMMYFUNCTION("CONCATENATE(GOOGLETRANSLATE(C5085, ""en"", ""ja""))"),"バンケット クラシック ディナー ソールズベリー ステーキミール (11.88 オンス) |ディアベルグス")</f>
        <v>バンケット クラシック ディナー ソールズベリー ステーキミール (11.88 オンス) |ディアベルグス</v>
      </c>
    </row>
    <row r="5086" ht="15.75" customHeight="1">
      <c r="A5086" s="1">
        <v>8080.0</v>
      </c>
      <c r="B5086" s="1" t="s">
        <v>15</v>
      </c>
      <c r="C5086" s="1" t="s">
        <v>4325</v>
      </c>
      <c r="D5086" s="1" t="str">
        <f>IFERROR(__xludf.DUMMYFUNCTION("CONCATENATE(GOOGLETRANSLATE(C5086, ""en"", ""zh-cn""))"),"宴会家庭装阿尔弗雷多鸡肉配西兰花")</f>
        <v>宴会家庭装阿尔弗雷多鸡肉配西兰花</v>
      </c>
      <c r="E5086" s="1" t="str">
        <f>IFERROR(__xludf.DUMMYFUNCTION("CONCATENATE(GOOGLETRANSLATE(C5086, ""en"", ""ko""))"),"연회 패밀리 사이즈 치킨 알프레도와 브로콜리")</f>
        <v>연회 패밀리 사이즈 치킨 알프레도와 브로콜리</v>
      </c>
      <c r="F5086" s="1" t="str">
        <f>IFERROR(__xludf.DUMMYFUNCTION("CONCATENATE(GOOGLETRANSLATE(C5086, ""en"", ""ja""))"),"バンケット ファミリーサイズ チキンアルフレッド ブロッコリー添え")</f>
        <v>バンケット ファミリーサイズ チキンアルフレッド ブロッコリー添え</v>
      </c>
    </row>
    <row r="5087" ht="15.75" customHeight="1">
      <c r="A5087" s="1">
        <v>8084.0</v>
      </c>
      <c r="B5087" s="1" t="s">
        <v>15</v>
      </c>
      <c r="C5087" s="1" t="s">
        <v>4326</v>
      </c>
      <c r="D5087" s="1" t="str">
        <f>IFERROR(__xludf.DUMMYFUNCTION("CONCATENATE(GOOGLETRANSLATE(C5087, ""en"", ""zh-cn""))"),"宴会鸡块配通心粉和奶酪")</f>
        <v>宴会鸡块配通心粉和奶酪</v>
      </c>
      <c r="E5087" s="1" t="str">
        <f>IFERROR(__xludf.DUMMYFUNCTION("CONCATENATE(GOOGLETRANSLATE(C5087, ""en"", ""ko""))"),"맥앤치즈를 곁들인 연회용 치킨너겟")</f>
        <v>맥앤치즈를 곁들인 연회용 치킨너겟</v>
      </c>
      <c r="F5087" s="1" t="str">
        <f>IFERROR(__xludf.DUMMYFUNCTION("CONCATENATE(GOOGLETRANSLATE(C5087, ""en"", ""ja""))"),"バンケットチキンナゲットマック＆チーズ添え")</f>
        <v>バンケットチキンナゲットマック＆チーズ添え</v>
      </c>
    </row>
    <row r="5088" ht="15.75" customHeight="1">
      <c r="A5088" s="1">
        <v>8095.0</v>
      </c>
      <c r="B5088" s="1" t="s">
        <v>15</v>
      </c>
      <c r="C5088" s="1" t="s">
        <v>4327</v>
      </c>
      <c r="D5088" s="1" t="str">
        <f>IFERROR(__xludf.DUMMYFUNCTION("CONCATENATE(GOOGLETRANSLATE(C5088, ""en"", ""zh-cn""))"),"蛇河农场牛排和海鲜系列")</f>
        <v>蛇河农场牛排和海鲜系列</v>
      </c>
      <c r="E5088" s="1" t="str">
        <f>IFERROR(__xludf.DUMMYFUNCTION("CONCATENATE(GOOGLETRANSLATE(C5088, ""en"", ""ko""))"),"스네이크 리버 팜스 스테이크 &amp; 해산물 컬렉션")</f>
        <v>스네이크 리버 팜스 스테이크 &amp; 해산물 컬렉션</v>
      </c>
      <c r="F5088" s="1" t="str">
        <f>IFERROR(__xludf.DUMMYFUNCTION("CONCATENATE(GOOGLETRANSLATE(C5088, ""en"", ""ja""))"),"スネーク リバー ファームズ ステーキ &amp; シーフード コレクション")</f>
        <v>スネーク リバー ファームズ ステーキ &amp; シーフード コレクション</v>
      </c>
    </row>
    <row r="5089" ht="15.75" customHeight="1">
      <c r="A5089" s="1">
        <v>8100.0</v>
      </c>
      <c r="B5089" s="1" t="s">
        <v>15</v>
      </c>
      <c r="C5089" s="1" t="s">
        <v>4328</v>
      </c>
      <c r="D5089" s="1" t="str">
        <f>IFERROR(__xludf.DUMMYFUNCTION("CONCATENATE(GOOGLETRANSLATE(C5089, ""en"", ""zh-cn""))"),"自由的味道 - 畅销肉盒")</f>
        <v>自由的味道 - 畅销肉盒</v>
      </c>
      <c r="E5089" s="1" t="str">
        <f>IFERROR(__xludf.DUMMYFUNCTION("CONCATENATE(GOOGLETRANSLATE(C5089, ""en"", ""ko""))"),"자유의 맛 - 베스트셀러 고기 상자")</f>
        <v>자유의 맛 - 베스트셀러 고기 상자</v>
      </c>
      <c r="F5089" s="1" t="str">
        <f>IFERROR(__xludf.DUMMYFUNCTION("CONCATENATE(GOOGLETRANSLATE(C5089, ""en"", ""ja""))"),"Taste of Freedom - ベストセラー ミートボックス")</f>
        <v>Taste of Freedom - ベストセラー ミートボックス</v>
      </c>
    </row>
    <row r="5090" ht="15.75" customHeight="1">
      <c r="A5090" s="1">
        <v>8122.0</v>
      </c>
      <c r="B5090" s="1" t="s">
        <v>15</v>
      </c>
      <c r="C5090" s="1" t="s">
        <v>4329</v>
      </c>
      <c r="D5090" s="1" t="str">
        <f>IFERROR(__xludf.DUMMYFUNCTION("CONCATENATE(GOOGLETRANSLATE(C5090, ""en"", ""zh-cn""))"),"Buendnerfleisch 约 1.25 磅")</f>
        <v>Buendnerfleisch 约 1.25 磅</v>
      </c>
      <c r="E5090" s="1" t="str">
        <f>IFERROR(__xludf.DUMMYFUNCTION("CONCATENATE(GOOGLETRANSLATE(C5090, ""en"", ""ko""))"),"Buendnerfleisch 약 1.25파운드")</f>
        <v>Buendnerfleisch 약 1.25파운드</v>
      </c>
      <c r="F5090" s="1" t="str">
        <f>IFERROR(__xludf.DUMMYFUNCTION("CONCATENATE(GOOGLETRANSLATE(C5090, ""en"", ""ja""))"),"ブエンドナーフライシュ 約1.25ポンド")</f>
        <v>ブエンドナーフライシュ 約1.25ポンド</v>
      </c>
    </row>
    <row r="5091" ht="15.75" customHeight="1">
      <c r="A5091" s="1">
        <v>8126.0</v>
      </c>
      <c r="B5091" s="1" t="s">
        <v>15</v>
      </c>
      <c r="C5091" s="1" t="s">
        <v>4330</v>
      </c>
      <c r="D5091" s="1" t="str">
        <f>IFERROR(__xludf.DUMMYFUNCTION("CONCATENATE(GOOGLETRANSLATE(C5091, ""en"", ""zh-cn""))"),"优质鱼品种礼盒什锦鱼片 12 包")</f>
        <v>优质鱼品种礼盒什锦鱼片 12 包</v>
      </c>
      <c r="E5091" s="1" t="str">
        <f>IFERROR(__xludf.DUMMYFUNCTION("CONCATENATE(GOOGLETRANSLATE(C5091, ""en"", ""ko""))"),"프리미엄 생선 종류 선물 상자 모듬 필레 12 팩")</f>
        <v>프리미엄 생선 종류 선물 상자 모듬 필레 12 팩</v>
      </c>
      <c r="F5091" s="1" t="str">
        <f>IFERROR(__xludf.DUMMYFUNCTION("CONCATENATE(GOOGLETRANSLATE(C5091, ""en"", ""ja""))"),"プレミアムフィッシュバラエティ ギフトボックス フィレ詰め合わせ 12 パック")</f>
        <v>プレミアムフィッシュバラエティ ギフトボックス フィレ詰め合わせ 12 パック</v>
      </c>
    </row>
    <row r="5092" ht="15.75" customHeight="1">
      <c r="A5092" s="1">
        <v>8129.0</v>
      </c>
      <c r="B5092" s="1" t="s">
        <v>15</v>
      </c>
      <c r="C5092" s="1" t="s">
        <v>4331</v>
      </c>
      <c r="D5092" s="1" t="str">
        <f>IFERROR(__xludf.DUMMYFUNCTION("CONCATENATE(GOOGLETRANSLATE(C5092, ""en"", ""zh-cn""))"),"很棒的美式海鲜组合餐")</f>
        <v>很棒的美式海鲜组合餐</v>
      </c>
      <c r="E5092" s="1" t="str">
        <f>IFERROR(__xludf.DUMMYFUNCTION("CONCATENATE(GOOGLETRANSLATE(C5092, ""en"", ""ko""))"),"훌륭한 미국식 해산물 조합 식사")</f>
        <v>훌륭한 미국식 해산물 조합 식사</v>
      </c>
      <c r="F5092" s="1" t="str">
        <f>IFERROR(__xludf.DUMMYFUNCTION("CONCATENATE(GOOGLETRANSLATE(C5092, ""en"", ""ja""))"),"グレートアメリカンシーフードコンビネーションミール")</f>
        <v>グレートアメリカンシーフードコンビネーションミール</v>
      </c>
    </row>
    <row r="5093" ht="15.75" customHeight="1">
      <c r="A5093" s="1">
        <v>8140.0</v>
      </c>
      <c r="B5093" s="1" t="s">
        <v>15</v>
      </c>
      <c r="C5093" s="1" t="s">
        <v>4332</v>
      </c>
      <c r="D5093" s="1" t="str">
        <f>IFERROR(__xludf.DUMMYFUNCTION("CONCATENATE(GOOGLETRANSLATE(C5093, ""en"", ""zh-cn""))"),"简单平衡的 Swai 鱼片")</f>
        <v>简单平衡的 Swai 鱼片</v>
      </c>
      <c r="E5093" s="1" t="str">
        <f>IFERROR(__xludf.DUMMYFUNCTION("CONCATENATE(GOOGLETRANSLATE(C5093, ""en"", ""ko""))"),"간단하게 균형 잡힌 스와이 필레")</f>
        <v>간단하게 균형 잡힌 스와이 필레</v>
      </c>
      <c r="F5093" s="1" t="str">
        <f>IFERROR(__xludf.DUMMYFUNCTION("CONCATENATE(GOOGLETRANSLATE(C5093, ""en"", ""ja""))"),"シンプルにバランスの取れたスワイフィレ")</f>
        <v>シンプルにバランスの取れたスワイフィレ</v>
      </c>
    </row>
    <row r="5094" ht="15.75" customHeight="1">
      <c r="A5094" s="1">
        <v>8141.0</v>
      </c>
      <c r="B5094" s="1" t="s">
        <v>15</v>
      </c>
      <c r="C5094" s="1" t="s">
        <v>4333</v>
      </c>
      <c r="D5094" s="1" t="str">
        <f>IFERROR(__xludf.DUMMYFUNCTION("CONCATENATE(GOOGLETRANSLATE(C5094, ""en"", ""zh-cn""))"),"超值阿拉斯加粉红鲑鱼 2 条装")</f>
        <v>超值阿拉斯加粉红鲑鱼 2 条装</v>
      </c>
      <c r="E5094" s="1" t="str">
        <f>IFERROR(__xludf.DUMMYFUNCTION("CONCATENATE(GOOGLETRANSLATE(C5094, ""en"", ""ko""))"),"훌륭한 가치의 알래스칸 핑크 연어 2팩")</f>
        <v>훌륭한 가치의 알래스칸 핑크 연어 2팩</v>
      </c>
      <c r="F5094" s="1" t="str">
        <f>IFERROR(__xludf.DUMMYFUNCTION("CONCATENATE(GOOGLETRANSLATE(C5094, ""en"", ""ja""))"),"お得なアラスカ産ピンクサーモン 2 パック")</f>
        <v>お得なアラスカ産ピンクサーモン 2 パック</v>
      </c>
    </row>
    <row r="5095" ht="15.75" customHeight="1">
      <c r="A5095" s="1">
        <v>8163.0</v>
      </c>
      <c r="B5095" s="1" t="s">
        <v>15</v>
      </c>
      <c r="C5095" s="1" t="s">
        <v>4334</v>
      </c>
      <c r="D5095" s="1" t="str">
        <f>IFERROR(__xludf.DUMMYFUNCTION("CONCATENATE(GOOGLETRANSLATE(C5095, ""en"", ""zh-cn""))"),"堂食卡真海鲜三人餐；每日有效 |快乐蟹")</f>
        <v>堂食卡真海鲜三人餐；每日有效 |快乐蟹</v>
      </c>
      <c r="E5095" s="1" t="str">
        <f>IFERROR(__xludf.DUMMYFUNCTION("CONCATENATE(GOOGLETRANSLATE(C5095, ""en"", ""ko""))"),"3인 식사 시 케이준 해산물 식사; 언제든지 유효 | 행복한 게")</f>
        <v>3인 식사 시 케이준 해산물 식사; 언제든지 유효 | 행복한 게</v>
      </c>
      <c r="F5095" s="1" t="str">
        <f>IFERROR(__xludf.DUMMYFUNCTION("CONCATENATE(GOOGLETRANSLATE(C5095, ""en"", ""ja""))"),"ケイジャン シーフード ミール (3 名様分)いつでも有効 |ハッピークラブ")</f>
        <v>ケイジャン シーフード ミール (3 名様分)いつでも有効 |ハッピークラブ</v>
      </c>
    </row>
    <row r="5096" ht="15.75" customHeight="1">
      <c r="A5096" s="1">
        <v>8167.0</v>
      </c>
      <c r="B5096" s="1" t="s">
        <v>15</v>
      </c>
      <c r="C5096" s="1" t="s">
        <v>4335</v>
      </c>
      <c r="D5096" s="1" t="str">
        <f>IFERROR(__xludf.DUMMYFUNCTION("CONCATENATE(GOOGLETRANSLATE(C5096, ""en"", ""zh-cn""))"),"Dowinx Simple系列LS-6657D-粉色")</f>
        <v>Dowinx Simple系列LS-6657D-粉色</v>
      </c>
      <c r="E5096" s="1" t="str">
        <f>IFERROR(__xludf.DUMMYFUNCTION("CONCATENATE(GOOGLETRANSLATE(C5096, ""en"", ""ko""))"),"Dowinx 심플 시리즈 LS-6657D-핑크")</f>
        <v>Dowinx 심플 시리즈 LS-6657D-핑크</v>
      </c>
      <c r="F5096" s="1" t="str">
        <f>IFERROR(__xludf.DUMMYFUNCTION("CONCATENATE(GOOGLETRANSLATE(C5096, ""en"", ""ja""))"),"Dowinx シンプルシリーズ LS-6657D-ピンク")</f>
        <v>Dowinx シンプルシリーズ LS-6657D-ピンク</v>
      </c>
    </row>
    <row r="5097" ht="15.75" customHeight="1">
      <c r="A5097" s="1">
        <v>8169.0</v>
      </c>
      <c r="B5097" s="1" t="s">
        <v>15</v>
      </c>
      <c r="C5097" s="1" t="s">
        <v>4336</v>
      </c>
      <c r="D5097" s="1" t="str">
        <f>IFERROR(__xludf.DUMMYFUNCTION("CONCATENATE(GOOGLETRANSLATE(C5097, ""en"", ""zh-cn""))"),"Dowinx LS-6658 经典布艺游戏椅")</f>
        <v>Dowinx LS-6658 经典布艺游戏椅</v>
      </c>
      <c r="E5097" s="1" t="str">
        <f>IFERROR(__xludf.DUMMYFUNCTION("CONCATENATE(GOOGLETRANSLATE(C5097, ""en"", ""ko""))"),"Dowinx LS-6658 클래식 패브릭 게임 의자")</f>
        <v>Dowinx LS-6658 클래식 패브릭 게임 의자</v>
      </c>
      <c r="F5097" s="1" t="str">
        <f>IFERROR(__xludf.DUMMYFUNCTION("CONCATENATE(GOOGLETRANSLATE(C5097, ""en"", ""ja""))"),"Dowinx LS-6658 クラシック ファブリック ゲーミング チェア")</f>
        <v>Dowinx LS-6658 クラシック ファブリック ゲーミング チェア</v>
      </c>
    </row>
    <row r="5098" ht="15.75" customHeight="1">
      <c r="A5098" s="1">
        <v>8170.0</v>
      </c>
      <c r="B5098" s="1" t="s">
        <v>15</v>
      </c>
      <c r="C5098" s="1" t="s">
        <v>4337</v>
      </c>
      <c r="D5098" s="1" t="str">
        <f>IFERROR(__xludf.DUMMYFUNCTION("CONCATENATE(GOOGLETRANSLATE(C5098, ""en"", ""zh-cn""))"),"Dowinx 游戏办公椅")</f>
        <v>Dowinx 游戏办公椅</v>
      </c>
      <c r="E5098" s="1" t="str">
        <f>IFERROR(__xludf.DUMMYFUNCTION("CONCATENATE(GOOGLETRANSLATE(C5098, ""en"", ""ko""))"),"Dowinx 게임 사무실 의자")</f>
        <v>Dowinx 게임 사무실 의자</v>
      </c>
      <c r="F5098" s="1" t="str">
        <f>IFERROR(__xludf.DUMMYFUNCTION("CONCATENATE(GOOGLETRANSLATE(C5098, ""en"", ""ja""))"),"Dowinx ゲーミング オフィス チェア")</f>
        <v>Dowinx ゲーミング オフィス チェア</v>
      </c>
    </row>
    <row r="5099" ht="15.75" customHeight="1">
      <c r="A5099" s="1">
        <v>8172.0</v>
      </c>
      <c r="B5099" s="1" t="s">
        <v>15</v>
      </c>
      <c r="C5099" s="1" t="s">
        <v>4338</v>
      </c>
      <c r="D5099" s="1" t="str">
        <f>IFERROR(__xludf.DUMMYFUNCTION("CONCATENATE(GOOGLETRANSLATE(C5099, ""en"", ""zh-cn""))"),"Dowinx 透气织物游戏椅")</f>
        <v>Dowinx 透气织物游戏椅</v>
      </c>
      <c r="E5099" s="1" t="str">
        <f>IFERROR(__xludf.DUMMYFUNCTION("CONCATENATE(GOOGLETRANSLATE(C5099, ""en"", ""ko""))"),"Dowinx 통기성 직물 게임 의자")</f>
        <v>Dowinx 통기성 직물 게임 의자</v>
      </c>
      <c r="F5099" s="1" t="str">
        <f>IFERROR(__xludf.DUMMYFUNCTION("CONCATENATE(GOOGLETRANSLATE(C5099, ""en"", ""ja""))"),"Dowinx 通気性のあるファブリック製ゲーミングチェア")</f>
        <v>Dowinx 通気性のあるファブリック製ゲーミングチェア</v>
      </c>
    </row>
    <row r="5100" ht="15.75" customHeight="1">
      <c r="A5100" s="1">
        <v>8173.0</v>
      </c>
      <c r="B5100" s="1" t="s">
        <v>15</v>
      </c>
      <c r="C5100" s="1" t="s">
        <v>4339</v>
      </c>
      <c r="D5100" s="1" t="str">
        <f>IFERROR(__xludf.DUMMYFUNCTION("CONCATENATE(GOOGLETRANSLATE(C5100, ""en"", ""zh-cn""))"),"Dowinx 游戏椅带袋装弹簧垫，符合人体工程学的电脑椅，带按摩腰部和脚踏板，适合成人，高背游戏椅皮革")</f>
        <v>Dowinx 游戏椅带袋装弹簧垫，符合人体工程学的电脑椅，带按摩腰部和脚踏板，适合成人，高背游戏椅皮革</v>
      </c>
      <c r="E5100" s="1" t="str">
        <f>IFERROR(__xludf.DUMMYFUNCTION("CONCATENATE(GOOGLETRANSLATE(C5100, ""en"", ""ko""))"),"포켓 스프링 쿠션이 있는 Dowinx 게이밍 의자, 성인용 마사지 요추 및 발판이 있는 인체공학적 컴퓨터 의자, 하이백 게임 의자 가죽")</f>
        <v>포켓 스프링 쿠션이 있는 Dowinx 게이밍 의자, 성인용 마사지 요추 및 발판이 있는 인체공학적 컴퓨터 의자, 하이백 게임 의자 가죽</v>
      </c>
      <c r="F5100" s="1" t="str">
        <f>IFERROR(__xludf.DUMMYFUNCTION("CONCATENATE(GOOGLETRANSLATE(C5100, ""en"", ""ja""))"),"Dowinx ゲーミングチェア ポケットスプリングクッション付き 人間工学に基づいたコンピューターチェア 大人用マッサージ腰椎とフットレスト付き ハイバックゲームチェア レザー")</f>
        <v>Dowinx ゲーミングチェア ポケットスプリングクッション付き 人間工学に基づいたコンピューターチェア 大人用マッサージ腰椎とフットレスト付き ハイバックゲームチェア レザー</v>
      </c>
    </row>
    <row r="5101" ht="15.75" customHeight="1">
      <c r="A5101" s="1">
        <v>8176.0</v>
      </c>
      <c r="B5101" s="1" t="s">
        <v>15</v>
      </c>
      <c r="C5101" s="1" t="s">
        <v>4340</v>
      </c>
      <c r="D5101" s="1" t="str">
        <f>IFERROR(__xludf.DUMMYFUNCTION("CONCATENATE(GOOGLETRANSLATE(C5101, ""en"", ""zh-cn""))"),"Dowinx 游戏椅面料，带袋装弹簧垫，高背人体工学电脑椅，带脚凳，适合成人，按摩腰部支撑旋转游戏")</f>
        <v>Dowinx 游戏椅面料，带袋装弹簧垫，高背人体工学电脑椅，带脚凳，适合成人，按摩腰部支撑旋转游戏</v>
      </c>
      <c r="E5101" s="1" t="str">
        <f>IFERROR(__xludf.DUMMYFUNCTION("CONCATENATE(GOOGLETRANSLATE(C5101, ""en"", ""ko""))"),"포켓 스프링 쿠션이 있는 Dowinx 게이밍 의자 패브릭, 성인용 발판이 있는 하이 백 인체 공학적 컴퓨터 의자, 마사지 요추 지지대 회전 게임")</f>
        <v>포켓 스프링 쿠션이 있는 Dowinx 게이밍 의자 패브릭, 성인용 발판이 있는 하이 백 인체 공학적 컴퓨터 의자, 마사지 요추 지지대 회전 게임</v>
      </c>
      <c r="F5101" s="1" t="str">
        <f>IFERROR(__xludf.DUMMYFUNCTION("CONCATENATE(GOOGLETRANSLATE(C5101, ""en"", ""ja""))"),"Dowinx ゲーミングチェア生地、ポケットスプリングクッション付き、大人用フットレスト付きハイバック人間工学に基づいたコンピュータチェア、マッサージランバーサポートスイベルゲーム")</f>
        <v>Dowinx ゲーミングチェア生地、ポケットスプリングクッション付き、大人用フットレスト付きハイバック人間工学に基づいたコンピュータチェア、マッサージランバーサポートスイベルゲーム</v>
      </c>
    </row>
    <row r="5102" ht="15.75" customHeight="1">
      <c r="A5102" s="1">
        <v>8183.0</v>
      </c>
      <c r="B5102" s="1" t="s">
        <v>15</v>
      </c>
      <c r="C5102" s="1" t="s">
        <v>4341</v>
      </c>
      <c r="D5102" s="1" t="str">
        <f>IFERROR(__xludf.DUMMYFUNCTION("CONCATENATE(GOOGLETRANSLATE(C5102, ""en"", ""zh-cn""))"),"Dowinx 织物游戏椅，带加热按摩腰部支撑，透气织物高游戏椅，带脚凳和袋装弹簧垫，高")</f>
        <v>Dowinx 织物游戏椅，带加热按摩腰部支撑，透气织物高游戏椅，带脚凳和袋装弹簧垫，高</v>
      </c>
      <c r="E5102" s="1" t="str">
        <f>IFERROR(__xludf.DUMMYFUNCTION("CONCATENATE(GOOGLETRANSLATE(C5102, ""en"", ""ko""))"),"가열식 마사지 요추 지지대가 있는 Dowinx 패브릭 게임 의자, 발판과 포켓 스프링 쿠션이 있는 통기성 패브릭 키 큰 게임 의자, 높음")</f>
        <v>가열식 마사지 요추 지지대가 있는 Dowinx 패브릭 게임 의자, 발판과 포켓 스프링 쿠션이 있는 통기성 패브릭 키 큰 게임 의자, 높음</v>
      </c>
      <c r="F5102" s="1" t="str">
        <f>IFERROR(__xludf.DUMMYFUNCTION("CONCATENATE(GOOGLETRANSLATE(C5102, ""en"", ""ja""))"),"Dowinx ファブリックゲーミングチェア、温熱マッサージランバーサポート付き、通気性のあるファブリックトールゲーミングチェア、フットレストとポケットスプリングクッション付き、高")</f>
        <v>Dowinx ファブリックゲーミングチェア、温熱マッサージランバーサポート付き、通気性のあるファブリックトールゲーミングチェア、フットレストとポケットスプリングクッション付き、高</v>
      </c>
    </row>
    <row r="5103" ht="15.75" customHeight="1">
      <c r="A5103" s="1">
        <v>8185.0</v>
      </c>
      <c r="B5103" s="1" t="s">
        <v>15</v>
      </c>
      <c r="C5103" s="1" t="s">
        <v>4342</v>
      </c>
      <c r="D5103" s="1" t="str">
        <f>IFERROR(__xludf.DUMMYFUNCTION("CONCATENATE(GOOGLETRANSLATE(C5103, ""en"", ""zh-cn""))"),"Dowinx LS-6655 游戏椅")</f>
        <v>Dowinx LS-6655 游戏椅</v>
      </c>
      <c r="E5103" s="1" t="str">
        <f>IFERROR(__xludf.DUMMYFUNCTION("CONCATENATE(GOOGLETRANSLATE(C5103, ""en"", ""ko""))"),"Dowinx LS-6655 게임용 의자")</f>
        <v>Dowinx LS-6655 게임용 의자</v>
      </c>
      <c r="F5103" s="1" t="str">
        <f>IFERROR(__xludf.DUMMYFUNCTION("CONCATENATE(GOOGLETRANSLATE(C5103, ""en"", ""ja""))"),"Dowinx LS-6655 ゲーミングチェア")</f>
        <v>Dowinx LS-6655 ゲーミングチェア</v>
      </c>
    </row>
    <row r="5104" ht="15.75" customHeight="1">
      <c r="A5104" s="1">
        <v>8196.0</v>
      </c>
      <c r="B5104" s="1" t="s">
        <v>15</v>
      </c>
      <c r="C5104" s="1" t="s">
        <v>4343</v>
      </c>
      <c r="D5104" s="1" t="str">
        <f>IFERROR(__xludf.DUMMYFUNCTION("CONCATENATE(GOOGLETRANSLATE(C5104, ""en"", ""zh-cn""))"),"GTPLAYER 2024 电竞椅")</f>
        <v>GTPLAYER 2024 电竞椅</v>
      </c>
      <c r="E5104" s="1" t="str">
        <f>IFERROR(__xludf.DUMMYFUNCTION("CONCATENATE(GOOGLETRANSLATE(C5104, ""en"", ""ko""))"),"GTPLAYER 2024 게이밍 의자")</f>
        <v>GTPLAYER 2024 게이밍 의자</v>
      </c>
      <c r="F5104" s="1" t="str">
        <f>IFERROR(__xludf.DUMMYFUNCTION("CONCATENATE(GOOGLETRANSLATE(C5104, ""en"", ""ja""))"),"GTPLAYER 2024 ゲーミングチェア")</f>
        <v>GTPLAYER 2024 ゲーミングチェア</v>
      </c>
    </row>
    <row r="5105" ht="15.75" customHeight="1">
      <c r="A5105" s="1">
        <v>8204.0</v>
      </c>
      <c r="B5105" s="1" t="s">
        <v>15</v>
      </c>
      <c r="C5105" s="1" t="s">
        <v>4344</v>
      </c>
      <c r="D5105" s="1" t="str">
        <f>IFERROR(__xludf.DUMMYFUNCTION("CONCATENATE(GOOGLETRANSLATE(C5105, ""en"", ""zh-cn""))"),"Dowinx 游戏椅带按摩腰部支撑 - 符合人体工程学绒面革面料电脑椅，带可调节脚踏板，高靠背斜倚办公游戏椅")</f>
        <v>Dowinx 游戏椅带按摩腰部支撑 - 符合人体工程学绒面革面料电脑椅，带可调节脚踏板，高靠背斜倚办公游戏椅</v>
      </c>
      <c r="E5105" s="1" t="str">
        <f>IFERROR(__xludf.DUMMYFUNCTION("CONCATENATE(GOOGLETRANSLATE(C5105, ""en"", ""ko""))"),"마사지 요추 지지대가 포함된 Dowinx 게이밍 의자 - 조절 가능한 발판이 있는 인체공학적 스웨이드 패브릭 컴퓨터 의자, 등받이가 높은 리클라이닝 사무실 게임용 의자")</f>
        <v>마사지 요추 지지대가 포함된 Dowinx 게이밍 의자 - 조절 가능한 발판이 있는 인체공학적 스웨이드 패브릭 컴퓨터 의자, 등받이가 높은 리클라이닝 사무실 게임용 의자</v>
      </c>
      <c r="F5105" s="1" t="str">
        <f>IFERROR(__xludf.DUMMYFUNCTION("CONCATENATE(GOOGLETRANSLATE(C5105, ""en"", ""ja""))"),"Dowinx ゲーミングチェア マッサージランバーサポート付き - 人間工学に基づいたスエード生地のコンピューターチェア、調節可能なフットレスト付き、ハイバックリクライニングオフィスゲーミングCh")</f>
        <v>Dowinx ゲーミングチェア マッサージランバーサポート付き - 人間工学に基づいたスエード生地のコンピューターチェア、調節可能なフットレスト付き、ハイバックリクライニングオフィスゲーミングCh</v>
      </c>
    </row>
    <row r="5106" ht="15.75" customHeight="1">
      <c r="A5106" s="1">
        <v>8213.0</v>
      </c>
      <c r="B5106" s="1" t="s">
        <v>15</v>
      </c>
      <c r="C5106" s="1" t="s">
        <v>4345</v>
      </c>
      <c r="D5106" s="1" t="str">
        <f>IFERROR(__xludf.DUMMYFUNCTION("CONCATENATE(GOOGLETRANSLATE(C5106, ""en"", ""zh-cn""))"),"Harbour HH80 V2 Elite 半架和史密斯机训练器")</f>
        <v>Harbour HH80 V2 Elite 半架和史密斯机训练器</v>
      </c>
      <c r="E5106" s="1" t="str">
        <f>IFERROR(__xludf.DUMMYFUNCTION("CONCATENATE(GOOGLETRANSLATE(C5106, ""en"", ""ko""))"),"Harbour HH80 V2 엘리트 하프 랙 및 스미스 머신 트레이너")</f>
        <v>Harbour HH80 V2 엘리트 하프 랙 및 스미스 머신 트레이너</v>
      </c>
      <c r="F5106" s="1" t="str">
        <f>IFERROR(__xludf.DUMMYFUNCTION("CONCATENATE(GOOGLETRANSLATE(C5106, ""en"", ""ja""))"),"The Harbor HH80 V2 エリート ハーフラック &amp; スミス マシン トレーナー")</f>
        <v>The Harbor HH80 V2 エリート ハーフラック &amp; スミス マシン トレーナー</v>
      </c>
    </row>
    <row r="5107" ht="15.75" customHeight="1">
      <c r="A5107" s="1">
        <v>8214.0</v>
      </c>
      <c r="B5107" s="1" t="s">
        <v>15</v>
      </c>
      <c r="C5107" s="1" t="s">
        <v>4346</v>
      </c>
      <c r="D5107" s="1" t="str">
        <f>IFERROR(__xludf.DUMMYFUNCTION("CONCATENATE(GOOGLETRANSLATE(C5107, ""en"", ""zh-cn""))"),"TRX Fit 系统悬吊训练器")</f>
        <v>TRX Fit 系统悬吊训练器</v>
      </c>
      <c r="E5107" s="1" t="str">
        <f>IFERROR(__xludf.DUMMYFUNCTION("CONCATENATE(GOOGLETRANSLATE(C5107, ""en"", ""ko""))"),"TRX 핏 시스템 서스펜션 트레이너")</f>
        <v>TRX 핏 시스템 서스펜션 트레이너</v>
      </c>
      <c r="F5107" s="1" t="str">
        <f>IFERROR(__xludf.DUMMYFUNCTION("CONCATENATE(GOOGLETRANSLATE(C5107, ""en"", ""ja""))"),"TRX フィットシステム サスペンショントレーナー")</f>
        <v>TRX フィットシステム サスペンショントレーナー</v>
      </c>
    </row>
    <row r="5108" ht="15.75" customHeight="1">
      <c r="A5108" s="1">
        <v>8304.0</v>
      </c>
      <c r="B5108" s="1" t="s">
        <v>15</v>
      </c>
      <c r="C5108" s="1" t="s">
        <v>4347</v>
      </c>
      <c r="D5108" s="1" t="str">
        <f>IFERROR(__xludf.DUMMYFUNCTION("CONCATENATE(GOOGLETRANSLATE(C5108, ""en"", ""zh-cn""))"),"南梓树种子")</f>
        <v>南梓树种子</v>
      </c>
      <c r="E5108" s="1" t="str">
        <f>IFERROR(__xludf.DUMMYFUNCTION("CONCATENATE(GOOGLETRANSLATE(C5108, ""en"", ""ko""))"),"남부 카탈파 나무 씨앗")</f>
        <v>남부 카탈파 나무 씨앗</v>
      </c>
      <c r="F5108" s="1" t="str">
        <f>IFERROR(__xludf.DUMMYFUNCTION("CONCATENATE(GOOGLETRANSLATE(C5108, ""en"", ""ja""))"),"南カタルパの木の種")</f>
        <v>南カタルパの木の種</v>
      </c>
    </row>
    <row r="5109" ht="15.75" customHeight="1">
      <c r="A5109" s="1">
        <v>8311.0</v>
      </c>
      <c r="B5109" s="1" t="s">
        <v>15</v>
      </c>
      <c r="C5109" s="1" t="s">
        <v>4348</v>
      </c>
      <c r="D5109" s="1" t="str">
        <f>IFERROR(__xludf.DUMMYFUNCTION("CONCATENATE(GOOGLETRANSLATE(C5109, ""en"", ""zh-cn""))"),"Great River 有机研磨全谷物黑麦谷物有机 25 磅 1 件装")</f>
        <v>Great River 有机研磨全谷物黑麦谷物有机 25 磅 1 件装</v>
      </c>
      <c r="E5109" s="1" t="str">
        <f>IFERROR(__xludf.DUMMYFUNCTION("CONCATENATE(GOOGLETRANSLATE(C5109, ""en"", ""ko""))"),"Great River 유기농 밀링 통곡물 호밀 곡물 유기농 25파운드 1팩")</f>
        <v>Great River 유기농 밀링 통곡물 호밀 곡물 유기농 25파운드 1팩</v>
      </c>
      <c r="F5109" s="1" t="str">
        <f>IFERROR(__xludf.DUMMYFUNCTION("CONCATENATE(GOOGLETRANSLATE(C5109, ""en"", ""ja""))"),"Great River オーガニック 製粉 全粒ライ麦粒 オーガニック 25 ポンド 1 パック")</f>
        <v>Great River オーガニック 製粉 全粒ライ麦粒 オーガニック 25 ポンド 1 パック</v>
      </c>
    </row>
    <row r="5110" ht="15.75" customHeight="1">
      <c r="A5110" s="1">
        <v>8317.0</v>
      </c>
      <c r="B5110" s="1" t="s">
        <v>15</v>
      </c>
      <c r="C5110" s="1" t="s">
        <v>4349</v>
      </c>
      <c r="D5110" s="1" t="str">
        <f>IFERROR(__xludf.DUMMYFUNCTION("CONCATENATE(GOOGLETRANSLATE(C5110, ""en"", ""zh-cn""))"),"CZ 谷物野生香蕉树植物种子")</f>
        <v>CZ 谷物野生香蕉树植物种子</v>
      </c>
      <c r="E5110" s="1" t="str">
        <f>IFERROR(__xludf.DUMMYFUNCTION("CONCATENATE(GOOGLETRANSLATE(C5110, ""en"", ""ko""))"),"CZ 곡물 야생 바나나 나무 식물 씨앗")</f>
        <v>CZ 곡물 야생 바나나 나무 식물 씨앗</v>
      </c>
      <c r="F5110" s="1" t="str">
        <f>IFERROR(__xludf.DUMMYFUNCTION("CONCATENATE(GOOGLETRANSLATE(C5110, ""en"", ""ja""))"),"CZ グレイン ワイルド バナナ ツリー植物の種子")</f>
        <v>CZ グレイン ワイルド バナナ ツリー植物の種子</v>
      </c>
    </row>
    <row r="5111" ht="15.75" customHeight="1">
      <c r="A5111" s="1">
        <v>8321.0</v>
      </c>
      <c r="B5111" s="1" t="s">
        <v>15</v>
      </c>
      <c r="C5111" s="1" t="s">
        <v>4350</v>
      </c>
      <c r="D5111" s="1" t="str">
        <f>IFERROR(__xludf.DUMMYFUNCTION("CONCATENATE(GOOGLETRANSLATE(C5111, ""en"", ""zh-cn""))"),"松树农场坚果籽饼")</f>
        <v>松树农场坚果籽饼</v>
      </c>
      <c r="E5111" s="1" t="str">
        <f>IFERROR(__xludf.DUMMYFUNCTION("CONCATENATE(GOOGLETRANSLATE(C5111, ""en"", ""ko""))"),"파인 트리 팜스 너시 씨드 케이크")</f>
        <v>파인 트리 팜스 너시 씨드 케이크</v>
      </c>
      <c r="F5111" s="1" t="str">
        <f>IFERROR(__xludf.DUMMYFUNCTION("CONCATENATE(GOOGLETRANSLATE(C5111, ""en"", ""ja""))"),"パイン ツリー ファームズ ナッツー シード ケーキ")</f>
        <v>パイン ツリー ファームズ ナッツー シード ケーキ</v>
      </c>
    </row>
    <row r="5112" ht="15.75" customHeight="1">
      <c r="A5112" s="1">
        <v>3144.0</v>
      </c>
      <c r="B5112" s="1" t="s">
        <v>381</v>
      </c>
      <c r="C5112" s="1" t="s">
        <v>4351</v>
      </c>
      <c r="D5112" s="1" t="str">
        <f>IFERROR(__xludf.DUMMYFUNCTION("CONCATENATE(GOOGLETRANSLATE(C5112, ""en"", ""zh-cn""))"),"WEE指尖魔豆减压旋转陀螺仪圆形立方体玩具儿童成人益智玩具")</f>
        <v>WEE指尖魔豆减压旋转陀螺仪圆形立方体玩具儿童成人益智玩具</v>
      </c>
      <c r="E5112" s="1" t="str">
        <f>IFERROR(__xludf.DUMMYFUNCTION("CONCATENATE(GOOGLETRANSLATE(C5112, ""en"", ""ko""))"),"WEE Fingertip Magic Bean 스트레스 릴리프 회전 자이로 스코프 라운드 큐브 장난감 어린이 성인 교육 퍼즐 장난감")</f>
        <v>WEE Fingertip Magic Bean 스트레스 릴리프 회전 자이로 스코프 라운드 큐브 장난감 어린이 성인 교육 퍼즐 장난감</v>
      </c>
      <c r="F5112" s="1" t="str">
        <f>IFERROR(__xludf.DUMMYFUNCTION("CONCATENATE(GOOGLETRANSLATE(C5112, ""en"", ""ja""))"),"おしっこ指先魔法の豆ストレスリリーフ回転ジャイロスコープラウンドキューブおもちゃ子供大人の教育パズルおもちゃ")</f>
        <v>おしっこ指先魔法の豆ストレスリリーフ回転ジャイロスコープラウンドキューブおもちゃ子供大人の教育パズルおもちゃ</v>
      </c>
    </row>
    <row r="5113" ht="15.75" customHeight="1">
      <c r="A5113" s="1">
        <v>3151.0</v>
      </c>
      <c r="B5113" s="1" t="s">
        <v>381</v>
      </c>
      <c r="C5113" s="1" t="s">
        <v>4352</v>
      </c>
      <c r="D5113" s="1" t="str">
        <f>IFERROR(__xludf.DUMMYFUNCTION("CONCATENATE(GOOGLETRANSLATE(C5113, ""en"", ""zh-cn""))"),"头戴式隔离防护罩防雾防毒增强面罩高清防护")</f>
        <v>头戴式隔离防护罩防雾防毒增强面罩高清防护</v>
      </c>
      <c r="E5113" s="1" t="str">
        <f>IFERROR(__xludf.DUMMYFUNCTION("CONCATENATE(GOOGLETRANSLATE(C5113, ""en"", ""ko""))"),"머리 장착형 절연 보호 커버 김서림 방지 가스 방지 강화 안면 마스크 HD 보호")</f>
        <v>머리 장착형 절연 보호 커버 김서림 방지 가스 방지 강화 안면 마스크 HD 보호</v>
      </c>
      <c r="F5113" s="1" t="str">
        <f>IFERROR(__xludf.DUMMYFUNCTION("CONCATENATE(GOOGLETRANSLATE(C5113, ""en"", ""ja""))"),"ヘッドマウント分離保護カバー 防曇 アンチガス 強化フェイスマスク HD 保護")</f>
        <v>ヘッドマウント分離保護カバー 防曇 アンチガス 強化フェイスマスク HD 保護</v>
      </c>
    </row>
    <row r="5114" ht="15.75" customHeight="1">
      <c r="A5114" s="1">
        <v>3152.0</v>
      </c>
      <c r="B5114" s="1" t="s">
        <v>381</v>
      </c>
      <c r="C5114" s="1" t="s">
        <v>4353</v>
      </c>
      <c r="D5114" s="1" t="str">
        <f>IFERROR(__xludf.DUMMYFUNCTION("CONCATENATE(GOOGLETRANSLATE(C5114, ""en"", ""zh-cn""))"),"TWO TREES® 修剪刮刀，带 10 片刀片 用于 3D 打印机的材料模型修剪修剪装置")</f>
        <v>TWO TREES® 修剪刮刀，带 10 片刀片 用于 3D 打印机的材料模型修剪修剪装置</v>
      </c>
      <c r="E5114" s="1" t="str">
        <f>IFERROR(__xludf.DUMMYFUNCTION("CONCATENATE(GOOGLETRANSLATE(C5114, ""en"", ""ko""))"),"10개 블레이드가 포함된 TWO TREES® 트리밍 스크레이퍼 재료 모델 3D 프린터용 가지치기 트리밍 장치")</f>
        <v>10개 블레이드가 포함된 TWO TREES® 트리밍 스크레이퍼 재료 모델 3D 프린터용 가지치기 트리밍 장치</v>
      </c>
      <c r="F5114" s="1" t="str">
        <f>IFERROR(__xludf.DUMMYFUNCTION("CONCATENATE(GOOGLETRANSLATE(C5114, ""en"", ""ja""))"),"TWO TREES® トリミング スクレーパー 10 枚ブレード付き 3D プリンター用材料モデル剪定トリミング装置")</f>
        <v>TWO TREES® トリミング スクレーパー 10 枚ブレード付き 3D プリンター用材料モデル剪定トリミング装置</v>
      </c>
    </row>
    <row r="5115" ht="15.75" customHeight="1">
      <c r="A5115" s="1">
        <v>3156.0</v>
      </c>
      <c r="B5115" s="1" t="s">
        <v>381</v>
      </c>
      <c r="C5115" s="1" t="s">
        <v>4354</v>
      </c>
      <c r="D5115" s="1" t="str">
        <f>IFERROR(__xludf.DUMMYFUNCTION("CONCATENATE(GOOGLETRANSLATE(C5115, ""en"", ""zh-cn""))"),"B06-L 桌面木质收纳盒多层储物架带 1 个抽屉文件书架书架笔铅笔架收纳盒")</f>
        <v>B06-L 桌面木质收纳盒多层储物架带 1 个抽屉文件书架书架笔铅笔架收纳盒</v>
      </c>
      <c r="E5115" s="1" t="str">
        <f>IFERROR(__xludf.DUMMYFUNCTION("CONCATENATE(GOOGLETRANSLATE(C5115, ""en"", ""ko""))"),"B06-L 데스크탑 나무 스토리지 박스 1 서랍 파일 책 선반 책장 펜 연필 홀더 주최자와 다층 스토리지 랙")</f>
        <v>B06-L 데스크탑 나무 스토리지 박스 1 서랍 파일 책 선반 책장 펜 연필 홀더 주최자와 다층 스토리지 랙</v>
      </c>
      <c r="F5115" s="1" t="str">
        <f>IFERROR(__xludf.DUMMYFUNCTION("CONCATENATE(GOOGLETRANSLATE(C5115, ""en"", ""ja""))"),"B06-L デスクトップ木製収納ボックス多層収納ラック引き出し 1 つ付きファイル本棚本棚ペン鉛筆ホルダーオーガナイザー")</f>
        <v>B06-L デスクトップ木製収納ボックス多層収納ラック引き出し 1 つ付きファイル本棚本棚ペン鉛筆ホルダーオーガナイザー</v>
      </c>
    </row>
    <row r="5116" ht="15.75" customHeight="1">
      <c r="A5116" s="1">
        <v>3166.0</v>
      </c>
      <c r="B5116" s="1" t="s">
        <v>381</v>
      </c>
      <c r="C5116" s="1" t="s">
        <v>4355</v>
      </c>
      <c r="D5116" s="1" t="str">
        <f>IFERROR(__xludf.DUMMYFUNCTION("CONCATENATE(GOOGLETRANSLATE(C5116, ""en"", ""zh-cn""))"),"Seewei 7 合 1 Type-C 扩展坞 USB-C 集线器分路器适配器，带 USB2.0 USB3.0 USB-C2.0 PD100W USB-C 4K*2K@30Hz HDMI SD/TF 读卡器插槽多端口集线器适用于 PC 笔记本电脑")</f>
        <v>Seewei 7 合 1 Type-C 扩展坞 USB-C 集线器分路器适配器，带 USB2.0 USB3.0 USB-C2.0 PD100W USB-C 4K*2K@30Hz HDMI SD/TF 读卡器插槽多端口集线器适用于 PC 笔记本电脑</v>
      </c>
      <c r="E5116" s="1" t="str">
        <f>IFERROR(__xludf.DUMMYFUNCTION("CONCATENATE(GOOGLETRANSLATE(C5116, ""en"", ""ko""))"),"Seewei 7 in 1 Type-C 도킹 스테이션 USB-C 허브 분배기 어댑터(USB2.0 포함) USB3.0 USB-C2.0 PD100W USB-C 4K*2K@30Hz HDMI SD/TF 카드 리더 슬롯 PC 노트북용 멀티포트 허브")</f>
        <v>Seewei 7 in 1 Type-C 도킹 스테이션 USB-C 허브 분배기 어댑터(USB2.0 포함) USB3.0 USB-C2.0 PD100W USB-C 4K*2K@30Hz HDMI SD/TF 카드 리더 슬롯 PC 노트북용 멀티포트 허브</v>
      </c>
      <c r="F5116" s="1" t="str">
        <f>IFERROR(__xludf.DUMMYFUNCTION("CONCATENATE(GOOGLETRANSLATE(C5116, ""en"", ""ja""))"),"Seewei 7 in 1 Type-C ドッキングステーション USB-C ハブ スプリッター アダプター USB2.0 USB3.0 USB-C2.0 PD100W USB-C 4K*2K@30Hz HDMI SD/TF カード リーダー スロット マルチポート ハブ PC ラップトップ用")</f>
        <v>Seewei 7 in 1 Type-C ドッキングステーション USB-C ハブ スプリッター アダプター USB2.0 USB3.0 USB-C2.0 PD100W USB-C 4K*2K@30Hz HDMI SD/TF カード リーダー スロット マルチポート ハブ PC ラップトップ用</v>
      </c>
    </row>
    <row r="5117" ht="15.75" customHeight="1">
      <c r="A5117" s="1">
        <v>3169.0</v>
      </c>
      <c r="B5117" s="1" t="s">
        <v>381</v>
      </c>
      <c r="C5117" s="1" t="s">
        <v>684</v>
      </c>
      <c r="D5117" s="1" t="str">
        <f>IFERROR(__xludf.DUMMYFUNCTION("CONCATENATE(GOOGLETRANSLATE(C5117, ""en"", ""zh-cn""))"),"男式纯色按扣插肩袖休闲夹克")</f>
        <v>男式纯色按扣插肩袖休闲夹克</v>
      </c>
      <c r="E5117" s="1" t="str">
        <f>IFERROR(__xludf.DUMMYFUNCTION("CONCATENATE(GOOGLETRANSLATE(C5117, ""en"", ""ko""))"),"남성용 솔리드 스냅 버튼 라글란 슬리브 캐주얼 재킷")</f>
        <v>남성용 솔리드 스냅 버튼 라글란 슬리브 캐주얼 재킷</v>
      </c>
      <c r="F5117" s="1" t="str">
        <f>IFERROR(__xludf.DUMMYFUNCTION("CONCATENATE(GOOGLETRANSLATE(C5117, ""en"", ""ja""))"),"メンズソリッドスナップボタンラグランスリーブカジュアルジャケット")</f>
        <v>メンズソリッドスナップボタンラグランスリーブカジュアルジャケット</v>
      </c>
    </row>
    <row r="5118" ht="15.75" customHeight="1">
      <c r="A5118" s="1">
        <v>3170.0</v>
      </c>
      <c r="B5118" s="1" t="s">
        <v>381</v>
      </c>
      <c r="C5118" s="1" t="s">
        <v>686</v>
      </c>
      <c r="D5118" s="1" t="str">
        <f>IFERROR(__xludf.DUMMYFUNCTION("CONCATENATE(GOOGLETRANSLATE(C5118, ""en"", ""zh-cn""))"),"男式植物印花拼布翻领宽松夹克")</f>
        <v>男式植物印花拼布翻领宽松夹克</v>
      </c>
      <c r="E5118" s="1" t="str">
        <f>IFERROR(__xludf.DUMMYFUNCTION("CONCATENATE(GOOGLETRANSLATE(C5118, ""en"", ""ko""))"),"남성 플랜트 프린트 패치워크 플랩 포켓 라펠 루즈 재킷")</f>
        <v>남성 플랜트 프린트 패치워크 플랩 포켓 라펠 루즈 재킷</v>
      </c>
      <c r="F5118" s="1" t="str">
        <f>IFERROR(__xludf.DUMMYFUNCTION("CONCATENATE(GOOGLETRANSLATE(C5118, ""en"", ""ja""))"),"メンズ植物プリント パッチワーク フラップ ポケット ラペル ルーズ ジャケット")</f>
        <v>メンズ植物プリント パッチワーク フラップ ポケット ラペル ルーズ ジャケット</v>
      </c>
    </row>
    <row r="5119" ht="15.75" customHeight="1">
      <c r="A5119" s="1">
        <v>3199.0</v>
      </c>
      <c r="B5119" s="1" t="s">
        <v>15</v>
      </c>
      <c r="C5119" s="1" t="s">
        <v>2288</v>
      </c>
      <c r="D5119" s="1" t="str">
        <f>IFERROR(__xludf.DUMMYFUNCTION("CONCATENATE(GOOGLETRANSLATE(C5119, ""en"", ""zh-cn""))"),"ACME Dresden 床具四件套，樱桃木饰面")</f>
        <v>ACME Dresden 床具四件套，樱桃木饰面</v>
      </c>
      <c r="E5119" s="1" t="str">
        <f>IFERROR(__xludf.DUMMYFUNCTION("CONCATENATE(GOOGLETRANSLATE(C5119, ""en"", ""ko""))"),"ACME 드레스덴 4피스 침대 세트, 체리 오크 마감")</f>
        <v>ACME 드레스덴 4피스 침대 세트, 체리 오크 마감</v>
      </c>
      <c r="F5119" s="1" t="str">
        <f>IFERROR(__xludf.DUMMYFUNCTION("CONCATENATE(GOOGLETRANSLATE(C5119, ""en"", ""ja""))"),"ACME ドレスデン ベッド 4 点セット、チェリーオーク仕上げ")</f>
        <v>ACME ドレスデン ベッド 4 点セット、チェリーオーク仕上げ</v>
      </c>
    </row>
    <row r="5120" ht="15.75" customHeight="1">
      <c r="A5120" s="1">
        <v>3220.0</v>
      </c>
      <c r="B5120" s="1" t="s">
        <v>15</v>
      </c>
      <c r="C5120" s="1" t="s">
        <v>4356</v>
      </c>
      <c r="D5120" s="1" t="str">
        <f>IFERROR(__xludf.DUMMYFUNCTION("CONCATENATE(GOOGLETRANSLATE(C5120, ""en"", ""zh-cn""))"),"Jura E8 浓缩咖啡机，64 盎司（白色）")</f>
        <v>Jura E8 浓缩咖啡机，64 盎司（白色）</v>
      </c>
      <c r="E5120" s="1" t="str">
        <f>IFERROR(__xludf.DUMMYFUNCTION("CONCATENATE(GOOGLETRANSLATE(C5120, ""en"", ""ko""))"),"Jura E8 에스프레소 커피 머신, 64온스(화이트)")</f>
        <v>Jura E8 에스프레소 커피 머신, 64온스(화이트)</v>
      </c>
      <c r="F5120" s="1" t="str">
        <f>IFERROR(__xludf.DUMMYFUNCTION("CONCATENATE(GOOGLETRANSLATE(C5120, ""en"", ""ja""))"),"Jura E8 エスプレッソコーヒーマシン、64オンス (ホワイト)")</f>
        <v>Jura E8 エスプレッソコーヒーマシン、64オンス (ホワイト)</v>
      </c>
    </row>
    <row r="5121" ht="15.75" customHeight="1">
      <c r="A5121" s="1">
        <v>3224.0</v>
      </c>
      <c r="B5121" s="1" t="s">
        <v>15</v>
      </c>
      <c r="C5121" s="1" t="s">
        <v>4357</v>
      </c>
      <c r="D5121" s="1" t="str">
        <f>IFERROR(__xludf.DUMMYFUNCTION("CONCATENATE(GOOGLETRANSLATE(C5121, ""en"", ""zh-cn""))"),"Breville Oracle Touch 浓缩咖啡机，84 盎司，黑松露")</f>
        <v>Breville Oracle Touch 浓缩咖啡机，84 盎司，黑松露</v>
      </c>
      <c r="E5121" s="1" t="str">
        <f>IFERROR(__xludf.DUMMYFUNCTION("CONCATENATE(GOOGLETRANSLATE(C5121, ""en"", ""ko""))"),"브레빌 오라클 터치 에스프레소 머신, 84온스, 블랙 트러플")</f>
        <v>브레빌 오라클 터치 에스프레소 머신, 84온스, 블랙 트러플</v>
      </c>
      <c r="F5121" s="1" t="str">
        <f>IFERROR(__xludf.DUMMYFUNCTION("CONCATENATE(GOOGLETRANSLATE(C5121, ""en"", ""ja""))"),"Breville Oracle Touch エスプレッソ マシン、84 オンス、ブラック トリュフ")</f>
        <v>Breville Oracle Touch エスプレッソ マシン、84 オンス、ブラック トリュフ</v>
      </c>
    </row>
    <row r="5122" ht="15.75" customHeight="1">
      <c r="A5122" s="1">
        <v>3231.0</v>
      </c>
      <c r="B5122" s="1" t="s">
        <v>15</v>
      </c>
      <c r="C5122" s="1" t="s">
        <v>4358</v>
      </c>
      <c r="D5122" s="1" t="str">
        <f>IFERROR(__xludf.DUMMYFUNCTION("CONCATENATE(GOOGLETRANSLATE(C5122, ""en"", ""zh-cn""))"),"POLY &amp; BARK Lyon 沙发采用全粒面纯苯胺意大利皮革，干邑棕褐色")</f>
        <v>POLY &amp; BARK Lyon 沙发采用全粒面纯苯胺意大利皮革，干邑棕褐色</v>
      </c>
      <c r="E5122" s="1" t="str">
        <f>IFERROR(__xludf.DUMMYFUNCTION("CONCATENATE(GOOGLETRANSLATE(C5122, ""en"", ""ko""))"),"풀 그레인 순수 아닐린 이탈리아 가죽, 코냑 탄 소재의 POLY &amp; BARK Lyon 소파")</f>
        <v>풀 그레인 순수 아닐린 이탈리아 가죽, 코냑 탄 소재의 POLY &amp; BARK Lyon 소파</v>
      </c>
      <c r="F5122" s="1" t="str">
        <f>IFERROR(__xludf.DUMMYFUNCTION("CONCATENATE(GOOGLETRANSLATE(C5122, ""en"", ""ja""))"),"POLY &amp; BARK リヨン ソファ フルグレイン ピュアアニリン イタリアン レザー、コニャック タン")</f>
        <v>POLY &amp; BARK リヨン ソファ フルグレイン ピュアアニリン イタリアン レザー、コニャック タン</v>
      </c>
    </row>
    <row r="5123" ht="15.75" customHeight="1">
      <c r="A5123" s="1">
        <v>3238.0</v>
      </c>
      <c r="B5123" s="1" t="s">
        <v>15</v>
      </c>
      <c r="C5123" s="1" t="s">
        <v>4359</v>
      </c>
      <c r="D5123" s="1" t="str">
        <f>IFERROR(__xludf.DUMMYFUNCTION("CONCATENATE(GOOGLETRANSLATE(C5123, ""en"", ""zh-cn""))"),"Acanva 现代 L 形组合沙发，3 座软垫沙发，带实木腿，适用于客厅、卧室和休息室，左向躺椅，白色")</f>
        <v>Acanva 现代 L 形组合沙发，3 座软垫沙发，带实木腿，适用于客厅、卧室和休息室，左向躺椅，白色</v>
      </c>
      <c r="E5123" s="1" t="str">
        <f>IFERROR(__xludf.DUMMYFUNCTION("CONCATENATE(GOOGLETRANSLATE(C5123, ""en"", ""ko""))"),"Acanva 모던한 L자형 단면 소파, 거실, 침실 및 라운지용 단단한 나무 다리가 있는 3인용 겉천을 씌운 소파, 왼손용 긴 의자, 흰색")</f>
        <v>Acanva 모던한 L자형 단면 소파, 거실, 침실 및 라운지용 단단한 나무 다리가 있는 3인용 겉천을 씌운 소파, 왼손용 긴 의자, 흰색</v>
      </c>
      <c r="F5123" s="1" t="str">
        <f>IFERROR(__xludf.DUMMYFUNCTION("CONCATENATE(GOOGLETRANSLATE(C5123, ""en"", ""ja""))"),"Acanva モダンな L 字型セクショナルソファ、無垢材の脚付き 3 人掛け布張りソファ、リビングルーム、ベッドルーム、ラウンジ用、左手向き長椅子、ホワイト")</f>
        <v>Acanva モダンな L 字型セクショナルソファ、無垢材の脚付き 3 人掛け布張りソファ、リビングルーム、ベッドルーム、ラウンジ用、左手向き長椅子、ホワイト</v>
      </c>
    </row>
    <row r="5124" ht="15.75" customHeight="1">
      <c r="A5124" s="1">
        <v>3241.0</v>
      </c>
      <c r="B5124" s="1" t="s">
        <v>15</v>
      </c>
      <c r="C5124" s="1" t="s">
        <v>4360</v>
      </c>
      <c r="D5124" s="1" t="str">
        <f>IFERROR(__xludf.DUMMYFUNCTION("CONCATENATE(GOOGLETRANSLATE(C5124, ""en"", ""zh-cn""))"),"Belffin 组合沙发 带双面躺椅 天鹅绒 L 形组合沙发 可转换组合沙发 带储物 灰色")</f>
        <v>Belffin 组合沙发 带双面躺椅 天鹅绒 L 形组合沙发 可转换组合沙发 带储物 灰色</v>
      </c>
      <c r="E5124" s="1" t="str">
        <f>IFERROR(__xludf.DUMMYFUNCTION("CONCATENATE(GOOGLETRANSLATE(C5124, ""en"", ""ko""))"),"양면 더블 의자가 있는 Belffin 모듈식 단면 소파 소파 벨벳 L자형 단면 소파 수납 공간이 있는 컨버터블 단면 소파 그레이")</f>
        <v>양면 더블 의자가 있는 Belffin 모듈식 단면 소파 소파 벨벳 L자형 단면 소파 수납 공간이 있는 컨버터블 단면 소파 그레이</v>
      </c>
      <c r="F5124" s="1" t="str">
        <f>IFERROR(__xludf.DUMMYFUNCTION("CONCATENATE(GOOGLETRANSLATE(C5124, ""en"", ""ja""))"),"Belffin モジュール式セクショナルソファ カウチ リバーシブルダブル寝椅子付き ベルベット L 字型セクショナルソファ コンバーチブルセクショナルソファ 収納付き グレー")</f>
        <v>Belffin モジュール式セクショナルソファ カウチ リバーシブルダブル寝椅子付き ベルベット L 字型セクショナルソファ コンバーチブルセクショナルソファ 収納付き グレー</v>
      </c>
    </row>
    <row r="5125" ht="15.75" customHeight="1">
      <c r="A5125" s="1">
        <v>3244.0</v>
      </c>
      <c r="B5125" s="1" t="s">
        <v>15</v>
      </c>
      <c r="C5125" s="1" t="s">
        <v>4361</v>
      </c>
      <c r="D5125" s="1" t="str">
        <f>IFERROR(__xludf.DUMMYFUNCTION("CONCATENATE(GOOGLETRANSLATE(C5125, ""en"", ""zh-cn""))"),"Betsy Furniture 超细纤维躺椅沙发套装客厅套装 8007（灰色，沙发+双人沙发+躺椅）")</f>
        <v>Betsy Furniture 超细纤维躺椅沙发套装客厅套装 8007（灰色，沙发+双人沙发+躺椅）</v>
      </c>
      <c r="E5125" s="1" t="str">
        <f>IFERROR(__xludf.DUMMYFUNCTION("CONCATENATE(GOOGLETRANSLATE(C5125, ""en"", ""ko""))"),"Betsy 가구 극세사 리클라이닝 소파 소파 세트 거실 세트 8007(그레이, 소파+러브시트+리클라이너)")</f>
        <v>Betsy 가구 극세사 리클라이닝 소파 소파 세트 거실 세트 8007(그레이, 소파+러브시트+리클라이너)</v>
      </c>
      <c r="F5125" s="1" t="str">
        <f>IFERROR(__xludf.DUMMYFUNCTION("CONCATENATE(GOOGLETRANSLATE(C5125, ""en"", ""ja""))"),"Betsy Furniture マイクロファイバー リクライニングソファ ソファセット リビングルームセット 8007 (グレー、ソファ+2人掛け+リクライニングチェア)")</f>
        <v>Betsy Furniture マイクロファイバー リクライニングソファ ソファセット リビングルームセット 8007 (グレー、ソファ+2人掛け+リクライニングチェア)</v>
      </c>
    </row>
    <row r="5126" ht="15.75" customHeight="1">
      <c r="A5126" s="1">
        <v>3250.0</v>
      </c>
      <c r="B5126" s="1" t="s">
        <v>15</v>
      </c>
      <c r="C5126" s="1" t="s">
        <v>4362</v>
      </c>
      <c r="D5126" s="1" t="str">
        <f>IFERROR(__xludf.DUMMYFUNCTION("CONCATENATE(GOOGLETRANSLATE(C5126, ""en"", ""zh-cn""))"),"美国埃斯顿家具象牙色传统雪尼尔软垫沙发")</f>
        <v>美国埃斯顿家具象牙色传统雪尼尔软垫沙发</v>
      </c>
      <c r="E5126" s="1" t="str">
        <f>IFERROR(__xludf.DUMMYFUNCTION("CONCATENATE(GOOGLETRANSLATE(C5126, ""en"", ""ko""))"),"가구 오브 아메리카 에스톤 전통 셔닐 커버 소파(아이보리 색상)")</f>
        <v>가구 오브 아메리카 에스톤 전통 셔닐 커버 소파(아이보리 색상)</v>
      </c>
      <c r="F5126" s="1" t="str">
        <f>IFERROR(__xludf.DUMMYFUNCTION("CONCATENATE(GOOGLETRANSLATE(C5126, ""en"", ""ja""))"),"Furniture of America Eston 伝統的なシェニール織のソファ、アイボリー")</f>
        <v>Furniture of America Eston 伝統的なシェニール織のソファ、アイボリー</v>
      </c>
    </row>
    <row r="5127" ht="15.75" customHeight="1">
      <c r="A5127" s="1">
        <v>3255.0</v>
      </c>
      <c r="B5127" s="1" t="s">
        <v>15</v>
      </c>
      <c r="C5127" s="1" t="s">
        <v>4363</v>
      </c>
      <c r="D5127" s="1" t="str">
        <f>IFERROR(__xludf.DUMMYFUNCTION("CONCATENATE(GOOGLETRANSLATE(C5127, ""en"", ""zh-cn""))"),"HONBAY 超大组合沙发带贵妃现代卧铺组合沙发沙发 U 型客厅组合沙发，灰色")</f>
        <v>HONBAY 超大组合沙发带贵妃现代卧铺组合沙发沙发 U 型客厅组合沙发，灰色</v>
      </c>
      <c r="E5127" s="1" t="str">
        <f>IFERROR(__xludf.DUMMYFUNCTION("CONCATENATE(GOOGLETRANSLATE(C5127, ""en"", ""ko""))"),"HONBAY 대형 단면 소파(긴 의자 포함) 현대 슬리퍼 모듈형 소파 소파 U자형 소파 거실용 단면(회색)")</f>
        <v>HONBAY 대형 단면 소파(긴 의자 포함) 현대 슬리퍼 모듈형 소파 소파 U자형 소파 거실용 단면(회색)</v>
      </c>
      <c r="F5127" s="1" t="str">
        <f>IFERROR(__xludf.DUMMYFUNCTION("CONCATENATE(GOOGLETRANSLATE(C5127, ""en"", ""ja""))"),"HONBAY 特大セクショナルソファ 長椅子付き モダンスリーパー モジュラーソファ カウチ U字型ソファ リビングルーム用 セクショナルソファ グレー")</f>
        <v>HONBAY 特大セクショナルソファ 長椅子付き モダンスリーパー モジュラーソファ カウチ U字型ソファ リビングルーム用 セクショナルソファ グレー</v>
      </c>
    </row>
    <row r="5128" ht="15.75" customHeight="1">
      <c r="A5128" s="1">
        <v>3260.0</v>
      </c>
      <c r="B5128" s="1" t="s">
        <v>15</v>
      </c>
      <c r="C5128" s="1" t="s">
        <v>4364</v>
      </c>
      <c r="D5128" s="1" t="str">
        <f>IFERROR(__xludf.DUMMYFUNCTION("CONCATENATE(GOOGLETRANSLATE(C5128, ""en"", ""zh-cn""))"),"Acme 卧室 5 件套床、梳妆台、衣柜和 2 个床头柜（黑色，大床）")</f>
        <v>Acme 卧室 5 件套床、梳妆台、衣柜和 2 个床头柜（黑色，大床）</v>
      </c>
      <c r="E5128" s="1" t="str">
        <f>IFERROR(__xludf.DUMMYFUNCTION("CONCATENATE(GOOGLETRANSLATE(C5128, ""en"", ""ko""))"),"Acme 5피스 침실 세트 침대, 옷장, 서랍장 및 나이트스탠드 2개(블랙, 퀸)")</f>
        <v>Acme 5피스 침실 세트 침대, 옷장, 서랍장 및 나이트스탠드 2개(블랙, 퀸)</v>
      </c>
      <c r="F5128" s="1" t="str">
        <f>IFERROR(__xludf.DUMMYFUNCTION("CONCATENATE(GOOGLETRANSLATE(C5128, ""en"", ""ja""))"),"Acme ベッドルーム 5 点セット ベッド、ドレッサー、チェスト、ナイトスタンド 2 個 (ブラック、クイーン)")</f>
        <v>Acme ベッドルーム 5 点セット ベッド、ドレッサー、チェスト、ナイトスタンド 2 個 (ブラック、クイーン)</v>
      </c>
    </row>
    <row r="5129" ht="15.75" customHeight="1">
      <c r="A5129" s="1">
        <v>3282.0</v>
      </c>
      <c r="B5129" s="1" t="s">
        <v>15</v>
      </c>
      <c r="C5129" s="1" t="s">
        <v>4365</v>
      </c>
      <c r="D5129" s="1" t="str">
        <f>IFERROR(__xludf.DUMMYFUNCTION("CONCATENATE(GOOGLETRANSLATE(C5129, ""en"", ""zh-cn""))"),"POLY &amp; BARK 纳帕皮革沙发 – 88.5 英寸簇绒靠背皮革沙发 – 全粒面皮革沙发，座椅表面配有羽毛羽绒顶饰 – 纯苯胺意大利皮革 – 干邑棕褐色")</f>
        <v>POLY &amp; BARK 纳帕皮革沙发 – 88.5 英寸簇绒靠背皮革沙发 – 全粒面皮革沙发，座椅表面配有羽毛羽绒顶饰 – 纯苯胺意大利皮革 – 干邑棕褐色</v>
      </c>
      <c r="E5129" s="1" t="str">
        <f>IFERROR(__xludf.DUMMYFUNCTION("CONCATENATE(GOOGLETRANSLATE(C5129, ""en"", ""ko""))"),"POLY &amp; BARK 나파 가죽 소파 – 등받이가 터프트된 88.5인치 가죽 소파 - 좌석 표면에 깃털 다운 토퍼가 있는 풀 그레인 가죽 소파 – 순수 아닐린 이탈리아 가죽 – 코냑 탄")</f>
        <v>POLY &amp; BARK 나파 가죽 소파 – 등받이가 터프트된 88.5인치 가죽 소파 - 좌석 표면에 깃털 다운 토퍼가 있는 풀 그레인 가죽 소파 – 순수 아닐린 이탈리아 가죽 – 코냑 탄</v>
      </c>
      <c r="F5129" s="1" t="str">
        <f>IFERROR(__xludf.DUMMYFUNCTION("CONCATENATE(GOOGLETRANSLATE(C5129, ""en"", ""ja""))"),"POLY &amp; BARK ナパレザーソファ – 88.5 インチのレザーソファ、房状の背もたれ付き – フルグレインレザーソファ、座面にフェザーダウントッパー付き – ピュアアニリンイタリアンレザー – コニャックタン")</f>
        <v>POLY &amp; BARK ナパレザーソファ – 88.5 インチのレザーソファ、房状の背もたれ付き – フルグレインレザーソファ、座面にフェザーダウントッパー付き – ピュアアニリンイタリアンレザー – コニャックタン</v>
      </c>
    </row>
    <row r="5130" ht="15.75" customHeight="1">
      <c r="A5130" s="1">
        <v>3294.0</v>
      </c>
      <c r="B5130" s="1" t="s">
        <v>15</v>
      </c>
      <c r="C5130" s="1" t="s">
        <v>4366</v>
      </c>
      <c r="D5130" s="1" t="str">
        <f>IFERROR(__xludf.DUMMYFUNCTION("CONCATENATE(GOOGLETRANSLATE(C5130, ""en"", ""zh-cn""))"),"ACME FURNITURE Denton Curio 橱柜，樱桃木")</f>
        <v>ACME FURNITURE Denton Curio 橱柜，樱桃木</v>
      </c>
      <c r="E5130" s="1" t="str">
        <f>IFERROR(__xludf.DUMMYFUNCTION("CONCATENATE(GOOGLETRANSLATE(C5130, ""en"", ""ko""))"),"ACME FURNITURE Denton 큐리오 캐비닛, 체리")</f>
        <v>ACME FURNITURE Denton 큐리오 캐비닛, 체리</v>
      </c>
      <c r="F5130" s="1" t="str">
        <f>IFERROR(__xludf.DUMMYFUNCTION("CONCATENATE(GOOGLETRANSLATE(C5130, ""en"", ""ja""))"),"ACME FURNITURE デントン キュリオ キャビネット チェリー")</f>
        <v>ACME FURNITURE デントン キュリオ キャビネット チェリー</v>
      </c>
    </row>
    <row r="5131" ht="15.75" customHeight="1">
      <c r="A5131" s="1">
        <v>3296.0</v>
      </c>
      <c r="B5131" s="1" t="s">
        <v>15</v>
      </c>
      <c r="C5131" s="1" t="s">
        <v>4367</v>
      </c>
      <c r="D5131" s="1" t="str">
        <f>IFERROR(__xludf.DUMMYFUNCTION("CONCATENATE(GOOGLETRANSLATE(C5131, ""en"", ""zh-cn""))"),"ACME 凡尔赛箱 - 21136 - 骨白色")</f>
        <v>ACME 凡尔赛箱 - 21136 - 骨白色</v>
      </c>
      <c r="E5131" s="1" t="str">
        <f>IFERROR(__xludf.DUMMYFUNCTION("CONCATENATE(GOOGLETRANSLATE(C5131, ""en"", ""ko""))"),"ACME 베르사유 상자 - 21136 - 본 화이트")</f>
        <v>ACME 베르사유 상자 - 21136 - 본 화이트</v>
      </c>
      <c r="F5131" s="1" t="str">
        <f>IFERROR(__xludf.DUMMYFUNCTION("CONCATENATE(GOOGLETRANSLATE(C5131, ""en"", ""ja""))"),"ACME ベルサイユ チェスト - 21136 - ボーン ホワイト")</f>
        <v>ACME ベルサイユ チェスト - 21136 - ボーン ホワイト</v>
      </c>
    </row>
    <row r="5132" ht="15.75" customHeight="1">
      <c r="A5132" s="1">
        <v>3310.0</v>
      </c>
      <c r="B5132" s="1" t="s">
        <v>15</v>
      </c>
      <c r="C5132" s="1" t="s">
        <v>4368</v>
      </c>
      <c r="D5132" s="1" t="str">
        <f>IFERROR(__xludf.DUMMYFUNCTION("CONCATENATE(GOOGLETRANSLATE(C5132, ""en"", ""zh-cn""))"),"ACME Versailles 柜台高度桌 - 61155 - 樱桃橡木")</f>
        <v>ACME Versailles 柜台高度桌 - 61155 - 樱桃橡木</v>
      </c>
      <c r="E5132" s="1" t="str">
        <f>IFERROR(__xludf.DUMMYFUNCTION("CONCATENATE(GOOGLETRANSLATE(C5132, ""en"", ""ko""))"),"ACME Versailles 카운터 높이 테이블 - 61155 - 체리 오크")</f>
        <v>ACME Versailles 카운터 높이 테이블 - 61155 - 체리 오크</v>
      </c>
      <c r="F5132" s="1" t="str">
        <f>IFERROR(__xludf.DUMMYFUNCTION("CONCATENATE(GOOGLETRANSLATE(C5132, ""en"", ""ja""))"),"ACME Versailles カウンターハイトテーブル - 61155 - チェリーオーク")</f>
        <v>ACME Versailles カウンターハイトテーブル - 61155 - チェリーオーク</v>
      </c>
    </row>
    <row r="5133" ht="15.75" customHeight="1">
      <c r="A5133" s="1">
        <v>3315.0</v>
      </c>
      <c r="B5133" s="1" t="s">
        <v>15</v>
      </c>
      <c r="C5133" s="1" t="s">
        <v>4369</v>
      </c>
      <c r="D5133" s="1" t="str">
        <f>IFERROR(__xludf.DUMMYFUNCTION("CONCATENATE(GOOGLETRANSLATE(C5133, ""en"", ""zh-cn""))"),"HONBAY 双面组合沙发 L 形沙发带储物可转换组合沙发带贵妃椅，水蓝色")</f>
        <v>HONBAY 双面组合沙发 L 形沙发带储物可转换组合沙发带贵妃椅，水蓝色</v>
      </c>
      <c r="E5133" s="1" t="str">
        <f>IFERROR(__xludf.DUMMYFUNCTION("CONCATENATE(GOOGLETRANSLATE(C5133, ""en"", ""ko""))"),"HONBAY 양면 단면 소파 L자형 소파(수납형 소파 포함), 긴 의자, 아쿠아 블루")</f>
        <v>HONBAY 양면 단면 소파 L자형 소파(수납형 소파 포함), 긴 의자, 아쿠아 블루</v>
      </c>
      <c r="F5133" s="1" t="str">
        <f>IFERROR(__xludf.DUMMYFUNCTION("CONCATENATE(GOOGLETRANSLATE(C5133, ""en"", ""ja""))"),"HONBAY リバーシブルセクショナルソファ L 字型ソファ 収納付き コンバーチブルモジュラーソファ 長椅子付き アクアブルー")</f>
        <v>HONBAY リバーシブルセクショナルソファ L 字型ソファ 収納付き コンバーチブルモジュラーソファ 長椅子付き アクアブルー</v>
      </c>
    </row>
    <row r="5134" ht="15.75" customHeight="1">
      <c r="A5134" s="1">
        <v>3326.0</v>
      </c>
      <c r="B5134" s="1" t="s">
        <v>15</v>
      </c>
      <c r="C5134" s="1" t="s">
        <v>4370</v>
      </c>
      <c r="D5134" s="1" t="str">
        <f>IFERROR(__xludf.DUMMYFUNCTION("CONCATENATE(GOOGLETRANSLATE(C5134, ""en"", ""zh-cn""))"),"Casa Andrea Milano 现代 3 件套超细纤维和人造皮革 L 形组合沙发，带双面躺椅和脚凳，大号，灰色")</f>
        <v>Casa Andrea Milano 现代 3 件套超细纤维和人造皮革 L 形组合沙发，带双面躺椅和脚凳，大号，灰色</v>
      </c>
      <c r="E5134" s="1" t="str">
        <f>IFERROR(__xludf.DUMMYFUNCTION("CONCATENATE(GOOGLETRANSLATE(C5134, ""en"", ""ko""))"),"Casa Andrea Milano 모던한 3피스 마이크로파이버 및 인조 가죽 L자형 단면 소파(양방향 긴 의자 및 오토만 포함), 대형, 회색")</f>
        <v>Casa Andrea Milano 모던한 3피스 마이크로파이버 및 인조 가죽 L자형 단면 소파(양방향 긴 의자 및 오토만 포함), 대형, 회색</v>
      </c>
      <c r="F5134" s="1" t="str">
        <f>IFERROR(__xludf.DUMMYFUNCTION("CONCATENATE(GOOGLETRANSLATE(C5134, ""en"", ""ja""))"),"Casa Andrea Milano モダン 3 ピース マイクロファイバーと合成皮革 L 字型セクショナルソファ リバーシブル長椅子 &amp; オットマン付き、L、グレー")</f>
        <v>Casa Andrea Milano モダン 3 ピース マイクロファイバーと合成皮革 L 字型セクショナルソファ リバーシブル長椅子 &amp; オットマン付き、L、グレー</v>
      </c>
    </row>
    <row r="5135" ht="15.75" customHeight="1">
      <c r="A5135" s="1">
        <v>3336.0</v>
      </c>
      <c r="B5135" s="1" t="s">
        <v>15</v>
      </c>
      <c r="C5135" s="1" t="s">
        <v>4371</v>
      </c>
      <c r="D5135" s="1" t="str">
        <f>IFERROR(__xludf.DUMMYFUNCTION("CONCATENATE(GOOGLETRANSLATE(C5135, ""en"", ""zh-cn""))"),"Modway Engage 米色中世纪现代软垫织物双人沙发")</f>
        <v>Modway Engage 米色中世纪现代软垫织物双人沙发</v>
      </c>
      <c r="E5135" s="1" t="str">
        <f>IFERROR(__xludf.DUMMYFUNCTION("CONCATENATE(GOOGLETRANSLATE(C5135, ""en"", ""ko""))"),"Modway Engage Mid-Century Modern 덮개를 씌운 패브릭 러브시트(베이지색)")</f>
        <v>Modway Engage Mid-Century Modern 덮개를 씌운 패브릭 러브시트(베이지색)</v>
      </c>
      <c r="F5135" s="1" t="str">
        <f>IFERROR(__xludf.DUMMYFUNCTION("CONCATENATE(GOOGLETRANSLATE(C5135, ""en"", ""ja""))"),"Modway Engage ミッドセンチュリー モダンな布張りのファブリック ラブシート ベージュ")</f>
        <v>Modway Engage ミッドセンチュリー モダンな布張りのファブリック ラブシート ベージュ</v>
      </c>
    </row>
    <row r="5136" ht="15.75" customHeight="1">
      <c r="A5136" s="1">
        <v>3351.0</v>
      </c>
      <c r="B5136" s="1" t="s">
        <v>15</v>
      </c>
      <c r="C5136" s="1" t="s">
        <v>4372</v>
      </c>
      <c r="D5136" s="1" t="str">
        <f>IFERROR(__xludf.DUMMYFUNCTION("CONCATENATE(GOOGLETRANSLATE(C5136, ""en"", ""zh-cn""))"),"Legend Vansen 82.7 英寸天鹅绒双人沙发带储物可转换沙发床床适用于客厅和卧室沙发床，蓝色")</f>
        <v>Legend Vansen 82.7 英寸天鹅绒双人沙发带储物可转换沙发床床适用于客厅和卧室沙发床，蓝色</v>
      </c>
      <c r="E5136" s="1" t="str">
        <f>IFERROR(__xludf.DUMMYFUNCTION("CONCATENATE(GOOGLETRANSLATE(C5136, ""en"", ""ko""))"),"Legend Vansen 82.7인치 벨벳 러브시트(거실 및 침실 소파베드용 수납형 컨버터블 소파 베드 슬리퍼 포함), 블루")</f>
        <v>Legend Vansen 82.7인치 벨벳 러브시트(거실 및 침실 소파베드용 수납형 컨버터블 소파 베드 슬리퍼 포함), 블루</v>
      </c>
      <c r="F5136" s="1" t="str">
        <f>IFERROR(__xludf.DUMMYFUNCTION("CONCATENATE(GOOGLETRANSLATE(C5136, ""en"", ""ja""))"),"Legend Vansen 82.7 インチ ベルベット ラブシート 収納付き コンバーチブル ソファベッド スリーパー リビングルームとベッドルームソファベッド用 ブルー")</f>
        <v>Legend Vansen 82.7 インチ ベルベット ラブシート 収納付き コンバーチブル ソファベッド スリーパー リビングルームとベッドルームソファベッド用 ブルー</v>
      </c>
    </row>
    <row r="5137" ht="15.75" customHeight="1">
      <c r="A5137" s="1">
        <v>3373.0</v>
      </c>
      <c r="B5137" s="1" t="s">
        <v>15</v>
      </c>
      <c r="C5137" s="1" t="s">
        <v>4373</v>
      </c>
      <c r="D5137" s="1" t="str">
        <f>IFERROR(__xludf.DUMMYFUNCTION("CONCATENATE(GOOGLETRANSLATE(C5137, ""en"", ""zh-cn""))"),"Ashley Bolzano 签名设计仿皮双人手动躺椅沙发，棕色")</f>
        <v>Ashley Bolzano 签名设计仿皮双人手动躺椅沙发，棕色</v>
      </c>
      <c r="E5137" s="1" t="str">
        <f>IFERROR(__xludf.DUMMYFUNCTION("CONCATENATE(GOOGLETRANSLATE(C5137, ""en"", ""ko""))"),"Ashley Bolzano의 시그니처 디자인 인조 가죽 더블 시트 수동 리클라이닝 소파, 브라운")</f>
        <v>Ashley Bolzano의 시그니처 디자인 인조 가죽 더블 시트 수동 리클라이닝 소파, 브라운</v>
      </c>
      <c r="F5137" s="1" t="str">
        <f>IFERROR(__xludf.DUMMYFUNCTION("CONCATENATE(GOOGLETRANSLATE(C5137, ""en"", ""ja""))"),"Ashley Bolzano による署名デザイン フェイクレザー ダブルシート手動リクライニングソファ、ブラウン")</f>
        <v>Ashley Bolzano による署名デザイン フェイクレザー ダブルシート手動リクライニングソファ、ブラウン</v>
      </c>
    </row>
    <row r="5138" ht="15.75" customHeight="1">
      <c r="A5138" s="1">
        <v>3380.0</v>
      </c>
      <c r="B5138" s="1" t="s">
        <v>15</v>
      </c>
      <c r="C5138" s="1" t="s">
        <v>2276</v>
      </c>
      <c r="D5138" s="1" t="str">
        <f>IFERROR(__xludf.DUMMYFUNCTION("CONCATENATE(GOOGLETRANSLATE(C5138, ""en"", ""zh-cn""))"),"Ashley Dorsten 签名设计的当代 L 形双面沙发躺椅 Chofa，灰色")</f>
        <v>Ashley Dorsten 签名设计的当代 L 形双面沙发躺椅 Chofa，灰色</v>
      </c>
      <c r="E5138" s="1" t="str">
        <f>IFERROR(__xludf.DUMMYFUNCTION("CONCATENATE(GOOGLETRANSLATE(C5138, ""en"", ""ko""))"),"Ashley Dorsten의 시그니처 디자인 현대적인 L자형 양면 소파 Chaise Chofa, 그레이")</f>
        <v>Ashley Dorsten의 시그니처 디자인 현대적인 L자형 양면 소파 Chaise Chofa, 그레이</v>
      </c>
      <c r="F5138" s="1" t="str">
        <f>IFERROR(__xludf.DUMMYFUNCTION("CONCATENATE(GOOGLETRANSLATE(C5138, ""en"", ""ja""))"),"Ashley Dorsten によるシグネチャーデザイン コンテンポラリー L 字型リバーシブルソファ 長椅子 Chofa グレー")</f>
        <v>Ashley Dorsten によるシグネチャーデザイン コンテンポラリー L 字型リバーシブルソファ 長椅子 Chofa グレー</v>
      </c>
    </row>
    <row r="5139" ht="15.75" customHeight="1">
      <c r="A5139" s="1">
        <v>3385.0</v>
      </c>
      <c r="B5139" s="1" t="s">
        <v>15</v>
      </c>
      <c r="C5139" s="1" t="s">
        <v>2757</v>
      </c>
      <c r="D5139" s="1" t="str">
        <f>IFERROR(__xludf.DUMMYFUNCTION("CONCATENATE(GOOGLETRANSLATE(C5139, ""en"", ""zh-cn""))"),"JACH 104 敞篷组合沙发，简约中世纪天鹅绒沙发，豪华现代 3 座宽沙发组合客厅卧室办公公寓（绿色）")</f>
        <v>JACH 104 敞篷组合沙发，简约中世纪天鹅绒沙发，豪华现代 3 座宽沙发组合客厅卧室办公公寓（绿色）</v>
      </c>
      <c r="E5139" s="1" t="str">
        <f>IFERROR(__xludf.DUMMYFUNCTION("CONCATENATE(GOOGLETRANSLATE(C5139, ""en"", ""ko""))"),"JACH 104 컨버터블 모듈식 단면 소파, 미니멀리스트 세기 중반 벨벳 소파 소파, 거실 침실 사무실 아파트용 럭셔리 모던 3인용 와이드 소파 단면(녹색)")</f>
        <v>JACH 104 컨버터블 모듈식 단면 소파, 미니멀리스트 세기 중반 벨벳 소파 소파, 거실 침실 사무실 아파트용 럭셔리 모던 3인용 와이드 소파 단면(녹색)</v>
      </c>
      <c r="F5139" s="1" t="str">
        <f>IFERROR(__xludf.DUMMYFUNCTION("CONCATENATE(GOOGLETRANSLATE(C5139, ""en"", ""ja""))"),"JACH 104 コンバーチブルモジュール式セクショナルソファ、ミニマリストミッドセンチュリーベルベットソファカウチ、豪華でモダンな3人掛けワイドソファセクショナルリビングルームベッドルームオフィスアパートメント用 (グリーン)")</f>
        <v>JACH 104 コンバーチブルモジュール式セクショナルソファ、ミニマリストミッドセンチュリーベルベットソファカウチ、豪華でモダンな3人掛けワイドソファセクショナルリビングルームベッドルームオフィスアパートメント用 (グリーン)</v>
      </c>
    </row>
    <row r="5140" ht="15.75" customHeight="1">
      <c r="A5140" s="1">
        <v>3386.0</v>
      </c>
      <c r="B5140" s="1" t="s">
        <v>15</v>
      </c>
      <c r="C5140" s="1" t="s">
        <v>2758</v>
      </c>
      <c r="D5140" s="1" t="str">
        <f>IFERROR(__xludf.DUMMYFUNCTION("CONCATENATE(GOOGLETRANSLATE(C5140, ""en"", ""zh-cn""))"),"MELLCOM 柔软亚麻布艺沙发，带双人宽躺椅，现代 U 形组合沙发，带现代金属脚的公寓客厅沙发，蓝色")</f>
        <v>MELLCOM 柔软亚麻布艺沙发，带双人宽躺椅，现代 U 形组合沙发，带现代金属脚的公寓客厅沙发，蓝色</v>
      </c>
      <c r="E5140" s="1" t="str">
        <f>IFERROR(__xludf.DUMMYFUNCTION("CONCATENATE(GOOGLETRANSLATE(C5140, ""en"", ""ko""))"),"MELLCOM 부드러운 리넨 패브릭 소파(더블 와이드 긴 의자 라운지 포함), 아파트 거실용 현대적인 금속 피트가 있는 현대적인 U자형 단면 소파 소파, 블루")</f>
        <v>MELLCOM 부드러운 리넨 패브릭 소파(더블 와이드 긴 의자 라운지 포함), 아파트 거실용 현대적인 금속 피트가 있는 현대적인 U자형 단면 소파 소파, 블루</v>
      </c>
      <c r="F5140" s="1" t="str">
        <f>IFERROR(__xludf.DUMMYFUNCTION("CONCATENATE(GOOGLETRANSLATE(C5140, ""en"", ""ja""))"),"MELLCOM ソフトリネン生地ソファ ダブルワイド寝椅子付き モダンな U 字型セクショナルソファ カウチ モダンな金属足付き アパートリビングルーム用 ブルー")</f>
        <v>MELLCOM ソフトリネン生地ソファ ダブルワイド寝椅子付き モダンな U 字型セクショナルソファ カウチ モダンな金属足付き アパートリビングルーム用 ブルー</v>
      </c>
    </row>
    <row r="5141" ht="15.75" customHeight="1">
      <c r="A5141" s="1">
        <v>3401.0</v>
      </c>
      <c r="B5141" s="1" t="s">
        <v>15</v>
      </c>
      <c r="C5141" s="1" t="s">
        <v>2759</v>
      </c>
      <c r="D5141" s="1" t="str">
        <f>IFERROR(__xludf.DUMMYFUNCTION("CONCATENATE(GOOGLETRANSLATE(C5141, ""en"", ""zh-cn""))"),"LEVNARY 天鹅绒组合沙发，带躺椅，拉出沙发床簇绒软垫 3 座沙发床，带厚垫，78 英寸 L 形客厅沙发（灰色）")</f>
        <v>LEVNARY 天鹅绒组合沙发，带躺椅，拉出沙发床簇绒软垫 3 座沙发床，带厚垫，78 英寸 L 形客厅沙发（灰色）</v>
      </c>
      <c r="E5141" s="1" t="str">
        <f>IFERROR(__xludf.DUMMYFUNCTION("CONCATENATE(GOOGLETRANSLATE(C5141, ""en"", ""ko""))"),"긴 의자 라운지가 있는 LEVNARY 벨벳 단면 소파, 두꺼운 쿠션이 있는 덮개를 씌운 풀아웃 소파 베드, 가정용 거실용 78인치 L자형 소파(회색)")</f>
        <v>긴 의자 라운지가 있는 LEVNARY 벨벳 단면 소파, 두꺼운 쿠션이 있는 덮개를 씌운 풀아웃 소파 베드, 가정용 거실용 78인치 L자형 소파(회색)</v>
      </c>
      <c r="F5141" s="1" t="str">
        <f>IFERROR(__xludf.DUMMYFUNCTION("CONCATENATE(GOOGLETRANSLATE(C5141, ""en"", ""ja""))"),"LEVNARY ベルベットセクショナルソファ 長椅子付き 引き出し式ソファベッド タフト布張り 3人掛けスリーパーソファ 厚いクッション付き 78インチ L字型ソファ リビングルーム ホーム用 (グレー)")</f>
        <v>LEVNARY ベルベットセクショナルソファ 長椅子付き 引き出し式ソファベッド タフト布張り 3人掛けスリーパーソファ 厚いクッション付き 78インチ L字型ソファ リビングルーム ホーム用 (グレー)</v>
      </c>
    </row>
    <row r="5142" ht="15.75" customHeight="1">
      <c r="A5142" s="1">
        <v>3405.0</v>
      </c>
      <c r="B5142" s="1" t="s">
        <v>15</v>
      </c>
      <c r="C5142" s="1" t="s">
        <v>1793</v>
      </c>
      <c r="D5142" s="1" t="str">
        <f>IFERROR(__xludf.DUMMYFUNCTION("CONCATENATE(GOOGLETRANSLATE(C5142, ""en"", ""zh-cn""))"),"HONBAY 双面组合沙发沙发现代软垫 L 形沙发带杯架和储物柜，左侧或右侧客厅办公室贵妃组合沙发，灰色")</f>
        <v>HONBAY 双面组合沙发沙发现代软垫 L 形沙发带杯架和储物柜，左侧或右侧客厅办公室贵妃组合沙发，灰色</v>
      </c>
      <c r="E5142" s="1" t="str">
        <f>IFERROR(__xludf.DUMMYFUNCTION("CONCATENATE(GOOGLETRANSLATE(C5142, ""en"", ""ko""))"),"HONBAY 양면 단면 소파 소파 컵 홀더 및 보관 콘솔이 있는 현대적인 덮개를 씌운 L자형 소파, 거실 사무실용 왼쪽 또는 오른쪽 긴 의자 단면 소파, 회색")</f>
        <v>HONBAY 양면 단면 소파 소파 컵 홀더 및 보관 콘솔이 있는 현대적인 덮개를 씌운 L자형 소파, 거실 사무실용 왼쪽 또는 오른쪽 긴 의자 단면 소파, 회색</v>
      </c>
      <c r="F5142" s="1" t="str">
        <f>IFERROR(__xludf.DUMMYFUNCTION("CONCATENATE(GOOGLETRANSLATE(C5142, ""en"", ""ja""))"),"HONBAY リバーシブル セクショナルソファ カウチ モダンな布張り L 字型ソファ カップホルダー &amp; 収納コンソール付き 左側または右側の長椅子 セクショナルソファ リビングルーム オフィス用 グレー")</f>
        <v>HONBAY リバーシブル セクショナルソファ カウチ モダンな布張り L 字型ソファ カップホルダー &amp; 収納コンソール付き 左側または右側の長椅子 セクショナルソファ リビングルーム オフィス用 グレー</v>
      </c>
    </row>
    <row r="5143" ht="15.75" customHeight="1">
      <c r="A5143" s="1">
        <v>3410.0</v>
      </c>
      <c r="B5143" s="1" t="s">
        <v>15</v>
      </c>
      <c r="C5143" s="1" t="s">
        <v>4374</v>
      </c>
      <c r="D5143" s="1" t="str">
        <f>IFERROR(__xludf.DUMMYFUNCTION("CONCATENATE(GOOGLETRANSLATE(C5143, ""en"", ""zh-cn""))"),"Ashley Darcy 签名设计休闲毛绒 L 形双面沙发躺椅 Chofa，灰棕色")</f>
        <v>Ashley Darcy 签名设计休闲毛绒 L 形双面沙发躺椅 Chofa，灰棕色</v>
      </c>
      <c r="E5143" s="1" t="str">
        <f>IFERROR(__xludf.DUMMYFUNCTION("CONCATENATE(GOOGLETRANSLATE(C5143, ""en"", ""ko""))"),"Ashley Darcy의 시그니처 디자인 캐주얼 플러시 L자형 양면 소파 Chaise Chofa, 회갈색")</f>
        <v>Ashley Darcy의 시그니처 디자인 캐주얼 플러시 L자형 양면 소파 Chaise Chofa, 회갈색</v>
      </c>
      <c r="F5143" s="1" t="str">
        <f>IFERROR(__xludf.DUMMYFUNCTION("CONCATENATE(GOOGLETRANSLATE(C5143, ""en"", ""ja""))"),"アシュリー・ダーシーによるシグネチャーデザイン カジュアル プラッシュ L 字型 リバーシブル ソファ 長椅子 チョファ グレイッシュ ブラウン")</f>
        <v>アシュリー・ダーシーによるシグネチャーデザイン カジュアル プラッシュ L 字型 リバーシブル ソファ 長椅子 チョファ グレイッシュ ブラウン</v>
      </c>
    </row>
    <row r="5144" ht="15.75" customHeight="1">
      <c r="A5144" s="1">
        <v>3413.0</v>
      </c>
      <c r="B5144" s="1" t="s">
        <v>15</v>
      </c>
      <c r="C5144" s="1" t="s">
        <v>2760</v>
      </c>
      <c r="D5144" s="1" t="str">
        <f>IFERROR(__xludf.DUMMYFUNCTION("CONCATENATE(GOOGLETRANSLATE(C5144, ""en"", ""zh-cn""))"),"CHITA 中世纪沙发家具 73.2 英寸宽人造革沙发套，适用于客厅公寓，干邑棕色")</f>
        <v>CHITA 中世纪沙发家具 73.2 英寸宽人造革沙发套，适用于客厅公寓，干邑棕色</v>
      </c>
      <c r="E5144" s="1" t="str">
        <f>IFERROR(__xludf.DUMMYFUNCTION("CONCATENATE(GOOGLETRANSLATE(C5144, ""en"", ""ko""))"),"CHITA Mid-Century 소파 가구 73.2''W 인조 가죽 소파 소파 세트 거실 아파트, 코냑 브라운")</f>
        <v>CHITA Mid-Century 소파 가구 73.2''W 인조 가죽 소파 소파 세트 거실 아파트, 코냑 브라운</v>
      </c>
      <c r="F5144" s="1" t="str">
        <f>IFERROR(__xludf.DUMMYFUNCTION("CONCATENATE(GOOGLETRANSLATE(C5144, ""en"", ""ja""))"),"CHITA ミッドセンチュリーソファ家具 73.2 インチ W フェイクレザーソファカウチセット リビングルームアパートメント用 コニャックブラウン")</f>
        <v>CHITA ミッドセンチュリーソファ家具 73.2 インチ W フェイクレザーソファカウチセット リビングルームアパートメント用 コニャックブラウン</v>
      </c>
    </row>
    <row r="5145" ht="15.75" customHeight="1">
      <c r="A5145" s="1">
        <v>3421.0</v>
      </c>
      <c r="B5145" s="1" t="s">
        <v>15</v>
      </c>
      <c r="C5145" s="1" t="s">
        <v>4375</v>
      </c>
      <c r="D5145" s="1" t="str">
        <f>IFERROR(__xludf.DUMMYFUNCTION("CONCATENATE(GOOGLETRANSLATE(C5145, ""en"", ""zh-cn""))"),"Lexicon Vega 客厅沙发，浅灰色")</f>
        <v>Lexicon Vega 客厅沙发，浅灰色</v>
      </c>
      <c r="E5145" s="1" t="str">
        <f>IFERROR(__xludf.DUMMYFUNCTION("CONCATENATE(GOOGLETRANSLATE(C5145, ""en"", ""ko""))"),"Lexicon Vega 거실 소파, 라이트 그레이")</f>
        <v>Lexicon Vega 거실 소파, 라이트 그레이</v>
      </c>
      <c r="F5145" s="1" t="str">
        <f>IFERROR(__xludf.DUMMYFUNCTION("CONCATENATE(GOOGLETRANSLATE(C5145, ""en"", ""ja""))"),"Lexicon Vega リビングルームソファ、ライトグレー")</f>
        <v>Lexicon Vega リビングルームソファ、ライトグレー</v>
      </c>
    </row>
    <row r="5146" ht="15.75" customHeight="1">
      <c r="A5146" s="1">
        <v>3424.0</v>
      </c>
      <c r="B5146" s="1" t="s">
        <v>15</v>
      </c>
      <c r="C5146" s="1" t="s">
        <v>2761</v>
      </c>
      <c r="D5146" s="1" t="str">
        <f>IFERROR(__xludf.DUMMYFUNCTION("CONCATENATE(GOOGLETRANSLATE(C5146, ""en"", ""zh-cn""))"),"Devion Furniture 83 宽双面布艺沙发床和储物躺椅 - 深灰色")</f>
        <v>Devion Furniture 83 宽双面布艺沙发床和储物躺椅 - 深灰色</v>
      </c>
      <c r="E5146" s="1" t="str">
        <f>IFERROR(__xludf.DUMMYFUNCTION("CONCATENATE(GOOGLETRANSLATE(C5146, ""en"", ""ko""))"),"Devion Furniture 83 와이드 양면 패브릭 슬리퍼 소파 베드 및 수납 의자 - 다크 그레이")</f>
        <v>Devion Furniture 83 와이드 양면 패브릭 슬리퍼 소파 베드 및 수납 의자 - 다크 그레이</v>
      </c>
      <c r="F5146" s="1" t="str">
        <f>IFERROR(__xludf.DUMMYFUNCTION("CONCATENATE(GOOGLETRANSLATE(C5146, ""en"", ""ja""))"),"Devion Furniture 83 幅 リバーシブル ファブリック スリーパー ソファベッド &amp; 収納長椅子 - ダークグレー")</f>
        <v>Devion Furniture 83 幅 リバーシブル ファブリック スリーパー ソファベッド &amp; 収納長椅子 - ダークグレー</v>
      </c>
    </row>
    <row r="5147" ht="15.75" customHeight="1">
      <c r="A5147" s="1">
        <v>3427.0</v>
      </c>
      <c r="B5147" s="1" t="s">
        <v>15</v>
      </c>
      <c r="C5147" s="1" t="s">
        <v>4078</v>
      </c>
      <c r="D5147" s="1" t="str">
        <f>IFERROR(__xludf.DUMMYFUNCTION("CONCATENATE(GOOGLETRANSLATE(C5147, ""en"", ""zh-cn""))"),"HONBAY 双面组合沙发，带奥斯曼 L 形沙发，适合小空间 组合沙发，带贵妃椅，深灰色")</f>
        <v>HONBAY 双面组合沙发，带奥斯曼 L 形沙发，适合小空间 组合沙发，带贵妃椅，深灰色</v>
      </c>
      <c r="E5147" s="1" t="str">
        <f>IFERROR(__xludf.DUMMYFUNCTION("CONCATENATE(GOOGLETRANSLATE(C5147, ""en"", ""ko""))"),"작은 공간을 위한 오스만 L자형 소파가 있는 HONBAY 양면 단면 소파 어두운 회색의 의자가 있는 단면 소파")</f>
        <v>작은 공간을 위한 오스만 L자형 소파가 있는 HONBAY 양면 단면 소파 어두운 회색의 의자가 있는 단면 소파</v>
      </c>
      <c r="F5147" s="1" t="str">
        <f>IFERROR(__xludf.DUMMYFUNCTION("CONCATENATE(GOOGLETRANSLATE(C5147, ""en"", ""ja""))"),"HONBAY リバーシブルセクショナルソファ オットマン付き L字型ソファ 狭いスペース用 セクショナルソファ 長椅子付き ダークグレー")</f>
        <v>HONBAY リバーシブルセクショナルソファ オットマン付き L字型ソファ 狭いスペース用 セクショナルソファ 長椅子付き ダークグレー</v>
      </c>
    </row>
    <row r="5148" ht="15.75" customHeight="1">
      <c r="A5148" s="1">
        <v>3430.0</v>
      </c>
      <c r="B5148" s="1" t="s">
        <v>15</v>
      </c>
      <c r="C5148" s="1" t="s">
        <v>1796</v>
      </c>
      <c r="D5148" s="1" t="str">
        <f>IFERROR(__xludf.DUMMYFUNCTION("CONCATENATE(GOOGLETRANSLATE(C5148, ""en"", ""zh-cn""))"),"SILKIR 3 人沙发 客厅沙发 |适合：公寓/工作室/办公室和小空间 |天鹅绒面料|快速轻松组装现代当代中世纪，水绿松石色")</f>
        <v>SILKIR 3 人沙发 客厅沙发 |适合：公寓/工作室/办公室和小空间 |天鹅绒面料|快速轻松组装现代当代中世纪，水绿松石色</v>
      </c>
      <c r="E5148" s="1" t="str">
        <f>IFERROR(__xludf.DUMMYFUNCTION("CONCATENATE(GOOGLETRANSLATE(C5148, ""en"", ""ko""))"),"거실용 SILKIR 3인용 소파 소파 | 완벽한 용도: 아파트/스튜디오/사무실 및 소규모 공간 | 벨벳 원단 | 빠르고 쉬운 조립 현대 현대 중반, 청록색")</f>
        <v>거실용 SILKIR 3인용 소파 소파 | 완벽한 용도: 아파트/스튜디오/사무실 및 소규모 공간 | 벨벳 원단 | 빠르고 쉬운 조립 현대 현대 중반, 청록색</v>
      </c>
      <c r="F5148" s="1" t="str">
        <f>IFERROR(__xludf.DUMMYFUNCTION("CONCATENATE(GOOGLETRANSLATE(C5148, ""en"", ""ja""))"),"SILKIR 3人掛けソファ リビングルーム用 |最適な用途: アパート/スタジオ/オフィスおよび狭いスペース |ベルベット生地 |早くて簡単な組み立てモダンコンテンポラリーミッドセンチュリー、アクアターコイズ")</f>
        <v>SILKIR 3人掛けソファ リビングルーム用 |最適な用途: アパート/スタジオ/オフィスおよび狭いスペース |ベルベット生地 |早くて簡単な組み立てモダンコンテンポラリーミッドセンチュリー、アクアターコイズ</v>
      </c>
    </row>
    <row r="5149" ht="15.75" customHeight="1">
      <c r="A5149" s="1">
        <v>3431.0</v>
      </c>
      <c r="B5149" s="1" t="s">
        <v>15</v>
      </c>
      <c r="C5149" s="1" t="s">
        <v>2281</v>
      </c>
      <c r="D5149" s="1" t="str">
        <f>IFERROR(__xludf.DUMMYFUNCTION("CONCATENATE(GOOGLETRANSLATE(C5149, ""en"", ""zh-cn""))"),"AMERLIFE 沙发，深座沙发-现代雪尼尔沙发，97 宽客厅 3 座沙发-超大沙发，米色舒适沙发")</f>
        <v>AMERLIFE 沙发，深座沙发-现代雪尼尔沙发，97 宽客厅 3 座沙发-超大沙发，米色舒适沙发</v>
      </c>
      <c r="E5149" s="1" t="str">
        <f>IFERROR(__xludf.DUMMYFUNCTION("CONCATENATE(GOOGLETRANSLATE(C5149, ""en"", ""ko""))"),"AMERLIFE 소파, 깊은 좌석 소파 - 현대적인 셔닐 소파 소파, 거실용 97 와이드 3인용 소파 - 대형 소파, 베이지 편안한 소파")</f>
        <v>AMERLIFE 소파, 깊은 좌석 소파 - 현대적인 셔닐 소파 소파, 거실용 97 와이드 3인용 소파 - 대형 소파, 베이지 편안한 소파</v>
      </c>
      <c r="F5149" s="1" t="str">
        <f>IFERROR(__xludf.DUMMYFUNCTION("CONCATENATE(GOOGLETRANSLATE(C5149, ""en"", ""ja""))"),"AMERLIFE ソファ、ディープシートソファ - 現代的なシェニールソファカウチ、リビングルーム用 97 幅 3 人掛けソファ - 特大ソファ、ベージュの快適なソファ")</f>
        <v>AMERLIFE ソファ、ディープシートソファ - 現代的なシェニールソファカウチ、リビングルーム用 97 幅 3 人掛けソファ - 特大ソファ、ベージュの快適なソファ</v>
      </c>
    </row>
    <row r="5150" ht="15.75" customHeight="1">
      <c r="A5150" s="1">
        <v>3451.0</v>
      </c>
      <c r="B5150" s="1" t="s">
        <v>15</v>
      </c>
      <c r="C5150" s="1" t="s">
        <v>4376</v>
      </c>
      <c r="D5150" s="1" t="str">
        <f>IFERROR(__xludf.DUMMYFUNCTION("CONCATENATE(GOOGLETRANSLATE(C5150, ""en"", ""zh-cn""))"),"JOMEED 敞篷组合沙发，现代超大天鹅绒面料 L 形沙发床，带可调节靠背，适合客厅、公寓")</f>
        <v>JOMEED 敞篷组合沙发，现代超大天鹅绒面料 L 形沙发床，带可调节靠背，适合客厅、公寓</v>
      </c>
      <c r="E5150" s="1" t="str">
        <f>IFERROR(__xludf.DUMMYFUNCTION("CONCATENATE(GOOGLETRANSLATE(C5150, ""en"", ""ko""))"),"JOMEED 컨버터블 단면 소파 소파, 거실용 조절 가능한 등받이가 있는 현대적인 대형 벨벳 패브릭 L자형 소파 소파 베드, 아파트")</f>
        <v>JOMEED 컨버터블 단면 소파 소파, 거실용 조절 가능한 등받이가 있는 현대적인 대형 벨벳 패브릭 L자형 소파 소파 베드, 아파트</v>
      </c>
      <c r="F5150" s="1" t="str">
        <f>IFERROR(__xludf.DUMMYFUNCTION("CONCATENATE(GOOGLETRANSLATE(C5150, ""en"", ""ja""))"),"JOMEED コンバーチブルセクショナルソファカウチ、モダンな特大ベルベット生地 L 字型カウチソファベッド、調節可能な背もたれ付き、リビングルーム、アパート用")</f>
        <v>JOMEED コンバーチブルセクショナルソファカウチ、モダンな特大ベルベット生地 L 字型カウチソファベッド、調節可能な背もたれ付き、リビングルーム、アパート用</v>
      </c>
    </row>
    <row r="5151" ht="15.75" customHeight="1">
      <c r="A5151" s="1">
        <v>3456.0</v>
      </c>
      <c r="B5151" s="1" t="s">
        <v>15</v>
      </c>
      <c r="C5151" s="1" t="s">
        <v>4377</v>
      </c>
      <c r="D5151" s="1" t="str">
        <f>IFERROR(__xludf.DUMMYFUNCTION("CONCATENATE(GOOGLETRANSLATE(C5151, ""en"", ""zh-cn""))"),"Breville Duo Temp Pro 浓缩咖啡机，61 液量盎司，不锈钢，BES810BSS")</f>
        <v>Breville Duo Temp Pro 浓缩咖啡机，61 液量盎司，不锈钢，BES810BSS</v>
      </c>
      <c r="E5151" s="1" t="str">
        <f>IFERROR(__xludf.DUMMYFUNCTION("CONCATENATE(GOOGLETRANSLATE(C5151, ""en"", ""ko""))"),"브레빌 듀오 템프 프로 에스프레소 머신, 61액량 온스, 스테인리스 스틸, BES810BSS")</f>
        <v>브레빌 듀오 템프 프로 에스프레소 머신, 61액량 온스, 스테인리스 스틸, BES810BSS</v>
      </c>
      <c r="F5151" s="1" t="str">
        <f>IFERROR(__xludf.DUMMYFUNCTION("CONCATENATE(GOOGLETRANSLATE(C5151, ""en"", ""ja""))"),"Breville Duo Temp Pro エスプレッソマシン、61 液量オンス、ステンレススチール、BES810BSS")</f>
        <v>Breville Duo Temp Pro エスプレッソマシン、61 液量オンス、ステンレススチール、BES810BSS</v>
      </c>
    </row>
    <row r="5152" ht="15.75" customHeight="1">
      <c r="A5152" s="1">
        <v>3459.0</v>
      </c>
      <c r="B5152" s="1" t="s">
        <v>15</v>
      </c>
      <c r="C5152" s="1" t="s">
        <v>4378</v>
      </c>
      <c r="D5152" s="1" t="str">
        <f>IFERROR(__xludf.DUMMYFUNCTION("CONCATENATE(GOOGLETRANSLATE(C5152, ""en"", ""zh-cn""))"),"GDFStudio Waldo 簇绒翼背躺椅（暖石）。")</f>
        <v>GDFStudio Waldo 簇绒翼背躺椅（暖石）。</v>
      </c>
      <c r="E5152" s="1" t="str">
        <f>IFERROR(__xludf.DUMMYFUNCTION("CONCATENATE(GOOGLETRANSLATE(C5152, ""en"", ""ko""))"),"GDFStudio Waldo 터프티드 윙백 리클라이너 의자(웜스톤).")</f>
        <v>GDFStudio Waldo 터프티드 윙백 리클라이너 의자(웜스톤).</v>
      </c>
      <c r="F5152" s="1" t="str">
        <f>IFERROR(__xludf.DUMMYFUNCTION("CONCATENATE(GOOGLETRANSLATE(C5152, ""en"", ""ja""))"),"GDFStudio Waldo タフテッド ウィングバック リクライニング チェア (ウォーム ストーン)。")</f>
        <v>GDFStudio Waldo タフテッド ウィングバック リクライニング チェア (ウォーム ストーン)。</v>
      </c>
    </row>
    <row r="5153" ht="15.75" customHeight="1">
      <c r="A5153" s="1">
        <v>3463.0</v>
      </c>
      <c r="B5153" s="1" t="s">
        <v>15</v>
      </c>
      <c r="C5153" s="1" t="s">
        <v>2286</v>
      </c>
      <c r="D5153" s="1" t="str">
        <f>IFERROR(__xludf.DUMMYFUNCTION("CONCATENATE(GOOGLETRANSLATE(C5153, ""en"", ""zh-cn""))"),"MCombo 现代旋转椅，纽扣簇绒拖鞋椅，雪尼尔软垫翼背休闲沙发椅，适合客厅卧室 LW753（奶油白色）")</f>
        <v>MCombo 现代旋转椅，纽扣簇绒拖鞋椅，雪尼尔软垫翼背休闲沙发椅，适合客厅卧室 LW753（奶油白色）</v>
      </c>
      <c r="E5153" s="1" t="str">
        <f>IFERROR(__xludf.DUMMYFUNCTION("CONCATENATE(GOOGLETRANSLATE(C5153, ""en"", ""ko""))"),"MCombo 현대 회전 악센트 의자, 단추 술 슬리퍼 의자, 거실 침실 LW753(크림 화이트)을 위한 셔닐 덮개를 씌운 윙백 레저 소파 의자")</f>
        <v>MCombo 현대 회전 악센트 의자, 단추 술 슬리퍼 의자, 거실 침실 LW753(크림 화이트)을 위한 셔닐 덮개를 씌운 윙백 레저 소파 의자</v>
      </c>
      <c r="F5153" s="1" t="str">
        <f>IFERROR(__xludf.DUMMYFUNCTION("CONCATENATE(GOOGLETRANSLATE(C5153, ""en"", ""ja""))"),"MCombo モダンな回転アクセントチェア、ボタン房付きスリッパチェア、シェニール織張りのウィングバックレジャーソファチェア、リビングルームベッドルーム用 LW753 (クリームホワイト)")</f>
        <v>MCombo モダンな回転アクセントチェア、ボタン房付きスリッパチェア、シェニール織張りのウィングバックレジャーソファチェア、リビングルームベッドルーム用 LW753 (クリームホワイト)</v>
      </c>
    </row>
    <row r="5154" ht="15.75" customHeight="1">
      <c r="A5154" s="1">
        <v>3469.0</v>
      </c>
      <c r="B5154" s="1" t="s">
        <v>15</v>
      </c>
      <c r="C5154" s="1" t="s">
        <v>4379</v>
      </c>
      <c r="D5154" s="1" t="str">
        <f>IFERROR(__xludf.DUMMYFUNCTION("CONCATENATE(GOOGLETRANSLATE(C5154, ""en"", ""zh-cn""))"),"Breville Sous Chef Pro 16 杯食品加工机，拉丝不锈钢，BFP800XL")</f>
        <v>Breville Sous Chef Pro 16 杯食品加工机，拉丝不锈钢，BFP800XL</v>
      </c>
      <c r="E5154" s="1" t="str">
        <f>IFERROR(__xludf.DUMMYFUNCTION("CONCATENATE(GOOGLETRANSLATE(C5154, ""en"", ""ko""))"),"브레빌 수셰프 프로 16컵 푸드 프로세서, 브러시드 스테인레스 스틸, BFP800XL")</f>
        <v>브레빌 수셰프 프로 16컵 푸드 프로세서, 브러시드 스테인레스 스틸, BFP800XL</v>
      </c>
      <c r="F5154" s="1" t="str">
        <f>IFERROR(__xludf.DUMMYFUNCTION("CONCATENATE(GOOGLETRANSLATE(C5154, ""en"", ""ja""))"),"Breville スーシェフ プロ 16 カップ フードプロセッサー、つや消しステンレススチール、BFP800XL")</f>
        <v>Breville スーシェフ プロ 16 カップ フードプロセッサー、つや消しステンレススチール、BFP800XL</v>
      </c>
    </row>
    <row r="5155" ht="15.75" customHeight="1">
      <c r="A5155" s="1">
        <v>3485.0</v>
      </c>
      <c r="B5155" s="1" t="s">
        <v>15</v>
      </c>
      <c r="C5155" s="1" t="s">
        <v>4380</v>
      </c>
      <c r="D5155" s="1" t="str">
        <f>IFERROR(__xludf.DUMMYFUNCTION("CONCATENATE(GOOGLETRANSLATE(C5155, ""en"", ""zh-cn""))"),"VIVIDSTORM-投影屏幕，PRO超薄电动办公演示，遥控下拉屏幕，彩色显示功能，兼容4K超短焦激光投影仪，VBMSLUST120H")</f>
        <v>VIVIDSTORM-投影屏幕，PRO超薄电动办公演示，遥控下拉屏幕，彩色显示功能，兼容4K超短焦激光投影仪，VBMSLUST120H</v>
      </c>
      <c r="E5155" s="1" t="str">
        <f>IFERROR(__xludf.DUMMYFUNCTION("CONCATENATE(GOOGLETRANSLATE(C5155, ""en"", ""ko""))"),"VIVIDSTORM-프로젝션 스크린, PRO 슬림라인 전동 오피스 프리젠테이션, 원격 제어 드롭다운 스크린, 컬러 디스플레이 기능, 4K 극단초점 레이저 프로젝터와 호환 가능, VBMSLUST120H")</f>
        <v>VIVIDSTORM-프로젝션 스크린, PRO 슬림라인 전동 오피스 프리젠테이션, 원격 제어 드롭다운 스크린, 컬러 디스플레이 기능, 4K 극단초점 레이저 프로젝터와 호환 가능, VBMSLUST120H</v>
      </c>
      <c r="F5155" s="1" t="str">
        <f>IFERROR(__xludf.DUMMYFUNCTION("CONCATENATE(GOOGLETRANSLATE(C5155, ""en"", ""ja""))"),"VIVIDSTORM-プロジェクションスクリーン、PROスリムライン電動オフィスプレゼンテーション、リモコンドロップダウンスクリーン、カラーディスプレイ機能、4K超短焦点レーザープロジェクターと互換性あり、VBMSLUST120H")</f>
        <v>VIVIDSTORM-プロジェクションスクリーン、PROスリムライン電動オフィスプレゼンテーション、リモコンドロップダウンスクリーン、カラーディスプレイ機能、4K超短焦点レーザープロジェクターと互換性あり、VBMSLUST120H</v>
      </c>
    </row>
    <row r="5156" ht="15.75" customHeight="1">
      <c r="A5156" s="1">
        <v>3487.0</v>
      </c>
      <c r="B5156" s="1" t="s">
        <v>15</v>
      </c>
      <c r="C5156" s="1" t="s">
        <v>4381</v>
      </c>
      <c r="D5156" s="1" t="str">
        <f>IFERROR(__xludf.DUMMYFUNCTION("CONCATENATE(GOOGLETRANSLATE(C5156, ""en"", ""zh-cn""))"),"Apple 2021 款 11 英寸 iPad Pro Wi-Fi + 蜂窝网络 2TB - 银色")</f>
        <v>Apple 2021 款 11 英寸 iPad Pro Wi-Fi + 蜂窝网络 2TB - 银色</v>
      </c>
      <c r="E5156" s="1" t="str">
        <f>IFERROR(__xludf.DUMMYFUNCTION("CONCATENATE(GOOGLETRANSLATE(C5156, ""en"", ""ko""))"),"Apple 2021 11인치 아이패드 프로 Wi-Fi + 셀룰러 2TB - 실버")</f>
        <v>Apple 2021 11인치 아이패드 프로 Wi-Fi + 셀룰러 2TB - 실버</v>
      </c>
      <c r="F5156" s="1" t="str">
        <f>IFERROR(__xludf.DUMMYFUNCTION("CONCATENATE(GOOGLETRANSLATE(C5156, ""en"", ""ja""))"),"Apple 2021 11 インチ iPad Pro Wi-Fi + Cellular 2TB - シルバー")</f>
        <v>Apple 2021 11 インチ iPad Pro Wi-Fi + Cellular 2TB - シルバー</v>
      </c>
    </row>
    <row r="5157" ht="15.75" customHeight="1">
      <c r="A5157" s="1">
        <v>3496.0</v>
      </c>
      <c r="B5157" s="1" t="s">
        <v>15</v>
      </c>
      <c r="C5157" s="1" t="s">
        <v>4382</v>
      </c>
      <c r="D5157" s="1" t="str">
        <f>IFERROR(__xludf.DUMMYFUNCTION("CONCATENATE(GOOGLETRANSLATE(C5157, ""en"", ""zh-cn""))"),"智能白板，43英寸JYXOIHUB交互式白板，电子白板，Android和iOS屏幕镜像用于直播，用于广告展示和教室（包括壁挂式）")</f>
        <v>智能白板，43英寸JYXOIHUB交互式白板，电子白板，Android和iOS屏幕镜像用于直播，用于广告展示和教室（包括壁挂式）</v>
      </c>
      <c r="E5157" s="1" t="str">
        <f>IFERROR(__xludf.DUMMYFUNCTION("CONCATENATE(GOOGLETRANSLATE(C5157, ""en"", ""ko""))"),"스마트 보드, 43인치 JYXOIHUB 대화형 화이트보드, 전자 화이트보드, 라이브 스트리밍을 위한 Android 및 iOS의 스크린 미러링, 광고 디스플레이 및 강의실용(벽걸이 포함)")</f>
        <v>스마트 보드, 43인치 JYXOIHUB 대화형 화이트보드, 전자 화이트보드, 라이브 스트리밍을 위한 Android 및 iOS의 스크린 미러링, 광고 디스플레이 및 강의실용(벽걸이 포함)</v>
      </c>
      <c r="F5157" s="1" t="str">
        <f>IFERROR(__xludf.DUMMYFUNCTION("CONCATENATE(GOOGLETRANSLATE(C5157, ""en"", ""ja""))"),"スマートボード、43 インチ JYXOIHUB インタラクティブ ホワイトボード、電子ホワイトボード、ライブ ストリーミング用 Android および iOS からのスクリーン ミラーリング、広告ディスプレイおよび教室用 (ウォール マウント付属)")</f>
        <v>スマートボード、43 インチ JYXOIHUB インタラクティブ ホワイトボード、電子ホワイトボード、ライブ ストリーミング用 Android および iOS からのスクリーン ミラーリング、広告ディスプレイおよび教室用 (ウォール マウント付属)</v>
      </c>
    </row>
    <row r="5158" ht="15.75" customHeight="1">
      <c r="A5158" s="1">
        <v>3497.0</v>
      </c>
      <c r="B5158" s="1" t="s">
        <v>15</v>
      </c>
      <c r="C5158" s="1" t="s">
        <v>4383</v>
      </c>
      <c r="D5158" s="1" t="str">
        <f>IFERROR(__xludf.DUMMYFUNCTION("CONCATENATE(GOOGLETRANSLATE(C5158, ""en"", ""zh-cn""))"),"Tripp Lite SMART3000NET 3000VA 2400W UPS 智能塔式 AVR 120V XL DB9 服务器，8 个插座")</f>
        <v>Tripp Lite SMART3000NET 3000VA 2400W UPS 智能塔式 AVR 120V XL DB9 服务器，8 个插座</v>
      </c>
      <c r="E5158" s="1" t="str">
        <f>IFERROR(__xludf.DUMMYFUNCTION("CONCATENATE(GOOGLETRANSLATE(C5158, ""en"", ""ko""))"),"Tripp Lite SMART3000NET 3000VA 2400W UPS 스마트 타워 AVR 120V XL DB9 서버용, 콘센트 8개")</f>
        <v>Tripp Lite SMART3000NET 3000VA 2400W UPS 스마트 타워 AVR 120V XL DB9 서버용, 콘센트 8개</v>
      </c>
      <c r="F5158" s="1" t="str">
        <f>IFERROR(__xludf.DUMMYFUNCTION("CONCATENATE(GOOGLETRANSLATE(C5158, ""en"", ""ja""))"),"Tripp Lite SMART3000NET 3000VA 2400W UPS スマートタワー AVR 120V XL DB9 サーバー用、8 コンセント")</f>
        <v>Tripp Lite SMART3000NET 3000VA 2400W UPS スマートタワー AVR 120V XL DB9 サーバー用、8 コンセント</v>
      </c>
    </row>
    <row r="5159" ht="15.75" customHeight="1">
      <c r="A5159" s="1">
        <v>3501.0</v>
      </c>
      <c r="B5159" s="1" t="s">
        <v>15</v>
      </c>
      <c r="C5159" s="1" t="s">
        <v>4384</v>
      </c>
      <c r="D5159" s="1" t="str">
        <f>IFERROR(__xludf.DUMMYFUNCTION("CONCATENATE(GOOGLETRANSLATE(C5159, ""en"", ""zh-cn""))"),"戴尔 XPS 13 9310 触摸屏笔记本电脑 13.4 英寸 FHD+ 轻薄。 Intel Core i7-1195G7，16GB LPDDR4x RAM，512GB SSD，Intel Iris Xe 显卡，Windows 11 Pro，2 年 OnSite，6 个月迁移 – 银牌")</f>
        <v>戴尔 XPS 13 9310 触摸屏笔记本电脑 13.4 英寸 FHD+ 轻薄。 Intel Core i7-1195G7，16GB LPDDR4x RAM，512GB SSD，Intel Iris Xe 显卡，Windows 11 Pro，2 年 OnSite，6 个月迁移 – 银牌</v>
      </c>
      <c r="E5159" s="1" t="str">
        <f>IFERROR(__xludf.DUMMYFUNCTION("CONCATENATE(GOOGLETRANSLATE(C5159, ""en"", ""ko""))"),"Dell XPS 13 9310 터치스크린 노트북 13.4인치 FHD+ 얇고 가벼운 제품. Intel Core i7-1195G7, 16GB LPDDR4x RAM, 512GB SSD, Intel Iris Xe 그래픽, Windows 11 Pro, 2년 현장 방문, 6개월 마이그레이션 – 실버")</f>
        <v>Dell XPS 13 9310 터치스크린 노트북 13.4인치 FHD+ 얇고 가벼운 제품. Intel Core i7-1195G7, 16GB LPDDR4x RAM, 512GB SSD, Intel Iris Xe 그래픽, Windows 11 Pro, 2년 현장 방문, 6개월 마이그레이션 – 실버</v>
      </c>
      <c r="F5159" s="1" t="str">
        <f>IFERROR(__xludf.DUMMYFUNCTION("CONCATENATE(GOOGLETRANSLATE(C5159, ""en"", ""ja""))"),"Dell XPS 13 9310 タッチスクリーン ノートパソコン 13.4 インチ FHD+ 薄くて軽い。 Intel Core i7-1195G7、16GB LPDDR4x RAM、512GB SSD、Intel Iris Xe グラフィックス、Windows 11 Pro、2 年間オンサイト、6 か月移行 - シルバー")</f>
        <v>Dell XPS 13 9310 タッチスクリーン ノートパソコン 13.4 インチ FHD+ 薄くて軽い。 Intel Core i7-1195G7、16GB LPDDR4x RAM、512GB SSD、Intel Iris Xe グラフィックス、Windows 11 Pro、2 年間オンサイト、6 か月移行 - シルバー</v>
      </c>
    </row>
    <row r="5160" ht="15.75" customHeight="1">
      <c r="A5160" s="1">
        <v>3503.0</v>
      </c>
      <c r="B5160" s="1" t="s">
        <v>15</v>
      </c>
      <c r="C5160" s="1" t="s">
        <v>4385</v>
      </c>
      <c r="D5160" s="1" t="str">
        <f>IFERROR(__xludf.DUMMYFUNCTION("CONCATENATE(GOOGLETRANSLATE(C5160, ""en"", ""zh-cn""))"),"Microsoft Surface Laptop 5 (2022)，15 触摸屏，轻薄，电池寿命长，用于多任务的快速 Intel i7 处理器，512GB 存储，支持 Windows 11，黑色")</f>
        <v>Microsoft Surface Laptop 5 (2022)，15 触摸屏，轻薄，电池寿命长，用于多任务的快速 Intel i7 处理器，512GB 存储，支持 Windows 11，黑色</v>
      </c>
      <c r="E5160" s="1" t="str">
        <f>IFERROR(__xludf.DUMMYFUNCTION("CONCATENATE(GOOGLETRANSLATE(C5160, ""en"", ""ko""))"),"Microsoft Surface Laptop 5(2022), 15개의 터치 스크린, 얇고 가벼운 제품, 긴 배터리 수명, 멀티 태스킹을 위한 빠른 Intel i7 프로세서, Windows 11 탑재 512GB 스토리지, 블랙")</f>
        <v>Microsoft Surface Laptop 5(2022), 15개의 터치 스크린, 얇고 가벼운 제품, 긴 배터리 수명, 멀티 태스킹을 위한 빠른 Intel i7 프로세서, Windows 11 탑재 512GB 스토리지, 블랙</v>
      </c>
      <c r="F5160" s="1" t="str">
        <f>IFERROR(__xludf.DUMMYFUNCTION("CONCATENATE(GOOGLETRANSLATE(C5160, ""en"", ""ja""))"),"Microsoft Surface Laptop 5 (2022)、15 タッチ スクリーン、薄型軽量、長いバッテリー寿命、マルチタスク用の高速 Intel i7 プロセッサー、Windows 11 搭載 512GB ストレージ、ブラック")</f>
        <v>Microsoft Surface Laptop 5 (2022)、15 タッチ スクリーン、薄型軽量、長いバッテリー寿命、マルチタスク用の高速 Intel i7 プロセッサー、Windows 11 搭載 512GB ストレージ、ブラック</v>
      </c>
    </row>
    <row r="5161" ht="15.75" customHeight="1">
      <c r="A5161" s="1">
        <v>3506.0</v>
      </c>
      <c r="B5161" s="1" t="s">
        <v>15</v>
      </c>
      <c r="C5161" s="1" t="s">
        <v>4386</v>
      </c>
      <c r="D5161" s="1" t="str">
        <f>IFERROR(__xludf.DUMMYFUNCTION("CONCATENATE(GOOGLETRANSLATE(C5161, ""en"", ""zh-cn""))"),"Microsoft Surface Laptop 4 15 英寸触摸屏 256GB SSD 3.0GHz i7，搭载 Windows 10 Pro（16GB RAM，Intel i7-1185G7，Wi-Fi，最新型号）- 哑光黑色，5IF-00001")</f>
        <v>Microsoft Surface Laptop 4 15 英寸触摸屏 256GB SSD 3.0GHz i7，搭载 Windows 10 Pro（16GB RAM，Intel i7-1185G7，Wi-Fi，最新型号）- 哑光黑色，5IF-00001</v>
      </c>
      <c r="E5161" s="1" t="str">
        <f>IFERROR(__xludf.DUMMYFUNCTION("CONCATENATE(GOOGLETRANSLATE(C5161, ""en"", ""ko""))"),"Microsoft Surface Laptop 4 15인치 터치스크린 256GB SSD 3.0GHz i7(Windows 10 Pro 탑재)(16GB RAM, Intel i7-1185G7, Wi-Fi, 최신 모델) – 매트 블랙, 5IF-00001")</f>
        <v>Microsoft Surface Laptop 4 15인치 터치스크린 256GB SSD 3.0GHz i7(Windows 10 Pro 탑재)(16GB RAM, Intel i7-1185G7, Wi-Fi, 최신 모델) – 매트 블랙, 5IF-00001</v>
      </c>
      <c r="F5161" s="1" t="str">
        <f>IFERROR(__xludf.DUMMYFUNCTION("CONCATENATE(GOOGLETRANSLATE(C5161, ""en"", ""ja""))"),"Microsoft Surface Laptop 4 15 インチ タッチスクリーン 256GB SSD 3.0GHz i7 Windows 10 Pro 搭載 (16GB RAM、Intel i7-1185G7、Wi-Fi、最新モデル) – マット ブラック、5IF-00001")</f>
        <v>Microsoft Surface Laptop 4 15 インチ タッチスクリーン 256GB SSD 3.0GHz i7 Windows 10 Pro 搭載 (16GB RAM、Intel i7-1185G7、Wi-Fi、最新モデル) – マット ブラック、5IF-00001</v>
      </c>
    </row>
    <row r="5162" ht="15.75" customHeight="1">
      <c r="A5162" s="1">
        <v>3507.0</v>
      </c>
      <c r="B5162" s="1" t="s">
        <v>15</v>
      </c>
      <c r="C5162" s="1" t="s">
        <v>4387</v>
      </c>
      <c r="D5162" s="1" t="str">
        <f>IFERROR(__xludf.DUMMYFUNCTION("CONCATENATE(GOOGLETRANSLATE(C5162, ""en"", ""zh-cn""))"),"戴尔 XPS 8940 台式电脑塔式电脑 - Intel Core i7-11700，32GB DDR4 RAM，512GB SSD + 1TB HDD，有线键盘和鼠标组合，Intel UHD Graphics 750，Wi-Fi 6，USB，蓝牙，Windows 11 Pro - 黑色")</f>
        <v>戴尔 XPS 8940 台式电脑塔式电脑 - Intel Core i7-11700，32GB DDR4 RAM，512GB SSD + 1TB HDD，有线键盘和鼠标组合，Intel UHD Graphics 750，Wi-Fi 6，USB，蓝牙，Windows 11 Pro - 黑色</v>
      </c>
      <c r="E5162" s="1" t="str">
        <f>IFERROR(__xludf.DUMMYFUNCTION("CONCATENATE(GOOGLETRANSLATE(C5162, ""en"", ""ko""))"),"Dell XPS 8940 데스크탑 컴퓨터 타워 - Intel Core i7-11700, 32GB DDR4 RAM, 512GB SSD + 1TB HDD, 유선 키보드 및 마우스 콤보, Intel UHD 그래픽 750, Wi-Fi 6, USB, Bluetooth, Windows 11 Pro – 블랙")</f>
        <v>Dell XPS 8940 데스크탑 컴퓨터 타워 - Intel Core i7-11700, 32GB DDR4 RAM, 512GB SSD + 1TB HDD, 유선 키보드 및 마우스 콤보, Intel UHD 그래픽 750, Wi-Fi 6, USB, Bluetooth, Windows 11 Pro – 블랙</v>
      </c>
      <c r="F5162" s="1" t="str">
        <f>IFERROR(__xludf.DUMMYFUNCTION("CONCATENATE(GOOGLETRANSLATE(C5162, ""en"", ""ja""))"),"Dell XPS 8940 デスクトップ コンピュータ タワー - Intel Core i7-11700、32GB DDR4 RAM、512GB SSD + 1TB HDD、有線キーボードとマウスのコンボ、Intel UHD グラフィックス 750、Wi-Fi 6、USB、Bluetooth、Windows 11 Pro – ブラック")</f>
        <v>Dell XPS 8940 デスクトップ コンピュータ タワー - Intel Core i7-11700、32GB DDR4 RAM、512GB SSD + 1TB HDD、有線キーボードとマウスのコンボ、Intel UHD グラフィックス 750、Wi-Fi 6、USB、Bluetooth、Windows 11 Pro – ブラック</v>
      </c>
    </row>
    <row r="5163" ht="15.75" customHeight="1">
      <c r="A5163" s="1">
        <v>3520.0</v>
      </c>
      <c r="B5163" s="1" t="s">
        <v>15</v>
      </c>
      <c r="C5163" s="1" t="s">
        <v>4388</v>
      </c>
      <c r="D5163" s="1" t="str">
        <f>IFERROR(__xludf.DUMMYFUNCTION("CONCATENATE(GOOGLETRANSLATE(C5163, ""en"", ""zh-cn""))"),"Elite Screens Spectrum AcousticPro UHD 135 英寸电动投影仪屏幕 电动投影仪屏幕 16:9 4K 无摩尔纹声音透明穿孔编织 4K Ready 下拉式投影仪屏幕")</f>
        <v>Elite Screens Spectrum AcousticPro UHD 135 英寸电动投影仪屏幕 电动投影仪屏幕 16:9 4K 无摩尔纹声音透明穿孔编织 4K Ready 下拉式投影仪屏幕</v>
      </c>
      <c r="E5163" s="1" t="str">
        <f>IFERROR(__xludf.DUMMYFUNCTION("CONCATENATE(GOOGLETRANSLATE(C5163, ""en"", ""ko""))"),"엘리트 스크린 Spectrum AcousticPro UHD 135인치 전동 프로젝터 스크린 전기 프로젝션 스크린 16:9 4K 모아레 없는 사운드 투명 천공 직조 4K Ready 드롭다운 프로젝터 스크린")</f>
        <v>엘리트 스크린 Spectrum AcousticPro UHD 135인치 전동 프로젝터 스크린 전기 프로젝션 스크린 16:9 4K 모아레 없는 사운드 투명 천공 직조 4K Ready 드롭다운 프로젝터 스크린</v>
      </c>
      <c r="F5163" s="1" t="str">
        <f>IFERROR(__xludf.DUMMYFUNCTION("CONCATENATE(GOOGLETRANSLATE(C5163, ""en"", ""ja""))"),"Elite Screens Spectrum AcousticPro UHD 135 インチ電動プロジェクタースクリーン電動投影スクリーン 16:9 4K モアレフリーサウンド透明穴あき織り 4K 対応ドロップダウンプロジェクタースクリーン")</f>
        <v>Elite Screens Spectrum AcousticPro UHD 135 インチ電動プロジェクタースクリーン電動投影スクリーン 16:9 4K モアレフリーサウンド透明穴あき織り 4K 対応ドロップダウンプロジェクタースクリーン</v>
      </c>
    </row>
    <row r="5164" ht="15.75" customHeight="1">
      <c r="A5164" s="1">
        <v>3524.0</v>
      </c>
      <c r="B5164" s="1" t="s">
        <v>15</v>
      </c>
      <c r="C5164" s="1" t="s">
        <v>4389</v>
      </c>
      <c r="D5164" s="1" t="str">
        <f>IFERROR(__xludf.DUMMYFUNCTION("CONCATENATE(GOOGLETRANSLATE(C5164, ""en"", ""zh-cn""))"),"华硕 TUF Dash 15 (2022) 游戏笔记本电脑， 15.6 144Hz FHD 显示屏， Intel Core i7-12650H， GeForce RTX 3060， 16GB DDR5， 512GB SSD， Thunderbolt 4， Windows 11 Home， 黑色， FX517ZM-AS73")</f>
        <v>华硕 TUF Dash 15 (2022) 游戏笔记本电脑， 15.6 144Hz FHD 显示屏， Intel Core i7-12650H， GeForce RTX 3060， 16GB DDR5， 512GB SSD， Thunderbolt 4， Windows 11 Home， 黑色， FX517ZM-AS73</v>
      </c>
      <c r="E5164" s="1" t="str">
        <f>IFERROR(__xludf.DUMMYFUNCTION("CONCATENATE(GOOGLETRANSLATE(C5164, ""en"", ""ko""))"),"ASUS TUF Dash 15(2022) 게이밍 노트북, 15.6 144Hz FHD 디스플레이, Intel Core i7-12650H, GeForce RTX 3060, 16GB DDR5, 512GB SSD, Thunderbolt 4, Windows 11 Home, Off Black, FX517ZM-AS73")</f>
        <v>ASUS TUF Dash 15(2022) 게이밍 노트북, 15.6 144Hz FHD 디스플레이, Intel Core i7-12650H, GeForce RTX 3060, 16GB DDR5, 512GB SSD, Thunderbolt 4, Windows 11 Home, Off Black, FX517ZM-AS73</v>
      </c>
      <c r="F5164" s="1" t="str">
        <f>IFERROR(__xludf.DUMMYFUNCTION("CONCATENATE(GOOGLETRANSLATE(C5164, ""en"", ""ja""))"),"ASUS TUF Dash 15 (2022) ゲーミング ラップトップ、15.6 144Hz FHD ディスプレイ、Intel Core i7-12650H、GeForce RTX 3060、16GB DDR5、512GB SSD、Thunderbolt 4、Windows 11 Home、オフ ブラック、FX517ZM-AS73")</f>
        <v>ASUS TUF Dash 15 (2022) ゲーミング ラップトップ、15.6 144Hz FHD ディスプレイ、Intel Core i7-12650H、GeForce RTX 3060、16GB DDR5、512GB SSD、Thunderbolt 4、Windows 11 Home、オフ ブラック、FX517ZM-AS73</v>
      </c>
    </row>
    <row r="5165" ht="15.75" customHeight="1">
      <c r="A5165" s="1">
        <v>3527.0</v>
      </c>
      <c r="B5165" s="1" t="s">
        <v>15</v>
      </c>
      <c r="C5165" s="1" t="s">
        <v>4390</v>
      </c>
      <c r="D5165" s="1" t="str">
        <f>IFERROR(__xludf.DUMMYFUNCTION("CONCATENATE(GOOGLETRANSLATE(C5165, ""en"", ""zh-cn""))"),"联想 IdeaCentre 5i 游戏台式机，第 12 代英特尔酷睿 i7-12700，Geforce RTX 3060，32GB RAM，512GB PCIe SSD + 1TB HDD，Wi-Fi 6，DisplayPort，HDMI，Windows 11 Home，黑色")</f>
        <v>联想 IdeaCentre 5i 游戏台式机，第 12 代英特尔酷睿 i7-12700，Geforce RTX 3060，32GB RAM，512GB PCIe SSD + 1TB HDD，Wi-Fi 6，DisplayPort，HDMI，Windows 11 Home，黑色</v>
      </c>
      <c r="E5165" s="1" t="str">
        <f>IFERROR(__xludf.DUMMYFUNCTION("CONCATENATE(GOOGLETRANSLATE(C5165, ""en"", ""ko""))"),"Lenovo IdeaCentre 5i 게이밍 데스크탑, 12세대 인텔 코어 i7-12700, Geforce RTX 3060, 32GB RAM, 512GB PCIe SSD + 1TB HDD, Wi-Fi 6, DisplayPort, HDMI, Windows 11 Home, 블랙")</f>
        <v>Lenovo IdeaCentre 5i 게이밍 데스크탑, 12세대 인텔 코어 i7-12700, Geforce RTX 3060, 32GB RAM, 512GB PCIe SSD + 1TB HDD, Wi-Fi 6, DisplayPort, HDMI, Windows 11 Home, 블랙</v>
      </c>
      <c r="F5165" s="1" t="str">
        <f>IFERROR(__xludf.DUMMYFUNCTION("CONCATENATE(GOOGLETRANSLATE(C5165, ""en"", ""ja""))"),"Lenovo IdeaCentre 5i ゲーミング デスクトップ、第 12 世代 Intel Core i7-12700、Geforce RTX 3060、32GB RAM、512GB PCIe SSD + 1TB HDD、Wi-Fi 6、DisplayPort、HDMI、Windows 11 Home、ブラック")</f>
        <v>Lenovo IdeaCentre 5i ゲーミング デスクトップ、第 12 世代 Intel Core i7-12700、Geforce RTX 3060、32GB RAM、512GB PCIe SSD + 1TB HDD、Wi-Fi 6、DisplayPort、HDMI、Windows 11 Home、ブラック</v>
      </c>
    </row>
    <row r="5166" ht="15.75" customHeight="1">
      <c r="A5166" s="1">
        <v>3531.0</v>
      </c>
      <c r="B5166" s="1" t="s">
        <v>15</v>
      </c>
      <c r="C5166" s="1" t="s">
        <v>4391</v>
      </c>
      <c r="D5166" s="1" t="str">
        <f>IFERROR(__xludf.DUMMYFUNCTION("CONCATENATE(GOOGLETRANSLATE(C5166, ""en"", ""zh-cn""))"),"4 件装（黑色+C+Y+M）658A | W2000A W2001A W2002A W2003A 碳粉盒兼容 HP Color Laserjet Enterprise M751 M751n(T3U43A) M751dn(T3U44A) 打印机墨盒")</f>
        <v>4 件装（黑色+C+Y+M）658A | W2000A W2001A W2002A W2003A 碳粉盒兼容 HP Color Laserjet Enterprise M751 M751n(T3U43A) M751dn(T3U44A) 打印机墨盒</v>
      </c>
      <c r="E5166" s="1" t="str">
        <f>IFERROR(__xludf.DUMMYFUNCTION("CONCATENATE(GOOGLETRANSLATE(C5166, ""en"", ""ko""))"),"4팩(BK+C+Y+M) 658A | W2000A W2001A W2002A W2003A HP 컬러 레이저젯 엔터프라이즈 M751 M751n(T3U43A) M751dn(T3U44A) 프린터 잉크 카트리지와 호환되는 토너 카트리지")</f>
        <v>4팩(BK+C+Y+M) 658A | W2000A W2001A W2002A W2003A HP 컬러 레이저젯 엔터프라이즈 M751 M751n(T3U43A) M751dn(T3U44A) 프린터 잉크 카트리지와 호환되는 토너 카트리지</v>
      </c>
      <c r="F5166" s="1" t="str">
        <f>IFERROR(__xludf.DUMMYFUNCTION("CONCATENATE(GOOGLETRANSLATE(C5166, ""en"", ""ja""))"),"4 パック (BK+C+Y+M) 658A | W2000A W2001A W2002A W2003A トナー カートリッジ HP Color Laserjet Enterprise M751 M751n(T3U43A) M751dn(T3U44A) プリンタ インク カートリッジと互換性あり")</f>
        <v>4 パック (BK+C+Y+M) 658A | W2000A W2001A W2002A W2003A トナー カートリッジ HP Color Laserjet Enterprise M751 M751n(T3U43A) M751dn(T3U44A) プリンタ インク カートリッジと互換性あり</v>
      </c>
    </row>
    <row r="5167" ht="15.75" customHeight="1">
      <c r="A5167" s="1">
        <v>3534.0</v>
      </c>
      <c r="B5167" s="1" t="s">
        <v>15</v>
      </c>
      <c r="C5167" s="1" t="s">
        <v>4392</v>
      </c>
      <c r="D5167" s="1" t="str">
        <f>IFERROR(__xludf.DUMMYFUNCTION("CONCATENATE(GOOGLETRANSLATE(C5167, ""en"", ""zh-cn""))"),"华硕 ZenBook Flip S13 超薄笔记本电脑，13.3 英寸 4K OLED 触控，Intel Evo 平台酷睿 i7-1165G7，16GB RAM，1TB SSD，Thunderbolt 4，TPM，Windows 11 Pro，AI 降噪，翡翠黑 UX371EA-XH76T")</f>
        <v>华硕 ZenBook Flip S13 超薄笔记本电脑，13.3 英寸 4K OLED 触控，Intel Evo 平台酷睿 i7-1165G7，16GB RAM，1TB SSD，Thunderbolt 4，TPM，Windows 11 Pro，AI 降噪，翡翠黑 UX371EA-XH76T</v>
      </c>
      <c r="E5167" s="1" t="str">
        <f>IFERROR(__xludf.DUMMYFUNCTION("CONCATENATE(GOOGLETRANSLATE(C5167, ""en"", ""ko""))"),"ASUS ZenBook Flip S13 슬림 노트북, 13.3인치 4K OLED 터치, Intel Evo 플랫폼 코어 i7-1165G7, 16GB RAM, 1TB SSD, Thunderbolt 4, TPM, Windows 11 Pro, AI 소음 제거, Jade Black UX371EA-XH76T")</f>
        <v>ASUS ZenBook Flip S13 슬림 노트북, 13.3인치 4K OLED 터치, Intel Evo 플랫폼 코어 i7-1165G7, 16GB RAM, 1TB SSD, Thunderbolt 4, TPM, Windows 11 Pro, AI 소음 제거, Jade Black UX371EA-XH76T</v>
      </c>
      <c r="F5167" s="1" t="str">
        <f>IFERROR(__xludf.DUMMYFUNCTION("CONCATENATE(GOOGLETRANSLATE(C5167, ""en"", ""ja""))"),"ASUS ZenBook Flip S13 スリム ラップトップ、13.3 インチ 4K OLED タッチ、Intel Evo Platform Core i7-1165G7、16GB RAM、1TB SSD、Thunderbolt 4、TPM、Windows 11 Pro、AI ノイズキャンセリング、ジェイド ブラック UX371EA-XH76T")</f>
        <v>ASUS ZenBook Flip S13 スリム ラップトップ、13.3 インチ 4K OLED タッチ、Intel Evo Platform Core i7-1165G7、16GB RAM、1TB SSD、Thunderbolt 4、TPM、Windows 11 Pro、AI ノイズキャンセリング、ジェイド ブラック UX371EA-XH76T</v>
      </c>
    </row>
    <row r="5168" ht="15.75" customHeight="1">
      <c r="A5168" s="1">
        <v>3535.0</v>
      </c>
      <c r="B5168" s="1" t="s">
        <v>15</v>
      </c>
      <c r="C5168" s="1" t="s">
        <v>4393</v>
      </c>
      <c r="D5168" s="1" t="str">
        <f>IFERROR(__xludf.DUMMYFUNCTION("CONCATENATE(GOOGLETRANSLATE(C5168, ""en"", ""zh-cn""))"),"HP Envy 笔记本电脑， 17.3英寸全高清触摸屏，第12代英特尔酷睿 i7-1260P，32GB RAM，1TB PCIe SSD，红外摄像头，背光键盘，HDMI，Wi-Fi 6，Windows 11 Home，银色")</f>
        <v>HP Envy 笔记本电脑， 17.3英寸全高清触摸屏，第12代英特尔酷睿 i7-1260P，32GB RAM，1TB PCIe SSD，红外摄像头，背光键盘，HDMI，Wi-Fi 6，Windows 11 Home，银色</v>
      </c>
      <c r="E5168" s="1" t="str">
        <f>IFERROR(__xludf.DUMMYFUNCTION("CONCATENATE(GOOGLETRANSLATE(C5168, ""en"", ""ko""))"),"HP Envy 노트북, 17.3 풀 HD 터치스크린, 12세대 인텔 코어 i7-1260P, 32GB RAM, 1TB PCIe SSD, IR 카메라, 백라이트 키보드, HDMI, Wi-Fi 6, Windows 11 Home, 실버")</f>
        <v>HP Envy 노트북, 17.3 풀 HD 터치스크린, 12세대 인텔 코어 i7-1260P, 32GB RAM, 1TB PCIe SSD, IR 카메라, 백라이트 키보드, HDMI, Wi-Fi 6, Windows 11 Home, 실버</v>
      </c>
      <c r="F5168" s="1" t="str">
        <f>IFERROR(__xludf.DUMMYFUNCTION("CONCATENATE(GOOGLETRANSLATE(C5168, ""en"", ""ja""))"),"HP Envy ラップトップ、17.3 フル HD タッチスクリーン、第 12 世代 Intel Core i7-1260P、32GB RAM、1TB PCIe SSD、IR カメラ、バックライト付きキーボード、HDMI、Wi-Fi 6、Windows 11 Home、シルバー")</f>
        <v>HP Envy ラップトップ、17.3 フル HD タッチスクリーン、第 12 世代 Intel Core i7-1260P、32GB RAM、1TB PCIe SSD、IR カメラ、バックライト付きキーボード、HDMI、Wi-Fi 6、Windows 11 Home、シルバー</v>
      </c>
    </row>
    <row r="5169" ht="15.75" customHeight="1">
      <c r="A5169" s="1">
        <v>3537.0</v>
      </c>
      <c r="B5169" s="1" t="s">
        <v>15</v>
      </c>
      <c r="C5169" s="1" t="s">
        <v>4394</v>
      </c>
      <c r="D5169" s="1" t="str">
        <f>IFERROR(__xludf.DUMMYFUNCTION("CONCATENATE(GOOGLETRANSLATE(C5169, ""en"", ""zh-cn""))"),"LG HU70LA 4K 超高清智能家庭影院 CineBeam 投影仪，内置 Alexa、LG ThinQ AI、Google Assistant 和 LG webOS Lite 智能电视（Netflix 和 VUDU）（续订）")</f>
        <v>LG HU70LA 4K 超高清智能家庭影院 CineBeam 投影仪，内置 Alexa、LG ThinQ AI、Google Assistant 和 LG webOS Lite 智能电视（Netflix 和 VUDU）（续订）</v>
      </c>
      <c r="E5169" s="1" t="str">
        <f>IFERROR(__xludf.DUMMYFUNCTION("CONCATENATE(GOOGLETRANSLATE(C5169, ""en"", ""ko""))"),"Alexa 내장, LG ThinQ AI, Google Assistant 및 LG webOS Lite 스마트 TV(Netflix 및 VUDU)가 내장된 LG HU70LA 4K UHD 스마트 홈 시어터 CineBeam 프로젝터(리뉴얼)")</f>
        <v>Alexa 내장, LG ThinQ AI, Google Assistant 및 LG webOS Lite 스마트 TV(Netflix 및 VUDU)가 내장된 LG HU70LA 4K UHD 스마트 홈 시어터 CineBeam 프로젝터(리뉴얼)</v>
      </c>
      <c r="F5169" s="1" t="str">
        <f>IFERROR(__xludf.DUMMYFUNCTION("CONCATENATE(GOOGLETRANSLATE(C5169, ""en"", ""ja""))"),"LG HU70LA 4K UHD スマート ホーム シアター CineBeam プロジェクター、Alexa 内蔵、LG ThinQ AI、Google アシスタント、LG webOS Lite スマート TV (Netflix、および VUDU) (リニューアル)")</f>
        <v>LG HU70LA 4K UHD スマート ホーム シアター CineBeam プロジェクター、Alexa 内蔵、LG ThinQ AI、Google アシスタント、LG webOS Lite スマート TV (Netflix、および VUDU) (リニューアル)</v>
      </c>
    </row>
    <row r="5170" ht="15.75" customHeight="1">
      <c r="A5170" s="1">
        <v>3568.0</v>
      </c>
      <c r="B5170" s="1" t="s">
        <v>15</v>
      </c>
      <c r="C5170" s="1" t="s">
        <v>4395</v>
      </c>
      <c r="D5170" s="1" t="str">
        <f>IFERROR(__xludf.DUMMYFUNCTION("CONCATENATE(GOOGLETRANSLATE(C5170, ""en"", ""zh-cn""))"),"Microsoft Surface Pro 9 (2022)，13 二合一平板电脑和笔记本电脑，轻薄，适用于多任务处理的英特尔第 12 代 i5 快速处理器，8GB RAM，256GB 存储，支持 Windows 11，白金级")</f>
        <v>Microsoft Surface Pro 9 (2022)，13 二合一平板电脑和笔记本电脑，轻薄，适用于多任务处理的英特尔第 12 代 i5 快速处理器，8GB RAM，256GB 存储，支持 Windows 11，白金级</v>
      </c>
      <c r="E5170" s="1" t="str">
        <f>IFERROR(__xludf.DUMMYFUNCTION("CONCATENATE(GOOGLETRANSLATE(C5170, ""en"", ""ko""))"),"Microsoft Surface Pro 9(2022), 13 2-in-1 태블릿 및 노트북, 얇고 가벼운 멀티태스킹용 Intel 12세대 i5 고속 프로세서, 8GB RAM, 256GB 스토리지(Windows 11 포함), 플래티넘")</f>
        <v>Microsoft Surface Pro 9(2022), 13 2-in-1 태블릿 및 노트북, 얇고 가벼운 멀티태스킹용 Intel 12세대 i5 고속 프로세서, 8GB RAM, 256GB 스토리지(Windows 11 포함), 플래티넘</v>
      </c>
      <c r="F5170" s="1" t="str">
        <f>IFERROR(__xludf.DUMMYFUNCTION("CONCATENATE(GOOGLETRANSLATE(C5170, ""en"", ""ja""))"),"Microsoft Surface Pro 9 (2022)、13 2-in-1 タブレット &amp; ラップトップ、薄型および軽量、マルチタスク用 Intel 第 12 世代 i5 高速プロセッサー、8GB RAM、256GB ストレージ (Windows 11 搭載)、プラチナ")</f>
        <v>Microsoft Surface Pro 9 (2022)、13 2-in-1 タブレット &amp; ラップトップ、薄型および軽量、マルチタスク用 Intel 第 12 世代 i5 高速プロセッサー、8GB RAM、256GB ストレージ (Windows 11 搭載)、プラチナ</v>
      </c>
    </row>
    <row r="5171" ht="15.75" customHeight="1">
      <c r="A5171" s="1">
        <v>3575.0</v>
      </c>
      <c r="B5171" s="1" t="s">
        <v>15</v>
      </c>
      <c r="C5171" s="1" t="s">
        <v>4396</v>
      </c>
      <c r="D5171" s="1" t="str">
        <f>IFERROR(__xludf.DUMMYFUNCTION("CONCATENATE(GOOGLETRANSLATE(C5171, ""en"", ""zh-cn""))"),"2020 款联想 ThinkPad E15 15.6 英寸全高清商务笔记本电脑，第 10 代英特尔 i5-10210U（高达 4.20GHz），32GB RAM，1TB SSD，WiFi HDMI Win10 Pro")</f>
        <v>2020 款联想 ThinkPad E15 15.6 英寸全高清商务笔记本电脑，第 10 代英特尔 i5-10210U（高达 4.20GHz），32GB RAM，1TB SSD，WiFi HDMI Win10 Pro</v>
      </c>
      <c r="E5171" s="1" t="str">
        <f>IFERROR(__xludf.DUMMYFUNCTION("CONCATENATE(GOOGLETRANSLATE(C5171, ""en"", ""ko""))"),"2020 레노버 씽크패드 E15 15.6인치 FHD 비즈니스 노트북 컴퓨터, 10세대 인텔 i5-10210U(최대 4.20GHz), 32GB RAM, 1TB SSD, WiFi HDMI Win10 Pro")</f>
        <v>2020 레노버 씽크패드 E15 15.6인치 FHD 비즈니스 노트북 컴퓨터, 10세대 인텔 i5-10210U(최대 4.20GHz), 32GB RAM, 1TB SSD, WiFi HDMI Win10 Pro</v>
      </c>
      <c r="F5171" s="1" t="str">
        <f>IFERROR(__xludf.DUMMYFUNCTION("CONCATENATE(GOOGLETRANSLATE(C5171, ""en"", ""ja""))"),"2020 Lenovo ThinkPad E15 15.6 インチ FHD ビジネス ラップトップ コンピューター、第 10 世代 Intel i5-10210U (最大 4.20GHz)、32GB RAM、1TB SSD、WiFi HDMI Win10 Pro")</f>
        <v>2020 Lenovo ThinkPad E15 15.6 インチ FHD ビジネス ラップトップ コンピューター、第 10 世代 Intel i5-10210U (最大 4.20GHz)、32GB RAM、1TB SSD、WiFi HDMI Win10 Pro</v>
      </c>
    </row>
    <row r="5172" ht="15.75" customHeight="1">
      <c r="A5172" s="1">
        <v>3581.0</v>
      </c>
      <c r="B5172" s="1" t="s">
        <v>15</v>
      </c>
      <c r="C5172" s="1" t="s">
        <v>4397</v>
      </c>
      <c r="D5172" s="1" t="str">
        <f>IFERROR(__xludf.DUMMYFUNCTION("CONCATENATE(GOOGLETRANSLATE(C5172, ""en"", ""zh-cn""))"),"联想 ThinkBook G3 商务笔记本电脑，15.6 全高清显示屏，AMD Ryzen 7 5700U (Beat i7-1260P)，Windows 11 Pro，32GB RAM，1TB SSD，RJ-45，背光键盘，指纹识别，长电池寿命，Durlyfish")</f>
        <v>联想 ThinkBook G3 商务笔记本电脑，15.6 全高清显示屏，AMD Ryzen 7 5700U (Beat i7-1260P)，Windows 11 Pro，32GB RAM，1TB SSD，RJ-45，背光键盘，指纹识别，长电池寿命，Durlyfish</v>
      </c>
      <c r="E5172" s="1" t="str">
        <f>IFERROR(__xludf.DUMMYFUNCTION("CONCATENATE(GOOGLETRANSLATE(C5172, ""en"", ""ko""))"),"Lenovo ThinkBook G3 비즈니스 노트북, 15.6 풀 HD 디스플레이, AMD Ryzen 7 5700U(Beat i7-1260P), Windows 11 Pro, 32GB RAM, 1TB SSD, RJ-45, 백라이트 키보드, 지문, 긴 배터리 수명, Durlyfish")</f>
        <v>Lenovo ThinkBook G3 비즈니스 노트북, 15.6 풀 HD 디스플레이, AMD Ryzen 7 5700U(Beat i7-1260P), Windows 11 Pro, 32GB RAM, 1TB SSD, RJ-45, 백라이트 키보드, 지문, 긴 배터리 수명, Durlyfish</v>
      </c>
      <c r="F5172" s="1" t="str">
        <f>IFERROR(__xludf.DUMMYFUNCTION("CONCATENATE(GOOGLETRANSLATE(C5172, ""en"", ""ja""))"),"Lenovo ThinkBook G3 ビジネス ラップトップ、15.6 フル HD ディスプレイ、AMD Ryzen 7 5700U (Beat i7-1260P)、Windows 11 Pro、32GB RAM、1TB SSD、RJ-45、バックライト付きキーボード、指紋認証、長いバッテリー寿命、Durlyfish")</f>
        <v>Lenovo ThinkBook G3 ビジネス ラップトップ、15.6 フル HD ディスプレイ、AMD Ryzen 7 5700U (Beat i7-1260P)、Windows 11 Pro、32GB RAM、1TB SSD、RJ-45、バックライト付きキーボード、指紋認証、長いバッテリー寿命、Durlyfish</v>
      </c>
    </row>
    <row r="5173" ht="15.75" customHeight="1">
      <c r="A5173" s="1">
        <v>3584.0</v>
      </c>
      <c r="B5173" s="1" t="s">
        <v>15</v>
      </c>
      <c r="C5173" s="1" t="s">
        <v>4398</v>
      </c>
      <c r="D5173" s="1" t="str">
        <f>IFERROR(__xludf.DUMMYFUNCTION("CONCATENATE(GOOGLETRANSLATE(C5173, ""en"", ""zh-cn""))"),"联想 IdeaPad Slim 9i 14 商务笔记本电脑 | 联想14 超高清 4K 多点触控（500 尼特）|第 11 代英特尔 4 核 i7-1195G7 | 16GB DDR4 512GB 固态硬盘 |指纹背光 Thunderbolt Win11Pro 黑色 + USB-C 适配器")</f>
        <v>联想 IdeaPad Slim 9i 14 商务笔记本电脑 | 联想14 超高清 4K 多点触控（500 尼特）|第 11 代英特尔 4 核 i7-1195G7 | 16GB DDR4 512GB 固态硬盘 |指纹背光 Thunderbolt Win11Pro 黑色 + USB-C 适配器</v>
      </c>
      <c r="E5173" s="1" t="str">
        <f>IFERROR(__xludf.DUMMYFUNCTION("CONCATENATE(GOOGLETRANSLATE(C5173, ""en"", ""ko""))"),"Lenovo IdeaPad Slim 9i 14 비즈니스 노트북 | 14 UHD 4K 멀티터치(500nits) | 11세대 인텔 4코어 i7-1195G7 | 16GB DDR4 512GB SSD | 지문 백라이트 Thunderbolt Win11Pro 블랙 + USB-C 어댑터")</f>
        <v>Lenovo IdeaPad Slim 9i 14 비즈니스 노트북 | 14 UHD 4K 멀티터치(500nits) | 11세대 인텔 4코어 i7-1195G7 | 16GB DDR4 512GB SSD | 지문 백라이트 Thunderbolt Win11Pro 블랙 + USB-C 어댑터</v>
      </c>
      <c r="F5173" s="1" t="str">
        <f>IFERROR(__xludf.DUMMYFUNCTION("CONCATENATE(GOOGLETRANSLATE(C5173, ""en"", ""ja""))"),"Lenovo IdeaPad スリム 9i 14 ビジネス ノートパソコン | 14 UHD 4K マルチタッチ (500nits) |第 11 世代インテル 4 コア i7-1195G7 | 16GB DDR4 512GB SSD |指紋認証バックライト付き Thunderbolt Win11Pro ブラック + USB-C アダプター")</f>
        <v>Lenovo IdeaPad スリム 9i 14 ビジネス ノートパソコン | 14 UHD 4K マルチタッチ (500nits) |第 11 世代インテル 4 コア i7-1195G7 | 16GB DDR4 512GB SSD |指紋認証バックライト付き Thunderbolt Win11Pro ブラック + USB-C アダプター</v>
      </c>
    </row>
    <row r="5174" ht="15.75" customHeight="1">
      <c r="A5174" s="1">
        <v>3594.0</v>
      </c>
      <c r="B5174" s="1" t="s">
        <v>15</v>
      </c>
      <c r="C5174" s="1" t="s">
        <v>4399</v>
      </c>
      <c r="D5174" s="1" t="str">
        <f>IFERROR(__xludf.DUMMYFUNCTION("CONCATENATE(GOOGLETRANSLATE(C5174, ""en"", ""zh-cn""))"),"aoonav Android 11 Snapdragon 665 汽车立体声收音机 适用于道奇 Ram 2018 2019 2020 2021 汽车音频 12.1 英寸多媒体视频播放器 GPS 导航 1080P 触摸屏 Carplay WiFi 蓝牙主机")</f>
        <v>aoonav Android 11 Snapdragon 665 汽车立体声收音机 适用于道奇 Ram 2018 2019 2020 2021 汽车音频 12.1 英寸多媒体视频播放器 GPS 导航 1080P 触摸屏 Carplay WiFi 蓝牙主机</v>
      </c>
      <c r="E5174" s="1" t="str">
        <f>IFERROR(__xludf.DUMMYFUNCTION("CONCATENATE(GOOGLETRANSLATE(C5174, ""en"", ""ko""))"),"Aoonav 안드로이드 11 금어초 665 자동차 스테레오 라디오 닷지 램 2018 2019 2020 2021 자동 오디오 12.1 인치 멀티미디어 비디오 플레이어 GPS 네비게이션 1080P 터치 스크린 Carplay WiFi 블루투스 헤드 유닛")</f>
        <v>Aoonav 안드로이드 11 금어초 665 자동차 스테레오 라디오 닷지 램 2018 2019 2020 2021 자동 오디오 12.1 인치 멀티미디어 비디오 플레이어 GPS 네비게이션 1080P 터치 스크린 Carplay WiFi 블루투스 헤드 유닛</v>
      </c>
      <c r="F5174" s="1" t="str">
        <f>IFERROR(__xludf.DUMMYFUNCTION("CONCATENATE(GOOGLETRANSLATE(C5174, ""en"", ""ja""))"),"aoonav Android 11 Snapdragon 665 カーステレオラジオ ダッジ・ラム 2018 2019 2020 2021 オートオーディオ 12.1 インチ マルチメディア ビデオ プレーヤー GPS ナビゲーション 1080P タッチ スクリーン Carplay WiFi Bluetooth ヘッドユニット")</f>
        <v>aoonav Android 11 Snapdragon 665 カーステレオラジオ ダッジ・ラム 2018 2019 2020 2021 オートオーディオ 12.1 インチ マルチメディア ビデオ プレーヤー GPS ナビゲーション 1080P タッチ スクリーン Carplay WiFi Bluetooth ヘッドユニット</v>
      </c>
    </row>
    <row r="5175" ht="15.75" customHeight="1">
      <c r="A5175" s="1">
        <v>3632.0</v>
      </c>
      <c r="B5175" s="1" t="s">
        <v>15</v>
      </c>
      <c r="C5175" s="1" t="s">
        <v>2787</v>
      </c>
      <c r="D5175" s="1" t="str">
        <f>IFERROR(__xludf.DUMMYFUNCTION("CONCATENATE(GOOGLETRANSLATE(C5175, ""en"", ""zh-cn""))"),"戴尔 Optiplex 3000 MFF 商用台式机，第 12 代英特尔酷睿 i5-12500T，16GB RAM，512GB PCIe SSD，HDMI，Displayport，RJ-45，有线键盘和鼠标，Wi-Fi 6，Windows 11 Pro，黑色，16GB RAM | 512GB 固态硬盘")</f>
        <v>戴尔 Optiplex 3000 MFF 商用台式机，第 12 代英特尔酷睿 i5-12500T，16GB RAM，512GB PCIe SSD，HDMI，Displayport，RJ-45，有线键盘和鼠标，Wi-Fi 6，Windows 11 Pro，黑色，16GB RAM | 512GB 固态硬盘</v>
      </c>
      <c r="E5175" s="1" t="str">
        <f>IFERROR(__xludf.DUMMYFUNCTION("CONCATENATE(GOOGLETRANSLATE(C5175, ""en"", ""ko""))"),"Dell Optiplex 3000 MFF 비즈니스 데스크탑, 12세대 Intel Core i5-12500T, 16GB RAM, 512GB PCIe SSD, HDMI, 디스플레이포트, RJ-45, 유선 키보드 및 마우스, Wi-Fi 6, Windows 11 Pro, 블랙, 16GB RAM | 512GB SSD")</f>
        <v>Dell Optiplex 3000 MFF 비즈니스 데스크탑, 12세대 Intel Core i5-12500T, 16GB RAM, 512GB PCIe SSD, HDMI, 디스플레이포트, RJ-45, 유선 키보드 및 마우스, Wi-Fi 6, Windows 11 Pro, 블랙, 16GB RAM | 512GB SSD</v>
      </c>
      <c r="F5175" s="1" t="str">
        <f>IFERROR(__xludf.DUMMYFUNCTION("CONCATENATE(GOOGLETRANSLATE(C5175, ""en"", ""ja""))"),"Dell Optiplex 3000 MFF ビジネス デスクトップ、第 12 世代インテル Core i5-12500T、16GB RAM、512GB PCIe SSD、HDMI、ディスプレイポート、RJ-45、有線キーボード&amp;マウス、Wi-Fi 6、Windows 11 Pro、ブラック、16GB RAM | 512GB SSD")</f>
        <v>Dell Optiplex 3000 MFF ビジネス デスクトップ、第 12 世代インテル Core i5-12500T、16GB RAM、512GB PCIe SSD、HDMI、ディスプレイポート、RJ-45、有線キーボード&amp;マウス、Wi-Fi 6、Windows 11 Pro、ブラック、16GB RAM | 512GB SSD</v>
      </c>
    </row>
    <row r="5176" ht="15.75" customHeight="1">
      <c r="A5176" s="1">
        <v>3641.0</v>
      </c>
      <c r="B5176" s="1" t="s">
        <v>15</v>
      </c>
      <c r="C5176" s="1" t="s">
        <v>4094</v>
      </c>
      <c r="D5176" s="1" t="str">
        <f>IFERROR(__xludf.DUMMYFUNCTION("CONCATENATE(GOOGLETRANSLATE(C5176, ""en"", ""zh-cn""))"),"2020 Apple iPad Pro 第二代（11 英寸，Wi-Fi + 蜂窝网络，256GB）深空灰色（续订）")</f>
        <v>2020 Apple iPad Pro 第二代（11 英寸，Wi-Fi + 蜂窝网络，256GB）深空灰色（续订）</v>
      </c>
      <c r="E5176" s="1" t="str">
        <f>IFERROR(__xludf.DUMMYFUNCTION("CONCATENATE(GOOGLETRANSLATE(C5176, ""en"", ""ko""))"),"2020 애플 아이패드 프로 2세대(11인치, Wi-Fi + Cellular, 256GB) 스페이스 그레이(리뉴얼)")</f>
        <v>2020 애플 아이패드 프로 2세대(11인치, Wi-Fi + Cellular, 256GB) 스페이스 그레이(리뉴얼)</v>
      </c>
      <c r="F5176" s="1" t="str">
        <f>IFERROR(__xludf.DUMMYFUNCTION("CONCATENATE(GOOGLETRANSLATE(C5176, ""en"", ""ja""))"),"2020 Apple iPad Pro 第 2 世代 (11 インチ、Wi-Fi + Cellular、256GB) スペース グレイ (リニューアル)")</f>
        <v>2020 Apple iPad Pro 第 2 世代 (11 インチ、Wi-Fi + Cellular、256GB) スペース グレイ (リニューアル)</v>
      </c>
    </row>
    <row r="5177" ht="15.75" customHeight="1">
      <c r="A5177" s="1">
        <v>3645.0</v>
      </c>
      <c r="B5177" s="1" t="s">
        <v>15</v>
      </c>
      <c r="C5177" s="1" t="s">
        <v>4400</v>
      </c>
      <c r="D5177" s="1" t="str">
        <f>IFERROR(__xludf.DUMMYFUNCTION("CONCATENATE(GOOGLETRANSLATE(C5177, ""en"", ""zh-cn""))"),"HP Pavilion x360 二合一 14 英寸全高清触摸屏笔记本电脑，英特尔四核 i5-1135G7 高达 4.2GHz (Beat i7-1065G7)，8GB DDR4 RAM，512GB PCIe SSD，WiFi 6，银色，Windows 11，BROAG 延长线")</f>
        <v>HP Pavilion x360 二合一 14 英寸全高清触摸屏笔记本电脑，英特尔四核 i5-1135G7 高达 4.2GHz (Beat i7-1065G7)，8GB DDR4 RAM，512GB PCIe SSD，WiFi 6，银色，Windows 11，BROAG 延长线</v>
      </c>
      <c r="E5177" s="1" t="str">
        <f>IFERROR(__xludf.DUMMYFUNCTION("CONCATENATE(GOOGLETRANSLATE(C5177, ""en"", ""ko""))"),"HP Pavilion x360 2-in-1 14 FHD 터치스크린 노트북 컴퓨터, Intel 쿼드 코어 i5-1135G7 최대 4.2GHz(Beat i7-1065G7), 8GB DDR4 RAM, 512GB PCIe SSD, WiFi 6, 실버, Windows 11, BROAG 연장 케이블")</f>
        <v>HP Pavilion x360 2-in-1 14 FHD 터치스크린 노트북 컴퓨터, Intel 쿼드 코어 i5-1135G7 최대 4.2GHz(Beat i7-1065G7), 8GB DDR4 RAM, 512GB PCIe SSD, WiFi 6, 실버, Windows 11, BROAG 연장 케이블</v>
      </c>
      <c r="F5177" s="1" t="str">
        <f>IFERROR(__xludf.DUMMYFUNCTION("CONCATENATE(GOOGLETRANSLATE(C5177, ""en"", ""ja""))"),"HP Pavilion x360 2-in-1 14 FHD タッチスクリーン ラップトップ コンピューター、Intel クアッドコア i5-1135G7 最大 4.2 GHz (Beat i7-1065G7)、8GB DDR4 RAM、512GB PCIe SSD、WiFi 6、シルバー、Windows 11、BROAG 延長ケーブル")</f>
        <v>HP Pavilion x360 2-in-1 14 FHD タッチスクリーン ラップトップ コンピューター、Intel クアッドコア i5-1135G7 最大 4.2 GHz (Beat i7-1065G7)、8GB DDR4 RAM、512GB PCIe SSD、WiFi 6、シルバー、Windows 11、BROAG 延長ケーブル</v>
      </c>
    </row>
    <row r="5178" ht="15.75" customHeight="1">
      <c r="A5178" s="1">
        <v>3652.0</v>
      </c>
      <c r="B5178" s="1" t="s">
        <v>15</v>
      </c>
      <c r="C5178" s="1" t="s">
        <v>4401</v>
      </c>
      <c r="D5178" s="1" t="str">
        <f>IFERROR(__xludf.DUMMYFUNCTION("CONCATENATE(GOOGLETRANSLATE(C5178, ""en"", ""zh-cn""))"),"Apple iPad Pro 10.5 英寸 - 512GB Wifi - 2017 型号 - 银色（已更新）")</f>
        <v>Apple iPad Pro 10.5 英寸 - 512GB Wifi - 2017 型号 - 银色（已更新）</v>
      </c>
      <c r="E5178" s="1" t="str">
        <f>IFERROR(__xludf.DUMMYFUNCTION("CONCATENATE(GOOGLETRANSLATE(C5178, ""en"", ""ko""))"),"애플 아이패드 프로 10.5인치 - 512GB 와이파이 - 2017 모델 - 실버(리뉴얼)")</f>
        <v>애플 아이패드 프로 10.5인치 - 512GB 와이파이 - 2017 모델 - 실버(리뉴얼)</v>
      </c>
      <c r="F5178" s="1" t="str">
        <f>IFERROR(__xludf.DUMMYFUNCTION("CONCATENATE(GOOGLETRANSLATE(C5178, ""en"", ""ja""))"),"Apple iPad Pro 10.5インチ - 512GB Wifi - 2017年モデル - シルバー (リニューアル)")</f>
        <v>Apple iPad Pro 10.5インチ - 512GB Wifi - 2017年モデル - シルバー (リニューアル)</v>
      </c>
    </row>
    <row r="5179" ht="15.75" customHeight="1">
      <c r="A5179" s="1">
        <v>3655.0</v>
      </c>
      <c r="B5179" s="1" t="s">
        <v>15</v>
      </c>
      <c r="C5179" s="1" t="s">
        <v>4402</v>
      </c>
      <c r="D5179" s="1" t="str">
        <f>IFERROR(__xludf.DUMMYFUNCTION("CONCATENATE(GOOGLETRANSLATE(C5179, ""en"", ""zh-cn""))"),"HP 2022 最新 17.3 HD+ 显示屏笔记本电脑，第 11 代 Intel Core i3-1115G4（高达 4.1GHz，击败 i5-1030G7），32GB DDR4 RAM，1TB PCIe SSD，蓝牙，HDMI，网络摄像头，Windows 11，银色，带 3 合 1 配件")</f>
        <v>HP 2022 最新 17.3 HD+ 显示屏笔记本电脑，第 11 代 Intel Core i3-1115G4（高达 4.1GHz，击败 i5-1030G7），32GB DDR4 RAM，1TB PCIe SSD，蓝牙，HDMI，网络摄像头，Windows 11，银色，带 3 合 1 配件</v>
      </c>
      <c r="E5179" s="1" t="str">
        <f>IFERROR(__xludf.DUMMYFUNCTION("CONCATENATE(GOOGLETRANSLATE(C5179, ""en"", ""ko""))"),"HP 2022 최신 17.3 HD+ 디스플레이 노트북, 11세대 Intel Core i3-1115G4(최대 4.1GHz, Beat i5-1030G7), 32GB DDR4 RAM, 1TB PCIe SSD, Bluetooth, HDMI, 웹캠, Windows 11, 실버, 3in1 액세서리 포함")</f>
        <v>HP 2022 최신 17.3 HD+ 디스플레이 노트북, 11세대 Intel Core i3-1115G4(최대 4.1GHz, Beat i5-1030G7), 32GB DDR4 RAM, 1TB PCIe SSD, Bluetooth, HDMI, 웹캠, Windows 11, 실버, 3in1 액세서리 포함</v>
      </c>
      <c r="F5179" s="1" t="str">
        <f>IFERROR(__xludf.DUMMYFUNCTION("CONCATENATE(GOOGLETRANSLATE(C5179, ""en"", ""ja""))"),"HP 2022 最新 17.3 HD+ ディスプレイ ラップトップ、第 11 世代インテル Core i3-1115G4 (最大 4.1 GHz、Beat i5-1030G7)、32GB DDR4 RAM、1TB PCIe SSD、Bluetooth、HDMI、Web カメラ、Windows 11、シルバー、3in1 アクセサリ付き")</f>
        <v>HP 2022 最新 17.3 HD+ ディスプレイ ラップトップ、第 11 世代インテル Core i3-1115G4 (最大 4.1 GHz、Beat i5-1030G7)、32GB DDR4 RAM、1TB PCIe SSD、Bluetooth、HDMI、Web カメラ、Windows 11、シルバー、3in1 アクセサリ付き</v>
      </c>
    </row>
    <row r="5180" ht="15.75" customHeight="1">
      <c r="A5180" s="1">
        <v>3656.0</v>
      </c>
      <c r="B5180" s="1" t="s">
        <v>15</v>
      </c>
      <c r="C5180" s="1" t="s">
        <v>4403</v>
      </c>
      <c r="D5180" s="1" t="str">
        <f>IFERROR(__xludf.DUMMYFUNCTION("CONCATENATE(GOOGLETRANSLATE(C5180, ""en"", ""zh-cn""))"),"富士通 FI-7140 文档扫描仪， PA03670-B101")</f>
        <v>富士通 FI-7140 文档扫描仪， PA03670-B101</v>
      </c>
      <c r="E5180" s="1" t="str">
        <f>IFERROR(__xludf.DUMMYFUNCTION("CONCATENATE(GOOGLETRANSLATE(C5180, ""en"", ""ko""))"),"Fujitsu FI-7140 문서 스캐너, PA03670-B101")</f>
        <v>Fujitsu FI-7140 문서 스캐너, PA03670-B101</v>
      </c>
      <c r="F5180" s="1" t="str">
        <f>IFERROR(__xludf.DUMMYFUNCTION("CONCATENATE(GOOGLETRANSLATE(C5180, ""en"", ""ja""))"),"富士通 FI-7140 ドキュメントスキャナー、PA03670-B101")</f>
        <v>富士通 FI-7140 ドキュメントスキャナー、PA03670-B101</v>
      </c>
    </row>
    <row r="5181" ht="15.75" customHeight="1">
      <c r="A5181" s="1">
        <v>3663.0</v>
      </c>
      <c r="B5181" s="1" t="s">
        <v>15</v>
      </c>
      <c r="C5181" s="1" t="s">
        <v>4404</v>
      </c>
      <c r="D5181" s="1" t="str">
        <f>IFERROR(__xludf.DUMMYFUNCTION("CONCATENATE(GOOGLETRANSLATE(C5181, ""en"", ""zh-cn""))"),"HP 2022 最新 17 笔记本电脑，17.3 FHD IPS 显示屏，英特尔酷睿 i5-1135G7 四核处理器，英特尔 Iris Xe 显卡，16GB RAM，1TB PCIe SSD，HDMI，Windows 11 + 超细纤维布")</f>
        <v>HP 2022 最新 17 笔记本电脑，17.3 FHD IPS 显示屏，英特尔酷睿 i5-1135G7 四核处理器，英特尔 Iris Xe 显卡，16GB RAM，1TB PCIe SSD，HDMI，Windows 11 + 超细纤维布</v>
      </c>
      <c r="E5181" s="1" t="str">
        <f>IFERROR(__xludf.DUMMYFUNCTION("CONCATENATE(GOOGLETRANSLATE(C5181, ""en"", ""ko""))"),"HP 2022 최신 17 노트북, 17.3 FHD IPS 디스플레이, Intel Core i5-1135G7 쿼드 코어 프로세서, Intel Iris Xe 그래픽, 16GB RAM, 1TB PCIe SSD, HDMI, Windows 11 + 마이크로파이버 천")</f>
        <v>HP 2022 최신 17 노트북, 17.3 FHD IPS 디스플레이, Intel Core i5-1135G7 쿼드 코어 프로세서, Intel Iris Xe 그래픽, 16GB RAM, 1TB PCIe SSD, HDMI, Windows 11 + 마이크로파이버 천</v>
      </c>
      <c r="F5181" s="1" t="str">
        <f>IFERROR(__xludf.DUMMYFUNCTION("CONCATENATE(GOOGLETRANSLATE(C5181, ""en"", ""ja""))"),"HP 2022 最新 17 ラップトップ、17.3 FHD IPS ディスプレイ、Intel Core i5-1135G7 クアッドコア プロセッサ、Intel Iris Xe グラフィックス、16GB RAM、1TB PCIe SSD、HDMI、Windows 11 + マイクロファイバー クロス")</f>
        <v>HP 2022 最新 17 ラップトップ、17.3 FHD IPS ディスプレイ、Intel Core i5-1135G7 クアッドコア プロセッサ、Intel Iris Xe グラフィックス、16GB RAM、1TB PCIe SSD、HDMI、Windows 11 + マイクロファイバー クロス</v>
      </c>
    </row>
    <row r="5182" ht="15.75" customHeight="1">
      <c r="A5182" s="1">
        <v>3665.0</v>
      </c>
      <c r="B5182" s="1" t="s">
        <v>15</v>
      </c>
      <c r="C5182" s="1" t="s">
        <v>3222</v>
      </c>
      <c r="D5182" s="1" t="str">
        <f>IFERROR(__xludf.DUMMYFUNCTION("CONCATENATE(GOOGLETRANSLATE(C5182, ""en"", ""zh-cn""))"),"Apple 2022 iPad Air（10.9 英寸，Wi-Fi + 蜂窝网络，64GB）- 蓝色（第 5 代）")</f>
        <v>Apple 2022 iPad Air（10.9 英寸，Wi-Fi + 蜂窝网络，64GB）- 蓝色（第 5 代）</v>
      </c>
      <c r="E5182" s="1" t="str">
        <f>IFERROR(__xludf.DUMMYFUNCTION("CONCATENATE(GOOGLETRANSLATE(C5182, ""en"", ""ko""))"),"Apple 2022 아이패드 에어(10.9인치, Wi-Fi + Cellular, 64GB) - 블루(5세대)")</f>
        <v>Apple 2022 아이패드 에어(10.9인치, Wi-Fi + Cellular, 64GB) - 블루(5세대)</v>
      </c>
      <c r="F5182" s="1" t="str">
        <f>IFERROR(__xludf.DUMMYFUNCTION("CONCATENATE(GOOGLETRANSLATE(C5182, ""en"", ""ja""))"),"Apple 2022 iPad Air (10.9 インチ、Wi-Fi + Cellular、64GB) - ブルー (第 5 世代)")</f>
        <v>Apple 2022 iPad Air (10.9 インチ、Wi-Fi + Cellular、64GB) - ブルー (第 5 世代)</v>
      </c>
    </row>
    <row r="5183" ht="15.75" customHeight="1">
      <c r="A5183" s="1">
        <v>3687.0</v>
      </c>
      <c r="B5183" s="1" t="s">
        <v>15</v>
      </c>
      <c r="C5183" s="1" t="s">
        <v>4405</v>
      </c>
      <c r="D5183" s="1" t="str">
        <f>IFERROR(__xludf.DUMMYFUNCTION("CONCATENATE(GOOGLETRANSLATE(C5183, ""en"", ""zh-cn""))"),"GoPro HERO11 Black Creator 版 - 包括 HERO11、Volta（电池手柄、三脚架、遥控器）、媒体模块、灯光模块、Enduro 电池和便携包")</f>
        <v>GoPro HERO11 Black Creator 版 - 包括 HERO11、Volta（电池手柄、三脚架、遥控器）、媒体模块、灯光模块、Enduro 电池和便携包</v>
      </c>
      <c r="E5183" s="1" t="str">
        <f>IFERROR(__xludf.DUMMYFUNCTION("CONCATENATE(GOOGLETRANSLATE(C5183, ""en"", ""ko""))"),"GoPro HERO11 Black Creator Edition - HERO11, Volta(배터리 그립, 삼각대, 리모컨), 미디어 모드, 라이트 모드, 엔듀로 배터리 및 휴대용 케이스 포함")</f>
        <v>GoPro HERO11 Black Creator Edition - HERO11, Volta(배터리 그립, 삼각대, 리모컨), 미디어 모드, 라이트 모드, 엔듀로 배터리 및 휴대용 케이스 포함</v>
      </c>
      <c r="F5183" s="1" t="str">
        <f>IFERROR(__xludf.DUMMYFUNCTION("CONCATENATE(GOOGLETRANSLATE(C5183, ""en"", ""ja""))"),"GoPro HERO11 Black Creator Edition - HERO11、Volta (バッテリー グリップ、三脚、リモート)、メディア モジュール、ライト モジュール、エンデューロ バッテリー、およびキャリング ケースが含まれます")</f>
        <v>GoPro HERO11 Black Creator Edition - HERO11、Volta (バッテリー グリップ、三脚、リモート)、メディア モジュール、ライト モジュール、エンデューロ バッテリー、およびキャリング ケースが含まれます</v>
      </c>
    </row>
    <row r="5184" ht="15.75" customHeight="1">
      <c r="A5184" s="1">
        <v>3691.0</v>
      </c>
      <c r="B5184" s="1" t="s">
        <v>15</v>
      </c>
      <c r="C5184" s="1" t="s">
        <v>4406</v>
      </c>
      <c r="D5184" s="1" t="str">
        <f>IFERROR(__xludf.DUMMYFUNCTION("CONCATENATE(GOOGLETRANSLATE(C5184, ""en"", ""zh-cn""))"),"联想 IdeaPad 3 笔记本电脑， 15.6 HD+ 显示屏，AMD Ryzen 5 5500U，8GB RAM，512GB 存储，AMD Radeon 7 显卡，Windows 11 Home，深渊蓝")</f>
        <v>联想 IdeaPad 3 笔记本电脑， 15.6 HD+ 显示屏，AMD Ryzen 5 5500U，8GB RAM，512GB 存储，AMD Radeon 7 显卡，Windows 11 Home，深渊蓝</v>
      </c>
      <c r="E5184" s="1" t="str">
        <f>IFERROR(__xludf.DUMMYFUNCTION("CONCATENATE(GOOGLETRANSLATE(C5184, ""en"", ""ko""))"),"Lenovo IdeaPad 3 노트북, 15.6 HD+ 디스플레이, AMD Ryzen 5 5500U, 8GB RAM, 512GB 스토리지, AMD Radeon 7 그래픽, Windows 11 Home, Abyss Blue")</f>
        <v>Lenovo IdeaPad 3 노트북, 15.6 HD+ 디스플레이, AMD Ryzen 5 5500U, 8GB RAM, 512GB 스토리지, AMD Radeon 7 그래픽, Windows 11 Home, Abyss Blue</v>
      </c>
      <c r="F5184" s="1" t="str">
        <f>IFERROR(__xludf.DUMMYFUNCTION("CONCATENATE(GOOGLETRANSLATE(C5184, ""en"", ""ja""))"),"Lenovo IdeaPad 3 ラップトップ、15.6 HD+ ディスプレイ、AMD Ryzen 5 5500U、8GB RAM、512GB ストレージ、AMD Radeon 7 グラフィックス、Windows 11 Home、アビス ブルー")</f>
        <v>Lenovo IdeaPad 3 ラップトップ、15.6 HD+ ディスプレイ、AMD Ryzen 5 5500U、8GB RAM、512GB ストレージ、AMD Radeon 7 グラフィックス、Windows 11 Home、アビス ブルー</v>
      </c>
    </row>
    <row r="5185" ht="15.75" customHeight="1">
      <c r="A5185" s="1">
        <v>3709.0</v>
      </c>
      <c r="B5185" s="1" t="s">
        <v>15</v>
      </c>
      <c r="C5185" s="1" t="s">
        <v>4407</v>
      </c>
      <c r="D5185" s="1" t="str">
        <f>IFERROR(__xludf.DUMMYFUNCTION("CONCATENATE(GOOGLETRANSLATE(C5185, ""en"", ""zh-cn""))"),"2022 Apple iPad（10.9 英寸，Wi-Fi + 蜂窝网络，64GB）- 粉色（续订）")</f>
        <v>2022 Apple iPad（10.9 英寸，Wi-Fi + 蜂窝网络，64GB）- 粉色（续订）</v>
      </c>
      <c r="E5185" s="1" t="str">
        <f>IFERROR(__xludf.DUMMYFUNCTION("CONCATENATE(GOOGLETRANSLATE(C5185, ""en"", ""ko""))"),"2022 애플 아이패드(10.9인치, Wi-Fi + Cellular, 64GB) - 핑크(리뉴얼)")</f>
        <v>2022 애플 아이패드(10.9인치, Wi-Fi + Cellular, 64GB) - 핑크(리뉴얼)</v>
      </c>
      <c r="F5185" s="1" t="str">
        <f>IFERROR(__xludf.DUMMYFUNCTION("CONCATENATE(GOOGLETRANSLATE(C5185, ""en"", ""ja""))"),"2022 Apple iPad (10.9 インチ、Wi-Fi + Cellular、64GB) - ピンク (リニューアル)")</f>
        <v>2022 Apple iPad (10.9 インチ、Wi-Fi + Cellular、64GB) - ピンク (リニューアル)</v>
      </c>
    </row>
    <row r="5186" ht="15.75" customHeight="1">
      <c r="A5186" s="1">
        <v>3710.0</v>
      </c>
      <c r="B5186" s="1" t="s">
        <v>15</v>
      </c>
      <c r="C5186" s="1" t="s">
        <v>4408</v>
      </c>
      <c r="D5186" s="1" t="str">
        <f>IFERROR(__xludf.DUMMYFUNCTION("CONCATENATE(GOOGLETRANSLATE(C5186, ""en"", ""zh-cn""))"),"APC SMT2200RM2U Smart-UPS 2200VA 1980W 120V LCD 机架式 2U 备用电池（更新）")</f>
        <v>APC SMT2200RM2U Smart-UPS 2200VA 1980W 120V LCD 机架式 2U 备用电池（更新）</v>
      </c>
      <c r="E5186" s="1" t="str">
        <f>IFERROR(__xludf.DUMMYFUNCTION("CONCATENATE(GOOGLETRANSLATE(C5186, ""en"", ""ko""))"),"APC SMT2200RM2U Smart-UPS 2200VA 1980W 120V LCD 랙마운트 2U 배터리 전원 백업(갱신)")</f>
        <v>APC SMT2200RM2U Smart-UPS 2200VA 1980W 120V LCD 랙마운트 2U 배터리 전원 백업(갱신)</v>
      </c>
      <c r="F5186" s="1" t="str">
        <f>IFERROR(__xludf.DUMMYFUNCTION("CONCATENATE(GOOGLETRANSLATE(C5186, ""en"", ""ja""))"),"APC SMT2200RM2U Smart-UPS 2200VA 1980W 120V LCD ラックマウント 2U バッテリー電源バックアップ (リニューアル)")</f>
        <v>APC SMT2200RM2U Smart-UPS 2200VA 1980W 120V LCD ラックマウント 2U バッテリー電源バックアップ (リニューアル)</v>
      </c>
    </row>
    <row r="5187" ht="15.75" customHeight="1">
      <c r="A5187" s="1">
        <v>3719.0</v>
      </c>
      <c r="B5187" s="1" t="s">
        <v>15</v>
      </c>
      <c r="C5187" s="1" t="s">
        <v>4409</v>
      </c>
      <c r="D5187" s="1" t="str">
        <f>IFERROR(__xludf.DUMMYFUNCTION("CONCATENATE(GOOGLETRANSLATE(C5187, ""en"", ""zh-cn""))"),"BUFFALO LinkStation 720 16TB 2 盘位家庭办公室私有云数据存储（含硬盘）/计算机网络附加存储/NAS 存储/网络存储/媒体服务器/文件服务器")</f>
        <v>BUFFALO LinkStation 720 16TB 2 盘位家庭办公室私有云数据存储（含硬盘）/计算机网络附加存储/NAS 存储/网络存储/媒体服务器/文件服务器</v>
      </c>
      <c r="E5187" s="1" t="str">
        <f>IFERROR(__xludf.DUMMYFUNCTION("CONCATENATE(GOOGLETRANSLATE(C5187, ""en"", ""ko""))"),"BUFFALO LinkStation 720 16TB 2베이 홈 오피스 개인 클라우드 데이터 스토리지(하드 드라이브 포함)/컴퓨터 네트워크 연결 스토리지/NAS 스토리지/네트워크 스토리지/미디어 서버/파일 서버")</f>
        <v>BUFFALO LinkStation 720 16TB 2베이 홈 오피스 개인 클라우드 데이터 스토리지(하드 드라이브 포함)/컴퓨터 네트워크 연결 스토리지/NAS 스토리지/네트워크 스토리지/미디어 서버/파일 서버</v>
      </c>
      <c r="F5187" s="1" t="str">
        <f>IFERROR(__xludf.DUMMYFUNCTION("CONCATENATE(GOOGLETRANSLATE(C5187, ""en"", ""ja""))"),"BUFFALO LinkStation 720 16TB 2ベイ ホームオフィス プライベートクラウド データストレージ ハードドライブ付属/コンピュータネットワーク接続ストレージ/NASストレージ/ネットワークストレージ/メディアサーバー/ファイルサーバー")</f>
        <v>BUFFALO LinkStation 720 16TB 2ベイ ホームオフィス プライベートクラウド データストレージ ハードドライブ付属/コンピュータネットワーク接続ストレージ/NASストレージ/ネットワークストレージ/メディアサーバー/ファイルサーバー</v>
      </c>
    </row>
    <row r="5188" ht="15.75" customHeight="1">
      <c r="A5188" s="1">
        <v>3732.0</v>
      </c>
      <c r="B5188" s="1" t="s">
        <v>15</v>
      </c>
      <c r="C5188" s="1" t="s">
        <v>4410</v>
      </c>
      <c r="D5188" s="1" t="str">
        <f>IFERROR(__xludf.DUMMYFUNCTION("CONCATENATE(GOOGLETRANSLATE(C5188, ""en"", ""zh-cn""))"),"2022 最新戴尔 Inspiron 15 3511 笔记本电脑，15.6 FHD 触摸屏，Intel Core i5-1035G1，16GB RAM，1TB PCIe NVMe M.2 SSD，SD 读卡器，网络摄像头，HDMI，WiFi，Windows 11 Home，黑色")</f>
        <v>2022 最新戴尔 Inspiron 15 3511 笔记本电脑，15.6 FHD 触摸屏，Intel Core i5-1035G1，16GB RAM，1TB PCIe NVMe M.2 SSD，SD 读卡器，网络摄像头，HDMI，WiFi，Windows 11 Home，黑色</v>
      </c>
      <c r="E5188" s="1" t="str">
        <f>IFERROR(__xludf.DUMMYFUNCTION("CONCATENATE(GOOGLETRANSLATE(C5188, ""en"", ""ko""))"),"2022 최신 Dell Inspiron 15 3511 노트북, 15.6 FHD 터치스크린, Intel Core i5-1035G1, 16GB RAM, 1TB PCIe NVMe M.2 SSD, SD 카드 리더기, 웹캠, HDMI, WiFi, Windows 11 Home, 블랙")</f>
        <v>2022 최신 Dell Inspiron 15 3511 노트북, 15.6 FHD 터치스크린, Intel Core i5-1035G1, 16GB RAM, 1TB PCIe NVMe M.2 SSD, SD 카드 리더기, 웹캠, HDMI, WiFi, Windows 11 Home, 블랙</v>
      </c>
      <c r="F5188" s="1" t="str">
        <f>IFERROR(__xludf.DUMMYFUNCTION("CONCATENATE(GOOGLETRANSLATE(C5188, ""en"", ""ja""))"),"2022 最新 Dell Inspiron 15 3511 ラップトップ、15.6 FHD タッチスクリーン、Intel Core i5-1035G1、16GB RAM、1TB PCIe NVMe M.2 SSD、SD カード リーダー、ウェブカメラ、HDMI、WiFi、Windows 11 Home、ブラック")</f>
        <v>2022 最新 Dell Inspiron 15 3511 ラップトップ、15.6 FHD タッチスクリーン、Intel Core i5-1035G1、16GB RAM、1TB PCIe NVMe M.2 SSD、SD カード リーダー、ウェブカメラ、HDMI、WiFi、Windows 11 Home、ブラック</v>
      </c>
    </row>
    <row r="5189" ht="15.75" customHeight="1">
      <c r="A5189" s="1">
        <v>3744.0</v>
      </c>
      <c r="B5189" s="1" t="s">
        <v>15</v>
      </c>
      <c r="C5189" s="1" t="s">
        <v>4411</v>
      </c>
      <c r="D5189" s="1" t="str">
        <f>IFERROR(__xludf.DUMMYFUNCTION("CONCATENATE(GOOGLETRANSLATE(C5189, ""en"", ""zh-cn""))"),"惠普最新旗舰 14 高清商用笔记本电脑，4 核 i5-1135G7（高达 4.2GHz，击败 i7-1060G7），16GB RAM，512GB PCIe SSD，Iris Xe 显卡，网络摄像头，WiFi，蓝牙，Win 11 Home，带 GM 游戏鼠标")</f>
        <v>惠普最新旗舰 14 高清商用笔记本电脑，4 核 i5-1135G7（高达 4.2GHz，击败 i7-1060G7），16GB RAM，512GB PCIe SSD，Iris Xe 显卡，网络摄像头，WiFi，蓝牙，Win 11 Home，带 GM 游戏鼠标</v>
      </c>
      <c r="E5189" s="1" t="str">
        <f>IFERROR(__xludf.DUMMYFUNCTION("CONCATENATE(GOOGLETRANSLATE(C5189, ""en"", ""ko""))"),"HP 최신 플래그십 14 HD 비즈니스 노트북 컴퓨터, 4코어 i5-1135G7(최대 4.2GHz, Beat i7-1060G7), 16GB RAM, 512GB PCIe SSD, Iris Xe 그래픽, 웹캠, WiFi, Bluetooth, Win 11 Home, GM 게이밍 마우스 포함")</f>
        <v>HP 최신 플래그십 14 HD 비즈니스 노트북 컴퓨터, 4코어 i5-1135G7(최대 4.2GHz, Beat i7-1060G7), 16GB RAM, 512GB PCIe SSD, Iris Xe 그래픽, 웹캠, WiFi, Bluetooth, Win 11 Home, GM 게이밍 마우스 포함</v>
      </c>
      <c r="F5189" s="1" t="str">
        <f>IFERROR(__xludf.DUMMYFUNCTION("CONCATENATE(GOOGLETRANSLATE(C5189, ""en"", ""ja""))"),"HP 最新フラッグシップ 14 HD ビジネス ラップトップ コンピューター、4 コア i5-1135G7 (最大 4.2 GHz、Beat i7-1060G7)、16 GB RAM、512 GB PCIe SSD、Iris Xe グラフィックス、ウェブカメラ、WiFi、Bluetooth、Win 11 Home、GM ゲーミング マウス付き")</f>
        <v>HP 最新フラッグシップ 14 HD ビジネス ラップトップ コンピューター、4 コア i5-1135G7 (最大 4.2 GHz、Beat i7-1060G7)、16 GB RAM、512 GB PCIe SSD、Iris Xe グラフィックス、ウェブカメラ、WiFi、Bluetooth、Win 11 Home、GM ゲーミング マウス付き</v>
      </c>
    </row>
    <row r="5190" ht="15.75" customHeight="1">
      <c r="A5190" s="1">
        <v>3754.0</v>
      </c>
      <c r="B5190" s="1" t="s">
        <v>15</v>
      </c>
      <c r="C5190" s="1" t="s">
        <v>4412</v>
      </c>
      <c r="D5190" s="1" t="str">
        <f>IFERROR(__xludf.DUMMYFUNCTION("CONCATENATE(GOOGLETRANSLATE(C5190, ""en"", ""zh-cn""))"),"戴尔 Inspiron 灵越 15 3511，15.6 英寸全高清笔记本电脑 - 英特尔酷睿 i5-1135G7，12GB DDR4 RAM，256GB 固态硬盘，英特尔 Iris Xe 显卡，Windows 11 Home - 碳黑")</f>
        <v>戴尔 Inspiron 灵越 15 3511，15.6 英寸全高清笔记本电脑 - 英特尔酷睿 i5-1135G7，12GB DDR4 RAM，256GB 固态硬盘，英特尔 Iris Xe 显卡，Windows 11 Home - 碳黑</v>
      </c>
      <c r="E5190" s="1" t="str">
        <f>IFERROR(__xludf.DUMMYFUNCTION("CONCATENATE(GOOGLETRANSLATE(C5190, ""en"", ""ko""))"),"Dell Inspiron 15 3511, 15.6인치 FHD 노트북 - Intel Core i5-1135G7, 12GB DDR4 RAM, 256GB SSD, Intel Iris Xe 그래픽, Windows 11 Home - 카본 블랙")</f>
        <v>Dell Inspiron 15 3511, 15.6인치 FHD 노트북 - Intel Core i5-1135G7, 12GB DDR4 RAM, 256GB SSD, Intel Iris Xe 그래픽, Windows 11 Home - 카본 블랙</v>
      </c>
      <c r="F5190" s="1" t="str">
        <f>IFERROR(__xludf.DUMMYFUNCTION("CONCATENATE(GOOGLETRANSLATE(C5190, ""en"", ""ja""))"),"Dell Inspiron 15 3511、15.6 インチ FHD ラップトップ - Intel Core i5-1135G7、12GB DDR4 RAM、256GB SSD、Intel Iris Xe グラフィックス、Windows 11 Home - カーボン ブラック")</f>
        <v>Dell Inspiron 15 3511、15.6 インチ FHD ラップトップ - Intel Core i5-1135G7、12GB DDR4 RAM、256GB SSD、Intel Iris Xe グラフィックス、Windows 11 Home - カーボン ブラック</v>
      </c>
    </row>
    <row r="5191" ht="15.75" customHeight="1">
      <c r="A5191" s="1">
        <v>3756.0</v>
      </c>
      <c r="B5191" s="1" t="s">
        <v>15</v>
      </c>
      <c r="C5191" s="1" t="s">
        <v>4413</v>
      </c>
      <c r="D5191" s="1" t="str">
        <f>IFERROR(__xludf.DUMMYFUNCTION("CONCATENATE(GOOGLETRANSLATE(C5191, ""en"", ""zh-cn""))"),"A 级海关 PVC 超负荷 RV 橡胶屋顶套件 | 8.5 英尺宽 X 35 英尺长 |房车橡胶车顶膜套件|房车露营拖车橡胶屋顶维修|房车屋顶")</f>
        <v>A 级海关 PVC 超负荷 RV 橡胶屋顶套件 | 8.5 英尺宽 X 35 英尺长 |房车橡胶车顶膜套件|房车露营拖车橡胶屋顶维修|房车屋顶</v>
      </c>
      <c r="E5191" s="1" t="str">
        <f>IFERROR(__xludf.DUMMYFUNCTION("CONCATENATE(GOOGLETRANSLATE(C5191, ""en"", ""ko""))"),"클래스 A 세관 PVC Extreme Duty RV 고무 지붕 키트 | 8.5피트 너비 X 35피트 길이 | RV 고무 지붕 멤브레인 키트 | RV 캠핑카 트레일러 고무 지붕 수리 | 모터 홈 지붕")</f>
        <v>클래스 A 세관 PVC Extreme Duty RV 고무 지붕 키트 | 8.5피트 너비 X 35피트 길이 | RV 고무 지붕 멤브레인 키트 | RV 캠핑카 트레일러 고무 지붕 수리 | 모터 홈 지붕</v>
      </c>
      <c r="F5191" s="1" t="str">
        <f>IFERROR(__xludf.DUMMYFUNCTION("CONCATENATE(GOOGLETRANSLATE(C5191, ""en"", ""ja""))"),"クラス A 税関 PVC エクストリーム デューティー RV ラバー ルーフ キット |幅8.5フィート×長さ35フィート | RV ラバー ルーフ メンブレン キット | RV キャンピングカー トレーラーのゴム屋根の修理 |キャンピングカーの屋根")</f>
        <v>クラス A 税関 PVC エクストリーム デューティー RV ラバー ルーフ キット |幅8.5フィート×長さ35フィート | RV ラバー ルーフ メンブレン キット | RV キャンピングカー トレーラーのゴム屋根の修理 |キャンピングカーの屋根</v>
      </c>
    </row>
    <row r="5192" ht="15.75" customHeight="1">
      <c r="A5192" s="1">
        <v>3760.0</v>
      </c>
      <c r="B5192" s="1" t="s">
        <v>15</v>
      </c>
      <c r="C5192" s="1" t="s">
        <v>4414</v>
      </c>
      <c r="D5192" s="1" t="str">
        <f>IFERROR(__xludf.DUMMYFUNCTION("CONCATENATE(GOOGLETRANSLATE(C5192, ""en"", ""zh-cn""))"),"戴尔 Inspiron 灵越 15 3000 15.6 英寸全高清第 11 代英特尔酷睿 i5-1135G7 12GB 256GB SSD 笔记本电脑")</f>
        <v>戴尔 Inspiron 灵越 15 3000 15.6 英寸全高清第 11 代英特尔酷睿 i5-1135G7 12GB 256GB SSD 笔记本电脑</v>
      </c>
      <c r="E5192" s="1" t="str">
        <f>IFERROR(__xludf.DUMMYFUNCTION("CONCATENATE(GOOGLETRANSLATE(C5192, ""en"", ""ko""))"),"델 인스피론 15 3000 15.6인치 풀HD 11세대 인텔 코어 i5-1135G7 12GB 256GB SSD 노트북")</f>
        <v>델 인스피론 15 3000 15.6인치 풀HD 11세대 인텔 코어 i5-1135G7 12GB 256GB SSD 노트북</v>
      </c>
      <c r="F5192" s="1" t="str">
        <f>IFERROR(__xludf.DUMMYFUNCTION("CONCATENATE(GOOGLETRANSLATE(C5192, ""en"", ""ja""))"),"Dell Inspiron 15 3000 15.6 インチ フル HD 第 11 世代 Intel Core i5-1135G7 12GB 256GB SSD ノートパソコン")</f>
        <v>Dell Inspiron 15 3000 15.6 インチ フル HD 第 11 世代 Intel Core i5-1135G7 12GB 256GB SSD ノートパソコン</v>
      </c>
    </row>
    <row r="5193" ht="15.75" customHeight="1">
      <c r="A5193" s="1">
        <v>3764.0</v>
      </c>
      <c r="B5193" s="1" t="s">
        <v>15</v>
      </c>
      <c r="C5193" s="1" t="s">
        <v>4415</v>
      </c>
      <c r="D5193" s="1" t="str">
        <f>IFERROR(__xludf.DUMMYFUNCTION("CONCATENATE(GOOGLETRANSLATE(C5193, ""en"", ""zh-cn""))"),"HP 2022 最新 Pavilion 15.6 高清笔记本电脑，英特尔四核奔腾处理器，16GB RAM，1TB SSD，11 小时电池寿命，英特尔 UHD 显卡，高清网络摄像头，蓝牙，HDMI，USB Type-C，猩红色，Win 11")</f>
        <v>HP 2022 最新 Pavilion 15.6 高清笔记本电脑，英特尔四核奔腾处理器，16GB RAM，1TB SSD，11 小时电池寿命，英特尔 UHD 显卡，高清网络摄像头，蓝牙，HDMI，USB Type-C，猩红色，Win 11</v>
      </c>
      <c r="E5193" s="1" t="str">
        <f>IFERROR(__xludf.DUMMYFUNCTION("CONCATENATE(GOOGLETRANSLATE(C5193, ""en"", ""ko""))"),"HP 2022 최신 Pavilion 15.6 HD 노트북, Intel 쿼드 코어 펜티엄 프로세서, 16GB RAM, 1TB SSD, 11시간 배터리 수명, Intel UHD 그래픽, HD 웹캠, Bluetooth, HDMI, USB Type-C, Scarlet Red, Win 11")</f>
        <v>HP 2022 최신 Pavilion 15.6 HD 노트북, Intel 쿼드 코어 펜티엄 프로세서, 16GB RAM, 1TB SSD, 11시간 배터리 수명, Intel UHD 그래픽, HD 웹캠, Bluetooth, HDMI, USB Type-C, Scarlet Red, Win 11</v>
      </c>
      <c r="F5193" s="1" t="str">
        <f>IFERROR(__xludf.DUMMYFUNCTION("CONCATENATE(GOOGLETRANSLATE(C5193, ""en"", ""ja""))"),"HP 2022 最新 Pavilion 15.6 HD ラップトップ、インテル クアッドコア Pentium プロセッサー、16 GB RAM、1 TB SSD、11 時間のバッテリー寿命、インテル UHD グラフィックス、HD ウェブカメラ、Bluetooth、HDMI、USB Type-C、スカーレット レッド、Win 11")</f>
        <v>HP 2022 最新 Pavilion 15.6 HD ラップトップ、インテル クアッドコア Pentium プロセッサー、16 GB RAM、1 TB SSD、11 時間のバッテリー寿命、インテル UHD グラフィックス、HD ウェブカメラ、Bluetooth、HDMI、USB Type-C、スカーレット レッド、Win 11</v>
      </c>
    </row>
    <row r="5194" ht="15.75" customHeight="1">
      <c r="A5194" s="1">
        <v>3770.0</v>
      </c>
      <c r="B5194" s="1" t="s">
        <v>15</v>
      </c>
      <c r="C5194" s="1" t="s">
        <v>4416</v>
      </c>
      <c r="D5194" s="1" t="str">
        <f>IFERROR(__xludf.DUMMYFUNCTION("CONCATENATE(GOOGLETRANSLATE(C5194, ""en"", ""zh-cn""))"),"联想 X1 Carbon 第六代超极本：酷睿 i7-8550U，16GB RAM，512GB SSD，14 英寸全高清显示屏，背光键盘（更新）")</f>
        <v>联想 X1 Carbon 第六代超极本：酷睿 i7-8550U，16GB RAM，512GB SSD，14 英寸全高清显示屏，背光键盘（更新）</v>
      </c>
      <c r="E5194" s="1" t="str">
        <f>IFERROR(__xludf.DUMMYFUNCTION("CONCATENATE(GOOGLETRANSLATE(C5194, ""en"", ""ko""))"),"Lenovo X1 Carbon 6세대 울트라북: 코어 i7-8550U, 16GB RAM, 512GB SSD, 14인치 풀 HD 디스플레이, 백라이트 키보드(리뉴얼)")</f>
        <v>Lenovo X1 Carbon 6세대 울트라북: 코어 i7-8550U, 16GB RAM, 512GB SSD, 14인치 풀 HD 디스플레이, 백라이트 키보드(리뉴얼)</v>
      </c>
      <c r="F5194" s="1" t="str">
        <f>IFERROR(__xludf.DUMMYFUNCTION("CONCATENATE(GOOGLETRANSLATE(C5194, ""en"", ""ja""))"),"Lenovo X1 Carbon 第 6 世代 Ultrabook: Core i7-8550U、16GB RAM、512GB SSD、14 インチ フル HD ディスプレイ、バックライト付きキーボード (リニューアル)")</f>
        <v>Lenovo X1 Carbon 第 6 世代 Ultrabook: Core i7-8550U、16GB RAM、512GB SSD、14 インチ フル HD ディスプレイ、バックライト付きキーボード (リニューアル)</v>
      </c>
    </row>
    <row r="5195" ht="15.75" customHeight="1">
      <c r="A5195" s="1">
        <v>3771.0</v>
      </c>
      <c r="B5195" s="1" t="s">
        <v>15</v>
      </c>
      <c r="C5195" s="1" t="s">
        <v>4417</v>
      </c>
      <c r="D5195" s="1" t="str">
        <f>IFERROR(__xludf.DUMMYFUNCTION("CONCATENATE(GOOGLETRANSLATE(C5195, ""en"", ""zh-cn""))"),"戴尔 2022 最新 Inspiron 灵越 15 笔记本电脑，15.6 高清显示屏，Intel Celeron N4020 处理器，16GB DDR4 RAM，1TB PCIe SSD，网络摄像头，HDMI，Wi-Fi，蓝牙，Windows 11 Home，黑色")</f>
        <v>戴尔 2022 最新 Inspiron 灵越 15 笔记本电脑，15.6 高清显示屏，Intel Celeron N4020 处理器，16GB DDR4 RAM，1TB PCIe SSD，网络摄像头，HDMI，Wi-Fi，蓝牙，Windows 11 Home，黑色</v>
      </c>
      <c r="E5195" s="1" t="str">
        <f>IFERROR(__xludf.DUMMYFUNCTION("CONCATENATE(GOOGLETRANSLATE(C5195, ""en"", ""ko""))"),"Dell 2022 최신 Inspiron 15 노트북, 15.6 HD 디스플레이, Intel Celeron N4020 프로세서, 16GB DDR4 RAM, 1TB PCIe SSD, 웹캠, HDMI, Wi-Fi, Bluetooth, Windows 11 Home, 블랙")</f>
        <v>Dell 2022 최신 Inspiron 15 노트북, 15.6 HD 디스플레이, Intel Celeron N4020 프로세서, 16GB DDR4 RAM, 1TB PCIe SSD, 웹캠, HDMI, Wi-Fi, Bluetooth, Windows 11 Home, 블랙</v>
      </c>
      <c r="F5195" s="1" t="str">
        <f>IFERROR(__xludf.DUMMYFUNCTION("CONCATENATE(GOOGLETRANSLATE(C5195, ""en"", ""ja""))"),"Dell 2022 最新 Inspiron 15 ラップトップ、15.6 HD ディスプレイ、Intel Celeron N4020 プロセッサー、16GB DDR4 RAM、1TB PCIe SSD、ウェブカメラ、HDMI、Wi-Fi、Bluetooth、Windows 11 Home、ブラック")</f>
        <v>Dell 2022 最新 Inspiron 15 ラップトップ、15.6 HD ディスプレイ、Intel Celeron N4020 プロセッサー、16GB DDR4 RAM、1TB PCIe SSD、ウェブカメラ、HDMI、Wi-Fi、Bluetooth、Windows 11 Home、ブラック</v>
      </c>
    </row>
    <row r="5196" ht="15.75" customHeight="1">
      <c r="A5196" s="1">
        <v>3792.0</v>
      </c>
      <c r="B5196" s="1" t="s">
        <v>15</v>
      </c>
      <c r="C5196" s="1" t="s">
        <v>4418</v>
      </c>
      <c r="D5196" s="1" t="str">
        <f>IFERROR(__xludf.DUMMYFUNCTION("CONCATENATE(GOOGLETRANSLATE(C5196, ""en"", ""zh-cn""))"),"Denon DN-500CB 专业 CD/媒体播放器，带蓝牙/USB/Aux 输入和 RS-232C，蓝牙 3.0 与 (8) 设备配对，吸入式 CD 传输，用于文件播放的 USB 主机端口")</f>
        <v>Denon DN-500CB 专业 CD/媒体播放器，带蓝牙/USB/Aux 输入和 RS-232C，蓝牙 3.0 与 (8) 设备配对，吸入式 CD 传输，用于文件播放的 USB 主机端口</v>
      </c>
      <c r="E5196" s="1" t="str">
        <f>IFERROR(__xludf.DUMMYFUNCTION("CONCATENATE(GOOGLETRANSLATE(C5196, ""en"", ""ko""))"),"Bluetooth/USB/Aux 입력 및 RS-232C를 갖춘 Denon DN-500CB 전문 CD/미디어 플레이어, (8) 장치에 Bluetooth 3.0 페어링, 슬롯 로딩 CD 전송, 파일 재생을 위한 USB 호스트 포트")</f>
        <v>Bluetooth/USB/Aux 입력 및 RS-232C를 갖춘 Denon DN-500CB 전문 CD/미디어 플레이어, (8) 장치에 Bluetooth 3.0 페어링, 슬롯 로딩 CD 전송, 파일 재생을 위한 USB 호스트 포트</v>
      </c>
      <c r="F5196" s="1" t="str">
        <f>IFERROR(__xludf.DUMMYFUNCTION("CONCATENATE(GOOGLETRANSLATE(C5196, ""en"", ""ja""))"),"Denon DN-500CB プロフェッショナル CD/メディア プレーヤー、Bluetooth/USB/Aux 入力および RS-232C、Bluetooth 3.0 (8 台のデバイスとのペアリング)、スロットローディング CD トランスポート、ファイル再生用 USB ホスト ポート付き")</f>
        <v>Denon DN-500CB プロフェッショナル CD/メディア プレーヤー、Bluetooth/USB/Aux 入力および RS-232C、Bluetooth 3.0 (8 台のデバイスとのペアリング)、スロットローディング CD トランスポート、ファイル再生用 USB ホスト ポート付き</v>
      </c>
    </row>
    <row r="5197" ht="15.75" customHeight="1">
      <c r="A5197" s="1">
        <v>3814.0</v>
      </c>
      <c r="B5197" s="1" t="s">
        <v>15</v>
      </c>
      <c r="C5197" s="1" t="s">
        <v>4419</v>
      </c>
      <c r="D5197" s="1" t="str">
        <f>IFERROR(__xludf.DUMMYFUNCTION("CONCATENATE(GOOGLETRANSLATE(C5197, ""en"", ""zh-cn""))"),"Home Source 转角酒吧柜，带旋转酒架 桃花心木")</f>
        <v>Home Source 转角酒吧柜，带旋转酒架 桃花心木</v>
      </c>
      <c r="E5197" s="1" t="str">
        <f>IFERROR(__xludf.DUMMYFUNCTION("CONCATENATE(GOOGLETRANSLATE(C5197, ""en"", ""ko""))"),"홈 소스 코너 바 캐비닛(회전 와인 랙 마호가니 포함)")</f>
        <v>홈 소스 코너 바 캐비닛(회전 와인 랙 마호가니 포함)</v>
      </c>
      <c r="F5197" s="1" t="str">
        <f>IFERROR(__xludf.DUMMYFUNCTION("CONCATENATE(GOOGLETRANSLATE(C5197, ""en"", ""ja""))"),"ホームソース コーナーバーキャビネット 回転ワインラック付き マホガニー")</f>
        <v>ホームソース コーナーバーキャビネット 回転ワインラック付き マホガニー</v>
      </c>
    </row>
    <row r="5198" ht="15.75" customHeight="1">
      <c r="A5198" s="1">
        <v>3880.0</v>
      </c>
      <c r="B5198" s="1" t="s">
        <v>15</v>
      </c>
      <c r="C5198" s="1" t="s">
        <v>4420</v>
      </c>
      <c r="D5198" s="1" t="str">
        <f>IFERROR(__xludf.DUMMYFUNCTION("CONCATENATE(GOOGLETRANSLATE(C5198, ""en"", ""zh-cn""))"),"三星 Galaxy S22 Ultra 手机，工厂解锁 Android 智能手机，128GB，8K 相机和视频，最亮显示屏，S Pen，电池寿命长，快速 4nm 处理器，美国版，绿色")</f>
        <v>三星 Galaxy S22 Ultra 手机，工厂解锁 Android 智能手机，128GB，8K 相机和视频，最亮显示屏，S Pen，电池寿命长，快速 4nm 处理器，美国版，绿色</v>
      </c>
      <c r="E5198" s="1" t="str">
        <f>IFERROR(__xludf.DUMMYFUNCTION("CONCATENATE(GOOGLETRANSLATE(C5198, ""en"", ""ko""))"),"SAMSUNG Galaxy S22 Ultra 휴대폰, 공장 잠금 해제 Android 스마트폰, 128GB, 8K 카메라 및 비디오, 가장 밝은 디스플레이 화면, S 펜, 긴 배터리 수명, 빠른 4nm 프로세서, 미국 버전, 녹색")</f>
        <v>SAMSUNG Galaxy S22 Ultra 휴대폰, 공장 잠금 해제 Android 스마트폰, 128GB, 8K 카메라 및 비디오, 가장 밝은 디스플레이 화면, S 펜, 긴 배터리 수명, 빠른 4nm 프로세서, 미국 버전, 녹색</v>
      </c>
      <c r="F5198" s="1" t="str">
        <f>IFERROR(__xludf.DUMMYFUNCTION("CONCATENATE(GOOGLETRANSLATE(C5198, ""en"", ""ja""))"),"SAMSUNG Galaxy S22 Ultra 携帯電話、工場でロック解除された Android スマートフォン、128GB、8K カメラ &amp; ビデオ、最も明るい表示画面、S ペン、長いバッテリー寿命、高速 4nm プロセッサ、米国バージョン、グリーン")</f>
        <v>SAMSUNG Galaxy S22 Ultra 携帯電話、工場でロック解除された Android スマートフォン、128GB、8K カメラ &amp; ビデオ、最も明るい表示画面、S ペン、長いバッテリー寿命、高速 4nm プロセッサ、米国バージョン、グリーン</v>
      </c>
    </row>
    <row r="5199" ht="15.75" customHeight="1">
      <c r="A5199" s="1">
        <v>3881.0</v>
      </c>
      <c r="B5199" s="1" t="s">
        <v>15</v>
      </c>
      <c r="C5199" s="1" t="s">
        <v>4421</v>
      </c>
      <c r="D5199" s="1" t="str">
        <f>IFERROR(__xludf.DUMMYFUNCTION("CONCATENATE(GOOGLETRANSLATE(C5199, ""en"", ""zh-cn""))"),"Apple iPhone 14 Pro，128GB，深紫色 - 无锁版（续订）")</f>
        <v>Apple iPhone 14 Pro，128GB，深紫色 - 无锁版（续订）</v>
      </c>
      <c r="E5199" s="1" t="str">
        <f>IFERROR(__xludf.DUMMYFUNCTION("CONCATENATE(GOOGLETRANSLATE(C5199, ""en"", ""ko""))"),"Apple iPhone 14 Pro, 128GB, 딥 퍼플 - 공기계(리뉴얼)")</f>
        <v>Apple iPhone 14 Pro, 128GB, 딥 퍼플 - 공기계(리뉴얼)</v>
      </c>
      <c r="F5199" s="1" t="str">
        <f>IFERROR(__xludf.DUMMYFUNCTION("CONCATENATE(GOOGLETRANSLATE(C5199, ""en"", ""ja""))"),"Apple iPhone 14 Pro、128GB、ディープパープル - ロック解除済み (更新済み)")</f>
        <v>Apple iPhone 14 Pro、128GB、ディープパープル - ロック解除済み (更新済み)</v>
      </c>
    </row>
    <row r="5200" ht="15.75" customHeight="1">
      <c r="A5200" s="1">
        <v>3883.0</v>
      </c>
      <c r="B5200" s="1" t="s">
        <v>15</v>
      </c>
      <c r="C5200" s="1" t="s">
        <v>1829</v>
      </c>
      <c r="D5200" s="1" t="str">
        <f>IFERROR(__xludf.DUMMYFUNCTION("CONCATENATE(GOOGLETRANSLATE(C5200, ""en"", ""zh-cn""))"),"Apple iPhone 14 Pro，256GB，深紫色 - 已解锁（续订）")</f>
        <v>Apple iPhone 14 Pro，256GB，深紫色 - 已解锁（续订）</v>
      </c>
      <c r="E5200" s="1" t="str">
        <f>IFERROR(__xludf.DUMMYFUNCTION("CONCATENATE(GOOGLETRANSLATE(C5200, ""en"", ""ko""))"),"Apple iPhone 14 Pro, 256GB, 딥 퍼플 - 공기계(리뉴얼)")</f>
        <v>Apple iPhone 14 Pro, 256GB, 딥 퍼플 - 공기계(리뉴얼)</v>
      </c>
      <c r="F5200" s="1" t="str">
        <f>IFERROR(__xludf.DUMMYFUNCTION("CONCATENATE(GOOGLETRANSLATE(C5200, ""en"", ""ja""))"),"Apple iPhone 14 Pro、256GB、ディープパープル - ロック解除済み (更新済み)")</f>
        <v>Apple iPhone 14 Pro、256GB、ディープパープル - ロック解除済み (更新済み)</v>
      </c>
    </row>
    <row r="5201" ht="15.75" customHeight="1">
      <c r="A5201" s="1">
        <v>3895.0</v>
      </c>
      <c r="B5201" s="1" t="s">
        <v>15</v>
      </c>
      <c r="C5201" s="1" t="s">
        <v>4422</v>
      </c>
      <c r="D5201" s="1" t="str">
        <f>IFERROR(__xludf.DUMMYFUNCTION("CONCATENATE(GOOGLETRANSLATE(C5201, ""en"", ""zh-cn""))"),"Apple iPhone 14，256GB，紫色 - 已解锁（续订）")</f>
        <v>Apple iPhone 14，256GB，紫色 - 已解锁（续订）</v>
      </c>
      <c r="E5201" s="1" t="str">
        <f>IFERROR(__xludf.DUMMYFUNCTION("CONCATENATE(GOOGLETRANSLATE(C5201, ""en"", ""ko""))"),"Apple iPhone 14, 256GB, 퍼플 - 공기계(리뉴얼)")</f>
        <v>Apple iPhone 14, 256GB, 퍼플 - 공기계(리뉴얼)</v>
      </c>
      <c r="F5201" s="1" t="str">
        <f>IFERROR(__xludf.DUMMYFUNCTION("CONCATENATE(GOOGLETRANSLATE(C5201, ""en"", ""ja""))"),"Apple iPhone 14、256GB、パープル - ロック解除済み (更新済み)")</f>
        <v>Apple iPhone 14、256GB、パープル - ロック解除済み (更新済み)</v>
      </c>
    </row>
    <row r="5202" ht="15.75" customHeight="1">
      <c r="A5202" s="1">
        <v>3903.0</v>
      </c>
      <c r="B5202" s="1" t="s">
        <v>15</v>
      </c>
      <c r="C5202" s="1" t="s">
        <v>4423</v>
      </c>
      <c r="D5202" s="1" t="str">
        <f>IFERROR(__xludf.DUMMYFUNCTION("CONCATENATE(GOOGLETRANSLATE(C5202, ""en"", ""zh-cn""))"),"iPhone 13， 128GB，粉色 - 已解锁（续订高级版）")</f>
        <v>iPhone 13， 128GB，粉色 - 已解锁（续订高级版）</v>
      </c>
      <c r="E5202" s="1" t="str">
        <f>IFERROR(__xludf.DUMMYFUNCTION("CONCATENATE(GOOGLETRANSLATE(C5202, ""en"", ""ko""))"),"iPhone 13, 128GB, 핑크 - 공기계(리뉴얼 프리미엄)")</f>
        <v>iPhone 13, 128GB, 핑크 - 공기계(리뉴얼 프리미엄)</v>
      </c>
      <c r="F5202" s="1" t="str">
        <f>IFERROR(__xludf.DUMMYFUNCTION("CONCATENATE(GOOGLETRANSLATE(C5202, ""en"", ""ja""))"),"iPhone 13、128GB、ピンク - ロック解除済み (リニューアルプレミアム)")</f>
        <v>iPhone 13、128GB、ピンク - ロック解除済み (リニューアルプレミアム)</v>
      </c>
    </row>
    <row r="5203" ht="15.75" customHeight="1">
      <c r="A5203" s="1">
        <v>3906.0</v>
      </c>
      <c r="B5203" s="1" t="s">
        <v>15</v>
      </c>
      <c r="C5203" s="1" t="s">
        <v>4424</v>
      </c>
      <c r="D5203" s="1" t="str">
        <f>IFERROR(__xludf.DUMMYFUNCTION("CONCATENATE(GOOGLETRANSLATE(C5203, ""en"", ""zh-cn""))"),"Apple iPhone 12 Pro，128GB，金色 - 无锁版（续订高级版）")</f>
        <v>Apple iPhone 12 Pro，128GB，金色 - 无锁版（续订高级版）</v>
      </c>
      <c r="E5203" s="1" t="str">
        <f>IFERROR(__xludf.DUMMYFUNCTION("CONCATENATE(GOOGLETRANSLATE(C5203, ""en"", ""ko""))"),"Apple iPhone 12 Pro, 128GB, 골드 - 공기계(리뉴얼 프리미엄)")</f>
        <v>Apple iPhone 12 Pro, 128GB, 골드 - 공기계(리뉴얼 프리미엄)</v>
      </c>
      <c r="F5203" s="1" t="str">
        <f>IFERROR(__xludf.DUMMYFUNCTION("CONCATENATE(GOOGLETRANSLATE(C5203, ""en"", ""ja""))"),"Apple iPhone 12 Pro、128GB、ゴールド - ロック解除済み (更新プレミアム)")</f>
        <v>Apple iPhone 12 Pro、128GB、ゴールド - ロック解除済み (更新プレミアム)</v>
      </c>
    </row>
    <row r="5204" ht="15.75" customHeight="1">
      <c r="A5204" s="1">
        <v>3921.0</v>
      </c>
      <c r="B5204" s="1" t="s">
        <v>15</v>
      </c>
      <c r="C5204" s="1" t="s">
        <v>4425</v>
      </c>
      <c r="D5204" s="1" t="str">
        <f>IFERROR(__xludf.DUMMYFUNCTION("CONCATENATE(GOOGLETRANSLATE(C5204, ""en"", ""zh-cn""))"),"三星 Galaxy S20 Ultra，128GB，宇宙黑 - 完全解锁（续订）")</f>
        <v>三星 Galaxy S20 Ultra，128GB，宇宙黑 - 完全解锁（续订）</v>
      </c>
      <c r="E5204" s="1" t="str">
        <f>IFERROR(__xludf.DUMMYFUNCTION("CONCATENATE(GOOGLETRANSLATE(C5204, ""en"", ""ko""))"),"삼성 갤럭시 S20 울트라, 128GB, 코스믹 블랙 - 완전 공기계(리뉴얼)")</f>
        <v>삼성 갤럭시 S20 울트라, 128GB, 코스믹 블랙 - 완전 공기계(리뉴얼)</v>
      </c>
      <c r="F5204" s="1" t="str">
        <f>IFERROR(__xludf.DUMMYFUNCTION("CONCATENATE(GOOGLETRANSLATE(C5204, ""en"", ""ja""))"),"Samsung Galaxy S20 Ultra、128GB、コズミック ブラック - 完全にロック解除済み (更新済み)")</f>
        <v>Samsung Galaxy S20 Ultra、128GB、コズミック ブラック - 完全にロック解除済み (更新済み)</v>
      </c>
    </row>
    <row r="5205" ht="15.75" customHeight="1">
      <c r="A5205" s="1">
        <v>3926.0</v>
      </c>
      <c r="B5205" s="1" t="s">
        <v>15</v>
      </c>
      <c r="C5205" s="1" t="s">
        <v>4426</v>
      </c>
      <c r="D5205" s="1" t="str">
        <f>IFERROR(__xludf.DUMMYFUNCTION("CONCATENATE(GOOGLETRANSLATE(C5205, ""en"", ""zh-cn""))"),"三星电子 Galaxy Note 20 5G 无锁版 Android 手机 |美国版 | 128GB 存储空间 |移动游戏智能手机|持久耐用的电池 |神秘灰（更新）")</f>
        <v>三星电子 Galaxy Note 20 5G 无锁版 Android 手机 |美国版 | 128GB 存储空间 |移动游戏智能手机|持久耐用的电池 |神秘灰（更新）</v>
      </c>
      <c r="E5205" s="1" t="str">
        <f>IFERROR(__xludf.DUMMYFUNCTION("CONCATENATE(GOOGLETRANSLATE(C5205, ""en"", ""ko""))"),"삼성전자 갤럭시 노트 20 5G 공기계 안드로이드 휴대폰 | 미국 버전 | 128GB 스토리지 | 모바일 게임 스마트폰 | 오래 지속되는 배터리 | 미스틱 그레이 (리뉴얼)")</f>
        <v>삼성전자 갤럭시 노트 20 5G 공기계 안드로이드 휴대폰 | 미국 버전 | 128GB 스토리지 | 모바일 게임 스마트폰 | 오래 지속되는 배터리 | 미스틱 그레이 (리뉴얼)</v>
      </c>
      <c r="F5205" s="1" t="str">
        <f>IFERROR(__xludf.DUMMYFUNCTION("CONCATENATE(GOOGLETRANSLATE(C5205, ""en"", ""ja""))"),"Samsung Electronics Galaxy Note 20 5G ロック解除済み Android 携帯電話 |米国版 | 128GB のストレージ |モバイルゲーム用スマートフォン |長持ちするバッテリー |ミスティックグレー（リニューアル）")</f>
        <v>Samsung Electronics Galaxy Note 20 5G ロック解除済み Android 携帯電話 |米国版 | 128GB のストレージ |モバイルゲーム用スマートフォン |長持ちするバッテリー |ミスティックグレー（リニューアル）</v>
      </c>
    </row>
    <row r="5206" ht="15.75" customHeight="1">
      <c r="A5206" s="1">
        <v>3948.0</v>
      </c>
      <c r="B5206" s="1" t="s">
        <v>15</v>
      </c>
      <c r="C5206" s="1" t="s">
        <v>4427</v>
      </c>
      <c r="D5206" s="1" t="str">
        <f>IFERROR(__xludf.DUMMYFUNCTION("CONCATENATE(GOOGLETRANSLATE(C5206, ""en"", ""zh-cn""))"),"欧米茄海马海洋宇宙自动男式手表 215.30.44.22.01.001")</f>
        <v>欧米茄海马海洋宇宙自动男式手表 215.30.44.22.01.001</v>
      </c>
      <c r="E5206" s="1" t="str">
        <f>IFERROR(__xludf.DUMMYFUNCTION("CONCATENATE(GOOGLETRANSLATE(C5206, ""en"", ""ko""))"),"오메가 씨마스터 플래닛 오션 오토매틱 남성용 시계 215.30.44.22.01.001")</f>
        <v>오메가 씨마스터 플래닛 오션 오토매틱 남성용 시계 215.30.44.22.01.001</v>
      </c>
      <c r="F5206" s="1" t="str">
        <f>IFERROR(__xludf.DUMMYFUNCTION("CONCATENATE(GOOGLETRANSLATE(C5206, ""en"", ""ja""))"),"オメガ シーマスター プラネット オーシャン 自動巻き メンズ 腕時計 215.30.44.22.01.001")</f>
        <v>オメガ シーマスター プラネット オーシャン 自動巻き メンズ 腕時計 215.30.44.22.01.001</v>
      </c>
    </row>
    <row r="5207" ht="15.75" customHeight="1">
      <c r="A5207" s="1">
        <v>3968.0</v>
      </c>
      <c r="B5207" s="1" t="s">
        <v>15</v>
      </c>
      <c r="C5207" s="1" t="s">
        <v>4428</v>
      </c>
      <c r="D5207" s="1" t="str">
        <f>IFERROR(__xludf.DUMMYFUNCTION("CONCATENATE(GOOGLETRANSLATE(C5207, ""en"", ""zh-cn""))"),"欧米茄 DeVille Prestige 黑色表盘自动男士手表 424.13.40.21.01.001")</f>
        <v>欧米茄 DeVille Prestige 黑色表盘自动男士手表 424.13.40.21.01.001</v>
      </c>
      <c r="E5207" s="1" t="str">
        <f>IFERROR(__xludf.DUMMYFUNCTION("CONCATENATE(GOOGLETRANSLATE(C5207, ""en"", ""ko""))"),"오메가 DeVille Prestige 블랙 다이얼 오토매틱 남성용 시계 424.13.40.21.01.001")</f>
        <v>오메가 DeVille Prestige 블랙 다이얼 오토매틱 남성용 시계 424.13.40.21.01.001</v>
      </c>
      <c r="F5207" s="1" t="str">
        <f>IFERROR(__xludf.DUMMYFUNCTION("CONCATENATE(GOOGLETRANSLATE(C5207, ""en"", ""ja""))"),"オメガ デビル プレステージ ブラック ダイヤル 自動巻き メンズ腕時計 424.13.40.21.01.001")</f>
        <v>オメガ デビル プレステージ ブラック ダイヤル 自動巻き メンズ腕時計 424.13.40.21.01.001</v>
      </c>
    </row>
    <row r="5208" ht="15.75" customHeight="1">
      <c r="A5208" s="1">
        <v>3980.0</v>
      </c>
      <c r="B5208" s="1" t="s">
        <v>15</v>
      </c>
      <c r="C5208" s="1" t="s">
        <v>4429</v>
      </c>
      <c r="D5208" s="1" t="str">
        <f>IFERROR(__xludf.DUMMYFUNCTION("CONCATENATE(GOOGLETRANSLATE(C5208, ""en"", ""zh-cn""))"),"Hamilton 美国经典 Intra-Matic 机械计时 H 手表 40 毫米表壳，白色表盘，银色不锈钢表链（型号：H38429110）")</f>
        <v>Hamilton 美国经典 Intra-Matic 机械计时 H 手表 40 毫米表壳，白色表盘，银色不锈钢表链（型号：H38429110）</v>
      </c>
      <c r="E5208" s="1" t="str">
        <f>IFERROR(__xludf.DUMMYFUNCTION("CONCATENATE(GOOGLETRANSLATE(C5208, ""en"", ""ko""))"),"해밀턴 American Classic Intra-Matic 기계식 크로노그래프 H 시계 40mm Case, 화이트 다이얼, 실버 스테인레스 스틸 브레이슬릿 (모델: H38429110)")</f>
        <v>해밀턴 American Classic Intra-Matic 기계식 크로노그래프 H 시계 40mm Case, 화이트 다이얼, 실버 스테인레스 스틸 브레이슬릿 (모델: H38429110)</v>
      </c>
      <c r="F5208" s="1" t="str">
        <f>IFERROR(__xludf.DUMMYFUNCTION("CONCATENATE(GOOGLETRANSLATE(C5208, ""en"", ""ja""))"),"ハミルトン アメリカン クラシック イントラマティック メカニカル クロノグラフ H ウォッチ 40mm ケース、ホワイト ダイヤル、シルバー ステンレス スチール ブレスレット (モデル: H38429110)")</f>
        <v>ハミルトン アメリカン クラシック イントラマティック メカニカル クロノグラフ H ウォッチ 40mm ケース、ホワイト ダイヤル、シルバー ステンレス スチール ブレスレット (モデル: H38429110)</v>
      </c>
    </row>
    <row r="5209" ht="15.75" customHeight="1">
      <c r="A5209" s="1">
        <v>3986.0</v>
      </c>
      <c r="B5209" s="1" t="s">
        <v>15</v>
      </c>
      <c r="C5209" s="1" t="s">
        <v>4430</v>
      </c>
      <c r="D5209" s="1" t="str">
        <f>IFERROR(__xludf.DUMMYFUNCTION("CONCATENATE(GOOGLETRANSLATE(C5209, ""en"", ""zh-cn""))"),"汉密尔顿男士 H77616133 卡其色 X-Wind 自动手表")</f>
        <v>汉密尔顿男士 H77616133 卡其色 X-Wind 自动手表</v>
      </c>
      <c r="E5209" s="1" t="str">
        <f>IFERROR(__xludf.DUMMYFUNCTION("CONCATENATE(GOOGLETRANSLATE(C5209, ""en"", ""ko""))"),"해밀턴 남성용 H77616133 카키 X-Wind 오토매틱 시계")</f>
        <v>해밀턴 남성용 H77616133 카키 X-Wind 오토매틱 시계</v>
      </c>
      <c r="F5209" s="1" t="str">
        <f>IFERROR(__xludf.DUMMYFUNCTION("CONCATENATE(GOOGLETRANSLATE(C5209, ""en"", ""ja""))"),"ハミルトン メンズ H77616133 カーキ X-ウィンド 自動巻き時計")</f>
        <v>ハミルトン メンズ H77616133 カーキ X-ウィンド 自動巻き時計</v>
      </c>
    </row>
    <row r="5210" ht="15.75" customHeight="1">
      <c r="A5210" s="1">
        <v>3990.0</v>
      </c>
      <c r="B5210" s="1" t="s">
        <v>15</v>
      </c>
      <c r="C5210" s="1" t="s">
        <v>4431</v>
      </c>
      <c r="D5210" s="1" t="str">
        <f>IFERROR(__xludf.DUMMYFUNCTION("CONCATENATE(GOOGLETRANSLATE(C5210, ""en"", ""zh-cn""))"),"卡西欧 G-Shock GMW-B5000TCF-2JR 无线电太阳能手表限量版（日本国内正品）")</f>
        <v>卡西欧 G-Shock GMW-B5000TCF-2JR 无线电太阳能手表限量版（日本国内正品）</v>
      </c>
      <c r="E5210" s="1" t="str">
        <f>IFERROR(__xludf.DUMMYFUNCTION("CONCATENATE(GOOGLETRANSLATE(C5210, ""en"", ""ko""))"),"카시오 G-Shock GMW-B5000TCF-2JR Radio Solar 시계 한정판(일본 국내 정품 제품)")</f>
        <v>카시오 G-Shock GMW-B5000TCF-2JR Radio Solar 시계 한정판(일본 국내 정품 제품)</v>
      </c>
      <c r="F5210" s="1" t="str">
        <f>IFERROR(__xludf.DUMMYFUNCTION("CONCATENATE(GOOGLETRANSLATE(C5210, ""en"", ""ja""))"),"カシオ Gショック GMW-B5000TCF-2JR 電波ソーラー時計 限定モデル (日本国内正規品)")</f>
        <v>カシオ Gショック GMW-B5000TCF-2JR 電波ソーラー時計 限定モデル (日本国内正規品)</v>
      </c>
    </row>
    <row r="5211" ht="15.75" customHeight="1">
      <c r="A5211" s="1">
        <v>3998.0</v>
      </c>
      <c r="B5211" s="1" t="s">
        <v>15</v>
      </c>
      <c r="C5211" s="1" t="s">
        <v>4432</v>
      </c>
      <c r="D5211" s="1" t="str">
        <f>IFERROR(__xludf.DUMMYFUNCTION("CONCATENATE(GOOGLETRANSLATE(C5211, ""en"", ""zh-cn""))"),"卡其航空 X-Wind 自动计时码表")</f>
        <v>卡其航空 X-Wind 自动计时码表</v>
      </c>
      <c r="E5211" s="1" t="str">
        <f>IFERROR(__xludf.DUMMYFUNCTION("CONCATENATE(GOOGLETRANSLATE(C5211, ""en"", ""ko""))"),"카키 에비에이션 X-윈드 오토 크로노")</f>
        <v>카키 에비에이션 X-윈드 오토 크로노</v>
      </c>
      <c r="F5211" s="1" t="str">
        <f>IFERROR(__xludf.DUMMYFUNCTION("CONCATENATE(GOOGLETRANSLATE(C5211, ""en"", ""ja""))"),"カーキ アビエーション X-ウィンド オート クロノ")</f>
        <v>カーキ アビエーション X-ウィンド オート クロノ</v>
      </c>
    </row>
    <row r="5212" ht="15.75" customHeight="1">
      <c r="A5212" s="1">
        <v>4004.0</v>
      </c>
      <c r="B5212" s="1" t="s">
        <v>15</v>
      </c>
      <c r="C5212" s="1" t="s">
        <v>4433</v>
      </c>
      <c r="D5212" s="1" t="str">
        <f>IFERROR(__xludf.DUMMYFUNCTION("CONCATENATE(GOOGLETRANSLATE(C5212, ""en"", ""zh-cn""))"),"Luminox 自动运动计时器男士手表")</f>
        <v>Luminox 自动运动计时器男士手表</v>
      </c>
      <c r="E5212" s="1" t="str">
        <f>IFERROR(__xludf.DUMMYFUNCTION("CONCATENATE(GOOGLETRANSLATE(C5212, ""en"", ""ko""))"),"Luminox 자동 스포츠 타이머 남성용 시계")</f>
        <v>Luminox 자동 스포츠 타이머 남성용 시계</v>
      </c>
      <c r="F5212" s="1" t="str">
        <f>IFERROR(__xludf.DUMMYFUNCTION("CONCATENATE(GOOGLETRANSLATE(C5212, ""en"", ""ja""))"),"ルミノックス オートマチック スポーツ タイマー メンズ腕時計")</f>
        <v>ルミノックス オートマチック スポーツ タイマー メンズ腕時計</v>
      </c>
    </row>
    <row r="5213" ht="15.75" customHeight="1">
      <c r="A5213" s="1">
        <v>4018.0</v>
      </c>
      <c r="B5213" s="1" t="s">
        <v>15</v>
      </c>
      <c r="C5213" s="1" t="s">
        <v>4434</v>
      </c>
      <c r="D5213" s="1" t="str">
        <f>IFERROR(__xludf.DUMMYFUNCTION("CONCATENATE(GOOGLETRANSLATE(C5213, ""en"", ""zh-cn""))"),"Hamilton Jazzmaster Viewmatic 瑞士自动手表 40 毫米表壳，黑色表盘，棕色皮表带（型号：H32515535）")</f>
        <v>Hamilton Jazzmaster Viewmatic 瑞士自动手表 40 毫米表壳，黑色表盘，棕色皮表带（型号：H32515535）</v>
      </c>
      <c r="E5213" s="1" t="str">
        <f>IFERROR(__xludf.DUMMYFUNCTION("CONCATENATE(GOOGLETRANSLATE(C5213, ""en"", ""ko""))"),"해밀턴 재즈마스터 뷰매틱 스위스 오토매틱 시계 40mm 케이스, 블랙 다이얼, 브라운 가죽 스트랩 (모델: H32515535)")</f>
        <v>해밀턴 재즈마스터 뷰매틱 스위스 오토매틱 시계 40mm 케이스, 블랙 다이얼, 브라운 가죽 스트랩 (모델: H32515535)</v>
      </c>
      <c r="F5213" s="1" t="str">
        <f>IFERROR(__xludf.DUMMYFUNCTION("CONCATENATE(GOOGLETRANSLATE(C5213, ""en"", ""ja""))"),"ハミルトン ジャズマスター ビューマティック スイス自動巻き時計 40mm ケース、ブラック ダイヤル、ブラウン レザー ストラップ (モデル: H32515535)")</f>
        <v>ハミルトン ジャズマスター ビューマティック スイス自動巻き時計 40mm ケース、ブラック ダイヤル、ブラウン レザー ストラップ (モデル: H32515535)</v>
      </c>
    </row>
    <row r="5214" ht="15.75" customHeight="1">
      <c r="A5214" s="1">
        <v>4033.0</v>
      </c>
      <c r="B5214" s="1" t="s">
        <v>15</v>
      </c>
      <c r="C5214" s="1" t="s">
        <v>4435</v>
      </c>
      <c r="D5214" s="1" t="str">
        <f>IFERROR(__xludf.DUMMYFUNCTION("CONCATENATE(GOOGLETRANSLATE(C5214, ""en"", ""zh-cn""))"),"Luminox Navy Seal XS.4221.NV.F 男士手表 45 毫米 - 军用潜水手表黑色日期功能 200m 防水蓝宝石玻璃")</f>
        <v>Luminox Navy Seal XS.4221.NV.F 男士手表 45 毫米 - 军用潜水手表黑色日期功能 200m 防水蓝宝石玻璃</v>
      </c>
      <c r="E5214" s="1" t="str">
        <f>IFERROR(__xludf.DUMMYFUNCTION("CONCATENATE(GOOGLETRANSLATE(C5214, ""en"", ""ko""))"),"Luminox Navy Seal XS.4221.NV.F 남성용 시계 45mm - 블랙 날짜 기능 200m 방수 사파이어 글래스 군용 다이브 시계")</f>
        <v>Luminox Navy Seal XS.4221.NV.F 남성용 시계 45mm - 블랙 날짜 기능 200m 방수 사파이어 글래스 군용 다이브 시계</v>
      </c>
      <c r="F5214" s="1" t="str">
        <f>IFERROR(__xludf.DUMMYFUNCTION("CONCATENATE(GOOGLETRANSLATE(C5214, ""en"", ""ja""))"),"ルミノックス ネイビー シール XS.4221.NV.F メンズ ウォッチ 45mm - ミリタリー ダイブウォッチ ブラック 日付機能 200m 防水 サファイアガラス")</f>
        <v>ルミノックス ネイビー シール XS.4221.NV.F メンズ ウォッチ 45mm - ミリタリー ダイブウォッチ ブラック 日付機能 200m 防水 サファイアガラス</v>
      </c>
    </row>
    <row r="5215" ht="15.75" customHeight="1">
      <c r="A5215" s="1">
        <v>4039.0</v>
      </c>
      <c r="B5215" s="1" t="s">
        <v>15</v>
      </c>
      <c r="C5215" s="1" t="s">
        <v>4436</v>
      </c>
      <c r="D5215" s="1" t="str">
        <f>IFERROR(__xludf.DUMMYFUNCTION("CONCATENATE(GOOGLETRANSLATE(C5215, ""en"", ""zh-cn""))"),"Luminox ICE-SAR Arctic XL.1202 男士手表 46 毫米 - 军用手表银色/黑色日期功能 200m 防水蓝宝石玻璃")</f>
        <v>Luminox ICE-SAR Arctic XL.1202 男士手表 46 毫米 - 军用手表银色/黑色日期功能 200m 防水蓝宝石玻璃</v>
      </c>
      <c r="E5215" s="1" t="str">
        <f>IFERROR(__xludf.DUMMYFUNCTION("CONCATENATE(GOOGLETRANSLATE(C5215, ""en"", ""ko""))"),"Luminox ICE-SAR Arctic XL.1202 남성용 시계 46mm - 실버/블랙 날짜 기능 200m 방수 사파이어 글라스 군용 시계")</f>
        <v>Luminox ICE-SAR Arctic XL.1202 남성용 시계 46mm - 실버/블랙 날짜 기능 200m 방수 사파이어 글라스 군용 시계</v>
      </c>
      <c r="F5215" s="1" t="str">
        <f>IFERROR(__xludf.DUMMYFUNCTION("CONCATENATE(GOOGLETRANSLATE(C5215, ""en"", ""ja""))"),"ルミノックス ICE-SAR アークティック XL.1202 メンズ ウォッチ 46mm - ミリタリーウォッチ シルバー/ブラック 日付機能 200m 防水 サファイアガラス")</f>
        <v>ルミノックス ICE-SAR アークティック XL.1202 メンズ ウォッチ 46mm - ミリタリーウォッチ シルバー/ブラック 日付機能 200m 防水 サファイアガラス</v>
      </c>
    </row>
    <row r="5216" ht="15.75" customHeight="1">
      <c r="A5216" s="1">
        <v>4041.0</v>
      </c>
      <c r="B5216" s="1" t="s">
        <v>15</v>
      </c>
      <c r="C5216" s="1" t="s">
        <v>4437</v>
      </c>
      <c r="D5216" s="1" t="str">
        <f>IFERROR(__xludf.DUMMYFUNCTION("CONCATENATE(GOOGLETRANSLATE(C5216, ""en"", ""zh-cn""))"),"Victorinox Fieldforce 经典计时腕表")</f>
        <v>Victorinox Fieldforce 经典计时腕表</v>
      </c>
      <c r="E5216" s="1" t="str">
        <f>IFERROR(__xludf.DUMMYFUNCTION("CONCATENATE(GOOGLETRANSLATE(C5216, ""en"", ""ko""))"),"Victorinox Fieldforce 클래식 크로노 시계")</f>
        <v>Victorinox Fieldforce 클래식 크로노 시계</v>
      </c>
      <c r="F5216" s="1" t="str">
        <f>IFERROR(__xludf.DUMMYFUNCTION("CONCATENATE(GOOGLETRANSLATE(C5216, ""en"", ""ja""))"),"ビクトリノックス フィールドフォース クラシック クロノウォッチ")</f>
        <v>ビクトリノックス フィールドフォース クラシック クロノウォッチ</v>
      </c>
    </row>
    <row r="5217" ht="15.75" customHeight="1">
      <c r="A5217" s="1">
        <v>4043.0</v>
      </c>
      <c r="B5217" s="1" t="s">
        <v>15</v>
      </c>
      <c r="C5217" s="1" t="s">
        <v>4438</v>
      </c>
      <c r="D5217" s="1" t="str">
        <f>IFERROR(__xludf.DUMMYFUNCTION("CONCATENATE(GOOGLETRANSLATE(C5217, ""en"", ""zh-cn""))"),"Luminox 男士 Pacific Diver Sea 系列银色/蓝色 44 毫米模拟潜水手表")</f>
        <v>Luminox 男士 Pacific Diver Sea 系列银色/蓝色 44 毫米模拟潜水手表</v>
      </c>
      <c r="E5217" s="1" t="str">
        <f>IFERROR(__xludf.DUMMYFUNCTION("CONCATENATE(GOOGLETRANSLATE(C5217, ""en"", ""ko""))"),"Luminox 남성용 Pacific Diver Sea 시리즈 실버/블루 44mm 아날로그 다이브 시계")</f>
        <v>Luminox 남성용 Pacific Diver Sea 시리즈 실버/블루 44mm 아날로그 다이브 시계</v>
      </c>
      <c r="F5217" s="1" t="str">
        <f>IFERROR(__xludf.DUMMYFUNCTION("CONCATENATE(GOOGLETRANSLATE(C5217, ""en"", ""ja""))"),"ルミノックス メンズ パシフィック ダイバー シー シリーズ シルバー/ブルー 44mm アナログ ダイブウォッチ")</f>
        <v>ルミノックス メンズ パシフィック ダイバー シー シリーズ シルバー/ブルー 44mm アナログ ダイブウォッチ</v>
      </c>
    </row>
    <row r="5218" ht="15.75" customHeight="1">
      <c r="A5218" s="1">
        <v>4046.0</v>
      </c>
      <c r="B5218" s="1" t="s">
        <v>15</v>
      </c>
      <c r="C5218" s="1" t="s">
        <v>4439</v>
      </c>
      <c r="D5218" s="1" t="str">
        <f>IFERROR(__xludf.DUMMYFUNCTION("CONCATENATE(GOOGLETRANSLATE(C5218, ""en"", ""zh-cn""))"),"Luminox 男士太平洋潜水计时系列黑色 44 毫米模拟潜水手表")</f>
        <v>Luminox 男士太平洋潜水计时系列黑色 44 毫米模拟潜水手表</v>
      </c>
      <c r="E5218" s="1" t="str">
        <f>IFERROR(__xludf.DUMMYFUNCTION("CONCATENATE(GOOGLETRANSLATE(C5218, ""en"", ""ko""))"),"Luminox 남성용 퍼시픽 다이버 크로노그래프 시리즈 블랙아웃 44mm 아날로그 다이브 시계")</f>
        <v>Luminox 남성용 퍼시픽 다이버 크로노그래프 시리즈 블랙아웃 44mm 아날로그 다이브 시계</v>
      </c>
      <c r="F5218" s="1" t="str">
        <f>IFERROR(__xludf.DUMMYFUNCTION("CONCATENATE(GOOGLETRANSLATE(C5218, ""en"", ""ja""))"),"ルミノックス メンズ パシフィック ダイバー クロノグラフ シリーズ ブラックアウト 44mm アナログ ダイブウォッチ")</f>
        <v>ルミノックス メンズ パシフィック ダイバー クロノグラフ シリーズ ブラックアウト 44mm アナログ ダイブウォッチ</v>
      </c>
    </row>
    <row r="5219" ht="15.75" customHeight="1">
      <c r="A5219" s="1">
        <v>4053.0</v>
      </c>
      <c r="B5219" s="1" t="s">
        <v>15</v>
      </c>
      <c r="C5219" s="1" t="s">
        <v>4440</v>
      </c>
      <c r="D5219" s="1" t="str">
        <f>IFERROR(__xludf.DUMMYFUNCTION("CONCATENATE(GOOGLETRANSLATE(C5219, ""en"", ""zh-cn""))"),"LIV GX1 瑞士制造计时码表 45 毫米 316L 不锈钢表壳，3D 多层带快速设置日期 - 男士坚固经典手表 - 防刮蓝宝石水晶 - 660 英尺防水 - BGW9 Swiss Luminova")</f>
        <v>LIV GX1 瑞士制造计时码表 45 毫米 316L 不锈钢表壳，3D 多层带快速设置日期 - 男士坚固经典手表 - 防刮蓝宝石水晶 - 660 英尺防水 - BGW9 Swiss Luminova</v>
      </c>
      <c r="E5219" s="1" t="str">
        <f>IFERROR(__xludf.DUMMYFUNCTION("CONCATENATE(GOOGLETRANSLATE(C5219, ""en"", ""ko""))"),"LIV GX1 스위스 메이드 크로노그래프 45mm 316L SS 케이스, 퀵셋 날짜가 포함된 3D 다층 - 남성용 견고한 클래식 시계 - 긁힘 방지 사파이어 크리스탈 - 660피트 방수 - BGW9 스위스 루미노바")</f>
        <v>LIV GX1 스위스 메이드 크로노그래프 45mm 316L SS 케이스, 퀵셋 날짜가 포함된 3D 다층 - 남성용 견고한 클래식 시계 - 긁힘 방지 사파이어 크리스탈 - 660피트 방수 - BGW9 스위스 루미노바</v>
      </c>
      <c r="F5219" s="1" t="str">
        <f>IFERROR(__xludf.DUMMYFUNCTION("CONCATENATE(GOOGLETRANSLATE(C5219, ""en"", ""ja""))"),"LIV GX1 スイス製クロノグラフ 45mm 316L SS ケース、3D マルチレイヤー、クイックセット日付付き - 男性用の頑丈なクラシックウォッチ - 耐傷性サファイアクリスタル - 660 フィート耐水性 - BGW9 スイスルミノバ")</f>
        <v>LIV GX1 スイス製クロノグラフ 45mm 316L SS ケース、3D マルチレイヤー、クイックセット日付付き - 男性用の頑丈なクラシックウォッチ - 耐傷性サファイアクリスタル - 660 フィート耐水性 - BGW9 スイスルミノバ</v>
      </c>
    </row>
    <row r="5220" ht="15.75" customHeight="1">
      <c r="A5220" s="1">
        <v>4058.0</v>
      </c>
      <c r="B5220" s="1" t="s">
        <v>15</v>
      </c>
      <c r="C5220" s="1" t="s">
        <v>4441</v>
      </c>
      <c r="D5220" s="1" t="str">
        <f>IFERROR(__xludf.DUMMYFUNCTION("CONCATENATE(GOOGLETRANSLATE(C5220, ""en"", ""zh-cn""))"),"精工 Prospex 南极洲金枪鱼潜水员 200 米自动蓝色表盘手表 SRPH77K1")</f>
        <v>精工 Prospex 南极洲金枪鱼潜水员 200 米自动蓝色表盘手表 SRPH77K1</v>
      </c>
      <c r="E5220" s="1" t="str">
        <f>IFERROR(__xludf.DUMMYFUNCTION("CONCATENATE(GOOGLETRANSLATE(C5220, ""en"", ""ko""))"),"세이코 ProspexAntarctica Tuna Diver's 200m 오토매틱 블루 다이얼 시계 SRPH77K1")</f>
        <v>세이코 ProspexAntarctica Tuna Diver's 200m 오토매틱 블루 다이얼 시계 SRPH77K1</v>
      </c>
      <c r="F5220" s="1" t="str">
        <f>IFERROR(__xludf.DUMMYFUNCTION("CONCATENATE(GOOGLETRANSLATE(C5220, ""en"", ""ja""))"),"セイコー プロスペックス南極ツナダイバーズ 200m 自動巻きブルーダイヤルウォッチ SRPH77K1")</f>
        <v>セイコー プロスペックス南極ツナダイバーズ 200m 自動巻きブルーダイヤルウォッチ SRPH77K1</v>
      </c>
    </row>
    <row r="5221" ht="15.75" customHeight="1">
      <c r="A5221" s="1">
        <v>4066.0</v>
      </c>
      <c r="B5221" s="1" t="s">
        <v>15</v>
      </c>
      <c r="C5221" s="1" t="s">
        <v>4442</v>
      </c>
      <c r="D5221" s="1" t="str">
        <f>IFERROR(__xludf.DUMMYFUNCTION("CONCATENATE(GOOGLETRANSLATE(C5221, ""en"", ""zh-cn""))"),"SEIKO SRPE33 Prospex 男士手表银色 44 毫米不锈钢")</f>
        <v>SEIKO SRPE33 Prospex 男士手表银色 44 毫米不锈钢</v>
      </c>
      <c r="E5221" s="1" t="str">
        <f>IFERROR(__xludf.DUMMYFUNCTION("CONCATENATE(GOOGLETRANSLATE(C5221, ""en"", ""ko""))"),"SEIKO SRPE33 Prospex 남성용 시계 실버톤 44mm 스테인리스 스틸")</f>
        <v>SEIKO SRPE33 Prospex 남성용 시계 실버톤 44mm 스테인리스 스틸</v>
      </c>
      <c r="F5221" s="1" t="str">
        <f>IFERROR(__xludf.DUMMYFUNCTION("CONCATENATE(GOOGLETRANSLATE(C5221, ""en"", ""ja""))"),"セイコー SRPE33 プロスペックス メンズ 腕時計 シルバートーン 44mm ステンレススチール")</f>
        <v>セイコー SRPE33 プロスペックス メンズ 腕時計 シルバートーン 44mm ステンレススチール</v>
      </c>
    </row>
    <row r="5222" ht="15.75" customHeight="1">
      <c r="A5222" s="1">
        <v>4082.0</v>
      </c>
      <c r="B5222" s="1" t="s">
        <v>15</v>
      </c>
      <c r="C5222" s="1" t="s">
        <v>4443</v>
      </c>
      <c r="D5222" s="1" t="str">
        <f>IFERROR(__xludf.DUMMYFUNCTION("CONCATENATE(GOOGLETRANSLATE(C5222, ""en"", ""zh-cn""))"),"Luminox Atacama Adventurer Field XL.1761 男士手表 42 毫米 - 探险手表银色/黑色日期功能 200 米防水蓝宝石玻璃")</f>
        <v>Luminox Atacama Adventurer Field XL.1761 男士手表 42 毫米 - 探险手表银色/黑色日期功能 200 米防水蓝宝石玻璃</v>
      </c>
      <c r="E5222" s="1" t="str">
        <f>IFERROR(__xludf.DUMMYFUNCTION("CONCATENATE(GOOGLETRANSLATE(C5222, ""en"", ""ko""))"),"Luminox Atacama Adventurer Field XL.1761 남성용 시계 42mm - 실버/블랙 날짜 기능 200m 방수 사파이어 글래스 어드벤처 시계")</f>
        <v>Luminox Atacama Adventurer Field XL.1761 남성용 시계 42mm - 실버/블랙 날짜 기능 200m 방수 사파이어 글래스 어드벤처 시계</v>
      </c>
      <c r="F5222" s="1" t="str">
        <f>IFERROR(__xludf.DUMMYFUNCTION("CONCATENATE(GOOGLETRANSLATE(C5222, ""en"", ""ja""))"),"ルミノックス アタカマ アドベンチャラー フィールド XL.1761 メンズ ウォッチ 42mm - アドベンチャー ウォッチ シルバー/ブラック 日付機能 200m 防水 サファイアガラス")</f>
        <v>ルミノックス アタカマ アドベンチャラー フィールド XL.1761 メンズ ウォッチ 42mm - アドベンチャー ウォッチ シルバー/ブラック 日付機能 200m 防水 サファイアガラス</v>
      </c>
    </row>
    <row r="5223" ht="15.75" customHeight="1">
      <c r="A5223" s="1">
        <v>4085.0</v>
      </c>
      <c r="B5223" s="1" t="s">
        <v>15</v>
      </c>
      <c r="C5223" s="1" t="s">
        <v>4444</v>
      </c>
      <c r="D5223" s="1" t="str">
        <f>IFERROR(__xludf.DUMMYFUNCTION("CONCATENATE(GOOGLETRANSLATE(C5223, ""en"", ""zh-cn""))"),"汉密尔顿卡其航空飞行员先锋瑞士计时石英手表 41 毫米表壳，黑色表盘，棕色皮革 NATO 表带（型号：H76522531）")</f>
        <v>汉密尔顿卡其航空飞行员先锋瑞士计时石英手表 41 毫米表壳，黑色表盘，棕色皮革 NATO 表带（型号：H76522531）</v>
      </c>
      <c r="E5223" s="1" t="str">
        <f>IFERROR(__xludf.DUMMYFUNCTION("CONCATENATE(GOOGLETRANSLATE(C5223, ""en"", ""ko""))"),"해밀턴 카키 에비에이션 파일럿 파이오니어 스위스 크로노그래프 쿼츠 시계 41mm 케이스, 블랙 다이얼, 브라운 가죽 NATO 스트랩(모델: H76522531)")</f>
        <v>해밀턴 카키 에비에이션 파일럿 파이오니어 스위스 크로노그래프 쿼츠 시계 41mm 케이스, 블랙 다이얼, 브라운 가죽 NATO 스트랩(모델: H76522531)</v>
      </c>
      <c r="F5223" s="1" t="str">
        <f>IFERROR(__xludf.DUMMYFUNCTION("CONCATENATE(GOOGLETRANSLATE(C5223, ""en"", ""ja""))"),"ハミルトン カーキ アビエーション パイロット パイオニア スイス クロノグラフ クォーツ ウォッチ 41mm ケース、ブラック ダイヤル、ブラウン レザー NATO ストラップ (モデル: H76522531)")</f>
        <v>ハミルトン カーキ アビエーション パイロット パイオニア スイス クロノグラフ クォーツ ウォッチ 41mm ケース、ブラック ダイヤル、ブラウン レザー NATO ストラップ (モデル: H76522531)</v>
      </c>
    </row>
    <row r="5224" ht="15.75" customHeight="1">
      <c r="A5224" s="1">
        <v>4088.0</v>
      </c>
      <c r="B5224" s="1" t="s">
        <v>15</v>
      </c>
      <c r="C5224" s="1" t="s">
        <v>4445</v>
      </c>
      <c r="D5224" s="1" t="str">
        <f>IFERROR(__xludf.DUMMYFUNCTION("CONCATENATE(GOOGLETRANSLATE(C5224, ""en"", ""zh-cn""))"),"Luminox 男士 Pacific Diver Sea 系列黑色 44 毫米模拟潜水手表")</f>
        <v>Luminox 男士 Pacific Diver Sea 系列黑色 44 毫米模拟潜水手表</v>
      </c>
      <c r="E5224" s="1" t="str">
        <f>IFERROR(__xludf.DUMMYFUNCTION("CONCATENATE(GOOGLETRANSLATE(C5224, ""en"", ""ko""))"),"Luminox 남성용 Pacific Diver Sea 시리즈 블랙 아웃 44mm 아날로그 다이브 시계")</f>
        <v>Luminox 남성용 Pacific Diver Sea 시리즈 블랙 아웃 44mm 아날로그 다이브 시계</v>
      </c>
      <c r="F5224" s="1" t="str">
        <f>IFERROR(__xludf.DUMMYFUNCTION("CONCATENATE(GOOGLETRANSLATE(C5224, ""en"", ""ja""))"),"ルミノックス メンズ パシフィック ダイバー シー シリーズ ブラックアウト 44mm アナログ ダイブウォッチ")</f>
        <v>ルミノックス メンズ パシフィック ダイバー シー シリーズ ブラックアウト 44mm アナログ ダイブウォッチ</v>
      </c>
    </row>
    <row r="5225" ht="15.75" customHeight="1">
      <c r="A5225" s="1">
        <v>4098.0</v>
      </c>
      <c r="B5225" s="1" t="s">
        <v>15</v>
      </c>
      <c r="C5225" s="1" t="s">
        <v>4446</v>
      </c>
      <c r="D5225" s="1" t="str">
        <f>IFERROR(__xludf.DUMMYFUNCTION("CONCATENATE(GOOGLETRANSLATE(C5225, ""en"", ""zh-cn""))"),"SEIKO PROSPEX 太阳能潜水员蓝色和红色边框不锈钢手表 SNE591")</f>
        <v>SEIKO PROSPEX 太阳能潜水员蓝色和红色边框不锈钢手表 SNE591</v>
      </c>
      <c r="E5225" s="1" t="str">
        <f>IFERROR(__xludf.DUMMYFUNCTION("CONCATENATE(GOOGLETRANSLATE(C5225, ""en"", ""ko""))"),"SEIKO PROSPEX 솔라 다이버 블루 및 레드 베젤 스테인리스 스틸 시계 SNE591")</f>
        <v>SEIKO PROSPEX 솔라 다이버 블루 및 레드 베젤 스테인리스 스틸 시계 SNE591</v>
      </c>
      <c r="F5225" s="1" t="str">
        <f>IFERROR(__xludf.DUMMYFUNCTION("CONCATENATE(GOOGLETRANSLATE(C5225, ""en"", ""ja""))"),"セイコー プロスペックス ソーラー ダイバーズ 青と赤ベゼル ステンレススチール ウォッチ SNE591")</f>
        <v>セイコー プロスペックス ソーラー ダイバーズ 青と赤ベゼル ステンレススチール ウォッチ SNE591</v>
      </c>
    </row>
    <row r="5226" ht="15.75" customHeight="1">
      <c r="A5226" s="1">
        <v>4116.0</v>
      </c>
      <c r="B5226" s="1" t="s">
        <v>15</v>
      </c>
      <c r="C5226" s="1" t="s">
        <v>4447</v>
      </c>
      <c r="D5226" s="1" t="str">
        <f>IFERROR(__xludf.DUMMYFUNCTION("CONCATENATE(GOOGLETRANSLATE(C5226, ""en"", ""zh-cn""))"),"Luminox 男士海军海豹 3000 EVO 系列 43 毫米模拟黑色潜水手表")</f>
        <v>Luminox 男士海军海豹 3000 EVO 系列 43 毫米模拟黑色潜水手表</v>
      </c>
      <c r="E5226" s="1" t="str">
        <f>IFERROR(__xludf.DUMMYFUNCTION("CONCATENATE(GOOGLETRANSLATE(C5226, ""en"", ""ko""))"),"Luminox 남성용 Navy Seal 3000 EVO 시리즈 43mm 아날로그 블랙 아웃 다이브 시계")</f>
        <v>Luminox 남성용 Navy Seal 3000 EVO 시리즈 43mm 아날로그 블랙 아웃 다이브 시계</v>
      </c>
      <c r="F5226" s="1" t="str">
        <f>IFERROR(__xludf.DUMMYFUNCTION("CONCATENATE(GOOGLETRANSLATE(C5226, ""en"", ""ja""))"),"ルミノックス メンズ ネイビー シール 3000 EVO シリーズ 43mm アナログ ブラックアウト ダイブウォッチ")</f>
        <v>ルミノックス メンズ ネイビー シール 3000 EVO シリーズ 43mm アナログ ブラックアウト ダイブウォッチ</v>
      </c>
    </row>
    <row r="5227" ht="15.75" customHeight="1">
      <c r="A5227" s="1">
        <v>4120.0</v>
      </c>
      <c r="B5227" s="1" t="s">
        <v>15</v>
      </c>
      <c r="C5227" s="1" t="s">
        <v>4448</v>
      </c>
      <c r="D5227" s="1" t="str">
        <f>IFERROR(__xludf.DUMMYFUNCTION("CONCATENATE(GOOGLETRANSLATE(C5227, ""en"", ""zh-cn""))"),"Luminox 海军海豹突击队潜水手表黑色魔术贴表带 - L3901")</f>
        <v>Luminox 海军海豹突击队潜水手表黑色魔术贴表带 - L3901</v>
      </c>
      <c r="E5227" s="1" t="str">
        <f>IFERROR(__xludf.DUMMYFUNCTION("CONCATENATE(GOOGLETRANSLATE(C5227, ""en"", ""ko""))"),"Luminox Navy SEAL 다이브 시계 블랙 벨크로 밴드 - L3901")</f>
        <v>Luminox Navy SEAL 다이브 시계 블랙 벨크로 밴드 - L3901</v>
      </c>
      <c r="F5227" s="1" t="str">
        <f>IFERROR(__xludf.DUMMYFUNCTION("CONCATENATE(GOOGLETRANSLATE(C5227, ""en"", ""ja""))"),"ルミノックス ネイビー シール ダイブウォッチ ブラック ベルクロ バンド - L3901")</f>
        <v>ルミノックス ネイビー シール ダイブウォッチ ブラック ベルクロ バンド - L3901</v>
      </c>
    </row>
    <row r="5228" ht="15.75" customHeight="1">
      <c r="A5228" s="1">
        <v>4124.0</v>
      </c>
      <c r="B5228" s="1" t="s">
        <v>15</v>
      </c>
      <c r="C5228" s="1" t="s">
        <v>4449</v>
      </c>
      <c r="D5228" s="1" t="str">
        <f>IFERROR(__xludf.DUMMYFUNCTION("CONCATENATE(GOOGLETRANSLATE(C5228, ""en"", ""zh-cn""))"),"Luminox 男士 3151 海军海豹突击队夜光手表带黑色橡胶表带")</f>
        <v>Luminox 男士 3151 海军海豹突击队夜光手表带黑色橡胶表带</v>
      </c>
      <c r="E5228" s="1" t="str">
        <f>IFERROR(__xludf.DUMMYFUNCTION("CONCATENATE(GOOGLETRANSLATE(C5228, ""en"", ""ko""))"),"Luminox 남성용 3151 Navy SEAL 야광 시계, 블랙 고무 밴드 포함")</f>
        <v>Luminox 남성용 3151 Navy SEAL 야광 시계, 블랙 고무 밴드 포함</v>
      </c>
      <c r="F5228" s="1" t="str">
        <f>IFERROR(__xludf.DUMMYFUNCTION("CONCATENATE(GOOGLETRANSLATE(C5228, ""en"", ""ja""))"),"ルミノックス メンズ 3151 ネイビー シール発光時計、ブラック ラバー バンド付き")</f>
        <v>ルミノックス メンズ 3151 ネイビー シール発光時計、ブラック ラバー バンド付き</v>
      </c>
    </row>
    <row r="5229" ht="15.75" customHeight="1">
      <c r="A5229" s="1">
        <v>4130.0</v>
      </c>
      <c r="B5229" s="1" t="s">
        <v>15</v>
      </c>
      <c r="C5229" s="1" t="s">
        <v>4450</v>
      </c>
      <c r="D5229" s="1" t="str">
        <f>IFERROR(__xludf.DUMMYFUNCTION("CONCATENATE(GOOGLETRANSLATE(C5229, ""en"", ""zh-cn""))"),"三星 Galaxy Watch 4 LTE 46 毫米智能手表，带心电图监测追踪器，适用于健康、健身、跑步、睡眠周期、GPS 跌倒检测、蓝牙，美国版，黑色")</f>
        <v>三星 Galaxy Watch 4 LTE 46 毫米智能手表，带心电图监测追踪器，适用于健康、健身、跑步、睡眠周期、GPS 跌倒检测、蓝牙，美国版，黑色</v>
      </c>
      <c r="E5229" s="1" t="str">
        <f>IFERROR(__xludf.DUMMYFUNCTION("CONCATENATE(GOOGLETRANSLATE(C5229, ""en"", ""ko""))"),"건강, 피트니스, 달리기, 수면 주기, GPS 추락 감지, 블루투스, 미국 버전, 블랙용 심전도 모니터 추적기가 포함된 SAMSUNG Galaxy Watch 4 LTE 46mm 스마트워치")</f>
        <v>건강, 피트니스, 달리기, 수면 주기, GPS 추락 감지, 블루투스, 미국 버전, 블랙용 심전도 모니터 추적기가 포함된 SAMSUNG Galaxy Watch 4 LTE 46mm 스마트워치</v>
      </c>
      <c r="F5229" s="1" t="str">
        <f>IFERROR(__xludf.DUMMYFUNCTION("CONCATENATE(GOOGLETRANSLATE(C5229, ""en"", ""ja""))"),"SAMSUNG Galaxy Watch 4 LTE 46mm スマートウォッチ、ECG モニタートラッカー付き、健康、フィットネス、ランニング、睡眠サイクル、GPS 転倒検出、Bluetooth、米国バージョン、ブラック")</f>
        <v>SAMSUNG Galaxy Watch 4 LTE 46mm スマートウォッチ、ECG モニタートラッカー付き、健康、フィットネス、ランニング、睡眠サイクル、GPS 転倒検出、Bluetooth、米国バージョン、ブラック</v>
      </c>
    </row>
    <row r="5230" ht="15.75" customHeight="1">
      <c r="A5230" s="1">
        <v>4132.0</v>
      </c>
      <c r="B5230" s="1" t="s">
        <v>15</v>
      </c>
      <c r="C5230" s="1" t="s">
        <v>4451</v>
      </c>
      <c r="D5230" s="1" t="str">
        <f>IFERROR(__xludf.DUMMYFUNCTION("CONCATENATE(GOOGLETRANSLATE(C5230, ""en"", ""zh-cn""))"),"CASIO G-Shock Connected GMW-B5000-1JF Origin 无线电太阳能手表（日本国内正品）")</f>
        <v>CASIO G-Shock Connected GMW-B5000-1JF Origin 无线电太阳能手表（日本国内正品）</v>
      </c>
      <c r="E5230" s="1" t="str">
        <f>IFERROR(__xludf.DUMMYFUNCTION("CONCATENATE(GOOGLETRANSLATE(C5230, ""en"", ""ko""))"),"CASIO G-Shock Connected GMW-B5000-1JF Origin Radio Solar 시계(일본 국내 정품 제품)")</f>
        <v>CASIO G-Shock Connected GMW-B5000-1JF Origin Radio Solar 시계(일본 국내 정품 제품)</v>
      </c>
      <c r="F5230" s="1" t="str">
        <f>IFERROR(__xludf.DUMMYFUNCTION("CONCATENATE(GOOGLETRANSLATE(C5230, ""en"", ""ja""))"),"CASIO G-Shock Connected GMW-B5000-1JF オリジン電波ソーラー時計 (日本国内正規品)")</f>
        <v>CASIO G-Shock Connected GMW-B5000-1JF オリジン電波ソーラー時計 (日本国内正規品)</v>
      </c>
    </row>
    <row r="5231" ht="15.75" customHeight="1">
      <c r="A5231" s="1">
        <v>4133.0</v>
      </c>
      <c r="B5231" s="1" t="s">
        <v>15</v>
      </c>
      <c r="C5231" s="1" t="s">
        <v>4452</v>
      </c>
      <c r="D5231" s="1" t="str">
        <f>IFERROR(__xludf.DUMMYFUNCTION("CONCATENATE(GOOGLETRANSLATE(C5231, ""en"", ""zh-cn""))"),"Luminox Navy Seal XS.3501.F 男士手表 45 毫米 - 黑色潜水手表 日期功能 200m 防水")</f>
        <v>Luminox Navy Seal XS.3501.F 男士手表 45 毫米 - 黑色潜水手表 日期功能 200m 防水</v>
      </c>
      <c r="E5231" s="1" t="str">
        <f>IFERROR(__xludf.DUMMYFUNCTION("CONCATENATE(GOOGLETRANSLATE(C5231, ""en"", ""ko""))"),"Luminox Navy Seal XS.3501.F 남성용 시계 45mm - 블랙 날짜 기능 200m 방수 다이브 시계")</f>
        <v>Luminox Navy Seal XS.3501.F 남성용 시계 45mm - 블랙 날짜 기능 200m 방수 다이브 시계</v>
      </c>
      <c r="F5231" s="1" t="str">
        <f>IFERROR(__xludf.DUMMYFUNCTION("CONCATENATE(GOOGLETRANSLATE(C5231, ""en"", ""ja""))"),"ルミノックス ネイビー シール XS.3501.F メンズ ウォッチ 45mm - ダイブウォッチ ブラック 日付機能 200m 防水")</f>
        <v>ルミノックス ネイビー シール XS.3501.F メンズ ウォッチ 45mm - ダイブウォッチ ブラック 日付機能 200m 防水</v>
      </c>
    </row>
    <row r="5232" ht="15.75" customHeight="1">
      <c r="A5232" s="1">
        <v>4136.0</v>
      </c>
      <c r="B5232" s="1" t="s">
        <v>15</v>
      </c>
      <c r="C5232" s="1" t="s">
        <v>4453</v>
      </c>
      <c r="D5232" s="1" t="str">
        <f>IFERROR(__xludf.DUMMYFUNCTION("CONCATENATE(GOOGLETRANSLATE(C5232, ""en"", ""zh-cn""))"),"SEIKO SRPE27 Prospex 男士手表银色 42.4 毫米不锈钢")</f>
        <v>SEIKO SRPE27 Prospex 男士手表银色 42.4 毫米不锈钢</v>
      </c>
      <c r="E5232" s="1" t="str">
        <f>IFERROR(__xludf.DUMMYFUNCTION("CONCATENATE(GOOGLETRANSLATE(C5232, ""en"", ""ko""))"),"SEIKO SRPE27 Prospex 남성용 시계 실버톤 42.4mm 스테인리스 스틸")</f>
        <v>SEIKO SRPE27 Prospex 남성용 시계 실버톤 42.4mm 스테인리스 스틸</v>
      </c>
      <c r="F5232" s="1" t="str">
        <f>IFERROR(__xludf.DUMMYFUNCTION("CONCATENATE(GOOGLETRANSLATE(C5232, ""en"", ""ja""))"),"セイコー SRPE27 プロスペックス メンズ 腕時計 シルバートーン 42.4mm ステンレススチール")</f>
        <v>セイコー SRPE27 プロスペックス メンズ 腕時計 シルバートーン 42.4mm ステンレススチール</v>
      </c>
    </row>
    <row r="5233" ht="15.75" customHeight="1">
      <c r="A5233" s="1">
        <v>4149.0</v>
      </c>
      <c r="B5233" s="1" t="s">
        <v>15</v>
      </c>
      <c r="C5233" s="1" t="s">
        <v>4454</v>
      </c>
      <c r="D5233" s="1" t="str">
        <f>IFERROR(__xludf.DUMMYFUNCTION("CONCATENATE(GOOGLETRANSLATE(C5233, ""en"", ""zh-cn""))"),"Ticwatch Pro 3 Ultra GPS 智能手表高通 SDW4100 和 Mobvoi 双处理器系统 Wear OS 男士智能手表血氧疲劳评估 3-45 天电池 NFC 麦克风扬声器")</f>
        <v>Ticwatch Pro 3 Ultra GPS 智能手表高通 SDW4100 和 Mobvoi 双处理器系统 Wear OS 男士智能手表血氧疲劳评估 3-45 天电池 NFC 麦克风扬声器</v>
      </c>
      <c r="E5233" s="1" t="str">
        <f>IFERROR(__xludf.DUMMYFUNCTION("CONCATENATE(GOOGLETRANSLATE(C5233, ""en"", ""ko""))"),"Ticwatch Pro 3 Ultra GPS 스마트워치 Qualcomm SDW4100 및 Mobvoi 듀얼 프로세서 시스템 Wear OS 남성용 스마트 워치 혈액 산소 피로 평가 3-45일 배터리 NFC 마이크 스피커")</f>
        <v>Ticwatch Pro 3 Ultra GPS 스마트워치 Qualcomm SDW4100 및 Mobvoi 듀얼 프로세서 시스템 Wear OS 남성용 스마트 워치 혈액 산소 피로 평가 3-45일 배터리 NFC 마이크 스피커</v>
      </c>
      <c r="F5233" s="1" t="str">
        <f>IFERROR(__xludf.DUMMYFUNCTION("CONCATENATE(GOOGLETRANSLATE(C5233, ""en"", ""ja""))"),"Ticwatch Pro 3 Ultra GPS スマートウォッチ Qualcomm SDW4100 および Mobvoi デュアルプロセッサーシステム Wear OS スマートウォッチ 男性用 血中酸素疲労評価 3 ～ 45 日間のバッテリー NFC マイクスピーカー")</f>
        <v>Ticwatch Pro 3 Ultra GPS スマートウォッチ Qualcomm SDW4100 および Mobvoi デュアルプロセッサーシステム Wear OS スマートウォッチ 男性用 血中酸素疲労評価 3 ～ 45 日間のバッテリー NFC マイクスピーカー</v>
      </c>
    </row>
    <row r="5234" ht="15.75" customHeight="1">
      <c r="A5234" s="1">
        <v>4159.0</v>
      </c>
      <c r="B5234" s="1" t="s">
        <v>15</v>
      </c>
      <c r="C5234" s="1" t="s">
        <v>4455</v>
      </c>
      <c r="D5234" s="1" t="str">
        <f>IFERROR(__xludf.DUMMYFUNCTION("CONCATENATE(GOOGLETRANSLATE(C5234, ""en"", ""zh-cn""))"),"TAKA Jewellery Cresta 18K 十字钻石吊坠")</f>
        <v>TAKA Jewellery Cresta 18K 十字钻石吊坠</v>
      </c>
      <c r="E5234" s="1" t="str">
        <f>IFERROR(__xludf.DUMMYFUNCTION("CONCATENATE(GOOGLETRANSLATE(C5234, ""en"", ""ko""))"),"TAKA 주얼리 크레스타 18K 크로스 다이아몬드 펜던트")</f>
        <v>TAKA 주얼리 크레스타 18K 크로스 다이아몬드 펜던트</v>
      </c>
      <c r="F5234" s="1" t="str">
        <f>IFERROR(__xludf.DUMMYFUNCTION("CONCATENATE(GOOGLETRANSLATE(C5234, ""en"", ""ja""))"),"TAKA Jewellery Cresta 18Kクロスダイヤモンドペンダント")</f>
        <v>TAKA Jewellery Cresta 18Kクロスダイヤモンドペンダント</v>
      </c>
    </row>
    <row r="5235" ht="15.75" customHeight="1">
      <c r="A5235" s="1">
        <v>4167.0</v>
      </c>
      <c r="B5235" s="1" t="s">
        <v>15</v>
      </c>
      <c r="C5235" s="1" t="s">
        <v>4456</v>
      </c>
      <c r="D5235" s="1" t="str">
        <f>IFERROR(__xludf.DUMMYFUNCTION("CONCATENATE(GOOGLETRANSLATE(C5235, ""en"", ""zh-cn""))"),"SEIKO SNE549 Prospex 男士手表银色 43.5 毫米不锈钢")</f>
        <v>SEIKO SNE549 Prospex 男士手表银色 43.5 毫米不锈钢</v>
      </c>
      <c r="E5235" s="1" t="str">
        <f>IFERROR(__xludf.DUMMYFUNCTION("CONCATENATE(GOOGLETRANSLATE(C5235, ""en"", ""ko""))"),"SEIKO SNE549 Prospex 남성용 시계 실버톤 43.5mm 스테인리스 스틸")</f>
        <v>SEIKO SNE549 Prospex 남성용 시계 실버톤 43.5mm 스테인리스 스틸</v>
      </c>
      <c r="F5235" s="1" t="str">
        <f>IFERROR(__xludf.DUMMYFUNCTION("CONCATENATE(GOOGLETRANSLATE(C5235, ""en"", ""ja""))"),"セイコー SNE549 プロスペックス メンズ 腕時計 シルバートーン 43.5mm ステンレススチール")</f>
        <v>セイコー SNE549 プロスペックス メンズ 腕時計 シルバートーン 43.5mm ステンレススチール</v>
      </c>
    </row>
    <row r="5236" ht="15.75" customHeight="1">
      <c r="A5236" s="1">
        <v>4169.0</v>
      </c>
      <c r="B5236" s="1" t="s">
        <v>15</v>
      </c>
      <c r="C5236" s="1" t="s">
        <v>4457</v>
      </c>
      <c r="D5236" s="1" t="str">
        <f>IFERROR(__xludf.DUMMYFUNCTION("CONCATENATE(GOOGLETRANSLATE(C5236, ""en"", ""zh-cn""))"),"Luminox 男士 3005 原创海军海豹突击队潜水手表")</f>
        <v>Luminox 男士 3005 原创海军海豹突击队潜水手表</v>
      </c>
      <c r="E5236" s="1" t="str">
        <f>IFERROR(__xludf.DUMMYFUNCTION("CONCATENATE(GOOGLETRANSLATE(C5236, ""en"", ""ko""))"),"Luminox 남성용 3005 오리지널 Navy SEAL 다이브 시계")</f>
        <v>Luminox 남성용 3005 오리지널 Navy SEAL 다이브 시계</v>
      </c>
      <c r="F5236" s="1" t="str">
        <f>IFERROR(__xludf.DUMMYFUNCTION("CONCATENATE(GOOGLETRANSLATE(C5236, ""en"", ""ja""))"),"ルミノックス メンズ 3005 オリジナル ネイビー シール ダイブウォッチ")</f>
        <v>ルミノックス メンズ 3005 オリジナル ネイビー シール ダイブウォッチ</v>
      </c>
    </row>
    <row r="5237" ht="15.75" customHeight="1">
      <c r="A5237" s="1">
        <v>4171.0</v>
      </c>
      <c r="B5237" s="1" t="s">
        <v>15</v>
      </c>
      <c r="C5237" s="1" t="s">
        <v>4458</v>
      </c>
      <c r="D5237" s="1" t="str">
        <f>IFERROR(__xludf.DUMMYFUNCTION("CONCATENATE(GOOGLETRANSLATE(C5237, ""en"", ""zh-cn""))"),"施华洛世奇 Gema 珠宝系列，金色和铑饰面，彩色水晶")</f>
        <v>施华洛世奇 Gema 珠宝系列，金色和铑饰面，彩色水晶</v>
      </c>
      <c r="E5237" s="1" t="str">
        <f>IFERROR(__xludf.DUMMYFUNCTION("CONCATENATE(GOOGLETRANSLATE(C5237, ""en"", ""ko""))"),"Swarovski Gema 주얼리 컬렉션, 골드 톤 및 로듐 마감, 멀티컬러 크리스털")</f>
        <v>Swarovski Gema 주얼리 컬렉션, 골드 톤 및 로듐 마감, 멀티컬러 크리스털</v>
      </c>
      <c r="F5237" s="1" t="str">
        <f>IFERROR(__xludf.DUMMYFUNCTION("CONCATENATE(GOOGLETRANSLATE(C5237, ""en"", ""ja""))"),"スワロフスキー ジェマ ジュエリー コレクション、ゴールドトーンとロジウム仕上げ、マルチカラー クリスタル")</f>
        <v>スワロフスキー ジェマ ジュエリー コレクション、ゴールドトーンとロジウム仕上げ、マルチカラー クリスタル</v>
      </c>
    </row>
    <row r="5238" ht="15.75" customHeight="1">
      <c r="A5238" s="1">
        <v>4186.0</v>
      </c>
      <c r="B5238" s="1" t="s">
        <v>15</v>
      </c>
      <c r="C5238" s="1" t="s">
        <v>4459</v>
      </c>
      <c r="D5238" s="1" t="str">
        <f>IFERROR(__xludf.DUMMYFUNCTION("CONCATENATE(GOOGLETRANSLATE(C5238, ""en"", ""zh-cn""))"),"Luminox Navy Seal Blackout XS.3081.BO.F 男士手表 44 毫米 - 军用潜水手表黑色日期功能计时码表 200m 防水")</f>
        <v>Luminox Navy Seal Blackout XS.3081.BO.F 男士手表 44 毫米 - 军用潜水手表黑色日期功能计时码表 200m 防水</v>
      </c>
      <c r="E5238" s="1" t="str">
        <f>IFERROR(__xludf.DUMMYFUNCTION("CONCATENATE(GOOGLETRANSLATE(C5238, ""en"", ""ko""))"),"Luminox Navy Seal 블랙아웃 XS.3081.BO.F 남성용 시계 44mm - 블랙 날짜 기능의 밀리터리 다이브 시계 크로노그래프 200m 방수")</f>
        <v>Luminox Navy Seal 블랙아웃 XS.3081.BO.F 남성용 시계 44mm - 블랙 날짜 기능의 밀리터리 다이브 시계 크로노그래프 200m 방수</v>
      </c>
      <c r="F5238" s="1" t="str">
        <f>IFERROR(__xludf.DUMMYFUNCTION("CONCATENATE(GOOGLETRANSLATE(C5238, ""en"", ""ja""))"),"ルミノックス ネイビー シール ブラックアウト XS.3081.BO.F メンズ ウォッチ 44mm - ミリタリー ダイブウォッチ ブラック 日付機能 クロノグラフ 200m 防水")</f>
        <v>ルミノックス ネイビー シール ブラックアウト XS.3081.BO.F メンズ ウォッチ 44mm - ミリタリー ダイブウォッチ ブラック 日付機能 クロノグラフ 200m 防水</v>
      </c>
    </row>
    <row r="5239" ht="15.75" customHeight="1">
      <c r="A5239" s="1">
        <v>4190.0</v>
      </c>
      <c r="B5239" s="1" t="s">
        <v>15</v>
      </c>
      <c r="C5239" s="1" t="s">
        <v>4460</v>
      </c>
      <c r="D5239" s="1" t="str">
        <f>IFERROR(__xludf.DUMMYFUNCTION("CONCATENATE(GOOGLETRANSLATE(C5239, ""en"", ""zh-cn""))"),"SEIKO 男士 SNZG15 SEIKO 5 自动不锈钢手表带尼龙表带")</f>
        <v>SEIKO 男士 SNZG15 SEIKO 5 自动不锈钢手表带尼龙表带</v>
      </c>
      <c r="E5239" s="1" t="str">
        <f>IFERROR(__xludf.DUMMYFUNCTION("CONCATENATE(GOOGLETRANSLATE(C5239, ""en"", ""ko""))"),"SEIKO 남성용 SNZG15 SEIKO 5 자동 스테인레스 스틸 시계(나일론 스트랩 포함)")</f>
        <v>SEIKO 남성용 SNZG15 SEIKO 5 자동 스테인레스 스틸 시계(나일론 스트랩 포함)</v>
      </c>
      <c r="F5239" s="1" t="str">
        <f>IFERROR(__xludf.DUMMYFUNCTION("CONCATENATE(GOOGLETRANSLATE(C5239, ""en"", ""ja""))"),"セイコー メンズ SNZG15 SEIKO 5 自動巻きステンレススチールウォッチ ナイロンストラップ付き")</f>
        <v>セイコー メンズ SNZG15 SEIKO 5 自動巻きステンレススチールウォッチ ナイロンストラップ付き</v>
      </c>
    </row>
    <row r="5240" ht="15.75" customHeight="1">
      <c r="A5240" s="1">
        <v>4193.0</v>
      </c>
      <c r="B5240" s="1" t="s">
        <v>15</v>
      </c>
      <c r="C5240" s="1" t="s">
        <v>4461</v>
      </c>
      <c r="D5240" s="1" t="str">
        <f>IFERROR(__xludf.DUMMYFUNCTION("CONCATENATE(GOOGLETRANSLATE(C5240, ""en"", ""zh-cn""))"),"Fitbit Versa 4 健身智能手表，具有日常准备功能，GPS，24/7 心率，40 多种锻炼模式，睡眠跟踪等，粉沙色/铜玫瑰色，均码（包括 S 和 L 表带）")</f>
        <v>Fitbit Versa 4 健身智能手表，具有日常准备功能，GPS，24/7 心率，40 多种锻炼模式，睡眠跟踪等，粉沙色/铜玫瑰色，均码（包括 S 和 L 表带）</v>
      </c>
      <c r="E5240" s="1" t="str">
        <f>IFERROR(__xludf.DUMMYFUNCTION("CONCATENATE(GOOGLETRANSLATE(C5240, ""en"", ""ko""))"),"Fitbit Versa 4 피트니스 스마트워치, 일일 컨디션, GPS, 24시간 심박수, 40개 이상의 운동 모드, 수면 추적 등, 핑크 샌드/코퍼 로즈, 단일 사이즈(S 및 L 밴드 포함)")</f>
        <v>Fitbit Versa 4 피트니스 스마트워치, 일일 컨디션, GPS, 24시간 심박수, 40개 이상의 운동 모드, 수면 추적 등, 핑크 샌드/코퍼 로즈, 단일 사이즈(S 및 L 밴드 포함)</v>
      </c>
      <c r="F5240" s="1" t="str">
        <f>IFERROR(__xludf.DUMMYFUNCTION("CONCATENATE(GOOGLETRANSLATE(C5240, ""en"", ""ja""))"),"Fitbit Versa 4 フィットネス スマートウォッチ、毎日の準備、GPS、24 時間年中無休の心拍数、40 以上の運動モード、睡眠追跡などを備え、ピンク サンド/コッパー ローズ、ワン サイズ (S および L バンド付属)")</f>
        <v>Fitbit Versa 4 フィットネス スマートウォッチ、毎日の準備、GPS、24 時間年中無休の心拍数、40 以上の運動モード、睡眠追跡などを備え、ピンク サンド/コッパー ローズ、ワン サイズ (S および L バンド付属)</v>
      </c>
    </row>
    <row r="5241" ht="15.75" customHeight="1">
      <c r="A5241" s="1">
        <v>4203.0</v>
      </c>
      <c r="B5241" s="1" t="s">
        <v>15</v>
      </c>
      <c r="C5241" s="1" t="s">
        <v>4462</v>
      </c>
      <c r="D5241" s="1" t="str">
        <f>IFERROR(__xludf.DUMMYFUNCTION("CONCATENATE(GOOGLETRANSLATE(C5241, ""en"", ""zh-cn""))"),"施华洛世奇 Millenia 八角形切割水晶手链珠宝系列")</f>
        <v>施华洛世奇 Millenia 八角形切割水晶手链珠宝系列</v>
      </c>
      <c r="E5241" s="1" t="str">
        <f>IFERROR(__xludf.DUMMYFUNCTION("CONCATENATE(GOOGLETRANSLATE(C5241, ""en"", ""ko""))"),"SWAROVSKI 밀레니아 옥타곤 컷 크리스탈 팔찌 주얼리 컬렉션")</f>
        <v>SWAROVSKI 밀레니아 옥타곤 컷 크리스탈 팔찌 주얼리 컬렉션</v>
      </c>
      <c r="F5241" s="1" t="str">
        <f>IFERROR(__xludf.DUMMYFUNCTION("CONCATENATE(GOOGLETRANSLATE(C5241, ""en"", ""ja""))"),"スワロフスキー ミレニア オクタゴン カット クリスタル ブレスレット ジュエリー コレクション")</f>
        <v>スワロフスキー ミレニア オクタゴン カット クリスタル ブレスレット ジュエリー コレクション</v>
      </c>
    </row>
    <row r="5242" ht="15.75" customHeight="1">
      <c r="A5242" s="1">
        <v>4204.0</v>
      </c>
      <c r="B5242" s="1" t="s">
        <v>15</v>
      </c>
      <c r="C5242" s="1" t="s">
        <v>4463</v>
      </c>
      <c r="D5242" s="1" t="str">
        <f>IFERROR(__xludf.DUMMYFUNCTION("CONCATENATE(GOOGLETRANSLATE(C5242, ""en"", ""zh-cn""))"),"Luminox 男士腕表棱皮海龟巨型 44 毫米黑绿色显示屏 (XS.0337)：100 M 防水 + Super Luminova + Carbonox 表壳")</f>
        <v>Luminox 男士腕表棱皮海龟巨型 44 毫米黑绿色显示屏 (XS.0337)：100 M 防水 + Super Luminova + Carbonox 表壳</v>
      </c>
      <c r="E5242" s="1" t="str">
        <f>IFERROR(__xludf.DUMMYFUNCTION("CONCATENATE(GOOGLETRANSLATE(C5242, ""en"", ""ko""))"),"Luminox 남성용 손목시계 Leatherback Sea Turtle Giant 44mm 블랙 그린 디스플레이(XS.0337): 100M 방수 + Super Luminova + Carbonox 케이스")</f>
        <v>Luminox 남성용 손목시계 Leatherback Sea Turtle Giant 44mm 블랙 그린 디스플레이(XS.0337): 100M 방수 + Super Luminova + Carbonox 케이스</v>
      </c>
      <c r="F5242" s="1" t="str">
        <f>IFERROR(__xludf.DUMMYFUNCTION("CONCATENATE(GOOGLETRANSLATE(C5242, ""en"", ""ja""))"),"ルミノックス メンズ 腕時計 レザーバック シータートル ジャイアント 44 mm ブラック グリーン ディスプレイ (XS.0337): 100 M 防水 + スーパールミノバ + Carbonox ケース")</f>
        <v>ルミノックス メンズ 腕時計 レザーバック シータートル ジャイアント 44 mm ブラック グリーン ディスプレイ (XS.0337): 100 M 防水 + スーパールミノバ + Carbonox ケース</v>
      </c>
    </row>
    <row r="5243" ht="15.75" customHeight="1">
      <c r="A5243" s="1">
        <v>4212.0</v>
      </c>
      <c r="B5243" s="1" t="s">
        <v>15</v>
      </c>
      <c r="C5243" s="1" t="s">
        <v>4464</v>
      </c>
      <c r="D5243" s="1" t="str">
        <f>IFERROR(__xludf.DUMMYFUNCTION("CONCATENATE(GOOGLETRANSLATE(C5243, ""en"", ""zh-cn""))"),"Luminox Leatherback SEA Turtle Giant XS.0333 男士手表 44 毫米 - 黑色军用手表日期功能 100 m 防水")</f>
        <v>Luminox Leatherback SEA Turtle Giant XS.0333 男士手表 44 毫米 - 黑色军用手表日期功能 100 m 防水</v>
      </c>
      <c r="E5243" s="1" t="str">
        <f>IFERROR(__xludf.DUMMYFUNCTION("CONCATENATE(GOOGLETRANSLATE(C5243, ""en"", ""ko""))"),"Luminox Leatherback SEA Turtle Giant XS.0333 남성용 시계 44mm - 블랙 날짜 기능의 밀리터리 시계 100m 방수")</f>
        <v>Luminox Leatherback SEA Turtle Giant XS.0333 남성용 시계 44mm - 블랙 날짜 기능의 밀리터리 시계 100m 방수</v>
      </c>
      <c r="F5243" s="1" t="str">
        <f>IFERROR(__xludf.DUMMYFUNCTION("CONCATENATE(GOOGLETRANSLATE(C5243, ""en"", ""ja""))"),"ルミノックス レザーバック SEA タートル ジャイアント XS.0333 メンズ ウォッチ 44mm - ミリタリー ウォッチ ブラック 日付機能 100m 防水")</f>
        <v>ルミノックス レザーバック SEA タートル ジャイアント XS.0333 メンズ ウォッチ 44mm - ミリタリー ウォッチ ブラック 日付機能 100m 防水</v>
      </c>
    </row>
    <row r="5244" ht="15.75" customHeight="1">
      <c r="A5244" s="1">
        <v>4221.0</v>
      </c>
      <c r="B5244" s="1" t="s">
        <v>15</v>
      </c>
      <c r="C5244" s="1" t="s">
        <v>4465</v>
      </c>
      <c r="D5244" s="1" t="str">
        <f>IFERROR(__xludf.DUMMYFUNCTION("CONCATENATE(GOOGLETRANSLATE(C5244, ""en"", ""zh-cn""))"),"卡西欧 G-shock 日本型号限量 [ Gd-100gb-1jf ]")</f>
        <v>卡西欧 G-shock 日本型号限量 [ Gd-100gb-1jf ]</v>
      </c>
      <c r="E5244" s="1" t="str">
        <f>IFERROR(__xludf.DUMMYFUNCTION("CONCATENATE(GOOGLETRANSLATE(C5244, ""en"", ""ko""))"),"카시오 G-SHOCK 일본 모델 한정판 [ Gd-100gb-1jf ]")</f>
        <v>카시오 G-SHOCK 일본 모델 한정판 [ Gd-100gb-1jf ]</v>
      </c>
      <c r="F5244" s="1" t="str">
        <f>IFERROR(__xludf.DUMMYFUNCTION("CONCATENATE(GOOGLETRANSLATE(C5244, ""en"", ""ja""))"),"カシオ G-SHOCK 日本限定モデル [ Gd-100gb-1jf ]")</f>
        <v>カシオ G-SHOCK 日本限定モデル [ Gd-100gb-1jf ]</v>
      </c>
    </row>
    <row r="5245" ht="15.75" customHeight="1">
      <c r="A5245" s="1">
        <v>4233.0</v>
      </c>
      <c r="B5245" s="1" t="s">
        <v>15</v>
      </c>
      <c r="C5245" s="1" t="s">
        <v>4466</v>
      </c>
      <c r="D5245" s="1" t="str">
        <f>IFERROR(__xludf.DUMMYFUNCTION("CONCATENATE(GOOGLETRANSLATE(C5245, ""en"", ""zh-cn""))"),"SEIKO SRPD61 5 运动男士手表银色 42.5 毫米不锈钢")</f>
        <v>SEIKO SRPD61 5 运动男士手表银色 42.5 毫米不锈钢</v>
      </c>
      <c r="E5245" s="1" t="str">
        <f>IFERROR(__xludf.DUMMYFUNCTION("CONCATENATE(GOOGLETRANSLATE(C5245, ""en"", ""ko""))"),"SEIKO SRPD61 5 스포츠 남성용 시계 실버톤 42.5mm 스테인리스 스틸")</f>
        <v>SEIKO SRPD61 5 스포츠 남성용 시계 실버톤 42.5mm 스테인리스 스틸</v>
      </c>
      <c r="F5245" s="1" t="str">
        <f>IFERROR(__xludf.DUMMYFUNCTION("CONCATENATE(GOOGLETRANSLATE(C5245, ""en"", ""ja""))"),"セイコー SRPD61 5 スポーツ メンズ ウォッチ シルバートーン 42.5mm ステンレススチール")</f>
        <v>セイコー SRPD61 5 スポーツ メンズ ウォッチ シルバートーン 42.5mm ステンレススチール</v>
      </c>
    </row>
    <row r="5246" ht="15.75" customHeight="1">
      <c r="A5246" s="1">
        <v>4241.0</v>
      </c>
      <c r="B5246" s="1" t="s">
        <v>15</v>
      </c>
      <c r="C5246" s="1" t="s">
        <v>4467</v>
      </c>
      <c r="D5246" s="1" t="str">
        <f>IFERROR(__xludf.DUMMYFUNCTION("CONCATENATE(GOOGLETRANSLATE(C5246, ""en"", ""zh-cn""))"),"卡西欧 GM-5600G-9JF [G-Shock 黑色和金色型号] 手表 从日本发货 2022 年 8 月 型号")</f>
        <v>卡西欧 GM-5600G-9JF [G-Shock 黑色和金色型号] 手表 从日本发货 2022 年 8 月 型号</v>
      </c>
      <c r="E5246" s="1" t="str">
        <f>IFERROR(__xludf.DUMMYFUNCTION("CONCATENATE(GOOGLETRANSLATE(C5246, ""en"", ""ko""))"),"Casio GM-5600G-9JF [G-Shock Black and Gold Model] 시계 2022년 8월 일본에서 출시 모델")</f>
        <v>Casio GM-5600G-9JF [G-Shock Black and Gold Model] 시계 2022년 8월 일본에서 출시 모델</v>
      </c>
      <c r="F5246" s="1" t="str">
        <f>IFERROR(__xludf.DUMMYFUNCTION("CONCATENATE(GOOGLETRANSLATE(C5246, ""en"", ""ja""))"),"カシオ GM-5600G-9JF [G-Shock ブラック&amp;ゴールドモデル] 腕時計 日本発送 2022年8月モデル")</f>
        <v>カシオ GM-5600G-9JF [G-Shock ブラック&amp;ゴールドモデル] 腕時計 日本発送 2022年8月モデル</v>
      </c>
    </row>
    <row r="5247" ht="15.75" customHeight="1">
      <c r="A5247" s="1">
        <v>4277.0</v>
      </c>
      <c r="B5247" s="1" t="s">
        <v>15</v>
      </c>
      <c r="C5247" s="1" t="s">
        <v>4468</v>
      </c>
      <c r="D5247" s="1" t="str">
        <f>IFERROR(__xludf.DUMMYFUNCTION("CONCATENATE(GOOGLETRANSLATE(C5247, ""en"", ""zh-cn""))"),"男士 SNK807 SEIKO 5 自动不锈钢手表带蓝色帆布表带")</f>
        <v>男士 SNK807 SEIKO 5 自动不锈钢手表带蓝色帆布表带</v>
      </c>
      <c r="E5247" s="1" t="str">
        <f>IFERROR(__xludf.DUMMYFUNCTION("CONCATENATE(GOOGLETRANSLATE(C5247, ""en"", ""ko""))"),"남성용 SNK807 SEIKO 5 자동 스테인리스 스틸 시계(블루 캔버스 밴드 포함)")</f>
        <v>남성용 SNK807 SEIKO 5 자동 스테인리스 스틸 시계(블루 캔버스 밴드 포함)</v>
      </c>
      <c r="F5247" s="1" t="str">
        <f>IFERROR(__xludf.DUMMYFUNCTION("CONCATENATE(GOOGLETRANSLATE(C5247, ""en"", ""ja""))"),"メンズ SNK807 SEIKO 5 自動巻きステンレススチールウォッチ、ブルーキャンバスバンド付き")</f>
        <v>メンズ SNK807 SEIKO 5 自動巻きステンレススチールウォッチ、ブルーキャンバスバンド付き</v>
      </c>
    </row>
    <row r="5248" ht="15.75" customHeight="1">
      <c r="A5248" s="1">
        <v>4280.0</v>
      </c>
      <c r="B5248" s="1" t="s">
        <v>15</v>
      </c>
      <c r="C5248" s="1" t="s">
        <v>4469</v>
      </c>
      <c r="D5248" s="1" t="str">
        <f>IFERROR(__xludf.DUMMYFUNCTION("CONCATENATE(GOOGLETRANSLATE(C5248, ""en"", ""zh-cn""))"),"Amazfit T-Rex Pro 男士智能手表坚固耐用户外 GPS 健身手表，15 项军标认证，100 多种运动模式，10 ATM 防水，18 天电池寿命，血氧监测仪，黑色")</f>
        <v>Amazfit T-Rex Pro 男士智能手表坚固耐用户外 GPS 健身手表，15 项军标认证，100 多种运动模式，10 ATM 防水，18 天电池寿命，血氧监测仪，黑色</v>
      </c>
      <c r="E5248" s="1" t="str">
        <f>IFERROR(__xludf.DUMMYFUNCTION("CONCATENATE(GOOGLETRANSLATE(C5248, ""en"", ""ko""))"),"남성용 Amazfit T-Rex Pro 스마트 시계 견고한 야외 GPS 피트니스 시계, 15개 군사 표준 인증, 100개 이상의 스포츠 모드, 10ATM 방수, 18일 배터리 수명, 혈액 산소 모니터, 블랙")</f>
        <v>남성용 Amazfit T-Rex Pro 스마트 시계 견고한 야외 GPS 피트니스 시계, 15개 군사 표준 인증, 100개 이상의 스포츠 모드, 10ATM 방수, 18일 배터리 수명, 혈액 산소 모니터, 블랙</v>
      </c>
      <c r="F5248" s="1" t="str">
        <f>IFERROR(__xludf.DUMMYFUNCTION("CONCATENATE(GOOGLETRANSLATE(C5248, ""en"", ""ja""))"),"Amazfit T-Rex Pro スマートウォッチ男性用頑丈なアウトドア GPS フィットネスウォッチ、15 の軍事規格認定、100 以上のスポーツモード、10 ATM 防水、18 日間のバッテリー寿命、血中酸素モニター、ブラック")</f>
        <v>Amazfit T-Rex Pro スマートウォッチ男性用頑丈なアウトドア GPS フィットネスウォッチ、15 の軍事規格認定、100 以上のスポーツモード、10 ATM 防水、18 日間のバッテリー寿命、血中酸素モニター、ブラック</v>
      </c>
    </row>
    <row r="5249" ht="15.75" customHeight="1">
      <c r="A5249" s="1">
        <v>4286.0</v>
      </c>
      <c r="B5249" s="1" t="s">
        <v>15</v>
      </c>
      <c r="C5249" s="1" t="s">
        <v>4470</v>
      </c>
      <c r="D5249" s="1" t="str">
        <f>IFERROR(__xludf.DUMMYFUNCTION("CONCATENATE(GOOGLETRANSLATE(C5249, ""en"", ""zh-cn""))"),"施华洛世奇 Vittore 宽戒指 银 7")</f>
        <v>施华洛世奇 Vittore 宽戒指 银 7</v>
      </c>
      <c r="E5249" s="1" t="str">
        <f>IFERROR(__xludf.DUMMYFUNCTION("CONCATENATE(GOOGLETRANSLATE(C5249, ""en"", ""ko""))"),"SWAROVSKI Vittore 와이드 링 실버 7")</f>
        <v>SWAROVSKI Vittore 와이드 링 실버 7</v>
      </c>
      <c r="F5249" s="1" t="str">
        <f>IFERROR(__xludf.DUMMYFUNCTION("CONCATENATE(GOOGLETRANSLATE(C5249, ""en"", ""ja""))"),"SWAROVSKI ヴィットーレ ワイド リング シルバー 7")</f>
        <v>SWAROVSKI ヴィットーレ ワイド リング シルバー 7</v>
      </c>
    </row>
    <row r="5250" ht="15.75" customHeight="1">
      <c r="A5250" s="1">
        <v>4291.0</v>
      </c>
      <c r="B5250" s="1" t="s">
        <v>15</v>
      </c>
      <c r="C5250" s="1" t="s">
        <v>4471</v>
      </c>
      <c r="D5250" s="1" t="str">
        <f>IFERROR(__xludf.DUMMYFUNCTION("CONCATENATE(GOOGLETRANSLATE(C5250, ""en"", ""zh-cn""))"),"施华洛世奇 Orbita 水晶珠宝系列，铑色调和金色饰面")</f>
        <v>施华洛世奇 Orbita 水晶珠宝系列，铑色调和金色饰面</v>
      </c>
      <c r="E5250" s="1" t="str">
        <f>IFERROR(__xludf.DUMMYFUNCTION("CONCATENATE(GOOGLETRANSLATE(C5250, ""en"", ""ko""))"),"Swarovski Orbita 크리스탈 주얼리 컬렉션, 로듐 톤 &amp; 골드 톤 마감")</f>
        <v>Swarovski Orbita 크리스탈 주얼리 컬렉션, 로듐 톤 &amp; 골드 톤 마감</v>
      </c>
      <c r="F5250" s="1" t="str">
        <f>IFERROR(__xludf.DUMMYFUNCTION("CONCATENATE(GOOGLETRANSLATE(C5250, ""en"", ""ja""))"),"スワロフスキー オービタ クリスタル ジュエリー コレクション、ロジウムトーン &amp; ゴールドトーン仕上げ")</f>
        <v>スワロフスキー オービタ クリスタル ジュエリー コレクション、ロジウムトーン &amp; ゴールドトーン仕上げ</v>
      </c>
    </row>
    <row r="5251" ht="15.75" customHeight="1">
      <c r="A5251" s="1">
        <v>4320.0</v>
      </c>
      <c r="B5251" s="1" t="s">
        <v>15</v>
      </c>
      <c r="C5251" s="1" t="s">
        <v>4472</v>
      </c>
      <c r="D5251" s="1" t="str">
        <f>IFERROR(__xludf.DUMMYFUNCTION("CONCATENATE(GOOGLETRANSLATE(C5251, ""en"", ""zh-cn""))"),"施华洛世奇 Constella 鸡尾酒戒指珠宝系列，公主方形和圆形密钉切割，透明水晶")</f>
        <v>施华洛世奇 Constella 鸡尾酒戒指珠宝系列，公主方形和圆形密钉切割，透明水晶</v>
      </c>
      <c r="E5251" s="1" t="str">
        <f>IFERROR(__xludf.DUMMYFUNCTION("CONCATENATE(GOOGLETRANSLATE(C5251, ""en"", ""ko""))"),"스와로브스키 콘스텔라 칵테일 링 주얼리 컬렉션, 프린세스 및 라운드 파베 컷, 클리어 크리스털")</f>
        <v>스와로브스키 콘스텔라 칵테일 링 주얼리 컬렉션, 프린세스 및 라운드 파베 컷, 클리어 크리스털</v>
      </c>
      <c r="F5251" s="1" t="str">
        <f>IFERROR(__xludf.DUMMYFUNCTION("CONCATENATE(GOOGLETRANSLATE(C5251, ""en"", ""ja""))"),"スワロフスキー コンステラ カクテル リング ジュエリー コレクション、プリンセスとラウンド パヴェ カット、クリア クリスタル")</f>
        <v>スワロフスキー コンステラ カクテル リング ジュエリー コレクション、プリンセスとラウンド パヴェ カット、クリア クリスタル</v>
      </c>
    </row>
    <row r="5252" ht="15.75" customHeight="1">
      <c r="A5252" s="1">
        <v>4349.0</v>
      </c>
      <c r="B5252" s="1" t="s">
        <v>15</v>
      </c>
      <c r="C5252" s="1" t="s">
        <v>4473</v>
      </c>
      <c r="D5252" s="1" t="str">
        <f>IFERROR(__xludf.DUMMYFUNCTION("CONCATENATE(GOOGLETRANSLATE(C5252, ""en"", ""zh-cn""))"),"施华洛世奇永生花珠宝系列手镯、耳环、项链")</f>
        <v>施华洛世奇永生花珠宝系列手镯、耳环、项链</v>
      </c>
      <c r="E5252" s="1" t="str">
        <f>IFERROR(__xludf.DUMMYFUNCTION("CONCATENATE(GOOGLETRANSLATE(C5252, ""en"", ""ko""))"),"SWAROVSKI 이터널 플라워 주얼리 컬렉션 팔찌 팔찌, 귀걸이, 목걸이")</f>
        <v>SWAROVSKI 이터널 플라워 주얼리 컬렉션 팔찌 팔찌, 귀걸이, 목걸이</v>
      </c>
      <c r="F5252" s="1" t="str">
        <f>IFERROR(__xludf.DUMMYFUNCTION("CONCATENATE(GOOGLETRANSLATE(C5252, ""en"", ""ja""))"),"スワロフスキー エターナル フラワー ジュエリー コレクション バングル ブレスレット、イヤリング、ネックレス")</f>
        <v>スワロフスキー エターナル フラワー ジュエリー コレクション バングル ブレスレット、イヤリング、ネックレス</v>
      </c>
    </row>
    <row r="5253" ht="15.75" customHeight="1">
      <c r="A5253" s="1">
        <v>4383.0</v>
      </c>
      <c r="B5253" s="1" t="s">
        <v>15</v>
      </c>
      <c r="C5253" s="1" t="s">
        <v>4374</v>
      </c>
      <c r="D5253" s="1" t="str">
        <f>IFERROR(__xludf.DUMMYFUNCTION("CONCATENATE(GOOGLETRANSLATE(C5253, ""en"", ""zh-cn""))"),"Ashley Darcy 签名设计休闲毛绒 L 形双面沙发躺椅 Chofa，灰棕色")</f>
        <v>Ashley Darcy 签名设计休闲毛绒 L 形双面沙发躺椅 Chofa，灰棕色</v>
      </c>
      <c r="E5253" s="1" t="str">
        <f>IFERROR(__xludf.DUMMYFUNCTION("CONCATENATE(GOOGLETRANSLATE(C5253, ""en"", ""ko""))"),"Ashley Darcy의 시그니처 디자인 캐주얼 플러시 L자형 양면 소파 Chaise Chofa, 회갈색")</f>
        <v>Ashley Darcy의 시그니처 디자인 캐주얼 플러시 L자형 양면 소파 Chaise Chofa, 회갈색</v>
      </c>
      <c r="F5253" s="1" t="str">
        <f>IFERROR(__xludf.DUMMYFUNCTION("CONCATENATE(GOOGLETRANSLATE(C5253, ""en"", ""ja""))"),"アシュリー・ダーシーによるシグネチャーデザイン カジュアル プラッシュ L 字型 リバーシブル ソファ 長椅子 チョファ グレイッシュ ブラウン")</f>
        <v>アシュリー・ダーシーによるシグネチャーデザイン カジュアル プラッシュ L 字型 リバーシブル ソファ 長椅子 チョファ グレイッシュ ブラウン</v>
      </c>
    </row>
    <row r="5254" ht="15.75" customHeight="1">
      <c r="A5254" s="1">
        <v>4390.0</v>
      </c>
      <c r="B5254" s="1" t="s">
        <v>15</v>
      </c>
      <c r="C5254" s="1" t="s">
        <v>2183</v>
      </c>
      <c r="D5254" s="1" t="str">
        <f>IFERROR(__xludf.DUMMYFUNCTION("CONCATENATE(GOOGLETRANSLATE(C5254, ""en"", ""zh-cn""))"),"CHITA 中世纪现代沙发，客厅布艺沙发，带实木腿，免工具组装，72.8 英寸宽，亚麻")</f>
        <v>CHITA 中世纪现代沙发，客厅布艺沙发，带实木腿，免工具组装，72.8 英寸宽，亚麻</v>
      </c>
      <c r="E5254" s="1" t="str">
        <f>IFERROR(__xludf.DUMMYFUNCTION("CONCATENATE(GOOGLETRANSLATE(C5254, ""en"", ""ko""))"),"CHITA 세기 중반 모던 소파, 원목 다리가 있는 거실용 패브릭 소파, 도구가 필요 없는 조립, 72.8''W, 리넨")</f>
        <v>CHITA 세기 중반 모던 소파, 원목 다리가 있는 거실용 패브릭 소파, 도구가 필요 없는 조립, 72.8''W, 리넨</v>
      </c>
      <c r="F5254" s="1" t="str">
        <f>IFERROR(__xludf.DUMMYFUNCTION("CONCATENATE(GOOGLETRANSLATE(C5254, ""en"", ""ja""))"),"CHITA ミッドセンチュリーモダンソファ、リビングルーム用ファブリックソファ、無垢材脚付き、工具不要組み立て、幅72.8インチ、リネン")</f>
        <v>CHITA ミッドセンチュリーモダンソファ、リビングルーム用ファブリックソファ、無垢材脚付き、工具不要組み立て、幅72.8インチ、リネン</v>
      </c>
    </row>
    <row r="5255" ht="15.75" customHeight="1">
      <c r="A5255" s="1">
        <v>4392.0</v>
      </c>
      <c r="B5255" s="1" t="s">
        <v>15</v>
      </c>
      <c r="C5255" s="1" t="s">
        <v>4375</v>
      </c>
      <c r="D5255" s="1" t="str">
        <f>IFERROR(__xludf.DUMMYFUNCTION("CONCATENATE(GOOGLETRANSLATE(C5255, ""en"", ""zh-cn""))"),"Lexicon Vega 客厅沙发，浅灰色")</f>
        <v>Lexicon Vega 客厅沙发，浅灰色</v>
      </c>
      <c r="E5255" s="1" t="str">
        <f>IFERROR(__xludf.DUMMYFUNCTION("CONCATENATE(GOOGLETRANSLATE(C5255, ""en"", ""ko""))"),"Lexicon Vega 거실 소파, 라이트 그레이")</f>
        <v>Lexicon Vega 거실 소파, 라이트 그레이</v>
      </c>
      <c r="F5255" s="1" t="str">
        <f>IFERROR(__xludf.DUMMYFUNCTION("CONCATENATE(GOOGLETRANSLATE(C5255, ""en"", ""ja""))"),"Lexicon Vega リビングルームソファ、ライトグレー")</f>
        <v>Lexicon Vega リビングルームソファ、ライトグレー</v>
      </c>
    </row>
    <row r="5256" ht="15.75" customHeight="1">
      <c r="A5256" s="1">
        <v>4402.0</v>
      </c>
      <c r="B5256" s="1" t="s">
        <v>15</v>
      </c>
      <c r="C5256" s="1" t="s">
        <v>3967</v>
      </c>
      <c r="D5256" s="1" t="str">
        <f>IFERROR(__xludf.DUMMYFUNCTION("CONCATENATE(GOOGLETRANSLATE(C5256, ""en"", ""zh-cn""))"),"Mjkone 天鹅绒双面沙发床，带大储物躺椅，3 座双面拉出沙发床，L 形组合式沙发床，适用于公寓，客厅，深灰色")</f>
        <v>Mjkone 天鹅绒双面沙发床，带大储物躺椅，3 座双面拉出沙发床，L 形组合式沙发床，适用于公寓，客厅，深灰色</v>
      </c>
      <c r="E5256" s="1" t="str">
        <f>IFERROR(__xludf.DUMMYFUNCTION("CONCATENATE(GOOGLETRANSLATE(C5256, ""en"", ""ko""))"),"Mjkone 벨벳 양면 슬리퍼 소파 소파(대형 수납 의자 포함), 3인용 양면 풀아웃 소파 소파 침대, 아파트용 L자형 단면 슬리퍼 소파 소파, 거실, 다크 그레이")</f>
        <v>Mjkone 벨벳 양면 슬리퍼 소파 소파(대형 수납 의자 포함), 3인용 양면 풀아웃 소파 소파 침대, 아파트용 L자형 단면 슬리퍼 소파 소파, 거실, 다크 그레이</v>
      </c>
      <c r="F5256" s="1" t="str">
        <f>IFERROR(__xludf.DUMMYFUNCTION("CONCATENATE(GOOGLETRANSLATE(C5256, ""en"", ""ja""))"),"Mjkone ベルベットリバーシブルスリーパーソファソファ、大容量収納長椅子付き、3人掛けリバーシブル引き出しソファカウチベッド、L字型セクショナルスリーパーソファソファ、アパート、リビングルーム用、ダークグレー")</f>
        <v>Mjkone ベルベットリバーシブルスリーパーソファソファ、大容量収納長椅子付き、3人掛けリバーシブル引き出しソファカウチベッド、L字型セクショナルスリーパーソファソファ、アパート、リビングルーム用、ダークグレー</v>
      </c>
    </row>
    <row r="5257" ht="15.75" customHeight="1">
      <c r="A5257" s="1">
        <v>4403.0</v>
      </c>
      <c r="B5257" s="1" t="s">
        <v>15</v>
      </c>
      <c r="C5257" s="1" t="s">
        <v>2184</v>
      </c>
      <c r="D5257" s="1" t="str">
        <f>IFERROR(__xludf.DUMMYFUNCTION("CONCATENATE(GOOGLETRANSLATE(C5257, ""en"", ""zh-cn""))"),"Merluxy沙发，深座沙发-现代雪尼尔沙发，客厅3座沙发-97宽超大沙发，米色舒适沙发")</f>
        <v>Merluxy沙发，深座沙发-现代雪尼尔沙发，客厅3座沙发-97宽超大沙发，米色舒适沙发</v>
      </c>
      <c r="E5257" s="1" t="str">
        <f>IFERROR(__xludf.DUMMYFUNCTION("CONCATENATE(GOOGLETRANSLATE(C5257, ""en"", ""ko""))"),"멀럭시 소파, 딥 시트 소파 - 컨템포러리 셔닐 소파 소파, 거실용 3인용 소파 - 97 와이드 오버사이즈 소파, 베이지 편안한 소파")</f>
        <v>멀럭시 소파, 딥 시트 소파 - 컨템포러리 셔닐 소파 소파, 거실용 3인용 소파 - 97 와이드 오버사이즈 소파, 베이지 편안한 소파</v>
      </c>
      <c r="F5257" s="1" t="str">
        <f>IFERROR(__xludf.DUMMYFUNCTION("CONCATENATE(GOOGLETRANSLATE(C5257, ""en"", ""ja""))"),"Merluxy ソファ、ディープシートソファ - 現代的なシェニールソファカウチ、リビングルーム用 3 人掛けソファ - 97 幅の特大ソファ、ベージュの快適なソファ")</f>
        <v>Merluxy ソファ、ディープシートソファ - 現代的なシェニールソファカウチ、リビングルーム用 3 人掛けソファ - 97 幅の特大ソファ、ベージュの快適なソファ</v>
      </c>
    </row>
    <row r="5258" ht="15.75" customHeight="1">
      <c r="A5258" s="1">
        <v>4406.0</v>
      </c>
      <c r="B5258" s="1" t="s">
        <v>15</v>
      </c>
      <c r="C5258" s="1" t="s">
        <v>3968</v>
      </c>
      <c r="D5258" s="1" t="str">
        <f>IFERROR(__xludf.DUMMYFUNCTION("CONCATENATE(GOOGLETRANSLATE(C5258, ""en"", ""zh-cn""))"),"AMERLIFE 深座沙发-现代雪尼尔沙发，97 宽客厅大号 3 座沙发-超大沙发舒适沙发米色")</f>
        <v>AMERLIFE 深座沙发-现代雪尼尔沙发，97 宽客厅大号 3 座沙发-超大沙发舒适沙发米色</v>
      </c>
      <c r="E5258" s="1" t="str">
        <f>IFERROR(__xludf.DUMMYFUNCTION("CONCATENATE(GOOGLETRANSLATE(C5258, ""en"", ""ko""))"),"AMERLIFE 딥 시트 소파 - 현대식 셔닐 소파 소파, 97 와이드 거실용 대형 3인용 소파 - 대형 소파 편안한 소파 베이지")</f>
        <v>AMERLIFE 딥 시트 소파 - 현대식 셔닐 소파 소파, 97 와이드 거실용 대형 3인용 소파 - 대형 소파 편안한 소파 베이지</v>
      </c>
      <c r="F5258" s="1" t="str">
        <f>IFERROR(__xludf.DUMMYFUNCTION("CONCATENATE(GOOGLETRANSLATE(C5258, ""en"", ""ja""))"),"AMERLIFE 深座ソファ - 現代的なシェニール織ソファ カウチ、幅 97 の大型 3 人掛けソファ、リビングルーム用 - 特大ソファ 快適なソファ ベージュ")</f>
        <v>AMERLIFE 深座ソファ - 現代的なシェニール織ソファ カウチ、幅 97 の大型 3 人掛けソファ、リビングルーム用 - 特大ソファ 快適なソファ ベージュ</v>
      </c>
    </row>
    <row r="5259" ht="15.75" customHeight="1">
      <c r="A5259" s="1">
        <v>4411.0</v>
      </c>
      <c r="B5259" s="1" t="s">
        <v>15</v>
      </c>
      <c r="C5259" s="1" t="s">
        <v>3095</v>
      </c>
      <c r="D5259" s="1" t="str">
        <f>IFERROR(__xludf.DUMMYFUNCTION("CONCATENATE(GOOGLETRANSLATE(C5259, ""en"", ""zh-cn""))"),"Devion Furniture Russ 组合式沙发床，浅灰色")</f>
        <v>Devion Furniture Russ 组合式沙发床，浅灰色</v>
      </c>
      <c r="E5259" s="1" t="str">
        <f>IFERROR(__xludf.DUMMYFUNCTION("CONCATENATE(GOOGLETRANSLATE(C5259, ""en"", ""ko""))"),"Devion Furniture Russ 단면 슬리퍼 소파 베드, 라이트 그레이")</f>
        <v>Devion Furniture Russ 단면 슬리퍼 소파 베드, 라이트 그레이</v>
      </c>
      <c r="F5259" s="1" t="str">
        <f>IFERROR(__xludf.DUMMYFUNCTION("CONCATENATE(GOOGLETRANSLATE(C5259, ""en"", ""ja""))"),"Devion Furniture Russ セクショナルスリーパーソファベッド、ライトグレー")</f>
        <v>Devion Furniture Russ セクショナルスリーパーソファベッド、ライトグレー</v>
      </c>
    </row>
    <row r="5260" ht="15.75" customHeight="1">
      <c r="A5260" s="1">
        <v>4419.0</v>
      </c>
      <c r="B5260" s="1" t="s">
        <v>15</v>
      </c>
      <c r="C5260" s="1" t="s">
        <v>3099</v>
      </c>
      <c r="D5260" s="1" t="str">
        <f>IFERROR(__xludf.DUMMYFUNCTION("CONCATENATE(GOOGLETRANSLATE(C5260, ""en"", ""zh-cn""))"),"Rosevera Genevieve 软垫精细聚酯系列簇绒双人沙发，现代切斯特菲尔德扶手，客厅公寓组合沙发，3 人座，米色 3 人座")</f>
        <v>Rosevera Genevieve 软垫精细聚酯系列簇绒双人沙发，现代切斯特菲尔德扶手，客厅公寓组合沙发，3 人座，米色 3 人座</v>
      </c>
      <c r="E5260" s="1" t="str">
        <f>IFERROR(__xludf.DUMMYFUNCTION("CONCATENATE(GOOGLETRANSLATE(C5260, ""en"", ""ko""))"),"Rosevera Genevieve 덮개를 씌운 고급 폴리에스테르 컬렉션 터프티드 러브시트 소파, 현대적인 체스터필드 팔걸이, 거실 아파트용 단면 소파, 3좌석, 베이지 3좌석")</f>
        <v>Rosevera Genevieve 덮개를 씌운 고급 폴리에스테르 컬렉션 터프티드 러브시트 소파, 현대적인 체스터필드 팔걸이, 거실 아파트용 단면 소파, 3좌석, 베이지 3좌석</v>
      </c>
      <c r="F5260" s="1" t="str">
        <f>IFERROR(__xludf.DUMMYFUNCTION("CONCATENATE(GOOGLETRANSLATE(C5260, ""en"", ""ja""))"),"Rosevera Genevieve 布張りファインポリエステルコレクションタフテッドラブシートカウチ、現代的なチェスターフィールドアームレスト、リビングルームアパートメント用セクションソファ、3人掛け、ベージュ3人掛け")</f>
        <v>Rosevera Genevieve 布張りファインポリエステルコレクションタフテッドラブシートカウチ、現代的なチェスターフィールドアームレスト、リビングルームアパートメント用セクションソファ、3人掛け、ベージュ3人掛け</v>
      </c>
    </row>
    <row r="5261" ht="15.75" customHeight="1">
      <c r="A5261" s="1">
        <v>4423.0</v>
      </c>
      <c r="B5261" s="1" t="s">
        <v>15</v>
      </c>
      <c r="C5261" s="1" t="s">
        <v>1684</v>
      </c>
      <c r="D5261" s="1" t="str">
        <f>IFERROR(__xludf.DUMMYFUNCTION("CONCATENATE(GOOGLETRANSLATE(C5261, ""en"", ""zh-cn""))"),"VINGLI U型组合沙发，114客厅大组合沙发，亚麻组合沙发带双人躺椅，海军蓝")</f>
        <v>VINGLI U型组合沙发，114客厅大组合沙发，亚麻组合沙发带双人躺椅，海军蓝</v>
      </c>
      <c r="E5261" s="1" t="str">
        <f>IFERROR(__xludf.DUMMYFUNCTION("CONCATENATE(GOOGLETRANSLATE(C5261, ""en"", ""ko""))"),"VINGLI U 자형 단면 소파, 거실용 대형 단면 소파 소파 114개, 더블 라운지 의자가 있는 리넨 단면 소파, 네이비 블루")</f>
        <v>VINGLI U 자형 단면 소파, 거실용 대형 단면 소파 소파 114개, 더블 라운지 의자가 있는 리넨 단면 소파, 네이비 블루</v>
      </c>
      <c r="F5261" s="1" t="str">
        <f>IFERROR(__xludf.DUMMYFUNCTION("CONCATENATE(GOOGLETRANSLATE(C5261, ""en"", ""ja""))"),"VINGLI U字型セクショナルソファ、リビングルーム用114大型セクショナルソファカウチ、ダブルラウンジチェア付きリネンセクショナルソファ、ネイビーブルー")</f>
        <v>VINGLI U字型セクショナルソファ、リビングルーム用114大型セクショナルソファカウチ、ダブルラウンジチェア付きリネンセクショナルソファ、ネイビーブルー</v>
      </c>
    </row>
    <row r="5262" ht="15.75" customHeight="1">
      <c r="A5262" s="1">
        <v>4429.0</v>
      </c>
      <c r="B5262" s="1" t="s">
        <v>15</v>
      </c>
      <c r="C5262" s="1" t="s">
        <v>3948</v>
      </c>
      <c r="D5262" s="1" t="str">
        <f>IFERROR(__xludf.DUMMYFUNCTION("CONCATENATE(GOOGLETRANSLATE(C5262, ""en"", ""zh-cn""))"),"Hooker Furniture Rhapsody 簇绒软垫雪橇床")</f>
        <v>Hooker Furniture Rhapsody 簇绒软垫雪橇床</v>
      </c>
      <c r="E5262" s="1" t="str">
        <f>IFERROR(__xludf.DUMMYFUNCTION("CONCATENATE(GOOGLETRANSLATE(C5262, ""en"", ""ko""))"),"매춘부 가구 랩소디 술 덮개를 씌운 썰매 침대")</f>
        <v>매춘부 가구 랩소디 술 덮개를 씌운 썰매 침대</v>
      </c>
      <c r="F5262" s="1" t="str">
        <f>IFERROR(__xludf.DUMMYFUNCTION("CONCATENATE(GOOGLETRANSLATE(C5262, ""en"", ""ja""))"),"フッカー家具ラプソディタフト布張りそりベッド")</f>
        <v>フッカー家具ラプソディタフト布張りそりベッド</v>
      </c>
    </row>
    <row r="5263" ht="15.75" customHeight="1">
      <c r="A5263" s="1">
        <v>4434.0</v>
      </c>
      <c r="B5263" s="1" t="s">
        <v>15</v>
      </c>
      <c r="C5263" s="1" t="s">
        <v>2610</v>
      </c>
      <c r="D5263" s="1" t="str">
        <f>IFERROR(__xludf.DUMMYFUNCTION("CONCATENATE(GOOGLETRANSLATE(C5263, ""en"", ""zh-cn""))"),"ACME Furniture Gorsedd 沙发带 5 个枕头，奶油色面料和仿古白色")</f>
        <v>ACME Furniture Gorsedd 沙发带 5 个枕头，奶油色面料和仿古白色</v>
      </c>
      <c r="E5263" s="1" t="str">
        <f>IFERROR(__xludf.DUMMYFUNCTION("CONCATENATE(GOOGLETRANSLATE(C5263, ""en"", ""ko""))"),"ACME 가구 Gorsedd 소파, 베개 5개, 크림 패브릭 및 앤틱 화이트")</f>
        <v>ACME 가구 Gorsedd 소파, 베개 5개, 크림 패브릭 및 앤틱 화이트</v>
      </c>
      <c r="F5263" s="1" t="str">
        <f>IFERROR(__xludf.DUMMYFUNCTION("CONCATENATE(GOOGLETRANSLATE(C5263, ""en"", ""ja""))"),"ACME Furniture ゴーセッド ソファ 枕 5 個付き、クリーム色生地、アンティーク ホワイト")</f>
        <v>ACME Furniture ゴーセッド ソファ 枕 5 個付き、クリーム色生地、アンティーク ホワイト</v>
      </c>
    </row>
    <row r="5264" ht="15.75" customHeight="1">
      <c r="A5264" s="1">
        <v>4437.0</v>
      </c>
      <c r="B5264" s="1" t="s">
        <v>15</v>
      </c>
      <c r="C5264" s="1" t="s">
        <v>3518</v>
      </c>
      <c r="D5264" s="1" t="str">
        <f>IFERROR(__xludf.DUMMYFUNCTION("CONCATENATE(GOOGLETRANSLATE(C5264, ""en"", ""zh-cn""))"),"POLY &amp; BARK 纳帕皮革沙发 – 右向组合皮革沙发 – 簇绒靠背全粒面皮革沙发，座椅表面配有羽毛羽绒顶饰 – 纯苯胺意大利皮革 – 干邑棕褐色")</f>
        <v>POLY &amp; BARK 纳帕皮革沙发 – 右向组合皮革沙发 – 簇绒靠背全粒面皮革沙发，座椅表面配有羽毛羽绒顶饰 – 纯苯胺意大利皮革 – 干邑棕褐色</v>
      </c>
      <c r="E5264" s="1" t="str">
        <f>IFERROR(__xludf.DUMMYFUNCTION("CONCATENATE(GOOGLETRANSLATE(C5264, ""en"", ""ko""))"),"POLY &amp; BARK 나파 가죽 소파 – 오른쪽을 향한 단면 가죽 소파 – 좌석 표면에 깃털 다운 토퍼가 있는 터프티드 백 풀 그레인 가죽 소파 – 순수 아닐린 이탈리아 가죽 – 코냑 탄")</f>
        <v>POLY &amp; BARK 나파 가죽 소파 – 오른쪽을 향한 단면 가죽 소파 – 좌석 표면에 깃털 다운 토퍼가 있는 터프티드 백 풀 그레인 가죽 소파 – 순수 아닐린 이탈리아 가죽 – 코냑 탄</v>
      </c>
      <c r="F5264" s="1" t="str">
        <f>IFERROR(__xludf.DUMMYFUNCTION("CONCATENATE(GOOGLETRANSLATE(C5264, ""en"", ""ja""))"),"POLY &amp; BARK ナパレザーソファ – 右向きセクショナルレザーソファ – 房状バックフルグレインレザーソファ、座面にフェザーダウントッパー付き – ピュアアニリンイタリアンレザー – コニャックタン")</f>
        <v>POLY &amp; BARK ナパレザーソファ – 右向きセクショナルレザーソファ – 房状バックフルグレインレザーソファ、座面にフェザーダウントッパー付き – ピュアアニリンイタリアンレザー – コニャックタン</v>
      </c>
    </row>
    <row r="5265" ht="15.75" customHeight="1">
      <c r="A5265" s="1">
        <v>4442.0</v>
      </c>
      <c r="B5265" s="1" t="s">
        <v>15</v>
      </c>
      <c r="C5265" s="1" t="s">
        <v>3641</v>
      </c>
      <c r="D5265" s="1" t="str">
        <f>IFERROR(__xludf.DUMMYFUNCTION("CONCATENATE(GOOGLETRANSLATE(C5265, ""en"", ""zh-cn""))"),"香奈儿 SUBLIMAGE LA CRÈME 终极肌肤再生 - 通用质地 1.7 盎司。")</f>
        <v>香奈儿 SUBLIMAGE LA CRÈME 终极肌肤再生 - 通用质地 1.7 盎司。</v>
      </c>
      <c r="E5265" s="1" t="str">
        <f>IFERROR(__xludf.DUMMYFUNCTION("CONCATENATE(GOOGLETRANSLATE(C5265, ""en"", ""ko""))"),"CHANEL 수블리마지 라 크림 얼티미트 스킨 리제너레이션 - 텍스처 유니버설 1.7온스.")</f>
        <v>CHANEL 수블리마지 라 크림 얼티미트 스킨 리제너레이션 - 텍스처 유니버설 1.7온스.</v>
      </c>
      <c r="F5265" s="1" t="str">
        <f>IFERROR(__xludf.DUMMYFUNCTION("CONCATENATE(GOOGLETRANSLATE(C5265, ""en"", ""ja""))"),"シャネル サブリマージュ ラ クレーム アルティメット スキン リジェネレーション - テクスチャー ユニバーサル 1.7 オンス")</f>
        <v>シャネル サブリマージュ ラ クレーム アルティメット スキン リジェネレーション - テクスチャー ユニバーサル 1.7 オンス</v>
      </c>
    </row>
    <row r="5266" ht="15.75" customHeight="1">
      <c r="A5266" s="1">
        <v>4453.0</v>
      </c>
      <c r="B5266" s="1" t="s">
        <v>15</v>
      </c>
      <c r="C5266" s="1" t="s">
        <v>4474</v>
      </c>
      <c r="D5266" s="1" t="str">
        <f>IFERROR(__xludf.DUMMYFUNCTION("CONCATENATE(GOOGLETRANSLATE(C5266, ""en"", ""zh-cn""))"),"Sisley Sisleya Le Teint 抗衰老粉底，2r 欧根纱，1 盎司")</f>
        <v>Sisley Sisleya Le Teint 抗衰老粉底，2r 欧根纱，1 盎司</v>
      </c>
      <c r="E5266" s="1" t="str">
        <f>IFERROR(__xludf.DUMMYFUNCTION("CONCATENATE(GOOGLETRANSLATE(C5266, ""en"", ""ko""))"),"시슬리 시슬리아 르 떼 안티 에이징 파운데이션, 2r 오간자, 1온스")</f>
        <v>시슬리 시슬리아 르 떼 안티 에이징 파운데이션, 2r 오간자, 1온스</v>
      </c>
      <c r="F5266" s="1" t="str">
        <f>IFERROR(__xludf.DUMMYFUNCTION("CONCATENATE(GOOGLETRANSLATE(C5266, ""en"", ""ja""))"),"シスレー シスレーヤ ル タ​​ン アンチエイジング ファンデーション、2r オーガンザ、1 オンス")</f>
        <v>シスレー シスレーヤ ル タ​​ン アンチエイジング ファンデーション、2r オーガンザ、1 オンス</v>
      </c>
    </row>
    <row r="5267" ht="15.75" customHeight="1">
      <c r="A5267" s="1">
        <v>4455.0</v>
      </c>
      <c r="B5267" s="1" t="s">
        <v>15</v>
      </c>
      <c r="C5267" s="1" t="s">
        <v>4475</v>
      </c>
      <c r="D5267" s="1" t="str">
        <f>IFERROR(__xludf.DUMMYFUNCTION("CONCATENATE(GOOGLETRANSLATE(C5267, ""en"", ""zh-cn""))"),"CHANEL Sublimage La Creme Yeux 终极再生眼霜，0.5 盎司")</f>
        <v>CHANEL Sublimage La Creme Yeux 终极再生眼霜，0.5 盎司</v>
      </c>
      <c r="E5267" s="1" t="str">
        <f>IFERROR(__xludf.DUMMYFUNCTION("CONCATENATE(GOOGLETRANSLATE(C5267, ""en"", ""ko""))"),"CHANEL 수블리마지 라 크렘 이으 얼티미트 리제너레이션 아이 크림, 0.5온스")</f>
        <v>CHANEL 수블리마지 라 크렘 이으 얼티미트 리제너레이션 아이 크림, 0.5온스</v>
      </c>
      <c r="F5267" s="1" t="str">
        <f>IFERROR(__xludf.DUMMYFUNCTION("CONCATENATE(GOOGLETRANSLATE(C5267, ""en"", ""ja""))"),"シャネル サブリマージュ ラ クレーム ユー アルティメット リジェネレーション アイ クリーム、0.5 オンス")</f>
        <v>シャネル サブリマージュ ラ クレーム ユー アルティメット リジェネレーション アイ クリーム、0.5 オンス</v>
      </c>
    </row>
    <row r="5268" ht="15.75" customHeight="1">
      <c r="A5268" s="1">
        <v>4470.0</v>
      </c>
      <c r="B5268" s="1" t="s">
        <v>15</v>
      </c>
      <c r="C5268" s="1" t="s">
        <v>4476</v>
      </c>
      <c r="D5268" s="1" t="str">
        <f>IFERROR(__xludf.DUMMYFUNCTION("CONCATENATE(GOOGLETRANSLATE(C5268, ""en"", ""zh-cn""))"),"SISLEY， 生态复合套装 生态复合 125ml + 浅黄洗面啫哩 10ml + HydraGlobal 精华液 5ml + HydraGlobal 10ml， 多种， 4 件，（4 件装）")</f>
        <v>SISLEY， 生态复合套装 生态复合 125ml + 浅黄洗面啫哩 10ml + HydraGlobal 精华液 5ml + HydraGlobal 10ml， 多种， 4 件，（4 件装）</v>
      </c>
      <c r="E5268" s="1" t="str">
        <f>IFERROR(__xludf.DUMMYFUNCTION("CONCATENATE(GOOGLETRANSLATE(C5268, ""en"", ""ko""))"),"시슬리, 에콜로지컬 컴파운드 피스 세트 에콜로지컬 컴파운드 125ml + 버프 워시 페이스 젤 10ml + 하이드라글로벌 세럼 5ml + 하이드라글로벌 10ml, 멀티, 4개, (4팩)")</f>
        <v>시슬리, 에콜로지컬 컴파운드 피스 세트 에콜로지컬 컴파운드 125ml + 버프 워시 페이스 젤 10ml + 하이드라글로벌 세럼 5ml + 하이드라글로벌 10ml, 멀티, 4개, (4팩)</v>
      </c>
      <c r="F5268" s="1" t="str">
        <f>IFERROR(__xludf.DUMMYFUNCTION("CONCATENATE(GOOGLETRANSLATE(C5268, ""en"", ""ja""))"),"シスレー、エコロジカル コンパウンド ピース セット エコロジカル コンパウンド 125ml + バフ ウォッシュ フェイス ジェル 10ml + ハイドラグローバル セラム 5ml + ハイドラグローバル 10ml、マルチ、4 カウント、(4 個パック)")</f>
        <v>シスレー、エコロジカル コンパウンド ピース セット エコロジカル コンパウンド 125ml + バフ ウォッシュ フェイス ジェル 10ml + ハイドラグローバル セラム 5ml + ハイドラグローバル 10ml、マルチ、4 カウント、(4 個パック)</v>
      </c>
    </row>
    <row r="5269" ht="15.75" customHeight="1">
      <c r="A5269" s="1">
        <v>4480.0</v>
      </c>
      <c r="B5269" s="1" t="s">
        <v>15</v>
      </c>
      <c r="C5269" s="1" t="s">
        <v>4477</v>
      </c>
      <c r="D5269" s="1" t="str">
        <f>IFERROR(__xludf.DUMMYFUNCTION("CONCATENATE(GOOGLETRANSLATE(C5269, ""en"", ""zh-cn""))"),"CHANEL LE Lift Firming - 抗皱霜 50G。")</f>
        <v>CHANEL LE Lift Firming - 抗皱霜 50G。</v>
      </c>
      <c r="E5269" s="1" t="str">
        <f>IFERROR(__xludf.DUMMYFUNCTION("CONCATENATE(GOOGLETRANSLATE(C5269, ""en"", ""ko""))"),"샤넬 르 리프트 퍼밍 - 주름 개선 크림 리치 50G.")</f>
        <v>샤넬 르 리프트 퍼밍 - 주름 개선 크림 리치 50G.</v>
      </c>
      <c r="F5269" s="1" t="str">
        <f>IFERROR(__xludf.DUMMYFUNCTION("CONCATENATE(GOOGLETRANSLATE(C5269, ""en"", ""ja""))"),"シャネル ル リフト ファーミング - アンチリンクル クレーム リッチ 50G。")</f>
        <v>シャネル ル リフト ファーミング - アンチリンクル クレーム リッチ 50G。</v>
      </c>
    </row>
    <row r="5270" ht="15.75" customHeight="1">
      <c r="A5270" s="1">
        <v>4495.0</v>
      </c>
      <c r="B5270" s="1" t="s">
        <v>15</v>
      </c>
      <c r="C5270" s="1" t="s">
        <v>4478</v>
      </c>
      <c r="D5270" s="1" t="str">
        <f>IFERROR(__xludf.DUMMYFUNCTION("CONCATENATE(GOOGLETRANSLATE(C5270, ""en"", ""zh-cn""))"),"SISLEY Double Tenseur 女士即时和长期凝胶，多色 1 盎司（1 件装）")</f>
        <v>SISLEY Double Tenseur 女士即时和长期凝胶，多色 1 盎司（1 件装）</v>
      </c>
      <c r="E5270" s="1" t="str">
        <f>IFERROR(__xludf.DUMMYFUNCTION("CONCATENATE(GOOGLETRANSLATE(C5270, ""en"", ""ko""))"),"시슬리 더블 텐저 여성용 인스턴트 &amp; 롱텀 젤, 멀티컬러 1 Fl Oz (1 팩)")</f>
        <v>시슬리 더블 텐저 여성용 인스턴트 &amp; 롱텀 젤, 멀티컬러 1 Fl Oz (1 팩)</v>
      </c>
      <c r="F5270" s="1" t="str">
        <f>IFERROR(__xludf.DUMMYFUNCTION("CONCATENATE(GOOGLETRANSLATE(C5270, ""en"", ""ja""))"),"シスレー ダブル テンスール インスタント &amp; ロングターム ジェル 女性用 マルチカラー 1液量オンス (1パック)")</f>
        <v>シスレー ダブル テンスール インスタント &amp; ロングターム ジェル 女性用 マルチカラー 1液量オンス (1パック)</v>
      </c>
    </row>
    <row r="5271" ht="15.75" customHeight="1">
      <c r="A5271" s="1">
        <v>4498.0</v>
      </c>
      <c r="B5271" s="1" t="s">
        <v>15</v>
      </c>
      <c r="C5271" s="1" t="s">
        <v>4479</v>
      </c>
      <c r="D5271" s="1" t="str">
        <f>IFERROR(__xludf.DUMMYFUNCTION("CONCATENATE(GOOGLETRANSLATE(C5271, ""en"", ""zh-cn""))"),"Sisley 女士 Phyto-Teint Expert Foundation，3 天然，1 盎司")</f>
        <v>Sisley 女士 Phyto-Teint Expert Foundation，3 天然，1 盎司</v>
      </c>
      <c r="E5271" s="1" t="str">
        <f>IFERROR(__xludf.DUMMYFUNCTION("CONCATENATE(GOOGLETRANSLATE(C5271, ""en"", ""ko""))"),"시슬리 여성용 피토-떼 엑스퍼트 파운데이션, 3 내추럴, 1 온스")</f>
        <v>시슬리 여성용 피토-떼 엑스퍼트 파운데이션, 3 내추럴, 1 온스</v>
      </c>
      <c r="F5271" s="1" t="str">
        <f>IFERROR(__xludf.DUMMYFUNCTION("CONCATENATE(GOOGLETRANSLATE(C5271, ""en"", ""ja""))"),"シスレー ウィメンズ フィト テント エキスパート ファンデーション、3 ナチュラル、1 オンス")</f>
        <v>シスレー ウィメンズ フィト テント エキスパート ファンデーション、3 ナチュラル、1 オンス</v>
      </c>
    </row>
    <row r="5272" ht="15.75" customHeight="1">
      <c r="A5272" s="1">
        <v>4501.0</v>
      </c>
      <c r="B5272" s="1" t="s">
        <v>15</v>
      </c>
      <c r="C5272" s="1" t="s">
        <v>4480</v>
      </c>
      <c r="D5272" s="1" t="str">
        <f>IFERROR(__xludf.DUMMYFUNCTION("CONCATENATE(GOOGLETRANSLATE(C5272, ""en"", ""zh-cn""))"),"18 个 RGB 环形灯套件，带支架，18 个 2500K-8500K LED 可调光圆形环形灯，适用于摄影视频 YouTube Vimeo 人像照明直播")</f>
        <v>18 个 RGB 环形灯套件，带支架，18 个 2500K-8500K LED 可调光圆形环形灯，适用于摄影视频 YouTube Vimeo 人像照明直播</v>
      </c>
      <c r="E5272" s="1" t="str">
        <f>IFERROR(__xludf.DUMMYFUNCTION("CONCATENATE(GOOGLETRANSLATE(C5272, ""en"", ""ko""))"),"18 RGB 링 라이트 키트(스탠드 포함), 18 2500K-8500K LED 디밍이 가능한 원형 링 라이트 사진 비디오 YouTube Vimeo 인물 조명 라이브 스트리밍")</f>
        <v>18 RGB 링 라이트 키트(스탠드 포함), 18 2500K-8500K LED 디밍이 가능한 원형 링 라이트 사진 비디오 YouTube Vimeo 인물 조명 라이브 스트리밍</v>
      </c>
      <c r="F5272" s="1" t="str">
        <f>IFERROR(__xludf.DUMMYFUNCTION("CONCATENATE(GOOGLETRANSLATE(C5272, ""en"", ""ja""))"),"スタンド付き 18 RGB リングライトキット、18 2500K-8500K LED 調光可能なサークルリングライト、写真ビデオ YouTube Vimeo ポートレート照明ライブストリーミング用")</f>
        <v>スタンド付き 18 RGB リングライトキット、18 2500K-8500K LED 調光可能なサークルリングライト、写真ビデオ YouTube Vimeo ポートレート照明ライブストリーミング用</v>
      </c>
    </row>
    <row r="5273" ht="15.75" customHeight="1">
      <c r="A5273" s="1">
        <v>4504.0</v>
      </c>
      <c r="B5273" s="1" t="s">
        <v>15</v>
      </c>
      <c r="C5273" s="1" t="s">
        <v>4481</v>
      </c>
      <c r="D5273" s="1" t="str">
        <f>IFERROR(__xludf.DUMMYFUNCTION("CONCATENATE(GOOGLETRANSLATE(C5273, ""en"", ""zh-cn""))"),"Sisley by Sisley，三重油膏卸妆洁面乳 - 面部和眼部 -125g/4.4oz")</f>
        <v>Sisley by Sisley，三重油膏卸妆洁面乳 - 面部和眼部 -125g/4.4oz</v>
      </c>
      <c r="E5273" s="1" t="str">
        <f>IFERROR(__xludf.DUMMYFUNCTION("CONCATENATE(GOOGLETRANSLATE(C5273, ""en"", ""ko""))"),"시슬리 바이 시슬리, 트리플-오일 밤 메이크업 리무버 &amp; 클렌저 - 페이스 &amp; 아이즈 -125g/4.4oz")</f>
        <v>시슬리 바이 시슬리, 트리플-오일 밤 메이크업 리무버 &amp; 클렌저 - 페이스 &amp; 아이즈 -125g/4.4oz</v>
      </c>
      <c r="F5273" s="1" t="str">
        <f>IFERROR(__xludf.DUMMYFUNCTION("CONCATENATE(GOOGLETRANSLATE(C5273, ""en"", ""ja""))"),"シスレー by シスレー、トリプル オイル バーム メイクアップ リムーバー &amp; クレンザー - フェイス &amp; アイ -125g/4.4oz")</f>
        <v>シスレー by シスレー、トリプル オイル バーム メイクアップ リムーバー &amp; クレンザー - フェイス &amp; アイ -125g/4.4oz</v>
      </c>
    </row>
    <row r="5274" ht="15.75" customHeight="1">
      <c r="A5274" s="1">
        <v>4516.0</v>
      </c>
      <c r="B5274" s="1" t="s">
        <v>15</v>
      </c>
      <c r="C5274" s="1" t="s">
        <v>4482</v>
      </c>
      <c r="D5274" s="1" t="str">
        <f>IFERROR(__xludf.DUMMYFUNCTION("CONCATENATE(GOOGLETRANSLATE(C5274, ""en"", ""zh-cn""))"),"热头火炬")</f>
        <v>热头火炬</v>
      </c>
      <c r="E5274" s="1" t="str">
        <f>IFERROR(__xludf.DUMMYFUNCTION("CONCATENATE(GOOGLETRANSLATE(C5274, ""en"", ""ko""))"),"핫 헤드 토치")</f>
        <v>핫 헤드 토치</v>
      </c>
      <c r="F5274" s="1" t="str">
        <f>IFERROR(__xludf.DUMMYFUNCTION("CONCATENATE(GOOGLETRANSLATE(C5274, ""en"", ""ja""))"),"ホットヘッドトーチ")</f>
        <v>ホットヘッドトーチ</v>
      </c>
    </row>
    <row r="5275" ht="15.75" customHeight="1">
      <c r="A5275" s="1">
        <v>4517.0</v>
      </c>
      <c r="B5275" s="1" t="s">
        <v>15</v>
      </c>
      <c r="C5275" s="1" t="s">
        <v>4483</v>
      </c>
      <c r="D5275" s="1" t="str">
        <f>IFERROR(__xludf.DUMMYFUNCTION("CONCATENATE(GOOGLETRANSLATE(C5275, ""en"", ""zh-cn""))"),"SISLEY 藏红花天鹅绒睡眠面膜，2 盎司 (908-69102)")</f>
        <v>SISLEY 藏红花天鹅绒睡眠面膜，2 盎司 (908-69102)</v>
      </c>
      <c r="E5275" s="1" t="str">
        <f>IFERROR(__xludf.DUMMYFUNCTION("CONCATENATE(GOOGLETRANSLATE(C5275, ""en"", ""ko""))"),"사프란 꽃이 함유된 SISLEY 벨벳 슬리핑 마스크, 2온스(908-69102)")</f>
        <v>사프란 꽃이 함유된 SISLEY 벨벳 슬리핑 마스크, 2온스(908-69102)</v>
      </c>
      <c r="F5275" s="1" t="str">
        <f>IFERROR(__xludf.DUMMYFUNCTION("CONCATENATE(GOOGLETRANSLATE(C5275, ""en"", ""ja""))"),"シスレー ベルベット スリーピング マスク サフランの花付き、2 オンス (908-69102)")</f>
        <v>シスレー ベルベット スリーピング マスク サフランの花付き、2 オンス (908-69102)</v>
      </c>
    </row>
    <row r="5276" ht="15.75" customHeight="1">
      <c r="A5276" s="1">
        <v>4519.0</v>
      </c>
      <c r="B5276" s="1" t="s">
        <v>15</v>
      </c>
      <c r="C5276" s="1" t="s">
        <v>4484</v>
      </c>
      <c r="D5276" s="1" t="str">
        <f>IFERROR(__xludf.DUMMYFUNCTION("CONCATENATE(GOOGLETRANSLATE(C5276, ""en"", ""zh-cn""))"),"Germaine de Capuccini - Timeexpert Radiance C+ | Timeexpert Radiance C+ | Timeexpert Radiance C+亮肤抗氧化眼部轮廓霜 - 维生素 C 和维生素 E 眼霜 - 防止自由基损伤 - 0.5 液量盎司")</f>
        <v>Germaine de Capuccini - Timeexpert Radiance C+ | Timeexpert Radiance C+ | Timeexpert Radiance C+亮肤抗氧化眼部轮廓霜 - 维生素 C 和维生素 E 眼霜 - 防止自由基损伤 - 0.5 液量盎司</v>
      </c>
      <c r="E5276" s="1" t="str">
        <f>IFERROR(__xludf.DUMMYFUNCTION("CONCATENATE(GOOGLETRANSLATE(C5276, ""en"", ""ko""))"),"Germaine de Capuccini - Timexpert Radiance C+ | 일루미네이팅 항산화 아이 컨투어 크림 - 비타민 C 및 비타민 E 아이 크림 - 자유 라디칼 손상으로부터 보호 - 0.5 Fl oz")</f>
        <v>Germaine de Capuccini - Timexpert Radiance C+ | 일루미네이팅 항산화 아이 컨투어 크림 - 비타민 C 및 비타민 E 아이 크림 - 자유 라디칼 손상으로부터 보호 - 0.5 Fl oz</v>
      </c>
      <c r="F5276" s="1" t="str">
        <f>IFERROR(__xludf.DUMMYFUNCTION("CONCATENATE(GOOGLETRANSLATE(C5276, ""en"", ""ja""))"),"ジャーメイン・ド・カプチーニ - Timeexpert Radiance C+ |イルミネーティング抗酸化アイ コンター クリーム - ビタミン C およびビタミン E アイ クリーム - フリーラジカルによるダメージから保護 - 0.5 液量オンス")</f>
        <v>ジャーメイン・ド・カプチーニ - Timeexpert Radiance C+ |イルミネーティング抗酸化アイ コンター クリーム - ビタミン C およびビタミン E アイ クリーム - フリーラジカルによるダメージから保護 - 0.5 液量オンス</v>
      </c>
    </row>
    <row r="5277" ht="15.75" customHeight="1">
      <c r="A5277" s="1">
        <v>4532.0</v>
      </c>
      <c r="B5277" s="1" t="s">
        <v>15</v>
      </c>
      <c r="C5277" s="1" t="s">
        <v>1860</v>
      </c>
      <c r="D5277" s="1" t="str">
        <f>IFERROR(__xludf.DUMMYFUNCTION("CONCATENATE(GOOGLETRANSLATE(C5277, ""en"", ""zh-cn""))"),"LED 面膜光疗 7 色光子光保养嫩肤提亮肤色脸部和颈部面部护理面膜")</f>
        <v>LED 面膜光疗 7 色光子光保养嫩肤提亮肤色脸部和颈部面部护理面膜</v>
      </c>
      <c r="E5277" s="1" t="str">
        <f>IFERROR(__xludf.DUMMYFUNCTION("CONCATENATE(GOOGLETRANSLATE(C5277, ""en"", ""ko""))"),"Led 페이스 마스크 라이트 테라피 7 컬러 광자 라이트 유지 관리 부드러운 피부와 밝게 피부 얼굴과 목을 위한 페이셜 케어 마스크")</f>
        <v>Led 페이스 마스크 라이트 테라피 7 컬러 광자 라이트 유지 관리 부드러운 피부와 밝게 피부 얼굴과 목을 위한 페이셜 케어 마스크</v>
      </c>
      <c r="F5277" s="1" t="str">
        <f>IFERROR(__xludf.DUMMYFUNCTION("CONCATENATE(GOOGLETRANSLATE(C5277, ""en"", ""ja""))"),"LED フェイスマスク光療法 7 色フォトンライトメンテナンス柔らかい肌と肌を明るくする顔と首用のフェイシャルケアマスク")</f>
        <v>LED フェイスマスク光療法 7 色フォトンライトメンテナンス柔らかい肌と肌を明るくする顔と首用のフェイシャルケアマスク</v>
      </c>
    </row>
    <row r="5278" ht="15.75" customHeight="1">
      <c r="A5278" s="1">
        <v>4537.0</v>
      </c>
      <c r="B5278" s="1" t="s">
        <v>15</v>
      </c>
      <c r="C5278" s="1" t="s">
        <v>2323</v>
      </c>
      <c r="D5278" s="1" t="str">
        <f>IFERROR(__xludf.DUMMYFUNCTION("CONCATENATE(GOOGLETRANSLATE(C5278, ""en"", ""zh-cn""))"),"然后我遇见你玫瑰焕肤面膜 - 在家使用 AHA + BHA + 白藜芦醇进行闪亮面部护理 - 纯素，清洁护肤（1.76 盎司）")</f>
        <v>然后我遇见你玫瑰焕肤面膜 - 在家使用 AHA + BHA + 白藜芦醇进行闪亮面部护理 - 纯素，清洁护肤（1.76 盎司）</v>
      </c>
      <c r="E5278" s="1" t="str">
        <f>IFERROR(__xludf.DUMMYFUNCTION("CONCATENATE(GOOGLETRANSLATE(C5278, ""en"", ""ko""))"),"그런 다음 아이 멧 유 로제 리서페이싱 페이셜 마스크 - 집에서 AHA + BHA + 레스베라트롤을 사용한 스파클링 페이셜 트리트먼트 - 비건, 클린 스킨케어(1.76온스)")</f>
        <v>그런 다음 아이 멧 유 로제 리서페이싱 페이셜 마스크 - 집에서 AHA + BHA + 레스베라트롤을 사용한 스파클링 페이셜 트리트먼트 - 비건, 클린 스킨케어(1.76온스)</v>
      </c>
      <c r="F5278" s="1" t="str">
        <f>IFERROR(__xludf.DUMMYFUNCTION("CONCATENATE(GOOGLETRANSLATE(C5278, ""en"", ""ja""))"),"ゼン・アイ・メット・ユー ロゼ リサーフェシング フェイシャル マスク - AHA + BHA + レスベラトロールを使用した自宅でのスパークリング フェイシャル トリートメント - ビーガン、クリーン スキンケア (1.76 オンス)")</f>
        <v>ゼン・アイ・メット・ユー ロゼ リサーフェシング フェイシャル マスク - AHA + BHA + レスベラトロールを使用した自宅でのスパークリング フェイシャル トリートメント - ビーガン、クリーン スキンケア (1.76 オンス)</v>
      </c>
    </row>
    <row r="5279" ht="15.75" customHeight="1">
      <c r="A5279" s="1">
        <v>4543.0</v>
      </c>
      <c r="B5279" s="1" t="s">
        <v>15</v>
      </c>
      <c r="C5279" s="1" t="s">
        <v>4485</v>
      </c>
      <c r="D5279" s="1" t="str">
        <f>IFERROR(__xludf.DUMMYFUNCTION("CONCATENATE(GOOGLETRANSLATE(C5279, ""en"", ""zh-cn""))"),"JJ.Yoma 面霜机，专业面膜机胶原蛋白水果蔬菜 DIY 自动面部护理面膜机带真人语音提醒")</f>
        <v>JJ.Yoma 面霜机，专业面膜机胶原蛋白水果蔬菜 DIY 自动面部护理面膜机带真人语音提醒</v>
      </c>
      <c r="E5279" s="1" t="str">
        <f>IFERROR(__xludf.DUMMYFUNCTION("CONCATENATE(GOOGLETRANSLATE(C5279, ""en"", ""ko""))"),"JJ.Yoma 페이셜 크림 메이커, 전문 페이셜 마스크 기계 콜라겐 과일 야채 DIY 자동 페이셜 케어 마스크 메이커(인간 음성 알림 포함)")</f>
        <v>JJ.Yoma 페이셜 크림 메이커, 전문 페이셜 마스크 기계 콜라겐 과일 야채 DIY 자동 페이셜 케어 마스크 메이커(인간 음성 알림 포함)</v>
      </c>
      <c r="F5279" s="1" t="str">
        <f>IFERROR(__xludf.DUMMYFUNCTION("CONCATENATE(GOOGLETRANSLATE(C5279, ""en"", ""ja""))"),"JJ.Yoma フェイシャルクリームメーカー、プロフェッショナルフェイシャルマスクマシンコラーゲンフルーツ野菜DIY自動フェイシャルケアマスクメーカー、人間の音声リマインダー付き")</f>
        <v>JJ.Yoma フェイシャルクリームメーカー、プロフェッショナルフェイシャルマスクマシンコラーゲンフルーツ野菜DIY自動フェイシャルケアマスクメーカー、人間の音声リマインダー付き</v>
      </c>
    </row>
    <row r="5280" ht="15.75" customHeight="1">
      <c r="A5280" s="1">
        <v>4544.0</v>
      </c>
      <c r="B5280" s="1" t="s">
        <v>15</v>
      </c>
      <c r="C5280" s="1" t="s">
        <v>4486</v>
      </c>
      <c r="D5280" s="1" t="str">
        <f>IFERROR(__xludf.DUMMYFUNCTION("CONCATENATE(GOOGLETRANSLATE(C5280, ""en"", ""zh-cn""))"),"Sisley 希思黎女士花卉爽肤水 - 8.4 盎司爽肤水，8.4 盎司")</f>
        <v>Sisley 希思黎女士花卉爽肤水 - 8.4 盎司爽肤水，8.4 盎司</v>
      </c>
      <c r="E5280" s="1" t="str">
        <f>IFERROR(__xludf.DUMMYFUNCTION("CONCATENATE(GOOGLETRANSLATE(C5280, ""en"", ""ko""))"),"시슬리 플로럴 토닝 로션 바이 시슬리 여성용 - 8.4온스 토닝 로션, 8.4온스")</f>
        <v>시슬리 플로럴 토닝 로션 바이 시슬리 여성용 - 8.4온스 토닝 로션, 8.4온스</v>
      </c>
      <c r="F5280" s="1" t="str">
        <f>IFERROR(__xludf.DUMMYFUNCTION("CONCATENATE(GOOGLETRANSLATE(C5280, ""en"", ""ja""))"),"シスレー フローラル トーニング ローション 女性用 - 8.4 オンス トーニング ローション、8.4 オンス")</f>
        <v>シスレー フローラル トーニング ローション 女性用 - 8.4 オンス トーニング ローション、8.4 オンス</v>
      </c>
    </row>
    <row r="5281" ht="15.75" customHeight="1">
      <c r="A5281" s="1">
        <v>4547.0</v>
      </c>
      <c r="B5281" s="1" t="s">
        <v>15</v>
      </c>
      <c r="C5281" s="1" t="s">
        <v>4487</v>
      </c>
      <c r="D5281" s="1" t="str">
        <f>IFERROR(__xludf.DUMMYFUNCTION("CONCATENATE(GOOGLETRANSLATE(C5281, ""en"", ""zh-cn""))"),"HDLWIS 面膜机，DIY 面膜机多功能自动天然水果蔬菜面膜机带真人语音提醒和 32 粒胶原蛋白丸")</f>
        <v>HDLWIS 面膜机，DIY 面膜机多功能自动天然水果蔬菜面膜机带真人语音提醒和 32 粒胶原蛋白丸</v>
      </c>
      <c r="E5281" s="1" t="str">
        <f>IFERROR(__xludf.DUMMYFUNCTION("CONCATENATE(GOOGLETRANSLATE(C5281, ""en"", ""ko""))"),"HDLWIS 페이셜 마스크 기계, DIY 페이스 마스크 기계 인간의 음성 알림 및 32 카운트 콜라겐 알약이 포함된 다기능 자동 천연 과일 야채 페이스 마스크 제조기")</f>
        <v>HDLWIS 페이셜 마스크 기계, DIY 페이스 마스크 기계 인간의 음성 알림 및 32 카운트 콜라겐 알약이 포함된 다기능 자동 천연 과일 야채 페이스 마스크 제조기</v>
      </c>
      <c r="F5281" s="1" t="str">
        <f>IFERROR(__xludf.DUMMYFUNCTION("CONCATENATE(GOOGLETRANSLATE(C5281, ""en"", ""ja""))"),"HDLWIS フェイシャルマスクマシン DIY フェイスマスクマシン 多機能 自動 天然果物野菜フェイスマスクメーカー 人間の音声リマインダー &amp; 32 カウントコラーゲン丸薬付き")</f>
        <v>HDLWIS フェイシャルマスクマシン DIY フェイスマスクマシン 多機能 自動 天然果物野菜フェイスマスクメーカー 人間の音声リマインダー &amp; 32 カウントコラーゲン丸薬付き</v>
      </c>
    </row>
    <row r="5282" ht="15.75" customHeight="1">
      <c r="A5282" s="1">
        <v>4552.0</v>
      </c>
      <c r="B5282" s="1" t="s">
        <v>15</v>
      </c>
      <c r="C5282" s="1" t="s">
        <v>4488</v>
      </c>
      <c r="D5282" s="1" t="str">
        <f>IFERROR(__xludf.DUMMYFUNCTION("CONCATENATE(GOOGLETRANSLATE(C5282, ""en"", ""zh-cn""))"),"客厅弧形落地灯-带桌子的弧形落地灯，遥控明亮高阅读灯无级调光器2400LM，黑色现代落地灯客厅，卧室，书房，办公室")</f>
        <v>客厅弧形落地灯-带桌子的弧形落地灯，遥控明亮高阅读灯无级调光器2400LM，黑色现代落地灯客厅，卧室，书房，办公室</v>
      </c>
      <c r="E5282" s="1" t="str">
        <f>IFERROR(__xludf.DUMMYFUNCTION("CONCATENATE(GOOGLETRANSLATE(C5282, ""en"", ""ko""))"),"거실용 아크 스탠딩 램프 - 테이블이 있는 아크 플로어 램프, 원격 제어 밝은 키가 큰 독서용 램프 무단계 조광기 2400LM, 거실, 침실, 서재, 사무실용 검정색 현대 플로어 램프")</f>
        <v>거실용 아크 스탠딩 램프 - 테이블이 있는 아크 플로어 램프, 원격 제어 밝은 키가 큰 독서용 램프 무단계 조광기 2400LM, 거실, 침실, 서재, 사무실용 검정색 현대 플로어 램프</v>
      </c>
      <c r="F5282" s="1" t="str">
        <f>IFERROR(__xludf.DUMMYFUNCTION("CONCATENATE(GOOGLETRANSLATE(C5282, ""en"", ""ja""))"),"リビングルーム用アークスタンディングランプ-テーブル付きアークフロアランプ、リモコン明るい背の高い読書ランプ無段階調光器2400LM、リビングルーム、寝室、書斎、オフィス用のブラックモダンフロアランプ")</f>
        <v>リビングルーム用アークスタンディングランプ-テーブル付きアークフロアランプ、リモコン明るい背の高い読書ランプ無段階調光器2400LM、リビングルーム、寝室、書斎、オフィス用のブラックモダンフロアランプ</v>
      </c>
    </row>
    <row r="5283" ht="15.75" customHeight="1">
      <c r="A5283" s="1">
        <v>4567.0</v>
      </c>
      <c r="B5283" s="1" t="s">
        <v>15</v>
      </c>
      <c r="C5283" s="1" t="s">
        <v>4489</v>
      </c>
      <c r="D5283" s="1" t="str">
        <f>IFERROR(__xludf.DUMMYFUNCTION("CONCATENATE(GOOGLETRANSLATE(C5283, ""en"", ""zh-cn""))"),"BRÜUN 剥离果冻面膜高级造型橡胶面膜水疗套装 - 10 种护理（24k 金、薰衣草、猕猴桃、薄荷、埃及玫瑰、抹茶、洋甘菊、茶树、茉莉花）")</f>
        <v>BRÜUN 剥离果冻面膜高级造型橡胶面膜水疗套装 - 10 种护理（24k 金、薰衣草、猕猴桃、薄荷、埃及玫瑰、抹茶、洋甘菊、茶树、茉莉花）</v>
      </c>
      <c r="E5283" s="1" t="str">
        <f>IFERROR(__xludf.DUMMYFUNCTION("CONCATENATE(GOOGLETRANSLATE(C5283, ""en"", ""ko""))"),"BRÜUN 필오프 젤리 마스크 프리미엄 모델링 러버 마스크 스파 세트 - 10가지 트리트먼트 (24k 골드, 라벤더, 키위, 페퍼민트, 이집트 로즈, 말차, 카모마일, 티트리, 재즈민)")</f>
        <v>BRÜUN 필오프 젤리 마스크 프리미엄 모델링 러버 마스크 스파 세트 - 10가지 트리트먼트 (24k 골드, 라벤더, 키위, 페퍼민트, 이집트 로즈, 말차, 카모마일, 티트리, 재즈민)</v>
      </c>
      <c r="F5283" s="1" t="str">
        <f>IFERROR(__xludf.DUMMYFUNCTION("CONCATENATE(GOOGLETRANSLATE(C5283, ""en"", ""ja""))"),"BRÜUN ピールオフ ジェリー マスク プレミアム モデリング ラバー マスク スパ セット - トリートメント 10 回 (24K ゴールド、ラベンダー、キウイ、ペパーミント、エジプシャン ローズ、抹茶、カモミール、ティー ツリー、ジャズミン)")</f>
        <v>BRÜUN ピールオフ ジェリー マスク プレミアム モデリング ラバー マスク スパ セット - トリートメント 10 回 (24K ゴールド、ラベンダー、キウイ、ペパーミント、エジプシャン ローズ、抹茶、カモミール、ティー ツリー、ジャズミン)</v>
      </c>
    </row>
    <row r="5284" ht="15.75" customHeight="1">
      <c r="A5284" s="1">
        <v>4570.0</v>
      </c>
      <c r="B5284" s="1" t="s">
        <v>15</v>
      </c>
      <c r="C5284" s="1" t="s">
        <v>4490</v>
      </c>
      <c r="D5284" s="1" t="str">
        <f>IFERROR(__xludf.DUMMYFUNCTION("CONCATENATE(GOOGLETRANSLATE(C5284, ""en"", ""zh-cn""))"),"Power Your Fun 机器人宠物独角兽玩具适合女孩和男孩 - 带互动手势的遥控机器人玩具、STEM 玩具程序零食、行走和跳舞机器人独角兽儿童玩具（粉色）")</f>
        <v>Power Your Fun 机器人宠物独角兽玩具适合女孩和男孩 - 带互动手势的遥控机器人玩具、STEM 玩具程序零食、行走和跳舞机器人独角兽儿童玩具（粉色）</v>
      </c>
      <c r="E5284" s="1" t="str">
        <f>IFERROR(__xludf.DUMMYFUNCTION("CONCATENATE(GOOGLETRANSLATE(C5284, ""en"", ""ko""))"),"재미있는 로보 애완동물을 키우세요 소녀와 소년을 위한 유니콘 장난감 - 대화형 손 동작 제스처를 갖춘 원격 제어 로봇 장난감, STEM 장난감 프로그램 취급, 걷기 및 춤추는 로봇 유니콘 어린이 장난감(핑크색)")</f>
        <v>재미있는 로보 애완동물을 키우세요 소녀와 소년을 위한 유니콘 장난감 - 대화형 손 동작 제스처를 갖춘 원격 제어 로봇 장난감, STEM 장난감 프로그램 취급, 걷기 및 춤추는 로봇 유니콘 어린이 장난감(핑크색)</v>
      </c>
      <c r="F5284" s="1" t="str">
        <f>IFERROR(__xludf.DUMMYFUNCTION("CONCATENATE(GOOGLETRANSLATE(C5284, ""en"", ""ja""))"),"楽しいロボペットにパワーを与える 女の子と男の子向けのユニコーンおもちゃ - インタラクティブな手の動きのジェスチャー付きリモートコントロールロボットおもちゃ、STEMおもちゃプログラムのおやつ、歩いて踊るロボットユニコーン子供用おもちゃ (ピンク)")</f>
        <v>楽しいロボペットにパワーを与える 女の子と男の子向けのユニコーンおもちゃ - インタラクティブな手の動きのジェスチャー付きリモートコントロールロボットおもちゃ、STEMおもちゃプログラムのおやつ、歩いて踊るロボットユニコーン子供用おもちゃ (ピンク)</v>
      </c>
    </row>
    <row r="5285" ht="15.75" customHeight="1">
      <c r="A5285" s="1">
        <v>4640.0</v>
      </c>
      <c r="B5285" s="1" t="s">
        <v>15</v>
      </c>
      <c r="C5285" s="1" t="s">
        <v>1858</v>
      </c>
      <c r="D5285" s="1" t="str">
        <f>IFERROR(__xludf.DUMMYFUNCTION("CONCATENATE(GOOGLETRANSLATE(C5285, ""en"", ""zh-cn""))"),"ASSAULTFITNESS Assault AirBike Elite，灰色")</f>
        <v>ASSAULTFITNESS Assault AirBike Elite，灰色</v>
      </c>
      <c r="E5285" s="1" t="str">
        <f>IFERROR(__xludf.DUMMYFUNCTION("CONCATENATE(GOOGLETRANSLATE(C5285, ""en"", ""ko""))"),"ASSAULTFITNESS Assault AirBike 엘리트, 그레이")</f>
        <v>ASSAULTFITNESS Assault AirBike 엘리트, 그레이</v>
      </c>
      <c r="F5285" s="1" t="str">
        <f>IFERROR(__xludf.DUMMYFUNCTION("CONCATENATE(GOOGLETRANSLATE(C5285, ""en"", ""ja""))"),"ASSAULTFITNESS アサルト エアバイク エリート、グレー")</f>
        <v>ASSAULTFITNESS アサルト エアバイク エリート、グレー</v>
      </c>
    </row>
    <row r="5286" ht="15.75" customHeight="1">
      <c r="A5286" s="1">
        <v>4652.0</v>
      </c>
      <c r="B5286" s="1" t="s">
        <v>15</v>
      </c>
      <c r="C5286" s="1" t="s">
        <v>2371</v>
      </c>
      <c r="D5286" s="1" t="str">
        <f>IFERROR(__xludf.DUMMYFUNCTION("CONCATENATE(GOOGLETRANSLATE(C5286, ""en"", ""zh-cn""))"),"BFSB5 链传动室内自行车")</f>
        <v>BFSB5 链传动室内自行车</v>
      </c>
      <c r="E5286" s="1" t="str">
        <f>IFERROR(__xludf.DUMMYFUNCTION("CONCATENATE(GOOGLETRANSLATE(C5286, ""en"", ""ko""))"),"BFSB5 체인 드라이브 실내 사이클링 자전거")</f>
        <v>BFSB5 체인 드라이브 실내 사이클링 자전거</v>
      </c>
      <c r="F5286" s="1" t="str">
        <f>IFERROR(__xludf.DUMMYFUNCTION("CONCATENATE(GOOGLETRANSLATE(C5286, ""en"", ""ja""))"),"BFSB5 チェーンドライブインドアサイクリングバイク")</f>
        <v>BFSB5 チェーンドライブインドアサイクリングバイク</v>
      </c>
    </row>
    <row r="5287" ht="15.75" customHeight="1">
      <c r="A5287" s="1">
        <v>4654.0</v>
      </c>
      <c r="B5287" s="1" t="s">
        <v>15</v>
      </c>
      <c r="C5287" s="1" t="s">
        <v>2844</v>
      </c>
      <c r="D5287" s="1" t="str">
        <f>IFERROR(__xludf.DUMMYFUNCTION("CONCATENATE(GOOGLETRANSLATE(C5287, ""en"", ""zh-cn""))"),"JOROTO 室内自行车健身车带 35 磅飞轮和 10.2 英寸大型 Ipad 支架（链条驱动）")</f>
        <v>JOROTO 室内自行车健身车带 35 磅飞轮和 10.2 英寸大型 Ipad 支架（链条驱动）</v>
      </c>
      <c r="E5287" s="1" t="str">
        <f>IFERROR(__xludf.DUMMYFUNCTION("CONCATENATE(GOOGLETRANSLATE(C5287, ""en"", ""ko""))"),"JOROTO 실내 사이클링 자전거 운동용 자전거 35파운드 플라이휠 및 10.2인치 대형 Ipad 홀더(체인 드라이브) 포함")</f>
        <v>JOROTO 실내 사이클링 자전거 운동용 자전거 35파운드 플라이휠 및 10.2인치 대형 Ipad 홀더(체인 드라이브) 포함</v>
      </c>
      <c r="F5287" s="1" t="str">
        <f>IFERROR(__xludf.DUMMYFUNCTION("CONCATENATE(GOOGLETRANSLATE(C5287, ""en"", ""ja""))"),"JOROTO インドアサイクリングバイクエクササイズバイク、35ポンドのフライホイールと10.2インチの大型iPadホルダー（チェーンドライブ）付き")</f>
        <v>JOROTO インドアサイクリングバイクエクササイズバイク、35ポンドのフライホイールと10.2インチの大型iPadホルダー（チェーンドライブ）付き</v>
      </c>
    </row>
    <row r="5288" ht="15.75" customHeight="1">
      <c r="A5288" s="1">
        <v>4655.0</v>
      </c>
      <c r="B5288" s="1" t="s">
        <v>15</v>
      </c>
      <c r="C5288" s="1" t="s">
        <v>2320</v>
      </c>
      <c r="D5288" s="1" t="str">
        <f>IFERROR(__xludf.DUMMYFUNCTION("CONCATENATE(GOOGLETRANSLATE(C5288, ""en"", ""zh-cn""))"),"Meta Quest 2 — 高级一体式虚拟现实耳机 — 128 GB 获取 Meta Quest 2，内含 GOLF+ 和 Space Pirate Trainer DX")</f>
        <v>Meta Quest 2 — 高级一体式虚拟现实耳机 — 128 GB 获取 Meta Quest 2，内含 GOLF+ 和 Space Pirate Trainer DX</v>
      </c>
      <c r="E5288" s="1" t="str">
        <f>IFERROR(__xludf.DUMMYFUNCTION("CONCATENATE(GOOGLETRANSLATE(C5288, ""en"", ""ko""))"),"Meta Quest 2 — 고급 올인원 가상 현실 헤드셋 — 128GB GOLF+ 및 Space Pirate Trainer DX가 포함된 Meta Quest 2를 구매하세요")</f>
        <v>Meta Quest 2 — 고급 올인원 가상 현실 헤드셋 — 128GB GOLF+ 및 Space Pirate Trainer DX가 포함된 Meta Quest 2를 구매하세요</v>
      </c>
      <c r="F5288" s="1" t="str">
        <f>IFERROR(__xludf.DUMMYFUNCTION("CONCATENATE(GOOGLETRANSLATE(C5288, ""en"", ""ja""))"),"Meta Quest 2 — 高度なオールインワン バーチャル リアリティ ヘッドセット — 128 GB GOLF+ および Space Pirate Trainer DX を含む Meta Quest 2 を入手")</f>
        <v>Meta Quest 2 — 高度なオールインワン バーチャル リアリティ ヘッドセット — 128 GB GOLF+ および Space Pirate Trainer DX を含む Meta Quest 2 を入手</v>
      </c>
    </row>
    <row r="5289" ht="15.75" customHeight="1">
      <c r="A5289" s="1">
        <v>4657.0</v>
      </c>
      <c r="B5289" s="1" t="s">
        <v>15</v>
      </c>
      <c r="C5289" s="1" t="s">
        <v>2376</v>
      </c>
      <c r="D5289" s="1" t="str">
        <f>IFERROR(__xludf.DUMMYFUNCTION("CONCATENATE(GOOGLETRANSLATE(C5289, ""en"", ""zh-cn""))"),"美国 Pride 家具瑜伽系列现代人造皮革弧形躺椅，适合伸展和放松，非常适合卧室、客厅、冥想室或办公室，常规，午夜黑")</f>
        <v>美国 Pride 家具瑜伽系列现代人造皮革弧形躺椅，适合伸展和放松，非常适合卧室、客厅、冥想室或办公室，常规，午夜黑</v>
      </c>
      <c r="E5289" s="1" t="str">
        <f>IFERROR(__xludf.DUMMYFUNCTION("CONCATENATE(GOOGLETRANSLATE(C5289, ""en"", ""ko""))"),"US Pride Furniture Yoga Collection 스트레칭과 휴식을 위한 현대적인 인조 가죽 곡선 라운지 의자, 침실, 거실, 명상실 또는 사무실에 이상적, 일반, 미드나잇 블랙")</f>
        <v>US Pride Furniture Yoga Collection 스트레칭과 휴식을 위한 현대적인 인조 가죽 곡선 라운지 의자, 침실, 거실, 명상실 또는 사무실에 이상적, 일반, 미드나잇 블랙</v>
      </c>
      <c r="F5289" s="1" t="str">
        <f>IFERROR(__xludf.DUMMYFUNCTION("CONCATENATE(GOOGLETRANSLATE(C5289, ""en"", ""ja""))"),"USプライドファニチャーヨガコレクション ストレッチとリラクゼーションのためのモダンなフェイクレザーの湾曲したラウンジ長椅子、寝室、リビング、瞑想室またはオフィスに最適、レギュラー、ミッドナイトブラック")</f>
        <v>USプライドファニチャーヨガコレクション ストレッチとリラクゼーションのためのモダンなフェイクレザーの湾曲したラウンジ長椅子、寝室、リビング、瞑想室またはオフィスに最適、レギュラー、ミッドナイトブラック</v>
      </c>
    </row>
    <row r="5290" ht="15.75" customHeight="1">
      <c r="A5290" s="1">
        <v>4663.0</v>
      </c>
      <c r="B5290" s="1" t="s">
        <v>15</v>
      </c>
      <c r="C5290" s="1" t="s">
        <v>2372</v>
      </c>
      <c r="D5290" s="1" t="str">
        <f>IFERROR(__xludf.DUMMYFUNCTION("CONCATENATE(GOOGLETRANSLATE(C5290, ""en"", ""zh-cn""))"),"Devoko 5 件套露台家具套装全天候户外组合沙发手动编织柳条藤条露台谈话套装带垫子和玻璃桌（米色）")</f>
        <v>Devoko 5 件套露台家具套装全天候户外组合沙发手动编织柳条藤条露台谈话套装带垫子和玻璃桌（米色）</v>
      </c>
      <c r="E5290" s="1" t="str">
        <f>IFERROR(__xludf.DUMMYFUNCTION("CONCATENATE(GOOGLETRANSLATE(C5290, ""en"", ""ko""))"),"Devoko 5 조각 파티오 가구 세트 전천후 야외 단면 소파 수동 직조 고리 버들 등나무 파티오 대화 세트 쿠션과 유리 테이블 (베이지 색)")</f>
        <v>Devoko 5 조각 파티오 가구 세트 전천후 야외 단면 소파 수동 직조 고리 버들 등나무 파티오 대화 세트 쿠션과 유리 테이블 (베이지 색)</v>
      </c>
      <c r="F5290" s="1" t="str">
        <f>IFERROR(__xludf.DUMMYFUNCTION("CONCATENATE(GOOGLETRANSLATE(C5290, ""en"", ""ja""))"),"Devoko パティオ家具 5 点セット 全天候型 屋外 セクショナルソファ 手動織り 籐ラタン パティオ会話セット クッションとガラステーブル付き (ベージュ)")</f>
        <v>Devoko パティオ家具 5 点セット 全天候型 屋外 セクショナルソファ 手動織り 籐ラタン パティオ会話セット クッションとガラステーブル付き (ベージュ)</v>
      </c>
    </row>
    <row r="5291" ht="15.75" customHeight="1">
      <c r="A5291" s="1">
        <v>4664.0</v>
      </c>
      <c r="B5291" s="1" t="s">
        <v>15</v>
      </c>
      <c r="C5291" s="1" t="s">
        <v>1857</v>
      </c>
      <c r="D5291" s="1" t="str">
        <f>IFERROR(__xludf.DUMMYFUNCTION("CONCATENATE(GOOGLETRANSLATE(C5291, ""en"", ""zh-cn""))"),"Alexia 冥想座椅符合人体工程学，适合人体生理学禅宗瑜伽人体工学椅子泡沫垫家庭或办公室（浅灰色 - 纯素皮革）")</f>
        <v>Alexia 冥想座椅符合人体工程学，适合人体生理学禅宗瑜伽人体工学椅子泡沫垫家庭或办公室（浅灰色 - 纯素皮革）</v>
      </c>
      <c r="E5291" s="1" t="str">
        <f>IFERROR(__xludf.DUMMYFUNCTION("CONCATENATE(GOOGLETRANSLATE(C5291, ""en"", ""ko""))"),"Alexia 명상 시트 인체 생리학에 인체 공학적으로 올바른 Zen Yoga 인체 공학적 의자 폼 쿠션 가정 또는 사무실 (밝은 회색 - 비건 가죽)")</f>
        <v>Alexia 명상 시트 인체 생리학에 인체 공학적으로 올바른 Zen Yoga 인체 공학적 의자 폼 쿠션 가정 또는 사무실 (밝은 회색 - 비건 가죽)</v>
      </c>
      <c r="F5291" s="1" t="str">
        <f>IFERROR(__xludf.DUMMYFUNCTION("CONCATENATE(GOOGLETRANSLATE(C5291, ""en"", ""ja""))"),"Alexia 瞑想シート 人間の生理学的に正しい 禅ヨガ 人間工学に基づいた椅子 フォームクッション 自宅またはオフィス (ライトグレー - ビーガンレザー)")</f>
        <v>Alexia 瞑想シート 人間の生理学的に正しい 禅ヨガ 人間工学に基づいた椅子 フォームクッション 自宅またはオフィス (ライトグレー - ビーガンレザー)</v>
      </c>
    </row>
    <row r="5292" ht="15.75" customHeight="1">
      <c r="A5292" s="1">
        <v>4673.0</v>
      </c>
      <c r="B5292" s="1" t="s">
        <v>15</v>
      </c>
      <c r="C5292" s="1" t="s">
        <v>1855</v>
      </c>
      <c r="D5292" s="1" t="str">
        <f>IFERROR(__xludf.DUMMYFUNCTION("CONCATENATE(GOOGLETRANSLATE(C5292, ""en"", ""zh-cn""))"),"单人炉篝火带支架便携式火坑不锈钢火坑燃木低烟野营炉| 19.5x14 英寸户外火坑")</f>
        <v>单人炉篝火带支架便携式火坑不锈钢火坑燃木低烟野营炉| 19.5x14 英寸户外火坑</v>
      </c>
      <c r="E5292" s="1" t="str">
        <f>IFERROR(__xludf.DUMMYFUNCTION("CONCATENATE(GOOGLETRANSLATE(C5292, ""en"", ""ko""))"),"스탠드가 있는 솔로 스토브 모닥불 휴대용 화재 구덩이 스테인레스 스틸 화재 구덩이 장작 및 저연 캠핑 스토브 | 19.5x14 인치 야외 화덕")</f>
        <v>스탠드가 있는 솔로 스토브 모닥불 휴대용 화재 구덩이 스테인레스 스틸 화재 구덩이 장작 및 저연 캠핑 스토브 | 19.5x14 인치 야외 화덕</v>
      </c>
      <c r="F5292" s="1" t="str">
        <f>IFERROR(__xludf.DUMMYFUNCTION("CONCATENATE(GOOGLETRANSLATE(C5292, ""en"", ""ja""))"),"ソロストーブ焚き火スタンド付きポータブルファイヤーピットステンレススチールファイヤーピット薪燃焼および低煙キャンプストーブ | 19.5x14インチの屋外ファイヤーピット")</f>
        <v>ソロストーブ焚き火スタンド付きポータブルファイヤーピットステンレススチールファイヤーピット薪燃焼および低煙キャンプストーブ | 19.5x14インチの屋外ファイヤーピット</v>
      </c>
    </row>
    <row r="5293" ht="15.75" customHeight="1">
      <c r="A5293" s="1">
        <v>4674.0</v>
      </c>
      <c r="B5293" s="1" t="s">
        <v>15</v>
      </c>
      <c r="C5293" s="1" t="s">
        <v>2373</v>
      </c>
      <c r="D5293" s="1" t="str">
        <f>IFERROR(__xludf.DUMMYFUNCTION("CONCATENATE(GOOGLETRANSLATE(C5293, ""en"", ""zh-cn""))"),"Sunny Health &amp; Fitness 磁性椭圆训练机带平板电脑支架、液晶显示器、最大 220 磅体重和脉搏监视器 - SF-E3810，灰色")</f>
        <v>Sunny Health &amp; Fitness 磁性椭圆训练机带平板电脑支架、液晶显示器、最大 220 磅体重和脉搏监视器 - SF-E3810，灰色</v>
      </c>
      <c r="E5293" s="1" t="str">
        <f>IFERROR(__xludf.DUMMYFUNCTION("CONCATENATE(GOOGLETRANSLATE(C5293, ""en"", ""ko""))"),"Sunny 건강 및 피트니스 자기 타원형 트레이너 기계, 태블릿 홀더, LCD 모니터, 220LB 최대 중량 및 맥박 모니터 포함 - SF-E3810, 회색")</f>
        <v>Sunny 건강 및 피트니스 자기 타원형 트레이너 기계, 태블릿 홀더, LCD 모니터, 220LB 최대 중량 및 맥박 모니터 포함 - SF-E3810, 회색</v>
      </c>
      <c r="F5293" s="1" t="str">
        <f>IFERROR(__xludf.DUMMYFUNCTION("CONCATENATE(GOOGLETRANSLATE(C5293, ""en"", ""ja""))"),"Sunny Health &amp; Fitness 磁気エリプティカル トレーナー マシン、タブレット ホルダー、LCD モニター、最大 220 ポンドの体重および脈拍モニター付き - SF-E3810、グレー")</f>
        <v>Sunny Health &amp; Fitness 磁気エリプティカル トレーナー マシン、タブレット ホルダー、LCD モニター、最大 220 ポンドの体重および脈拍モニター付き - SF-E3810、グレー</v>
      </c>
    </row>
    <row r="5294" ht="15.75" customHeight="1">
      <c r="A5294" s="1">
        <v>4675.0</v>
      </c>
      <c r="B5294" s="1" t="s">
        <v>15</v>
      </c>
      <c r="C5294" s="1" t="s">
        <v>2848</v>
      </c>
      <c r="D5294" s="1" t="str">
        <f>IFERROR(__xludf.DUMMYFUNCTION("CONCATENATE(GOOGLETRANSLATE(C5294, ""en"", ""zh-cn""))"),"Giro Vanquish MIPS 成人公路骑行头盔")</f>
        <v>Giro Vanquish MIPS 成人公路骑行头盔</v>
      </c>
      <c r="E5294" s="1" t="str">
        <f>IFERROR(__xludf.DUMMYFUNCTION("CONCATENATE(GOOGLETRANSLATE(C5294, ""en"", ""ko""))"),"Giro Vanquish MIPS 성인용 로드 사이클링 헬멧")</f>
        <v>Giro Vanquish MIPS 성인용 로드 사이클링 헬멧</v>
      </c>
      <c r="F5294" s="1" t="str">
        <f>IFERROR(__xludf.DUMMYFUNCTION("CONCATENATE(GOOGLETRANSLATE(C5294, ""en"", ""ja""))"),"Giro Vanquish MIPS 大人用ロードサイクリング ヘルメット")</f>
        <v>Giro Vanquish MIPS 大人用ロードサイクリング ヘルメット</v>
      </c>
    </row>
    <row r="5295" ht="15.75" customHeight="1">
      <c r="A5295" s="1">
        <v>4688.0</v>
      </c>
      <c r="B5295" s="1" t="s">
        <v>15</v>
      </c>
      <c r="C5295" s="1" t="s">
        <v>1910</v>
      </c>
      <c r="D5295" s="1" t="str">
        <f>IFERROR(__xludf.DUMMYFUNCTION("CONCATENATE(GOOGLETRANSLATE(C5295, ""en"", ""zh-cn""))"),"Vento Powerstrap R2 Aeroweave")</f>
        <v>Vento Powerstrap R2 Aeroweave</v>
      </c>
      <c r="E5295" s="1" t="str">
        <f>IFERROR(__xludf.DUMMYFUNCTION("CONCATENATE(GOOGLETRANSLATE(C5295, ""en"", ""ko""))"),"벤토 파워스트랩 R2 에어로위브")</f>
        <v>벤토 파워스트랩 R2 에어로위브</v>
      </c>
      <c r="F5295" s="1" t="str">
        <f>IFERROR(__xludf.DUMMYFUNCTION("CONCATENATE(GOOGLETRANSLATE(C5295, ""en"", ""ja""))"),"ヴェント パワーストラップ R2 エアロウィーブ")</f>
        <v>ヴェント パワーストラップ R2 エアロウィーブ</v>
      </c>
    </row>
    <row r="5296" ht="15.75" customHeight="1">
      <c r="A5296" s="1">
        <v>4694.0</v>
      </c>
      <c r="B5296" s="1" t="s">
        <v>15</v>
      </c>
      <c r="C5296" s="1" t="s">
        <v>2845</v>
      </c>
      <c r="D5296" s="1" t="str">
        <f>IFERROR(__xludf.DUMMYFUNCTION("CONCATENATE(GOOGLETRANSLATE(C5296, ""en"", ""zh-cn""))"),"Igloo BMX 72 夸脱冷却器采用 Cool Riser 技术、鱼尺和系紧点")</f>
        <v>Igloo BMX 72 夸脱冷却器采用 Cool Riser 技术、鱼尺和系紧点</v>
      </c>
      <c r="E5296" s="1" t="str">
        <f>IFERROR(__xludf.DUMMYFUNCTION("CONCATENATE(GOOGLETRANSLATE(C5296, ""en"", ""ko""))"),"쿨 라이저 기술, 피시 눈금자 및 타이다운 포인트를 갖춘 이글루 BMX 72쿼트 쿨러")</f>
        <v>쿨 라이저 기술, 피시 눈금자 및 타이다운 포인트를 갖춘 이글루 BMX 72쿼트 쿨러</v>
      </c>
      <c r="F5296" s="1" t="str">
        <f>IFERROR(__xludf.DUMMYFUNCTION("CONCATENATE(GOOGLETRANSLATE(C5296, ""en"", ""ja""))"),"Igloo BMX 72 クォート クーラー、クール ライザー テクノロジー、フィッシュ ルーラー、タイダウン ポイント付き")</f>
        <v>Igloo BMX 72 クォート クーラー、クール ライザー テクノロジー、フィッシュ ルーラー、タイダウン ポイント付き</v>
      </c>
    </row>
    <row r="5297" ht="15.75" customHeight="1">
      <c r="A5297" s="1">
        <v>4716.0</v>
      </c>
      <c r="B5297" s="1" t="s">
        <v>15</v>
      </c>
      <c r="C5297" s="1" t="s">
        <v>1650</v>
      </c>
      <c r="D5297" s="1" t="str">
        <f>IFERROR(__xludf.DUMMYFUNCTION("CONCATENATE(GOOGLETRANSLATE(C5297, ""en"", ""zh-cn""))"),"SHARGEEK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5297" s="1" t="str">
        <f>IFERROR(__xludf.DUMMYFUNCTION("CONCATENATE(GOOGLETRANSLATE(C5297, ""en"", ""ko""))"),"SHARGEEK의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5297" s="1" t="str">
        <f>IFERROR(__xludf.DUMMYFUNCTION("CONCATENATE(GOOGLETRANSLATE(C5297, ""en"", ""ja""))"),"SHARGEEK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5298" ht="15.75" customHeight="1">
      <c r="A5298" s="1">
        <v>4718.0</v>
      </c>
      <c r="B5298" s="1" t="s">
        <v>15</v>
      </c>
      <c r="C5298" s="1" t="s">
        <v>1840</v>
      </c>
      <c r="D5298" s="1" t="str">
        <f>IFERROR(__xludf.DUMMYFUNCTION("CONCATENATE(GOOGLETRANSLATE(C5298, ""en"", ""zh-cn""))"),"Cuberspeed GAN 13 uv 涂层 MagLev 无贴纸 3x3 速度立方拼图 gan13 maglev uv 涂层旗舰拼图")</f>
        <v>Cuberspeed GAN 13 uv 涂层 MagLev 无贴纸 3x3 速度立方拼图 gan13 maglev uv 涂层旗舰拼图</v>
      </c>
      <c r="E5298" s="1" t="str">
        <f>IFERROR(__xludf.DUMMYFUNCTION("CONCATENATE(GOOGLETRANSLATE(C5298, ""en"", ""ko""))"),"Cuberspeed GAN 13 uv 코팅 MagLev 스티커가 없는 3x3 스피드 큐브 퍼즐 gan13 maglev uv 코팅 플래그십 퍼즐")</f>
        <v>Cuberspeed GAN 13 uv 코팅 MagLev 스티커가 없는 3x3 스피드 큐브 퍼즐 gan13 maglev uv 코팅 플래그십 퍼즐</v>
      </c>
      <c r="F5298" s="1" t="str">
        <f>IFERROR(__xludf.DUMMYFUNCTION("CONCATENATE(GOOGLETRANSLATE(C5298, ""en"", ""ja""))"),"Cuberspeed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5299" ht="15.75" customHeight="1">
      <c r="A5299" s="1">
        <v>4740.0</v>
      </c>
      <c r="B5299" s="1" t="s">
        <v>15</v>
      </c>
      <c r="C5299" s="1" t="s">
        <v>1847</v>
      </c>
      <c r="D5299" s="1" t="str">
        <f>IFERROR(__xludf.DUMMYFUNCTION("CONCATENATE(GOOGLETRANSLATE(C5299, ""en"", ""zh-cn""))"),"Bukefuno GAN 12 Maglev 3x3 磁性魔方 GAN12Maglev Speed GAN 12Maglev 拼图魔方 GAN12 Maglev 3x3 魔方（磨砂表面无贴纸）")</f>
        <v>Bukefuno GAN 12 Maglev 3x3 磁性魔方 GAN12Maglev Speed GAN 12Maglev 拼图魔方 GAN12 Maglev 3x3 魔方（磨砂表面无贴纸）</v>
      </c>
      <c r="E5299" s="1" t="str">
        <f>IFERROR(__xludf.DUMMYFUNCTION("CONCATENATE(GOOGLETRANSLATE(C5299, ""en"", ""ko""))"),"Bukefuno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5299" s="1" t="str">
        <f>IFERROR(__xludf.DUMMYFUNCTION("CONCATENATE(GOOGLETRANSLATE(C5299, ""en"", ""ja""))"),"Bukefuno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5300" ht="15.75" customHeight="1">
      <c r="A5300" s="1">
        <v>4748.0</v>
      </c>
      <c r="B5300" s="1" t="s">
        <v>381</v>
      </c>
      <c r="C5300" s="1" t="s">
        <v>691</v>
      </c>
      <c r="D5300" s="1" t="str">
        <f>IFERROR(__xludf.DUMMYFUNCTION("CONCATENATE(GOOGLETRANSLATE(C5300, ""en"", ""zh-cn""))"),"男式两色拼接立领拉链前抓绒夹克")</f>
        <v>男式两色拼接立领拉链前抓绒夹克</v>
      </c>
      <c r="E5300" s="1" t="str">
        <f>IFERROR(__xludf.DUMMYFUNCTION("CONCATENATE(GOOGLETRANSLATE(C5300, ""en"", ""ko""))"),"남성 투톤 패치워크 스탠드 칼라 지퍼 프론트 플리스 재킷")</f>
        <v>남성 투톤 패치워크 스탠드 칼라 지퍼 프론트 플리스 재킷</v>
      </c>
      <c r="F5300" s="1" t="str">
        <f>IFERROR(__xludf.DUMMYFUNCTION("CONCATENATE(GOOGLETRANSLATE(C5300, ""en"", ""ja""))"),"メンズ ツートーン パッチワーク スタンド カラー ジップ フロント フリース ジャケット")</f>
        <v>メンズ ツートーン パッチワーク スタンド カラー ジップ フロント フリース ジャケット</v>
      </c>
    </row>
    <row r="5301" ht="15.75" customHeight="1">
      <c r="A5301" s="1">
        <v>4753.0</v>
      </c>
      <c r="B5301" s="1" t="s">
        <v>381</v>
      </c>
      <c r="C5301" s="1" t="s">
        <v>696</v>
      </c>
      <c r="D5301" s="1" t="str">
        <f>IFERROR(__xludf.DUMMYFUNCTION("CONCATENATE(GOOGLETRANSLATE(C5301, ""en"", ""zh-cn""))"),"男式佩斯利围巾日式印花开襟和服两件套")</f>
        <v>男式佩斯利围巾日式印花开襟和服两件套</v>
      </c>
      <c r="E5301" s="1" t="str">
        <f>IFERROR(__xludf.DUMMYFUNCTION("CONCATENATE(GOOGLETRANSLATE(C5301, ""en"", ""ko""))"),"남성 페이즐리 스카프 일본식 프린트 오픈 프론트 기모노 2피스 수트")</f>
        <v>남성 페이즐리 스카프 일본식 프린트 오픈 프론트 기모노 2피스 수트</v>
      </c>
      <c r="F5301" s="1" t="str">
        <f>IFERROR(__xludf.DUMMYFUNCTION("CONCATENATE(GOOGLETRANSLATE(C5301, ""en"", ""ja""))"),"メンズペイズリースカーフ日本のプリントオープンフロント着物ツーピーススーツ")</f>
        <v>メンズペイズリースカーフ日本のプリントオープンフロント着物ツーピーススーツ</v>
      </c>
    </row>
    <row r="5302" ht="15.75" customHeight="1">
      <c r="A5302" s="1">
        <v>4764.0</v>
      </c>
      <c r="B5302" s="1" t="s">
        <v>15</v>
      </c>
      <c r="C5302" s="1" t="s">
        <v>4420</v>
      </c>
      <c r="D5302" s="1" t="str">
        <f>IFERROR(__xludf.DUMMYFUNCTION("CONCATENATE(GOOGLETRANSLATE(C5302, ""en"", ""zh-cn""))"),"三星 Galaxy S22 Ultra 手机，工厂解锁 Android 智能手机，128GB，8K 相机和视频，最亮显示屏，S Pen，电池寿命长，快速 4nm 处理器，美国版，绿色")</f>
        <v>三星 Galaxy S22 Ultra 手机，工厂解锁 Android 智能手机，128GB，8K 相机和视频，最亮显示屏，S Pen，电池寿命长，快速 4nm 处理器，美国版，绿色</v>
      </c>
      <c r="E5302" s="1" t="str">
        <f>IFERROR(__xludf.DUMMYFUNCTION("CONCATENATE(GOOGLETRANSLATE(C5302, ""en"", ""ko""))"),"SAMSUNG Galaxy S22 Ultra 휴대폰, 공장 잠금 해제 Android 스마트폰, 128GB, 8K 카메라 및 비디오, 가장 밝은 디스플레이 화면, S 펜, 긴 배터리 수명, 빠른 4nm 프로세서, 미국 버전, 녹색")</f>
        <v>SAMSUNG Galaxy S22 Ultra 휴대폰, 공장 잠금 해제 Android 스마트폰, 128GB, 8K 카메라 및 비디오, 가장 밝은 디스플레이 화면, S 펜, 긴 배터리 수명, 빠른 4nm 프로세서, 미국 버전, 녹색</v>
      </c>
      <c r="F5302" s="1" t="str">
        <f>IFERROR(__xludf.DUMMYFUNCTION("CONCATENATE(GOOGLETRANSLATE(C5302, ""en"", ""ja""))"),"SAMSUNG Galaxy S22 Ultra 携帯電話、工場でロック解除された Android スマートフォン、128GB、8K カメラ &amp; ビデオ、最も明るい表示画面、S ペン、長いバッテリー寿命、高速 4nm プロセッサ、米国バージョン、グリーン")</f>
        <v>SAMSUNG Galaxy S22 Ultra 携帯電話、工場でロック解除された Android スマートフォン、128GB、8K カメラ &amp; ビデオ、最も明るい表示画面、S ペン、長いバッテリー寿命、高速 4nm プロセッサ、米国バージョン、グリーン</v>
      </c>
    </row>
    <row r="5303" ht="15.75" customHeight="1">
      <c r="A5303" s="1">
        <v>4801.0</v>
      </c>
      <c r="B5303" s="1" t="s">
        <v>15</v>
      </c>
      <c r="C5303" s="1" t="s">
        <v>4491</v>
      </c>
      <c r="D5303" s="1" t="str">
        <f>IFERROR(__xludf.DUMMYFUNCTION("CONCATENATE(GOOGLETRANSLATE(C5303, ""en"", ""zh-cn""))"),"戴尔 Latitude 5000 5540 15.6 英寸全高清商务笔记本电脑，第 13 代英特尔 10 核 i7-1355U，32GB DDR4 RAM，1TB PCIe SSD，WiFi 6E，蓝牙，背光键盘，指纹识别器，Windows 11 Pro")</f>
        <v>戴尔 Latitude 5000 5540 15.6 英寸全高清商务笔记本电脑，第 13 代英特尔 10 核 i7-1355U，32GB DDR4 RAM，1TB PCIe SSD，WiFi 6E，蓝牙，背光键盘，指纹识别器，Windows 11 Pro</v>
      </c>
      <c r="E5303" s="1" t="str">
        <f>IFERROR(__xludf.DUMMYFUNCTION("CONCATENATE(GOOGLETRANSLATE(C5303, ""en"", ""ko""))"),"Dell Latitude 5000 5540 15.6인치 FHD 비즈니스 노트북 컴퓨터, 13세대 인텔 10코어 i7-1355U, 32GB DDR4 RAM, 1TB PCIe SSD, WiFi 6E, 블루투스, 백라이트 키보드, 지문 인식기, Windows 11 Pro")</f>
        <v>Dell Latitude 5000 5540 15.6인치 FHD 비즈니스 노트북 컴퓨터, 13세대 인텔 10코어 i7-1355U, 32GB DDR4 RAM, 1TB PCIe SSD, WiFi 6E, 블루투스, 백라이트 키보드, 지문 인식기, Windows 11 Pro</v>
      </c>
      <c r="F5303" s="1" t="str">
        <f>IFERROR(__xludf.DUMMYFUNCTION("CONCATENATE(GOOGLETRANSLATE(C5303, ""en"", ""ja""))"),"Dell Latitude 5000 5540 15.6 インチ FHD ビジネス ラップトップ コンピューター、第 13 世代インテル 10 コア i7-1355U、32GB DDR4 RAM、1TB PCIe SSD、WiFi 6E、Bluetooth、バックライト付きキーボード、指紋リーダー、Windows 11 Pro")</f>
        <v>Dell Latitude 5000 5540 15.6 インチ FHD ビジネス ラップトップ コンピューター、第 13 世代インテル 10 コア i7-1355U、32GB DDR4 RAM、1TB PCIe SSD、WiFi 6E、Bluetooth、バックライト付きキーボード、指紋リーダー、Windows 11 Pro</v>
      </c>
    </row>
    <row r="5304" ht="15.75" customHeight="1">
      <c r="A5304" s="1">
        <v>4805.0</v>
      </c>
      <c r="B5304" s="1" t="s">
        <v>15</v>
      </c>
      <c r="C5304" s="1" t="s">
        <v>4492</v>
      </c>
      <c r="D5304" s="1" t="str">
        <f>IFERROR(__xludf.DUMMYFUNCTION("CONCATENATE(GOOGLETRANSLATE(C5304, ""en"", ""zh-cn""))"),"Apple 2024 MacBook Air 13 英寸笔记本电脑，配备 M3 芯片：13.6 英寸 Liquid Retina 显示屏、8GB 统一内存、256GB SSD 存储、背光键盘、1080p FaceTime 高清摄像头、Touch ID；午夜")</f>
        <v>Apple 2024 MacBook Air 13 英寸笔记本电脑，配备 M3 芯片：13.6 英寸 Liquid Retina 显示屏、8GB 统一内存、256GB SSD 存储、背光键盘、1080p FaceTime 高清摄像头、Touch ID；午夜</v>
      </c>
      <c r="E5304" s="1" t="str">
        <f>IFERROR(__xludf.DUMMYFUNCTION("CONCATENATE(GOOGLETRANSLATE(C5304, ""en"", ""ko""))"),"M3 칩을 탑재한 Apple 2024 MacBook Air 13인치 노트북: 13.6인치 Liquid Retina 디스플레이, 8GB 통합 메모리, 256GB SSD 스토리지, 백라이트 키보드, 1080p FaceTime HD 카메라, Touch ID; 자정")</f>
        <v>M3 칩을 탑재한 Apple 2024 MacBook Air 13인치 노트북: 13.6인치 Liquid Retina 디스플레이, 8GB 통합 메모리, 256GB SSD 스토리지, 백라이트 키보드, 1080p FaceTime HD 카메라, Touch ID; 자정</v>
      </c>
      <c r="F5304" s="1" t="str">
        <f>IFERROR(__xludf.DUMMYFUNCTION("CONCATENATE(GOOGLETRANSLATE(C5304, ""en"", ""ja""))"),"M3 チップ搭載 Apple 2024 MacBook Air 13 インチ ラップトップ: 13.6 インチ Liquid Retina ディスプレイ、8GB ユニファイド メモリ、256GB SSD ストレージ、バックライト付きキーボード、1080p FaceTime HD カメラ、Touch ID。夜中")</f>
        <v>M3 チップ搭載 Apple 2024 MacBook Air 13 インチ ラップトップ: 13.6 インチ Liquid Retina ディスプレイ、8GB ユニファイド メモリ、256GB SSD ストレージ、バックライト付きキーボード、1080p FaceTime HD カメラ、Touch ID。夜中</v>
      </c>
    </row>
    <row r="5305" ht="15.75" customHeight="1">
      <c r="A5305" s="1">
        <v>4809.0</v>
      </c>
      <c r="B5305" s="1" t="s">
        <v>15</v>
      </c>
      <c r="C5305" s="1" t="s">
        <v>4493</v>
      </c>
      <c r="D5305" s="1" t="str">
        <f>IFERROR(__xludf.DUMMYFUNCTION("CONCATENATE(GOOGLETRANSLATE(C5305, ""en"", ""zh-cn""))"),"Apple 2024 MacBook Air 13 英寸笔记本电脑，配备 M3 芯片：13.6 英寸 Liquid Retina 显示屏、8GB 统一内存、512GB SSD 存储、背光键盘、1080p FaceTime 高清摄像头、Touch ID；午夜")</f>
        <v>Apple 2024 MacBook Air 13 英寸笔记本电脑，配备 M3 芯片：13.6 英寸 Liquid Retina 显示屏、8GB 统一内存、512GB SSD 存储、背光键盘、1080p FaceTime 高清摄像头、Touch ID；午夜</v>
      </c>
      <c r="E5305" s="1" t="str">
        <f>IFERROR(__xludf.DUMMYFUNCTION("CONCATENATE(GOOGLETRANSLATE(C5305, ""en"", ""ko""))"),"M3 칩을 탑재한 Apple 2024 MacBook Air 13인치 노트북: 13.6인치 Liquid Retina 디스플레이, 8GB 통합 메모리, 512GB SSD 스토리지, 백라이트 키보드, 1080p FaceTime HD 카메라, Touch ID; 자정")</f>
        <v>M3 칩을 탑재한 Apple 2024 MacBook Air 13인치 노트북: 13.6인치 Liquid Retina 디스플레이, 8GB 통합 메모리, 512GB SSD 스토리지, 백라이트 키보드, 1080p FaceTime HD 카메라, Touch ID; 자정</v>
      </c>
      <c r="F5305" s="1" t="str">
        <f>IFERROR(__xludf.DUMMYFUNCTION("CONCATENATE(GOOGLETRANSLATE(C5305, ""en"", ""ja""))"),"Apple 2024 MacBook Air 13 インチ ラップトップ (M3 チップ搭載): 13.6 インチ Liquid Retina ディスプレイ、8GB ユニファイド メモリ、512GB SSD ストレージ、バックライト付きキーボード、1080p FaceTime HD カメラ、Touch ID。夜中")</f>
        <v>Apple 2024 MacBook Air 13 インチ ラップトップ (M3 チップ搭載): 13.6 インチ Liquid Retina ディスプレイ、8GB ユニファイド メモリ、512GB SSD ストレージ、バックライト付きキーボード、1080p FaceTime HD カメラ、Touch ID。夜中</v>
      </c>
    </row>
    <row r="5306" ht="15.75" customHeight="1">
      <c r="A5306" s="1">
        <v>4820.0</v>
      </c>
      <c r="B5306" s="1" t="s">
        <v>15</v>
      </c>
      <c r="C5306" s="1" t="s">
        <v>4494</v>
      </c>
      <c r="D5306" s="1" t="str">
        <f>IFERROR(__xludf.DUMMYFUNCTION("CONCATENATE(GOOGLETRANSLATE(C5306, ""en"", ""zh-cn""))"),"Apple 2024 MacBook Air 13 英寸笔记本电脑，配备 M3 芯片：13.6 英寸 Liquid Retina 显示屏、16GB 统一内存、512GB SSD 存储、背光键盘、1080p FaceTime 高清摄像头、Touch ID；银")</f>
        <v>Apple 2024 MacBook Air 13 英寸笔记本电脑，配备 M3 芯片：13.6 英寸 Liquid Retina 显示屏、16GB 统一内存、512GB SSD 存储、背光键盘、1080p FaceTime 高清摄像头、Touch ID；银</v>
      </c>
      <c r="E5306" s="1" t="str">
        <f>IFERROR(__xludf.DUMMYFUNCTION("CONCATENATE(GOOGLETRANSLATE(C5306, ""en"", ""ko""))"),"M3 칩을 탑재한 Apple 2024 MacBook Air 13인치 노트북: 13.6인치 Liquid Retina 디스플레이, 16GB 통합 메모리, 512GB SSD 스토리지, 백라이트 키보드, 1080p FaceTime HD 카메라, Touch ID; 은")</f>
        <v>M3 칩을 탑재한 Apple 2024 MacBook Air 13인치 노트북: 13.6인치 Liquid Retina 디스플레이, 16GB 통합 메모리, 512GB SSD 스토리지, 백라이트 키보드, 1080p FaceTime HD 카메라, Touch ID; 은</v>
      </c>
      <c r="F5306" s="1" t="str">
        <f>IFERROR(__xludf.DUMMYFUNCTION("CONCATENATE(GOOGLETRANSLATE(C5306, ""en"", ""ja""))"),"Apple 2024 MacBook Air 13 インチ ラップトップ (M3 チップ搭載): 13.6 インチ Liquid Retina ディスプレイ、16GB ユニファイド メモリ、512GB SSD ストレージ、バックライト付きキーボード、1080p FaceTime HD カメラ、Touch ID。銀")</f>
        <v>Apple 2024 MacBook Air 13 インチ ラップトップ (M3 チップ搭載): 13.6 インチ Liquid Retina ディスプレイ、16GB ユニファイド メモリ、512GB SSD ストレージ、バックライト付きキーボード、1080p FaceTime HD カメラ、Touch ID。銀</v>
      </c>
    </row>
    <row r="5307" ht="15.75" customHeight="1">
      <c r="A5307" s="1">
        <v>4821.0</v>
      </c>
      <c r="B5307" s="1" t="s">
        <v>15</v>
      </c>
      <c r="C5307" s="1" t="s">
        <v>4495</v>
      </c>
      <c r="D5307" s="1" t="str">
        <f>IFERROR(__xludf.DUMMYFUNCTION("CONCATENATE(GOOGLETRANSLATE(C5307, ""en"", ""zh-cn""))"),"Apple 2024 MacBook Air 15 英寸笔记本电脑，配备 M3 芯片：15.3 英寸 Liquid Retina 显示屏、8GB 统一内存、512GB SSD 存储、背光键盘、1080p FaceTime 高清摄像头、Touch ID；午夜")</f>
        <v>Apple 2024 MacBook Air 15 英寸笔记本电脑，配备 M3 芯片：15.3 英寸 Liquid Retina 显示屏、8GB 统一内存、512GB SSD 存储、背光键盘、1080p FaceTime 高清摄像头、Touch ID；午夜</v>
      </c>
      <c r="E5307" s="1" t="str">
        <f>IFERROR(__xludf.DUMMYFUNCTION("CONCATENATE(GOOGLETRANSLATE(C5307, ""en"", ""ko""))"),"M3 칩이 탑재된 Apple 2024 MacBook Air 15인치 노트북: 15.3인치 Liquid Retina 디스플레이, 8GB 통합 메모리, 512GB SSD 스토리지, 백라이트 키보드, 1080p FaceTime HD 카메라, Touch ID; 자정")</f>
        <v>M3 칩이 탑재된 Apple 2024 MacBook Air 15인치 노트북: 15.3인치 Liquid Retina 디스플레이, 8GB 통합 메모리, 512GB SSD 스토리지, 백라이트 키보드, 1080p FaceTime HD 카메라, Touch ID; 자정</v>
      </c>
      <c r="F5307" s="1" t="str">
        <f>IFERROR(__xludf.DUMMYFUNCTION("CONCATENATE(GOOGLETRANSLATE(C5307, ""en"", ""ja""))"),"Apple 2024 MacBook Air 15 インチ ラップトップ (M3 チップ搭載): 15.3 インチ Liquid Retina ディスプレイ、8GB ユニファイド メモリ、512GB SSD ストレージ、バックライト付きキーボード、1080p FaceTime HD カメラ、Touch ID。夜中")</f>
        <v>Apple 2024 MacBook Air 15 インチ ラップトップ (M3 チップ搭載): 15.3 インチ Liquid Retina ディスプレイ、8GB ユニファイド メモリ、512GB SSD ストレージ、バックライト付きキーボード、1080p FaceTime HD カメラ、Touch ID。夜中</v>
      </c>
    </row>
    <row r="5308" ht="15.75" customHeight="1">
      <c r="A5308" s="1">
        <v>4827.0</v>
      </c>
      <c r="B5308" s="1" t="s">
        <v>15</v>
      </c>
      <c r="C5308" s="1" t="s">
        <v>4496</v>
      </c>
      <c r="D5308" s="1" t="str">
        <f>IFERROR(__xludf.DUMMYFUNCTION("CONCATENATE(GOOGLETRANSLATE(C5308, ""en"", ""zh-cn""))"),"Apple 2024 MacBook Air 15 英寸笔记本电脑，配备 M3 芯片：15.3 英寸 Liquid Retina 显示屏、16GB 统一内存、512GB SSD 存储、背光键盘、1080p FaceTime 高清摄像头、Touch ID；午夜")</f>
        <v>Apple 2024 MacBook Air 15 英寸笔记本电脑，配备 M3 芯片：15.3 英寸 Liquid Retina 显示屏、16GB 统一内存、512GB SSD 存储、背光键盘、1080p FaceTime 高清摄像头、Touch ID；午夜</v>
      </c>
      <c r="E5308" s="1" t="str">
        <f>IFERROR(__xludf.DUMMYFUNCTION("CONCATENATE(GOOGLETRANSLATE(C5308, ""en"", ""ko""))"),"M3 칩을 탑재한 Apple 2024 MacBook Air 15인치 노트북: 15.3인치 Liquid Retina 디스플레이, 16GB 통합 메모리, 512GB SSD 스토리지, 백라이트 키보드, 1080p FaceTime HD 카메라, Touch ID; 자정")</f>
        <v>M3 칩을 탑재한 Apple 2024 MacBook Air 15인치 노트북: 15.3인치 Liquid Retina 디스플레이, 16GB 통합 메모리, 512GB SSD 스토리지, 백라이트 키보드, 1080p FaceTime HD 카메라, Touch ID; 자정</v>
      </c>
      <c r="F5308" s="1" t="str">
        <f>IFERROR(__xludf.DUMMYFUNCTION("CONCATENATE(GOOGLETRANSLATE(C5308, ""en"", ""ja""))"),"Apple 2024 MacBook Air 15 インチ ラップトップ (M3 チップ搭載): 15.3 インチ Liquid Retina ディスプレイ、16GB ユニファイド メモリ、512GB SSD ストレージ、バックライト付きキーボード、1080p FaceTime HD カメラ、Touch ID。夜中")</f>
        <v>Apple 2024 MacBook Air 15 インチ ラップトップ (M3 チップ搭載): 15.3 インチ Liquid Retina ディスプレイ、16GB ユニファイド メモリ、512GB SSD ストレージ、バックライト付きキーボード、1080p FaceTime HD カメラ、Touch ID。夜中</v>
      </c>
    </row>
    <row r="5309" ht="15.75" customHeight="1">
      <c r="A5309" s="1">
        <v>4829.0</v>
      </c>
      <c r="B5309" s="1" t="s">
        <v>15</v>
      </c>
      <c r="C5309" s="1" t="s">
        <v>4497</v>
      </c>
      <c r="D5309" s="1" t="str">
        <f>IFERROR(__xludf.DUMMYFUNCTION("CONCATENATE(GOOGLETRANSLATE(C5309, ""en"", ""zh-cn""))"),"Apple 2024 MacBook Air 15 英寸笔记本电脑，配备 M3 芯片：15.3 英寸 Liquid Retina 显示屏、16GB 统一内存、512GB SSD 存储、背光键盘、1080p FaceTime 高清摄像头、Touch ID；深空灰色")</f>
        <v>Apple 2024 MacBook Air 15 英寸笔记本电脑，配备 M3 芯片：15.3 英寸 Liquid Retina 显示屏、16GB 统一内存、512GB SSD 存储、背光键盘、1080p FaceTime 高清摄像头、Touch ID；深空灰色</v>
      </c>
      <c r="E5309" s="1" t="str">
        <f>IFERROR(__xludf.DUMMYFUNCTION("CONCATENATE(GOOGLETRANSLATE(C5309, ""en"", ""ko""))"),"M3 칩을 탑재한 Apple 2024 MacBook Air 15인치 노트북: 15.3인치 Liquid Retina 디스플레이, 16GB 통합 메모리, 512GB SSD 스토리지, 백라이트 키보드, 1080p FaceTime HD 카메라, Touch ID; 스페이스 그레이")</f>
        <v>M3 칩을 탑재한 Apple 2024 MacBook Air 15인치 노트북: 15.3인치 Liquid Retina 디스플레이, 16GB 통합 메모리, 512GB SSD 스토리지, 백라이트 키보드, 1080p FaceTime HD 카메라, Touch ID; 스페이스 그레이</v>
      </c>
      <c r="F5309" s="1" t="str">
        <f>IFERROR(__xludf.DUMMYFUNCTION("CONCATENATE(GOOGLETRANSLATE(C5309, ""en"", ""ja""))"),"Apple 2024 MacBook Air 15 インチ ラップトップ (M3 チップ搭載): 15.3 インチ Liquid Retina ディスプレイ、16GB ユニファイド メモリ、512GB SSD ストレージ、バックライト付きキーボード、1080p FaceTime HD カメラ、Touch ID。スペースグレイ")</f>
        <v>Apple 2024 MacBook Air 15 インチ ラップトップ (M3 チップ搭載): 15.3 インチ Liquid Retina ディスプレイ、16GB ユニファイド メモリ、512GB SSD ストレージ、バックライト付きキーボード、1080p FaceTime HD カメラ、Touch ID。スペースグレイ</v>
      </c>
    </row>
    <row r="5310" ht="15.75" customHeight="1">
      <c r="A5310" s="1">
        <v>4847.0</v>
      </c>
      <c r="B5310" s="1" t="s">
        <v>15</v>
      </c>
      <c r="C5310" s="1" t="s">
        <v>4498</v>
      </c>
      <c r="D5310" s="1" t="str">
        <f>IFERROR(__xludf.DUMMYFUNCTION("CONCATENATE(GOOGLETRANSLATE(C5310, ""en"", ""zh-cn""))"),"MSI WF66 11UJ-267 工作站笔记本电脑（Intel i7-11800H 8 核、64GB RAM、128GB PCIe SSD + 1TB HDD、RTX A2000、15.6"" 60Hz 全高清 (1920x1080)、WiFi、蓝牙、Win 10 Pro）带顶部装载包")</f>
        <v>MSI WF66 11UJ-267 工作站笔记本电脑（Intel i7-11800H 8 核、64GB RAM、128GB PCIe SSD + 1TB HDD、RTX A2000、15.6" 60Hz 全高清 (1920x1080)、WiFi、蓝牙、Win 10 Pro）带顶部装载包</v>
      </c>
      <c r="E5310" s="1" t="str">
        <f>IFERROR(__xludf.DUMMYFUNCTION("CONCATENATE(GOOGLETRANSLATE(C5310, ""en"", ""ko""))"),"MSI WF66 11UJ-267 워크스테이션 노트북(Intel i7-11800H 8코어, 64GB RAM, 128GB PCIe SSD + 1TB HDD, RTX A2000, 15.6인치 60Hz 풀 HD(1920x1080), WiFi, 블루투스, Win 10 Pro), 탑로드 백 포함")</f>
        <v>MSI WF66 11UJ-267 워크스테이션 노트북(Intel i7-11800H 8코어, 64GB RAM, 128GB PCIe SSD + 1TB HDD, RTX A2000, 15.6인치 60Hz 풀 HD(1920x1080), WiFi, 블루투스, Win 10 Pro), 탑로드 백 포함</v>
      </c>
      <c r="F5310" s="1" t="str">
        <f>IFERROR(__xludf.DUMMYFUNCTION("CONCATENATE(GOOGLETRANSLATE(C5310, ""en"", ""ja""))"),"MSI WF66 11UJ-267 ワークステーション ラップトップ (Intel i7-11800H 8 コア、64GB RAM、128GB PCIe SSD + 1TB HDD、RTX A2000、15.6 インチ 60Hz フル HD (1920x1080)、WiFi、Bluetooth、Win 10 Pro) トップロード バッグ付き")</f>
        <v>MSI WF66 11UJ-267 ワークステーション ラップトップ (Intel i7-11800H 8 コア、64GB RAM、128GB PCIe SSD + 1TB HDD、RTX A2000、15.6 インチ 60Hz フル HD (1920x1080)、WiFi、Bluetooth、Win 10 Pro) トップロード バッグ付き</v>
      </c>
    </row>
    <row r="5311" ht="15.75" customHeight="1">
      <c r="A5311" s="1">
        <v>5049.0</v>
      </c>
      <c r="B5311" s="1" t="s">
        <v>15</v>
      </c>
      <c r="C5311" s="1" t="s">
        <v>4424</v>
      </c>
      <c r="D5311" s="1" t="str">
        <f>IFERROR(__xludf.DUMMYFUNCTION("CONCATENATE(GOOGLETRANSLATE(C5311, ""en"", ""zh-cn""))"),"Apple iPhone 12 Pro，128GB，金色 - 无锁版（续订高级版）")</f>
        <v>Apple iPhone 12 Pro，128GB，金色 - 无锁版（续订高级版）</v>
      </c>
      <c r="E5311" s="1" t="str">
        <f>IFERROR(__xludf.DUMMYFUNCTION("CONCATENATE(GOOGLETRANSLATE(C5311, ""en"", ""ko""))"),"Apple iPhone 12 Pro, 128GB, 골드 - 공기계(리뉴얼 프리미엄)")</f>
        <v>Apple iPhone 12 Pro, 128GB, 골드 - 공기계(리뉴얼 프리미엄)</v>
      </c>
      <c r="F5311" s="1" t="str">
        <f>IFERROR(__xludf.DUMMYFUNCTION("CONCATENATE(GOOGLETRANSLATE(C5311, ""en"", ""ja""))"),"Apple iPhone 12 Pro、128GB、ゴールド - ロック解除済み (更新プレミアム)")</f>
        <v>Apple iPhone 12 Pro、128GB、ゴールド - ロック解除済み (更新プレミアム)</v>
      </c>
    </row>
    <row r="5312" ht="15.75" customHeight="1">
      <c r="A5312" s="1">
        <v>5061.0</v>
      </c>
      <c r="B5312" s="1" t="s">
        <v>381</v>
      </c>
      <c r="C5312" s="1" t="s">
        <v>691</v>
      </c>
      <c r="D5312" s="1" t="str">
        <f>IFERROR(__xludf.DUMMYFUNCTION("CONCATENATE(GOOGLETRANSLATE(C5312, ""en"", ""zh-cn""))"),"男式两色拼接立领拉链前抓绒夹克")</f>
        <v>男式两色拼接立领拉链前抓绒夹克</v>
      </c>
      <c r="E5312" s="1" t="str">
        <f>IFERROR(__xludf.DUMMYFUNCTION("CONCATENATE(GOOGLETRANSLATE(C5312, ""en"", ""ko""))"),"남성 투톤 패치워크 스탠드 칼라 지퍼 프론트 플리스 재킷")</f>
        <v>남성 투톤 패치워크 스탠드 칼라 지퍼 프론트 플리스 재킷</v>
      </c>
      <c r="F5312" s="1" t="str">
        <f>IFERROR(__xludf.DUMMYFUNCTION("CONCATENATE(GOOGLETRANSLATE(C5312, ""en"", ""ja""))"),"メンズ ツートーン パッチワーク スタンド カラー ジップ フロント フリース ジャケット")</f>
        <v>メンズ ツートーン パッチワーク スタンド カラー ジップ フロント フリース ジャケット</v>
      </c>
    </row>
    <row r="5313" ht="15.75" customHeight="1">
      <c r="A5313" s="1">
        <v>5072.0</v>
      </c>
      <c r="B5313" s="1" t="s">
        <v>15</v>
      </c>
      <c r="C5313" s="1" t="s">
        <v>1903</v>
      </c>
      <c r="D5313" s="1" t="str">
        <f>IFERROR(__xludf.DUMMYFUNCTION("CONCATENATE(GOOGLETRANSLATE(C5313, ""en"", ""zh-cn""))"),"CuberShop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5313" s="1" t="str">
        <f>IFERROR(__xludf.DUMMYFUNCTION("CONCATENATE(GOOGLETRANSLATE(C5313, ""en"", ""ko""))"),"CuberShop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5313" s="1" t="str">
        <f>IFERROR(__xludf.DUMMYFUNCTION("CONCATENATE(GOOGLETRANSLATE(C5313, ""en"", ""ja""))"),"CuberShop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5314" ht="15.75" customHeight="1">
      <c r="A5314" s="1">
        <v>5134.0</v>
      </c>
      <c r="B5314" s="1" t="s">
        <v>15</v>
      </c>
      <c r="C5314" s="1" t="s">
        <v>2370</v>
      </c>
      <c r="D5314" s="1" t="str">
        <f>IFERROR(__xludf.DUMMYFUNCTION("CONCATENATE(GOOGLETRANSLATE(C5314, ""en"", ""zh-cn""))"),"Sidi 男子现代自行车赛，美国 2-4（亚洲）")</f>
        <v>Sidi 男子现代自行车赛，美国 2-4（亚洲）</v>
      </c>
      <c r="E5314" s="1" t="str">
        <f>IFERROR(__xludf.DUMMYFUNCTION("CONCATENATE(GOOGLETRANSLATE(C5314, ""en"", ""ko""))"),"Sidi 남성용 모던 사이클링 스케이프, 미국 2-4(아시아)")</f>
        <v>Sidi 남성용 모던 사이클링 스케이프, 미국 2-4(아시아)</v>
      </c>
      <c r="F5314" s="1" t="str">
        <f>IFERROR(__xludf.DUMMYFUNCTION("CONCATENATE(GOOGLETRANSLATE(C5314, ""en"", ""ja""))"),"シディメンズモダンサイクリングスケープ、米国 2-4 (アジア)")</f>
        <v>シディメンズモダンサイクリングスケープ、米国 2-4 (アジア)</v>
      </c>
    </row>
    <row r="5315" ht="15.75" customHeight="1">
      <c r="A5315" s="1">
        <v>5138.0</v>
      </c>
      <c r="B5315" s="1" t="s">
        <v>381</v>
      </c>
      <c r="C5315" s="1" t="s">
        <v>699</v>
      </c>
      <c r="D5315" s="1" t="str">
        <f>IFERROR(__xludf.DUMMYFUNCTION("CONCATENATE(GOOGLETRANSLATE(C5315, ""en"", ""zh-cn""))"),"男式色块拼布翻盖口袋正面纽扣夹克")</f>
        <v>男式色块拼布翻盖口袋正面纽扣夹克</v>
      </c>
      <c r="E5315" s="1" t="str">
        <f>IFERROR(__xludf.DUMMYFUNCTION("CONCATENATE(GOOGLETRANSLATE(C5315, ""en"", ""ko""))"),"남성용 컬러 블록 패치워크 플랩 포켓 버튼 프론트 재킷")</f>
        <v>남성용 컬러 블록 패치워크 플랩 포켓 버튼 프론트 재킷</v>
      </c>
      <c r="F5315" s="1" t="str">
        <f>IFERROR(__xludf.DUMMYFUNCTION("CONCATENATE(GOOGLETRANSLATE(C5315, ""en"", ""ja""))"),"メンズ カラーブロック パッチワーク フラップ ポケット ボタン フロント ジャケット")</f>
        <v>メンズ カラーブロック パッチワーク フラップ ポケット ボタン フロント ジャケット</v>
      </c>
    </row>
    <row r="5316" ht="15.75" customHeight="1">
      <c r="A5316" s="1">
        <v>5146.0</v>
      </c>
      <c r="B5316" s="1" t="s">
        <v>15</v>
      </c>
      <c r="C5316" s="1" t="s">
        <v>2325</v>
      </c>
      <c r="D5316" s="1" t="str">
        <f>IFERROR(__xludf.DUMMYFUNCTION("CONCATENATE(GOOGLETRANSLATE(C5316, ""en"", ""zh-cn""))"),"Drako 2 SRS 山地自行车鞋")</f>
        <v>Drako 2 SRS 山地自行车鞋</v>
      </c>
      <c r="E5316" s="1" t="str">
        <f>IFERROR(__xludf.DUMMYFUNCTION("CONCATENATE(GOOGLETRANSLATE(C5316, ""en"", ""ko""))"),"Drako 2 SRS 산악 자전거 신발")</f>
        <v>Drako 2 SRS 산악 자전거 신발</v>
      </c>
      <c r="F5316" s="1" t="str">
        <f>IFERROR(__xludf.DUMMYFUNCTION("CONCATENATE(GOOGLETRANSLATE(C5316, ""en"", ""ja""))"),"Drako 2 SRS マウンテン バイク シューズ")</f>
        <v>Drako 2 SRS マウンテン バイク シューズ</v>
      </c>
    </row>
    <row r="5317" ht="15.75" customHeight="1">
      <c r="A5317" s="1">
        <v>5158.0</v>
      </c>
      <c r="B5317" s="1" t="s">
        <v>15</v>
      </c>
      <c r="C5317" s="1" t="s">
        <v>2845</v>
      </c>
      <c r="D5317" s="1" t="str">
        <f>IFERROR(__xludf.DUMMYFUNCTION("CONCATENATE(GOOGLETRANSLATE(C5317, ""en"", ""zh-cn""))"),"Igloo BMX 72 夸脱冷却器采用 Cool Riser 技术、鱼尺和系紧点")</f>
        <v>Igloo BMX 72 夸脱冷却器采用 Cool Riser 技术、鱼尺和系紧点</v>
      </c>
      <c r="E5317" s="1" t="str">
        <f>IFERROR(__xludf.DUMMYFUNCTION("CONCATENATE(GOOGLETRANSLATE(C5317, ""en"", ""ko""))"),"쿨 라이저 기술, 피시 눈금자 및 타이다운 포인트를 갖춘 이글루 BMX 72쿼트 쿨러")</f>
        <v>쿨 라이저 기술, 피시 눈금자 및 타이다운 포인트를 갖춘 이글루 BMX 72쿼트 쿨러</v>
      </c>
      <c r="F5317" s="1" t="str">
        <f>IFERROR(__xludf.DUMMYFUNCTION("CONCATENATE(GOOGLETRANSLATE(C5317, ""en"", ""ja""))"),"Igloo BMX 72 クォート クーラー、クール ライザー テクノロジー、フィッシュ ルーラー、タイダウン ポイント付き")</f>
        <v>Igloo BMX 72 クォート クーラー、クール ライザー テクノロジー、フィッシュ ルーラー、タイダウン ポイント付き</v>
      </c>
    </row>
    <row r="5318" ht="15.75" customHeight="1">
      <c r="A5318" s="1">
        <v>5161.0</v>
      </c>
      <c r="B5318" s="1" t="s">
        <v>15</v>
      </c>
      <c r="C5318" s="1" t="s">
        <v>1801</v>
      </c>
      <c r="D5318" s="1" t="str">
        <f>IFERROR(__xludf.DUMMYFUNCTION("CONCATENATE(GOOGLETRANSLATE(C5318, ""en"", ""zh-cn""))"),"鱼雷巴")</f>
        <v>鱼雷巴</v>
      </c>
      <c r="E5318" s="1" t="str">
        <f>IFERROR(__xludf.DUMMYFUNCTION("CONCATENATE(GOOGLETRANSLATE(C5318, ""en"", ""ko""))"),"어뢰 바")</f>
        <v>어뢰 바</v>
      </c>
      <c r="F5318" s="1" t="str">
        <f>IFERROR(__xludf.DUMMYFUNCTION("CONCATENATE(GOOGLETRANSLATE(C5318, ""en"", ""ja""))"),"魚雷バ")</f>
        <v>魚雷バ</v>
      </c>
    </row>
    <row r="5319" ht="15.75" customHeight="1">
      <c r="A5319" s="1">
        <v>5182.0</v>
      </c>
      <c r="B5319" s="1" t="s">
        <v>381</v>
      </c>
      <c r="C5319" s="1" t="s">
        <v>686</v>
      </c>
      <c r="D5319" s="1" t="str">
        <f>IFERROR(__xludf.DUMMYFUNCTION("CONCATENATE(GOOGLETRANSLATE(C5319, ""en"", ""zh-cn""))"),"男式植物印花拼布翻领宽松夹克")</f>
        <v>男式植物印花拼布翻领宽松夹克</v>
      </c>
      <c r="E5319" s="1" t="str">
        <f>IFERROR(__xludf.DUMMYFUNCTION("CONCATENATE(GOOGLETRANSLATE(C5319, ""en"", ""ko""))"),"남성 플랜트 프린트 패치워크 플랩 포켓 라펠 루즈 재킷")</f>
        <v>남성 플랜트 프린트 패치워크 플랩 포켓 라펠 루즈 재킷</v>
      </c>
      <c r="F5319" s="1" t="str">
        <f>IFERROR(__xludf.DUMMYFUNCTION("CONCATENATE(GOOGLETRANSLATE(C5319, ""en"", ""ja""))"),"メンズ植物プリント パッチワーク フラップ ポケット ラペル ルーズ ジャケット")</f>
        <v>メンズ植物プリント パッチワーク フラップ ポケット ラペル ルーズ ジャケット</v>
      </c>
    </row>
    <row r="5320" ht="15.75" customHeight="1">
      <c r="A5320" s="1">
        <v>5194.0</v>
      </c>
      <c r="B5320" s="1" t="s">
        <v>381</v>
      </c>
      <c r="C5320" s="1" t="s">
        <v>699</v>
      </c>
      <c r="D5320" s="1" t="str">
        <f>IFERROR(__xludf.DUMMYFUNCTION("CONCATENATE(GOOGLETRANSLATE(C5320, ""en"", ""zh-cn""))"),"男式色块拼布翻盖口袋正面纽扣夹克")</f>
        <v>男式色块拼布翻盖口袋正面纽扣夹克</v>
      </c>
      <c r="E5320" s="1" t="str">
        <f>IFERROR(__xludf.DUMMYFUNCTION("CONCATENATE(GOOGLETRANSLATE(C5320, ""en"", ""ko""))"),"남성용 컬러 블록 패치워크 플랩 포켓 버튼 프론트 재킷")</f>
        <v>남성용 컬러 블록 패치워크 플랩 포켓 버튼 프론트 재킷</v>
      </c>
      <c r="F5320" s="1" t="str">
        <f>IFERROR(__xludf.DUMMYFUNCTION("CONCATENATE(GOOGLETRANSLATE(C5320, ""en"", ""ja""))"),"メンズ カラーブロック パッチワーク フラップ ポケット ボタン フロント ジャケット")</f>
        <v>メンズ カラーブロック パッチワーク フラップ ポケット ボタン フロント ジャケット</v>
      </c>
    </row>
    <row r="5321" ht="15.75" customHeight="1">
      <c r="A5321" s="1">
        <v>5199.0</v>
      </c>
      <c r="B5321" s="1" t="s">
        <v>381</v>
      </c>
      <c r="C5321" s="1" t="s">
        <v>704</v>
      </c>
      <c r="D5321" s="1" t="str">
        <f>IFERROR(__xludf.DUMMYFUNCTION("CONCATENATE(GOOGLETRANSLATE(C5321, ""en"", ""zh-cn""))"),"男式纯色棒球领拉链休闲夹克")</f>
        <v>男式纯色棒球领拉链休闲夹克</v>
      </c>
      <c r="E5321" s="1" t="str">
        <f>IFERROR(__xludf.DUMMYFUNCTION("CONCATENATE(GOOGLETRANSLATE(C5321, ""en"", ""ko""))"),"남성용 솔리드 텍스처 야구 ​​칼라 지퍼 프론트 캐주얼 재킷")</f>
        <v>남성용 솔리드 텍스처 야구 ​​칼라 지퍼 프론트 캐주얼 재킷</v>
      </c>
      <c r="F5321" s="1" t="str">
        <f>IFERROR(__xludf.DUMMYFUNCTION("CONCATENATE(GOOGLETRANSLATE(C5321, ""en"", ""ja""))"),"メンズソリッドテクスチャ野球襟ジップフロントカジュアルジャケット")</f>
        <v>メンズソリッドテクスチャ野球襟ジップフロントカジュアルジャケット</v>
      </c>
    </row>
    <row r="5322" ht="15.75" customHeight="1">
      <c r="A5322" s="1">
        <v>5200.0</v>
      </c>
      <c r="B5322" s="1" t="s">
        <v>381</v>
      </c>
      <c r="C5322" s="1" t="s">
        <v>705</v>
      </c>
      <c r="D5322" s="1" t="str">
        <f>IFERROR(__xludf.DUMMYFUNCTION("CONCATENATE(GOOGLETRANSLATE(C5322, ""en"", ""zh-cn""))"),"男士流苏下摆半袖开衫")</f>
        <v>男士流苏下摆半袖开衫</v>
      </c>
      <c r="E5322" s="1" t="str">
        <f>IFERROR(__xludf.DUMMYFUNCTION("CONCATENATE(GOOGLETRANSLATE(C5322, ""en"", ""ko""))"),"남성용 프린지 밑단 하프 슬리브 카디건")</f>
        <v>남성용 프린지 밑단 하프 슬리브 카디건</v>
      </c>
      <c r="F5322" s="1" t="str">
        <f>IFERROR(__xludf.DUMMYFUNCTION("CONCATENATE(GOOGLETRANSLATE(C5322, ""en"", ""ja""))"),"メンズ フリンジヘム ハーフスリーブ カーディガン")</f>
        <v>メンズ フリンジヘム ハーフスリーブ カーディガン</v>
      </c>
    </row>
    <row r="5323" ht="15.75" customHeight="1">
      <c r="A5323" s="1">
        <v>5201.0</v>
      </c>
      <c r="B5323" s="1" t="s">
        <v>381</v>
      </c>
      <c r="C5323" s="1" t="s">
        <v>706</v>
      </c>
      <c r="D5323" s="1" t="str">
        <f>IFERROR(__xludf.DUMMYFUNCTION("CONCATENATE(GOOGLETRANSLATE(C5323, ""en"", ""zh-cn""))"),"男士纯色翻领 3/4 袖休闲西装外套")</f>
        <v>男士纯色翻领 3/4 袖休闲西装外套</v>
      </c>
      <c r="E5323" s="1" t="str">
        <f>IFERROR(__xludf.DUMMYFUNCTION("CONCATENATE(GOOGLETRANSLATE(C5323, ""en"", ""ko""))"),"남성 솔리드 라펠 3/4 슬리브 캐주얼 블레이저")</f>
        <v>남성 솔리드 라펠 3/4 슬리브 캐주얼 블레이저</v>
      </c>
      <c r="F5323" s="1" t="str">
        <f>IFERROR(__xludf.DUMMYFUNCTION("CONCATENATE(GOOGLETRANSLATE(C5323, ""en"", ""ja""))"),"メンズソリッドラペル3/4スリーブカジュアルブレザー")</f>
        <v>メンズソリッドラペル3/4スリーブカジュアルブレザー</v>
      </c>
    </row>
    <row r="5324" ht="15.75" customHeight="1">
      <c r="A5324" s="1">
        <v>5278.0</v>
      </c>
      <c r="B5324" s="1" t="s">
        <v>381</v>
      </c>
      <c r="C5324" s="1" t="s">
        <v>608</v>
      </c>
      <c r="D5324" s="1" t="str">
        <f>IFERROR(__xludf.DUMMYFUNCTION("CONCATENATE(GOOGLETRANSLATE(C5324, ""en"", ""zh-cn""))"),"男士字母印花圆领休闲短袖 T 恤")</f>
        <v>男士字母印花圆领休闲短袖 T 恤</v>
      </c>
      <c r="E5324" s="1" t="str">
        <f>IFERROR(__xludf.DUMMYFUNCTION("CONCATENATE(GOOGLETRANSLATE(C5324, ""en"", ""ko""))"),"남성용 레터 프린트 크루넥 캐주얼 반소매 티셔츠")</f>
        <v>남성용 레터 프린트 크루넥 캐주얼 반소매 티셔츠</v>
      </c>
      <c r="F5324" s="1" t="str">
        <f>IFERROR(__xludf.DUMMYFUNCTION("CONCATENATE(GOOGLETRANSLATE(C5324, ""en"", ""ja""))"),"メンズレタープリントクルーネックカジュアル半袖Tシャツ")</f>
        <v>メンズレタープリントクルーネックカジュアル半袖Tシャツ</v>
      </c>
    </row>
    <row r="5325" ht="15.75" customHeight="1">
      <c r="A5325" s="1">
        <v>5296.0</v>
      </c>
      <c r="B5325" s="1" t="s">
        <v>15</v>
      </c>
      <c r="C5325" s="1" t="s">
        <v>1843</v>
      </c>
      <c r="D5325" s="1" t="str">
        <f>IFERROR(__xludf.DUMMYFUNCTION("CONCATENATE(GOOGLETRANSLATE(C5325, ""en"", ""zh-cn""))"),"BroMocube 的 GAN 11M Pro 3x3 速度魔方 GAN 11 磁性拼图魔方 Gan11M 魔方（GAN 11 M Pro 磨砂无贴纸（黑色））")</f>
        <v>BroMocube 的 GAN 11M Pro 3x3 速度魔方 GAN 11 磁性拼图魔方 Gan11M 魔方（GAN 11 M Pro 磨砂无贴纸（黑色））</v>
      </c>
      <c r="E5325" s="1" t="str">
        <f>IFERROR(__xludf.DUMMYFUNCTION("CONCATENATE(GOOGLETRANSLATE(C5325, ""en"", ""ko""))"),"GAN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5325" s="1" t="str">
        <f>IFERROR(__xludf.DUMMYFUNCTION("CONCATENATE(GOOGLETRANSLATE(C5325, ""en"", ""ja""))"),"GAN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5326" ht="15.75" customHeight="1">
      <c r="A5326" s="1">
        <v>5298.0</v>
      </c>
      <c r="B5326" s="1" t="s">
        <v>15</v>
      </c>
      <c r="C5326" s="1" t="s">
        <v>1851</v>
      </c>
      <c r="D5326" s="1" t="str">
        <f>IFERROR(__xludf.DUMMYFUNCTION("CONCATENATE(GOOGLETRANSLATE(C5326, ""en"", ""zh-cn""))"),"GAN Megaminx M，五角磁力测速魔方，无贴纸")</f>
        <v>GAN Megaminx M，五角磁力测速魔方，无贴纸</v>
      </c>
      <c r="E5326" s="1" t="str">
        <f>IFERROR(__xludf.DUMMYFUNCTION("CONCATENATE(GOOGLETRANSLATE(C5326, ""en"", ""ko""))"),"GAN Megaminx M, 오각형 자기 속도 큐브, 스티커 없음")</f>
        <v>GAN Megaminx M, 오각형 자기 속도 큐브, 스티커 없음</v>
      </c>
      <c r="F5326" s="1" t="str">
        <f>IFERROR(__xludf.DUMMYFUNCTION("CONCATENATE(GOOGLETRANSLATE(C5326, ""en"", ""ja""))"),"GAN メガミンクス M、五角形磁気スピードキューブ、ステッカーレス")</f>
        <v>GAN メガミンクス M、五角形磁気スピードキューブ、ステッカーレス</v>
      </c>
    </row>
    <row r="5327" ht="15.75" customHeight="1">
      <c r="A5327" s="1">
        <v>5303.0</v>
      </c>
      <c r="B5327" s="1" t="s">
        <v>15</v>
      </c>
      <c r="C5327" s="1" t="s">
        <v>1909</v>
      </c>
      <c r="D5327" s="1" t="str">
        <f>IFERROR(__xludf.DUMMYFUNCTION("CONCATENATE(GOOGLETRANSLATE(C5327, ""en"", ""zh-cn""))"),"YOGABODY 瑜伽吊架，室内外使用")</f>
        <v>YOGABODY 瑜伽吊架，室内外使用</v>
      </c>
      <c r="E5327" s="1" t="str">
        <f>IFERROR(__xludf.DUMMYFUNCTION("CONCATENATE(GOOGLETRANSLATE(C5327, ""en"", ""ko""))"),"YOGABODY 요가 공중 그네 스탠드, 실내 및 실외 사용")</f>
        <v>YOGABODY 요가 공중 그네 스탠드, 실내 및 실외 사용</v>
      </c>
      <c r="F5327" s="1" t="str">
        <f>IFERROR(__xludf.DUMMYFUNCTION("CONCATENATE(GOOGLETRANSLATE(C5327, ""en"", ""ja""))"),"YOGABODY ヨガ空中ブランコスタンド、屋内および屋外で使用可能")</f>
        <v>YOGABODY ヨガ空中ブランコスタンド、屋内および屋外で使用可能</v>
      </c>
    </row>
    <row r="5328" ht="15.75" customHeight="1">
      <c r="A5328" s="1">
        <v>5306.0</v>
      </c>
      <c r="B5328" s="1" t="s">
        <v>15</v>
      </c>
      <c r="C5328" s="1" t="s">
        <v>2371</v>
      </c>
      <c r="D5328" s="1" t="str">
        <f>IFERROR(__xludf.DUMMYFUNCTION("CONCATENATE(GOOGLETRANSLATE(C5328, ""en"", ""zh-cn""))"),"BFSB5 链传动室内自行车")</f>
        <v>BFSB5 链传动室内自行车</v>
      </c>
      <c r="E5328" s="1" t="str">
        <f>IFERROR(__xludf.DUMMYFUNCTION("CONCATENATE(GOOGLETRANSLATE(C5328, ""en"", ""ko""))"),"BFSB5 체인 드라이브 실내 사이클링 자전거")</f>
        <v>BFSB5 체인 드라이브 실내 사이클링 자전거</v>
      </c>
      <c r="F5328" s="1" t="str">
        <f>IFERROR(__xludf.DUMMYFUNCTION("CONCATENATE(GOOGLETRANSLATE(C5328, ""en"", ""ja""))"),"BFSB5 チェーンドライブインドアサイクリングバイク")</f>
        <v>BFSB5 チェーンドライブインドアサイクリングバイク</v>
      </c>
    </row>
    <row r="5329" ht="15.75" customHeight="1">
      <c r="A5329" s="1">
        <v>5328.0</v>
      </c>
      <c r="B5329" s="1" t="s">
        <v>15</v>
      </c>
      <c r="C5329" s="1" t="s">
        <v>4400</v>
      </c>
      <c r="D5329" s="1" t="str">
        <f>IFERROR(__xludf.DUMMYFUNCTION("CONCATENATE(GOOGLETRANSLATE(C5329, ""en"", ""zh-cn""))"),"HP Pavilion x360 二合一 14 英寸全高清触摸屏笔记本电脑，英特尔四核 i5-1135G7 高达 4.2GHz (Beat i7-1065G7)，8GB DDR4 RAM，512GB PCIe SSD，WiFi 6，银色，Windows 11，BROAG 延长线")</f>
        <v>HP Pavilion x360 二合一 14 英寸全高清触摸屏笔记本电脑，英特尔四核 i5-1135G7 高达 4.2GHz (Beat i7-1065G7)，8GB DDR4 RAM，512GB PCIe SSD，WiFi 6，银色，Windows 11，BROAG 延长线</v>
      </c>
      <c r="E5329" s="1" t="str">
        <f>IFERROR(__xludf.DUMMYFUNCTION("CONCATENATE(GOOGLETRANSLATE(C5329, ""en"", ""ko""))"),"HP Pavilion x360 2-in-1 14 FHD 터치스크린 노트북 컴퓨터, Intel 쿼드 코어 i5-1135G7 최대 4.2GHz(Beat i7-1065G7), 8GB DDR4 RAM, 512GB PCIe SSD, WiFi 6, 실버, Windows 11, BROAG 연장 케이블")</f>
        <v>HP Pavilion x360 2-in-1 14 FHD 터치스크린 노트북 컴퓨터, Intel 쿼드 코어 i5-1135G7 최대 4.2GHz(Beat i7-1065G7), 8GB DDR4 RAM, 512GB PCIe SSD, WiFi 6, 실버, Windows 11, BROAG 연장 케이블</v>
      </c>
      <c r="F5329" s="1" t="str">
        <f>IFERROR(__xludf.DUMMYFUNCTION("CONCATENATE(GOOGLETRANSLATE(C5329, ""en"", ""ja""))"),"HP Pavilion x360 2-in-1 14 FHD タッチスクリーン ラップトップ コンピューター、Intel クアッドコア i5-1135G7 最大 4.2 GHz (Beat i7-1065G7)、8GB DDR4 RAM、512GB PCIe SSD、WiFi 6、シルバー、Windows 11、BROAG 延長ケーブル")</f>
        <v>HP Pavilion x360 2-in-1 14 FHD タッチスクリーン ラップトップ コンピューター、Intel クアッドコア i5-1135G7 最大 4.2 GHz (Beat i7-1065G7)、8GB DDR4 RAM、512GB PCIe SSD、WiFi 6、シルバー、Windows 11、BROAG 延長ケーブル</v>
      </c>
    </row>
    <row r="5330" ht="15.75" customHeight="1">
      <c r="A5330" s="1">
        <v>5338.0</v>
      </c>
      <c r="B5330" s="1" t="s">
        <v>15</v>
      </c>
      <c r="C5330" s="1" t="s">
        <v>1838</v>
      </c>
      <c r="D5330" s="1" t="str">
        <f>IFERROR(__xludf.DUMMYFUNCTION("CONCATENATE(GOOGLETRANSLATE(C5330, ""en"", ""zh-cn""))"),"Ravensburger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5330" s="1" t="str">
        <f>IFERROR(__xludf.DUMMYFUNCTION("CONCATENATE(GOOGLETRANSLATE(C5330, ""en"", ""ko""))"),"Ravensburger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5330" s="1" t="str">
        <f>IFERROR(__xludf.DUMMYFUNCTION("CONCATENATE(GOOGLETRANSLATE(C5330, ""en"", ""ja""))"),"Ravensburger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5331" ht="15.75" customHeight="1">
      <c r="A5331" s="1">
        <v>5349.0</v>
      </c>
      <c r="B5331" s="1" t="s">
        <v>15</v>
      </c>
      <c r="C5331" s="1" t="s">
        <v>1850</v>
      </c>
      <c r="D5331" s="1" t="str">
        <f>IFERROR(__xludf.DUMMYFUNCTION("CONCATENATE(GOOGLETRANSLATE(C5331, ""en"", ""zh-cn""))"),"GAN 13 磁悬浮磨砂涂层，磁性速度魔方 3x3 无贴纸 56 毫米磁铁魔方拼图玩具，GAN 2022 旗舰")</f>
        <v>GAN 13 磁悬浮磨砂涂层，磁性速度魔方 3x3 无贴纸 56 毫米磁铁魔方拼图玩具，GAN 2022 旗舰</v>
      </c>
      <c r="E5331" s="1" t="str">
        <f>IFERROR(__xludf.DUMMYFUNCTION("CONCATENATE(GOOGLETRANSLATE(C5331, ""en"", ""ko""))"),"GAN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5331" s="1" t="str">
        <f>IFERROR(__xludf.DUMMYFUNCTION("CONCATENATE(GOOGLETRANSLATE(C5331, ""en"", ""ja""))"),"GAN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5332" ht="15.75" customHeight="1">
      <c r="A5332" s="1">
        <v>5365.0</v>
      </c>
      <c r="B5332" s="1" t="s">
        <v>15</v>
      </c>
      <c r="C5332" s="1" t="s">
        <v>1839</v>
      </c>
      <c r="D5332" s="1" t="str">
        <f>IFERROR(__xludf.DUMMYFUNCTION("CONCATENATE(GOOGLETRANSLATE(C5332, ""en"", ""zh-cn""))"),"GAN 13 磁悬浮 UV 涂层，磁性速度魔方 3x3 无贴纸 56 毫米磁铁魔方拼图玩具，GAN 2022 旗舰")</f>
        <v>GAN 13 磁悬浮 UV 涂层，磁性速度魔方 3x3 无贴纸 56 毫米磁铁魔方拼图玩具，GAN 2022 旗舰</v>
      </c>
      <c r="E5332" s="1" t="str">
        <f>IFERROR(__xludf.DUMMYFUNCTION("CONCATENATE(GOOGLETRANSLATE(C5332, ""en"", ""ko""))"),"GAN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5332" s="1" t="str">
        <f>IFERROR(__xludf.DUMMYFUNCTION("CONCATENATE(GOOGLETRANSLATE(C5332, ""en"", ""ja""))"),"GAN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5333" ht="15.75" customHeight="1">
      <c r="A5333" s="1">
        <v>5389.0</v>
      </c>
      <c r="B5333" s="1" t="s">
        <v>15</v>
      </c>
      <c r="C5333" s="1" t="s">
        <v>1839</v>
      </c>
      <c r="D5333" s="1" t="str">
        <f>IFERROR(__xludf.DUMMYFUNCTION("CONCATENATE(GOOGLETRANSLATE(C5333, ""en"", ""zh-cn""))"),"GAN 13 磁悬浮 UV 涂层，磁性速度魔方 3x3 无贴纸 56 毫米磁铁魔方拼图玩具，GAN 2022 旗舰")</f>
        <v>GAN 13 磁悬浮 UV 涂层，磁性速度魔方 3x3 无贴纸 56 毫米磁铁魔方拼图玩具，GAN 2022 旗舰</v>
      </c>
      <c r="E5333" s="1" t="str">
        <f>IFERROR(__xludf.DUMMYFUNCTION("CONCATENATE(GOOGLETRANSLATE(C5333, ""en"", ""ko""))"),"GAN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5333" s="1" t="str">
        <f>IFERROR(__xludf.DUMMYFUNCTION("CONCATENATE(GOOGLETRANSLATE(C5333, ""en"", ""ja""))"),"GAN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5334" ht="15.75" customHeight="1">
      <c r="A5334" s="1">
        <v>5394.0</v>
      </c>
      <c r="B5334" s="1" t="s">
        <v>381</v>
      </c>
      <c r="C5334" s="1" t="s">
        <v>814</v>
      </c>
      <c r="D5334" s="1" t="str">
        <f>IFERROR(__xludf.DUMMYFUNCTION("CONCATENATE(GOOGLETRANSLATE(C5334, ""en"", ""zh-cn""))"),"纯色立领正面系扣休闲宽松长连衣裙（侧袋）")</f>
        <v>纯色立领正面系扣休闲宽松长连衣裙（侧袋）</v>
      </c>
      <c r="E5334" s="1" t="str">
        <f>IFERROR(__xludf.DUMMYFUNCTION("CONCATENATE(GOOGLETRANSLATE(C5334, ""en"", ""ko""))"),"솔리드 컬러 스탠드 칼라 버튼 다운 프론트 레저 루즈 맥시 드레스(사이드 포켓 ​​포함)")</f>
        <v>솔리드 컬러 스탠드 칼라 버튼 다운 프론트 레저 루즈 맥시 드레스(사이드 포켓 ​​포함)</v>
      </c>
      <c r="F5334" s="1" t="str">
        <f>IFERROR(__xludf.DUMMYFUNCTION("CONCATENATE(GOOGLETRANSLATE(C5334, ""en"", ""ja""))"),"ソリッドカラー スタンドカラー ボタンダウン フロント レジャー ルーズ マキシ ドレス サイドポケット付き")</f>
        <v>ソリッドカラー スタンドカラー ボタンダウン フロント レジャー ルーズ マキシ ドレス サイドポケット付き</v>
      </c>
    </row>
    <row r="5335" ht="15.75" customHeight="1">
      <c r="A5335" s="1">
        <v>5402.0</v>
      </c>
      <c r="B5335" s="1" t="s">
        <v>381</v>
      </c>
      <c r="C5335" s="1" t="s">
        <v>802</v>
      </c>
      <c r="D5335" s="1" t="str">
        <f>IFERROR(__xludf.DUMMYFUNCTION("CONCATENATE(GOOGLETRANSLATE(C5335, ""en"", ""zh-cn""))"),"女式豹纹 V 领泡泡袖系带超长连衣裙")</f>
        <v>女式豹纹 V 领泡泡袖系带超长连衣裙</v>
      </c>
      <c r="E5335" s="1" t="str">
        <f>IFERROR(__xludf.DUMMYFUNCTION("CONCATENATE(GOOGLETRANSLATE(C5335, ""en"", ""ko""))"),"여성용 레오파드 프린트 V 넥 퍼프 슬리브 레이스 업 맥시 드레스")</f>
        <v>여성용 레오파드 프린트 V 넥 퍼프 슬리브 레이스 업 맥시 드레스</v>
      </c>
      <c r="F5335" s="1" t="str">
        <f>IFERROR(__xludf.DUMMYFUNCTION("CONCATENATE(GOOGLETRANSLATE(C5335, ""en"", ""ja""))"),"女性のためのヒョウ柄 V ネック パフ スリーブ レースアップ マキシ ドレス")</f>
        <v>女性のためのヒョウ柄 V ネック パフ スリーブ レースアップ マキシ ドレス</v>
      </c>
    </row>
    <row r="5336" ht="15.75" customHeight="1">
      <c r="A5336" s="1">
        <v>5413.0</v>
      </c>
      <c r="B5336" s="1" t="s">
        <v>15</v>
      </c>
      <c r="C5336" s="1" t="s">
        <v>1850</v>
      </c>
      <c r="D5336" s="1" t="str">
        <f>IFERROR(__xludf.DUMMYFUNCTION("CONCATENATE(GOOGLETRANSLATE(C5336, ""en"", ""zh-cn""))"),"GAN 13 磁悬浮磨砂涂层，磁性速度魔方 3x3 无贴纸 56 毫米磁铁魔方拼图玩具，GAN 2022 旗舰")</f>
        <v>GAN 13 磁悬浮磨砂涂层，磁性速度魔方 3x3 无贴纸 56 毫米磁铁魔方拼图玩具，GAN 2022 旗舰</v>
      </c>
      <c r="E5336" s="1" t="str">
        <f>IFERROR(__xludf.DUMMYFUNCTION("CONCATENATE(GOOGLETRANSLATE(C5336, ""en"", ""ko""))"),"GAN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5336" s="1" t="str">
        <f>IFERROR(__xludf.DUMMYFUNCTION("CONCATENATE(GOOGLETRANSLATE(C5336, ""en"", ""ja""))"),"GAN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5337" ht="15.75" customHeight="1">
      <c r="A5337" s="1">
        <v>5416.0</v>
      </c>
      <c r="B5337" s="1" t="s">
        <v>15</v>
      </c>
      <c r="C5337" s="1" t="s">
        <v>1826</v>
      </c>
      <c r="D5337" s="1" t="str">
        <f>IFERROR(__xludf.DUMMYFUNCTION("CONCATENATE(GOOGLETRANSLATE(C5337, ""en"", ""zh-cn""))"),"GAN 460 M 速度魔方， 4x4 磁性魔方 Gans 460M 拼图玩具（无贴纸）")</f>
        <v>GAN 460 M 速度魔方， 4x4 磁性魔方 Gans 460M 拼图玩具（无贴纸）</v>
      </c>
      <c r="E5337" s="1" t="str">
        <f>IFERROR(__xludf.DUMMYFUNCTION("CONCATENATE(GOOGLETRANSLATE(C5337, ""en"", ""ko""))"),"GAN 460 M 스피드 큐브, 4x4 마그네틱 마스터 큐브 Gans 460M 퍼즐 장난감(스티커 없음)")</f>
        <v>GAN 460 M 스피드 큐브, 4x4 마그네틱 마스터 큐브 Gans 460M 퍼즐 장난감(스티커 없음)</v>
      </c>
      <c r="F5337" s="1" t="str">
        <f>IFERROR(__xludf.DUMMYFUNCTION("CONCATENATE(GOOGLETRANSLATE(C5337, ""en"", ""ja""))"),"GAN 460 M スピード キューブ、4x4 磁気マスター キューブ Gans 460M パズルおもちゃ (ステッカーなし)")</f>
        <v>GAN 460 M スピード キューブ、4x4 磁気マスター キューブ Gans 460M パズルおもちゃ (ステッカーなし)</v>
      </c>
    </row>
    <row r="5338" ht="15.75" customHeight="1">
      <c r="A5338" s="1">
        <v>5440.0</v>
      </c>
      <c r="B5338" s="1" t="s">
        <v>15</v>
      </c>
      <c r="C5338" s="1" t="s">
        <v>1911</v>
      </c>
      <c r="D5338" s="1" t="str">
        <f>IFERROR(__xludf.DUMMYFUNCTION("CONCATENATE(GOOGLETRANSLATE(C5338, ""en"", ""zh-cn""))"),"Alvantor 弹出式泡泡帐篷 - 6' x 6' 即时冰屋帐篷 - 2-3 人露台屏风屋 - 大型超大防风雨吊舱 - 防寒露营帐篷 - 米色")</f>
        <v>Alvantor 弹出式泡泡帐篷 - 6' x 6' 即时冰屋帐篷 - 2-3 人露台屏风屋 - 大型超大防风雨吊舱 - 防寒露营帐篷 - 米色</v>
      </c>
      <c r="E5338" s="1" t="str">
        <f>IFERROR(__xludf.DUMMYFUNCTION("CONCATENATE(GOOGLETRANSLATE(C5338, ""en"", ""ko""))"),"Alvantor 팝업 버블 텐트 - 6' x 6' 인스턴트 이글루 텐트 - 파티오용 2-3인용 스크린 하우스 - 대형 특대 전천후 포드 - 방한 캠핑 텐트 - 베이지")</f>
        <v>Alvantor 팝업 버블 텐트 - 6' x 6' 인스턴트 이글루 텐트 - 파티오용 2-3인용 스크린 하우스 - 대형 특대 전천후 포드 - 방한 캠핑 텐트 - 베이지</v>
      </c>
      <c r="F5338" s="1" t="str">
        <f>IFERROR(__xludf.DUMMYFUNCTION("CONCATENATE(GOOGLETRANSLATE(C5338, ""en"", ""ja""))"),"Alvantor ポップアップバブルテント - 6フィート x 6フィート インスタントイグルーテント - パティオ用2～3人用スクリーンハウス - 大型特大耐候性ポッド - 防寒キャンプテント - ベージュ")</f>
        <v>Alvantor ポップアップバブルテント - 6フィート x 6フィート インスタントイグルーテント - パティオ用2～3人用スクリーンハウス - 大型特大耐候性ポッド - 防寒キャンプテント - ベージュ</v>
      </c>
    </row>
    <row r="5339" ht="15.75" customHeight="1">
      <c r="A5339" s="1">
        <v>5444.0</v>
      </c>
      <c r="B5339" s="1" t="s">
        <v>15</v>
      </c>
      <c r="C5339" s="1" t="s">
        <v>1906</v>
      </c>
      <c r="D5339" s="1" t="str">
        <f>IFERROR(__xludf.DUMMYFUNCTION("CONCATENATE(GOOGLETRANSLATE(C5339, ""en"", ""zh-cn""))"),"Igloo 54 夸脱钢带传统不锈钢冷却器带开瓶器")</f>
        <v>Igloo 54 夸脱钢带传统不锈钢冷却器带开瓶器</v>
      </c>
      <c r="E5339" s="1" t="str">
        <f>IFERROR(__xludf.DUMMYFUNCTION("CONCATENATE(GOOGLETRANSLATE(C5339, ""en"", ""ko""))"),"이글루 54 Qt 스틸 벨티드 레거시 스테인리스 스틸 쿨러(병따개 포함)")</f>
        <v>이글루 54 Qt 스틸 벨티드 레거시 스테인리스 스틸 쿨러(병따개 포함)</v>
      </c>
      <c r="F5339" s="1" t="str">
        <f>IFERROR(__xludf.DUMMYFUNCTION("CONCATENATE(GOOGLETRANSLATE(C5339, ""en"", ""ja""))"),"Igloo 54 Qt スチールベルト付きレガシーステンレススチールクーラー ボトルオープナー付き")</f>
        <v>Igloo 54 Qt スチールベルト付きレガシーステンレススチールクーラー ボトルオープナー付き</v>
      </c>
    </row>
    <row r="5340" ht="15.75" customHeight="1">
      <c r="A5340" s="1">
        <v>5477.0</v>
      </c>
      <c r="B5340" s="1" t="s">
        <v>15</v>
      </c>
      <c r="C5340" s="1" t="s">
        <v>1853</v>
      </c>
      <c r="D5340" s="1" t="str">
        <f>IFERROR(__xludf.DUMMYFUNCTION("CONCATENATE(GOOGLETRANSLATE(C5340, ""en"", ""zh-cn""))"),"带金属腿和盖子的拼图桌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5340" s="1" t="str">
        <f>IFERROR(__xludf.DUMMYFUNCTION("CONCATENATE(GOOGLETRANSLATE(C5340, ""en"", ""ko""))"),"금속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5340" s="1" t="str">
        <f>IFERROR(__xludf.DUMMYFUNCTION("CONCATENATE(GOOGLETRANSLATE(C5340, ""en"", ""ja""))"),"金属製の脚とカバー付きパズルテーブル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5341" ht="15.75" customHeight="1">
      <c r="A5341" s="1">
        <v>5479.0</v>
      </c>
      <c r="B5341" s="1" t="s">
        <v>15</v>
      </c>
      <c r="C5341" s="1" t="s">
        <v>1650</v>
      </c>
      <c r="D5341" s="1" t="str">
        <f>IFERROR(__xludf.DUMMYFUNCTION("CONCATENATE(GOOGLETRANSLATE(C5341, ""en"", ""zh-cn""))"),"SHARGEEK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5341" s="1" t="str">
        <f>IFERROR(__xludf.DUMMYFUNCTION("CONCATENATE(GOOGLETRANSLATE(C5341, ""en"", ""ko""))"),"SHARGEEK의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5341" s="1" t="str">
        <f>IFERROR(__xludf.DUMMYFUNCTION("CONCATENATE(GOOGLETRANSLATE(C5341, ""en"", ""ja""))"),"SHARGEEK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5342" ht="15.75" customHeight="1">
      <c r="A5342" s="1">
        <v>5482.0</v>
      </c>
      <c r="B5342" s="1" t="s">
        <v>15</v>
      </c>
      <c r="C5342" s="1" t="s">
        <v>1861</v>
      </c>
      <c r="D5342" s="1" t="str">
        <f>IFERROR(__xludf.DUMMYFUNCTION("CONCATENATE(GOOGLETRANSLATE(C5342, ""en"", ""zh-cn""))"),"博克芬诺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5342" s="1" t="str">
        <f>IFERROR(__xludf.DUMMYFUNCTION("CONCATENATE(GOOGLETRANSLATE(C5342, ""en"", ""ko""))"),"Bokefenuo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5342" s="1" t="str">
        <f>IFERROR(__xludf.DUMMYFUNCTION("CONCATENATE(GOOGLETRANSLATE(C5342, ""en"", ""ja""))"),"Bokefenuo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5343" ht="15.75" customHeight="1">
      <c r="A5343" s="1">
        <v>5491.0</v>
      </c>
      <c r="B5343" s="1" t="s">
        <v>15</v>
      </c>
      <c r="C5343" s="1" t="s">
        <v>1824</v>
      </c>
      <c r="D5343" s="1" t="str">
        <f>IFERROR(__xludf.DUMMYFUNCTION("CONCATENATE(GOOGLETRANSLATE(C5343, ""en"", ""zh-cn""))"),"ALL4JIG 1500 件便携式带腿拼图桌，可调节拼图板，带 4 个抽屉和盖子，3 倾斜角度成人拼图桌")</f>
        <v>ALL4JIG 1500 件便携式带腿拼图桌，可调节拼图板，带 4 个抽屉和盖子，3 倾斜角度成人拼图桌</v>
      </c>
      <c r="E5343" s="1" t="str">
        <f>IFERROR(__xludf.DUMMYFUNCTION("CONCATENATE(GOOGLETRANSLATE(C5343, ""en"", ""ko""))"),"ALL4JIG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5343" s="1" t="str">
        <f>IFERROR(__xludf.DUMMYFUNCTION("CONCATENATE(GOOGLETRANSLATE(C5343, ""en"", ""ja""))"),"ALL4JIG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5344" ht="15.75" customHeight="1">
      <c r="A5344" s="1">
        <v>5502.0</v>
      </c>
      <c r="B5344" s="1" t="s">
        <v>15</v>
      </c>
      <c r="C5344" s="1" t="s">
        <v>1648</v>
      </c>
      <c r="D5344" s="1" t="str">
        <f>IFERROR(__xludf.DUMMYFUNCTION("CONCATENATE(GOOGLETRANSLATE(C5344, ""en"", ""zh-cn""))"),"CuberShop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5344" s="1" t="str">
        <f>IFERROR(__xludf.DUMMYFUNCTION("CONCATENATE(GOOGLETRANSLATE(C5344, ""en"", ""ko""))"),"CuberShop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5344" s="1" t="str">
        <f>IFERROR(__xludf.DUMMYFUNCTION("CONCATENATE(GOOGLETRANSLATE(C5344, ""en"", ""ja""))"),"CuberShop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5345" ht="15.75" customHeight="1">
      <c r="A5345" s="1">
        <v>5511.0</v>
      </c>
      <c r="B5345" s="1" t="s">
        <v>15</v>
      </c>
      <c r="C5345" s="1" t="s">
        <v>1852</v>
      </c>
      <c r="D5345" s="1" t="str">
        <f>IFERROR(__xludf.DUMMYFUNCTION("CONCATENATE(GOOGLETRANSLATE(C5345, ""en"", ""zh-cn""))"),"Roxenda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5345" s="1" t="str">
        <f>IFERROR(__xludf.DUMMYFUNCTION("CONCATENATE(GOOGLETRANSLATE(C5345, ""en"", ""ko""))"),"Roxenda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5345" s="1" t="str">
        <f>IFERROR(__xludf.DUMMYFUNCTION("CONCATENATE(GOOGLETRANSLATE(C5345, ""en"", ""ja""))"),"Roxenda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5346" ht="15.75" customHeight="1">
      <c r="A5346" s="1">
        <v>5521.0</v>
      </c>
      <c r="B5346" s="1" t="s">
        <v>15</v>
      </c>
      <c r="C5346" s="1" t="s">
        <v>2309</v>
      </c>
      <c r="D5346" s="1" t="str">
        <f>IFERROR(__xludf.DUMMYFUNCTION("CONCATENATE(GOOGLETRANSLATE(C5346, ""en"", ""zh-cn""))"),"BiSaddle SRT 超短无鼻可调自行车鞍座黑色带钛导轨定制舒适，均码")</f>
        <v>BiSaddle SRT 超短无鼻可调自行车鞍座黑色带钛导轨定制舒适，均码</v>
      </c>
      <c r="E5346" s="1" t="str">
        <f>IFERROR(__xludf.DUMMYFUNCTION("CONCATENATE(GOOGLETRANSLATE(C5346, ""en"", ""ko""))"),"BiSaddle SRT 슈퍼 짧은 노즈리스 조절식 자전거 안장 블랙(티타늄 레일 포함) 맞춤형 컴포트, 단일 사이즈")</f>
        <v>BiSaddle SRT 슈퍼 짧은 노즈리스 조절식 자전거 안장 블랙(티타늄 레일 포함) 맞춤형 컴포트, 단일 사이즈</v>
      </c>
      <c r="F5346" s="1" t="str">
        <f>IFERROR(__xludf.DUMMYFUNCTION("CONCATENATE(GOOGLETRANSLATE(C5346, ""en"", ""ja""))"),"BiSaddle SRT スーパーショート ノーズレス 調節可能 自転車サドル ブラック チタンレール付き カスタムフィット コンフォート、ワンサイズ")</f>
        <v>BiSaddle SRT スーパーショート ノーズレス 調節可能 自転車サドル ブラック チタンレール付き カスタムフィット コンフォート、ワンサイズ</v>
      </c>
    </row>
    <row r="5347" ht="15.75" customHeight="1">
      <c r="A5347" s="1">
        <v>5526.0</v>
      </c>
      <c r="B5347" s="1" t="s">
        <v>15</v>
      </c>
      <c r="C5347" s="1" t="s">
        <v>2370</v>
      </c>
      <c r="D5347" s="1" t="str">
        <f>IFERROR(__xludf.DUMMYFUNCTION("CONCATENATE(GOOGLETRANSLATE(C5347, ""en"", ""zh-cn""))"),"Sidi 男子现代自行车赛，美国 2-4（亚洲）")</f>
        <v>Sidi 男子现代自行车赛，美国 2-4（亚洲）</v>
      </c>
      <c r="E5347" s="1" t="str">
        <f>IFERROR(__xludf.DUMMYFUNCTION("CONCATENATE(GOOGLETRANSLATE(C5347, ""en"", ""ko""))"),"Sidi 남성용 모던 사이클링 스케이프, 미국 2-4(아시아)")</f>
        <v>Sidi 남성용 모던 사이클링 스케이프, 미국 2-4(아시아)</v>
      </c>
      <c r="F5347" s="1" t="str">
        <f>IFERROR(__xludf.DUMMYFUNCTION("CONCATENATE(GOOGLETRANSLATE(C5347, ""en"", ""ja""))"),"シディメンズモダンサイクリングスケープ、米国 2-4 (アジア)")</f>
        <v>シディメンズモダンサイクリングスケープ、米国 2-4 (アジア)</v>
      </c>
    </row>
    <row r="5348" ht="15.75" customHeight="1">
      <c r="A5348" s="1">
        <v>5535.0</v>
      </c>
      <c r="B5348" s="1" t="s">
        <v>15</v>
      </c>
      <c r="C5348" s="1" t="s">
        <v>2374</v>
      </c>
      <c r="D5348" s="1" t="str">
        <f>IFERROR(__xludf.DUMMYFUNCTION("CONCATENATE(GOOGLETRANSLATE(C5348, ""en"", ""zh-cn""))"),"Cyclace 固定式健身车 - 承重能力 330 磅 - 室内骑行车，配有舒适座垫、平板电脑支架和液晶显示屏，适合家庭锻炼")</f>
        <v>Cyclace 固定式健身车 - 承重能力 330 磅 - 室内骑行车，配有舒适座垫、平板电脑支架和液晶显示屏，适合家庭锻炼</v>
      </c>
      <c r="E5348" s="1" t="str">
        <f>IFERROR(__xludf.DUMMYFUNCTION("CONCATENATE(GOOGLETRANSLATE(C5348, ""en"", ""ko""))"),"사이클레이스 운동용 자전거 고정식 - 330파운드 무게 용량 - 편안한 시트 쿠션, 태블릿 홀더 및 가정 운동용 LCD 모니터를 갖춘 실내 사이클링 자전거")</f>
        <v>사이클레이스 운동용 자전거 고정식 - 330파운드 무게 용량 - 편안한 시트 쿠션, 태블릿 홀더 및 가정 운동용 LCD 모니터를 갖춘 실내 사이클링 자전거</v>
      </c>
      <c r="F5348" s="1" t="str">
        <f>IFERROR(__xludf.DUMMYFUNCTION("CONCATENATE(GOOGLETRANSLATE(C5348, ""en"", ""ja""))"),"Cyclace エアロバイク ステーショナリー - 耐荷重 330 ポンド - 快適なシートクッション、タブレットホルダー、自宅トレーニング用 LCD モニター付き屋内サイクリングバイク")</f>
        <v>Cyclace エアロバイク ステーショナリー - 耐荷重 330 ポンド - 快適なシートクッション、タブレットホルダー、自宅トレーニング用 LCD モニター付き屋内サイクリングバイク</v>
      </c>
    </row>
    <row r="5349" ht="15.75" customHeight="1">
      <c r="A5349" s="1">
        <v>5536.0</v>
      </c>
      <c r="B5349" s="1" t="s">
        <v>15</v>
      </c>
      <c r="C5349" s="1" t="s">
        <v>1908</v>
      </c>
      <c r="D5349" s="1" t="str">
        <f>IFERROR(__xludf.DUMMYFUNCTION("CONCATENATE(GOOGLETRANSLATE(C5349, ""en"", ""zh-cn""))"),"Alexia D371-CU001 冥想座椅（纯素皮革，深灰色）")</f>
        <v>Alexia D371-CU001 冥想座椅（纯素皮革，深灰色）</v>
      </c>
      <c r="E5349" s="1" t="str">
        <f>IFERROR(__xludf.DUMMYFUNCTION("CONCATENATE(GOOGLETRANSLATE(C5349, ""en"", ""ko""))"),"알렉시아 D371-CU001 명상 시트 (비건 가죽, 다크 그레이)")</f>
        <v>알렉시아 D371-CU001 명상 시트 (비건 가죽, 다크 그레이)</v>
      </c>
      <c r="F5349" s="1" t="str">
        <f>IFERROR(__xludf.DUMMYFUNCTION("CONCATENATE(GOOGLETRANSLATE(C5349, ""en"", ""ja""))"),"Alexia D371-CU001 瞑想シート (ヴィーガンレザー、ダークグレー)")</f>
        <v>Alexia D371-CU001 瞑想シート (ヴィーガンレザー、ダークグレー)</v>
      </c>
    </row>
    <row r="5350" ht="15.75" customHeight="1">
      <c r="A5350" s="1">
        <v>5540.0</v>
      </c>
      <c r="B5350" s="1" t="s">
        <v>15</v>
      </c>
      <c r="C5350" s="1" t="s">
        <v>3640</v>
      </c>
      <c r="D5350" s="1" t="str">
        <f>IFERROR(__xludf.DUMMYFUNCTION("CONCATENATE(GOOGLETRANSLATE(C5350, ""en"", ""zh-cn""))"),"Giro Regime 男士公路骑行鞋")</f>
        <v>Giro Regime 男士公路骑行鞋</v>
      </c>
      <c r="E5350" s="1" t="str">
        <f>IFERROR(__xludf.DUMMYFUNCTION("CONCATENATE(GOOGLETRANSLATE(C5350, ""en"", ""ko""))"),"Giro Regime 남성용 로드 사이클링 신발")</f>
        <v>Giro Regime 남성용 로드 사이클링 신발</v>
      </c>
      <c r="F5350" s="1" t="str">
        <f>IFERROR(__xludf.DUMMYFUNCTION("CONCATENATE(GOOGLETRANSLATE(C5350, ""en"", ""ja""))"),"Giro Regime メンズ ロード サイクリング シューズ")</f>
        <v>Giro Regime メンズ ロード サイクリング シューズ</v>
      </c>
    </row>
    <row r="5351" ht="15.75" customHeight="1">
      <c r="A5351" s="1">
        <v>5541.0</v>
      </c>
      <c r="B5351" s="1" t="s">
        <v>15</v>
      </c>
      <c r="C5351" s="1" t="s">
        <v>1911</v>
      </c>
      <c r="D5351" s="1" t="str">
        <f>IFERROR(__xludf.DUMMYFUNCTION("CONCATENATE(GOOGLETRANSLATE(C5351, ""en"", ""zh-cn""))"),"Alvantor 弹出式泡泡帐篷 - 6' x 6' 即时冰屋帐篷 - 2-3 人露台屏风屋 - 大型超大防风雨吊舱 - 防寒露营帐篷 - 米色")</f>
        <v>Alvantor 弹出式泡泡帐篷 - 6' x 6' 即时冰屋帐篷 - 2-3 人露台屏风屋 - 大型超大防风雨吊舱 - 防寒露营帐篷 - 米色</v>
      </c>
      <c r="E5351" s="1" t="str">
        <f>IFERROR(__xludf.DUMMYFUNCTION("CONCATENATE(GOOGLETRANSLATE(C5351, ""en"", ""ko""))"),"Alvantor 팝업 버블 텐트 - 6' x 6' 인스턴트 이글루 텐트 - 파티오용 2-3인용 스크린 하우스 - 대형 특대 전천후 포드 - 방한 캠핑 텐트 - 베이지")</f>
        <v>Alvantor 팝업 버블 텐트 - 6' x 6' 인스턴트 이글루 텐트 - 파티오용 2-3인용 스크린 하우스 - 대형 특대 전천후 포드 - 방한 캠핑 텐트 - 베이지</v>
      </c>
      <c r="F5351" s="1" t="str">
        <f>IFERROR(__xludf.DUMMYFUNCTION("CONCATENATE(GOOGLETRANSLATE(C5351, ""en"", ""ja""))"),"Alvantor ポップアップバブルテント - 6フィート x 6フィート インスタントイグルーテント - パティオ用2～3人用スクリーンハウス - 大型特大耐候性ポッド - 防寒キャンプテント - ベージュ")</f>
        <v>Alvantor ポップアップバブルテント - 6フィート x 6フィート インスタントイグルーテント - パティオ用2～3人用スクリーンハウス - 大型特大耐候性ポッド - 防寒キャンプテント - ベージュ</v>
      </c>
    </row>
    <row r="5352" ht="15.75" customHeight="1">
      <c r="A5352" s="1">
        <v>5542.0</v>
      </c>
      <c r="B5352" s="1" t="s">
        <v>15</v>
      </c>
      <c r="C5352" s="1" t="s">
        <v>1844</v>
      </c>
      <c r="D5352" s="1" t="str">
        <f>IFERROR(__xludf.DUMMYFUNCTION("CONCATENATE(GOOGLETRANSLATE(C5352, ""en"", ""zh-cn""))"),"Giro Aries 球形成人公路自行车头盔")</f>
        <v>Giro Aries 球形成人公路自行车头盔</v>
      </c>
      <c r="E5352" s="1" t="str">
        <f>IFERROR(__xludf.DUMMYFUNCTION("CONCATENATE(GOOGLETRANSLATE(C5352, ""en"", ""ko""))"),"Giro Aries 구형 성인용 로드 자전거 헬멧")</f>
        <v>Giro Aries 구형 성인용 로드 자전거 헬멧</v>
      </c>
      <c r="F5352" s="1" t="str">
        <f>IFERROR(__xludf.DUMMYFUNCTION("CONCATENATE(GOOGLETRANSLATE(C5352, ""en"", ""ja""))"),"Giro Aries 球状大人用ロードバイク ヘルメット")</f>
        <v>Giro Aries 球状大人用ロードバイク ヘルメット</v>
      </c>
    </row>
    <row r="5353" ht="15.75" customHeight="1">
      <c r="A5353" s="1">
        <v>5546.0</v>
      </c>
      <c r="B5353" s="1" t="s">
        <v>15</v>
      </c>
      <c r="C5353" s="1" t="s">
        <v>1905</v>
      </c>
      <c r="D5353" s="1" t="str">
        <f>IFERROR(__xludf.DUMMYFUNCTION("CONCATENATE(GOOGLETRANSLATE(C5353, ""en"", ""zh-cn""))"),"Lake MX241 耐力骑行鞋 - 男士")</f>
        <v>Lake MX241 耐力骑行鞋 - 男士</v>
      </c>
      <c r="E5353" s="1" t="str">
        <f>IFERROR(__xludf.DUMMYFUNCTION("CONCATENATE(GOOGLETRANSLATE(C5353, ""en"", ""ko""))"),"Lake MX241 인듀어런스 사이클링 슈즈 - 남성용")</f>
        <v>Lake MX241 인듀어런스 사이클링 슈즈 - 남성용</v>
      </c>
      <c r="F5353" s="1" t="str">
        <f>IFERROR(__xludf.DUMMYFUNCTION("CONCATENATE(GOOGLETRANSLATE(C5353, ""en"", ""ja""))"),"Lake MX241 エンデュランス サイクリング シューズ - メンズ")</f>
        <v>Lake MX241 エンデュランス サイクリング シューズ - メンズ</v>
      </c>
    </row>
    <row r="5354" ht="15.75" customHeight="1">
      <c r="A5354" s="1">
        <v>5547.0</v>
      </c>
      <c r="B5354" s="1" t="s">
        <v>15</v>
      </c>
      <c r="C5354" s="1" t="s">
        <v>2845</v>
      </c>
      <c r="D5354" s="1" t="str">
        <f>IFERROR(__xludf.DUMMYFUNCTION("CONCATENATE(GOOGLETRANSLATE(C5354, ""en"", ""zh-cn""))"),"Igloo BMX 72 夸脱冷却器采用 Cool Riser 技术、鱼尺和系紧点")</f>
        <v>Igloo BMX 72 夸脱冷却器采用 Cool Riser 技术、鱼尺和系紧点</v>
      </c>
      <c r="E5354" s="1" t="str">
        <f>IFERROR(__xludf.DUMMYFUNCTION("CONCATENATE(GOOGLETRANSLATE(C5354, ""en"", ""ko""))"),"쿨 라이저 기술, 피시 눈금자 및 타이다운 포인트를 갖춘 이글루 BMX 72쿼트 쿨러")</f>
        <v>쿨 라이저 기술, 피시 눈금자 및 타이다운 포인트를 갖춘 이글루 BMX 72쿼트 쿨러</v>
      </c>
      <c r="F5354" s="1" t="str">
        <f>IFERROR(__xludf.DUMMYFUNCTION("CONCATENATE(GOOGLETRANSLATE(C5354, ""en"", ""ja""))"),"Igloo BMX 72 クォート クーラー、クール ライザー テクノロジー、フィッシュ ルーラー、タイダウン ポイント付き")</f>
        <v>Igloo BMX 72 クォート クーラー、クール ライザー テクノロジー、フィッシュ ルーラー、タイダウン ポイント付き</v>
      </c>
    </row>
    <row r="5355" ht="15.75" customHeight="1">
      <c r="A5355" s="1">
        <v>5566.0</v>
      </c>
      <c r="B5355" s="1" t="s">
        <v>15</v>
      </c>
      <c r="C5355" s="1" t="s">
        <v>3267</v>
      </c>
      <c r="D5355" s="1" t="str">
        <f>IFERROR(__xludf.DUMMYFUNCTION("CONCATENATE(GOOGLETRANSLATE(C5355, ""en"", ""zh-cn""))"),"罗林斯| HEART OF THE HIDE 棒球手套 |传统的闯入|多种风格")</f>
        <v>罗林斯| HEART OF THE HIDE 棒球手套 |传统的闯入|多种风格</v>
      </c>
      <c r="E5355" s="1" t="str">
        <f>IFERROR(__xludf.DUMMYFUNCTION("CONCATENATE(GOOGLETRANSLATE(C5355, ""en"", ""ko""))"),"롤링스 | 숨은 야구 글러브의 심장 | 전통적인 침입 | 다양한 스타일")</f>
        <v>롤링스 | 숨은 야구 글러브의 심장 | 전통적인 침입 | 다양한 스타일</v>
      </c>
      <c r="F5355" s="1" t="str">
        <f>IFERROR(__xludf.DUMMYFUNCTION("CONCATENATE(GOOGLETRANSLATE(C5355, ""en"", ""ja""))"),"ローリングス | HEART OF THE HIDE 野球グローブ |従来の慣らし運転 |複数のスタイル")</f>
        <v>ローリングス | HEART OF THE HIDE 野球グローブ |従来の慣らし運転 |複数のスタイル</v>
      </c>
    </row>
    <row r="5356" ht="15.75" customHeight="1">
      <c r="A5356" s="1">
        <v>5578.0</v>
      </c>
      <c r="B5356" s="1" t="s">
        <v>15</v>
      </c>
      <c r="C5356" s="1" t="s">
        <v>3221</v>
      </c>
      <c r="D5356" s="1" t="str">
        <f>IFERROR(__xludf.DUMMYFUNCTION("CONCATENATE(GOOGLETRANSLATE(C5356, ""en"", ""zh-cn""))"),"3G Cardio Elite UB 立式健身车 - 商业级 - 占地面积紧凑 - 超舒适座椅 - 抗磁 - 350 磅用户容量")</f>
        <v>3G Cardio Elite UB 立式健身车 - 商业级 - 占地面积紧凑 - 超舒适座椅 - 抗磁 - 350 磅用户容量</v>
      </c>
      <c r="E5356" s="1" t="str">
        <f>IFERROR(__xludf.DUMMYFUNCTION("CONCATENATE(GOOGLETRANSLATE(C5356, ""en"", ""ko""))"),"3G Cardio Elite UB 직립 자전거 - 상업용 등급 - 컴팩트한 설치 공간 - 매우 편안한 시트 - 자기 저항 - 350 LB 사용자 용량")</f>
        <v>3G Cardio Elite UB 직립 자전거 - 상업용 등급 - 컴팩트한 설치 공간 - 매우 편안한 시트 - 자기 저항 - 350 LB 사용자 용량</v>
      </c>
      <c r="F5356" s="1" t="str">
        <f>IFERROR(__xludf.DUMMYFUNCTION("CONCATENATE(GOOGLETRANSLATE(C5356, ""en"", ""ja""))"),"3G カーディオ エリート UB アップライト バイク - 商用グレード - コンパクトな設置面積 - 超快適なシート - 磁気抵抗 - 350 ポンドのユーザー容量")</f>
        <v>3G カーディオ エリート UB アップライト バイク - 商用グレード - コンパクトな設置面積 - 超快適なシート - 磁気抵抗 - 350 ポンドのユーザー容量</v>
      </c>
    </row>
    <row r="5357" ht="15.75" customHeight="1">
      <c r="A5357" s="1">
        <v>5579.0</v>
      </c>
      <c r="B5357" s="1" t="s">
        <v>15</v>
      </c>
      <c r="C5357" s="1" t="s">
        <v>3639</v>
      </c>
      <c r="D5357" s="1" t="str">
        <f>IFERROR(__xludf.DUMMYFUNCTION("CONCATENATE(GOOGLETRANSLATE(C5357, ""en"", ""zh-cn""))"),"卡车 2 的 Supertop - '09-10 Ram 1500； ’11-21 1500；适用于 5.5 英尺床；不带 RamBox")</f>
        <v>卡车 2 的 Supertop - '09-10 Ram 1500； ’11-21 1500；适用于 5.5 英尺床；不带 RamBox</v>
      </c>
      <c r="E5357" s="1" t="str">
        <f>IFERROR(__xludf.DUMMYFUNCTION("CONCATENATE(GOOGLETRANSLATE(C5357, ""en"", ""ko""))"),"트럭 2용 슈퍼탑 - ’09-10 Ram 1500; ’11-21 1500; 5.5피트 침대용; RamBox 없음")</f>
        <v>트럭 2용 슈퍼탑 - ’09-10 Ram 1500; ’11-21 1500; 5.5피트 침대용; RamBox 없음</v>
      </c>
      <c r="F5357" s="1" t="str">
        <f>IFERROR(__xludf.DUMMYFUNCTION("CONCATENATE(GOOGLETRANSLATE(C5357, ""en"", ""ja""))"),"トラック 2 用スーパートップ - '09-10 Ram 1500; ’11-21 1500; 5.5フィートのベッド用。 RamBoxなし")</f>
        <v>トラック 2 用スーパートップ - '09-10 Ram 1500; ’11-21 1500; 5.5フィートのベッド用。 RamBoxなし</v>
      </c>
    </row>
    <row r="5358" ht="15.75" customHeight="1">
      <c r="A5358" s="1">
        <v>5599.0</v>
      </c>
      <c r="B5358" s="1" t="s">
        <v>15</v>
      </c>
      <c r="C5358" s="1" t="s">
        <v>1649</v>
      </c>
      <c r="D5358" s="1" t="str">
        <f>IFERROR(__xludf.DUMMYFUNCTION("CONCATENATE(GOOGLETRANSLATE(C5358, ""en"", ""zh-cn""))"),"GAN 机器人，魔方解谜机自动解谜器和解谜器，兼容 GAN 356i2 i3 iplay iCarry Speed Cubes（不含魔方）和最新版本 APP")</f>
        <v>GAN 机器人，魔方解谜机自动解谜器和解谜器，兼容 GAN 356i2 i3 iplay iCarry Speed Cubes（不含魔方）和最新版本 APP</v>
      </c>
      <c r="E5358" s="1" t="str">
        <f>IFERROR(__xludf.DUMMYFUNCTION("CONCATENATE(GOOGLETRANSLATE(C5358, ""en"", ""ko""))"),"GAN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5358" s="1" t="str">
        <f>IFERROR(__xludf.DUMMYFUNCTION("CONCATENATE(GOOGLETRANSLATE(C5358, ""en"", ""ja""))"),"GAN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5359" ht="15.75" customHeight="1">
      <c r="A5359" s="1">
        <v>5614.0</v>
      </c>
      <c r="B5359" s="1" t="s">
        <v>15</v>
      </c>
      <c r="C5359" s="1" t="s">
        <v>1826</v>
      </c>
      <c r="D5359" s="1" t="str">
        <f>IFERROR(__xludf.DUMMYFUNCTION("CONCATENATE(GOOGLETRANSLATE(C5359, ""en"", ""zh-cn""))"),"GAN 460 M 速度魔方， 4x4 磁性魔方 Gans 460M 拼图玩具（无贴纸）")</f>
        <v>GAN 460 M 速度魔方， 4x4 磁性魔方 Gans 460M 拼图玩具（无贴纸）</v>
      </c>
      <c r="E5359" s="1" t="str">
        <f>IFERROR(__xludf.DUMMYFUNCTION("CONCATENATE(GOOGLETRANSLATE(C5359, ""en"", ""ko""))"),"GAN 460 M 스피드 큐브, 4x4 마그네틱 마스터 큐브 Gans 460M 퍼즐 장난감(스티커 없음)")</f>
        <v>GAN 460 M 스피드 큐브, 4x4 마그네틱 마스터 큐브 Gans 460M 퍼즐 장난감(스티커 없음)</v>
      </c>
      <c r="F5359" s="1" t="str">
        <f>IFERROR(__xludf.DUMMYFUNCTION("CONCATENATE(GOOGLETRANSLATE(C5359, ""en"", ""ja""))"),"GAN 460 M スピード キューブ、4x4 磁気マスター キューブ Gans 460M パズルおもちゃ (ステッカーなし)")</f>
        <v>GAN 460 M スピード キューブ、4x4 磁気マスター キューブ Gans 460M パズルおもちゃ (ステッカーなし)</v>
      </c>
    </row>
    <row r="5360" ht="15.75" customHeight="1">
      <c r="A5360" s="1">
        <v>5617.0</v>
      </c>
      <c r="B5360" s="1" t="s">
        <v>15</v>
      </c>
      <c r="C5360" s="1" t="s">
        <v>2327</v>
      </c>
      <c r="D5360" s="1" t="str">
        <f>IFERROR(__xludf.DUMMYFUNCTION("CONCATENATE(GOOGLETRANSLATE(C5360, ""en"", ""zh-cn""))"),"GAN 356 i 3 无贴纸速度魔方，3x3 智能魔方 356 i3 甘斯磁力魔方智能跟踪计时运动步骤与 CubeStation 应用程序甘魔方拼图玩具（不含 GAN 机器人）")</f>
        <v>GAN 356 i 3 无贴纸速度魔方，3x3 智能魔方 356 i3 甘斯磁力魔方智能跟踪计时运动步骤与 CubeStation 应用程序甘魔方拼图玩具（不含 GAN 机器人）</v>
      </c>
      <c r="E5360" s="1" t="str">
        <f>IFERROR(__xludf.DUMMYFUNCTION("CONCATENATE(GOOGLETRANSLATE(C5360, ""en"", ""ko""))"),"GAN 356 i 3 스티커 없는 스피드 큐브, 3x3 스마트 큐브 356 i3 Gans 마그네틱 큐브 CubeStation 앱을 사용한 지능형 추적 타이밍 동작 단계 Gan 큐브 퍼즐 장난감(GAN 로봇은 포함되지 않음)")</f>
        <v>GAN 356 i 3 스티커 없는 스피드 큐브, 3x3 스마트 큐브 356 i3 Gans 마그네틱 큐브 CubeStation 앱을 사용한 지능형 추적 타이밍 동작 단계 Gan 큐브 퍼즐 장난감(GAN 로봇은 포함되지 않음)</v>
      </c>
      <c r="F5360" s="1" t="str">
        <f>IFERROR(__xludf.DUMMYFUNCTION("CONCATENATE(GOOGLETRANSLATE(C5360, ""en"", ""ja""))"),"GAN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f>
        <v>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v>
      </c>
    </row>
    <row r="5361" ht="15.75" customHeight="1">
      <c r="A5361" s="1">
        <v>5619.0</v>
      </c>
      <c r="B5361" s="1" t="s">
        <v>15</v>
      </c>
      <c r="C5361" s="1" t="s">
        <v>1825</v>
      </c>
      <c r="D5361" s="1" t="str">
        <f>IFERROR(__xludf.DUMMYFUNCTION("CONCATENATE(GOOGLETRANSLATE(C5361, ""en"", ""zh-cn""))"),"1500 块木制拼图桌 - 6 个抽屉，拼图板 | 27” X 35” 便携式拼图板 - 便携式拼图桌 |适合成人和儿童")</f>
        <v>1500 块木制拼图桌 - 6 个抽屉，拼图板 | 27” X 35” 便携式拼图板 - 便携式拼图桌 |适合成人和儿童</v>
      </c>
      <c r="E5361" s="1" t="str">
        <f>IFERROR(__xludf.DUMMYFUNCTION("CONCATENATE(GOOGLETRANSLATE(C5361, ""en"", ""ko""))"),"1500피스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5361" s="1" t="str">
        <f>IFERROR(__xludf.DUMMYFUNCTION("CONCATENATE(GOOGLETRANSLATE(C5361, ""en"", ""ja""))"),"1500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5362" ht="15.75" customHeight="1">
      <c r="A5362" s="1">
        <v>5626.0</v>
      </c>
      <c r="B5362" s="1" t="s">
        <v>15</v>
      </c>
      <c r="C5362" s="1" t="s">
        <v>1844</v>
      </c>
      <c r="D5362" s="1" t="str">
        <f>IFERROR(__xludf.DUMMYFUNCTION("CONCATENATE(GOOGLETRANSLATE(C5362, ""en"", ""zh-cn""))"),"Giro Aries 球形成人公路自行车头盔")</f>
        <v>Giro Aries 球形成人公路自行车头盔</v>
      </c>
      <c r="E5362" s="1" t="str">
        <f>IFERROR(__xludf.DUMMYFUNCTION("CONCATENATE(GOOGLETRANSLATE(C5362, ""en"", ""ko""))"),"Giro Aries 구형 성인용 로드 자전거 헬멧")</f>
        <v>Giro Aries 구형 성인용 로드 자전거 헬멧</v>
      </c>
      <c r="F5362" s="1" t="str">
        <f>IFERROR(__xludf.DUMMYFUNCTION("CONCATENATE(GOOGLETRANSLATE(C5362, ""en"", ""ja""))"),"Giro Aries 球状大人用ロードバイク ヘルメット")</f>
        <v>Giro Aries 球状大人用ロードバイク ヘルメット</v>
      </c>
    </row>
    <row r="5363" ht="15.75" customHeight="1">
      <c r="A5363" s="1">
        <v>5628.0</v>
      </c>
      <c r="B5363" s="1" t="s">
        <v>381</v>
      </c>
      <c r="C5363" s="1" t="s">
        <v>806</v>
      </c>
      <c r="D5363" s="1" t="str">
        <f>IFERROR(__xludf.DUMMYFUNCTION("CONCATENATE(GOOGLETRANSLATE(C5363, ""en"", ""zh-cn""))"),"女式休闲格子半纽扣长袖长连衣裙")</f>
        <v>女式休闲格子半纽扣长袖长连衣裙</v>
      </c>
      <c r="E5363" s="1" t="str">
        <f>IFERROR(__xludf.DUMMYFUNCTION("CONCATENATE(GOOGLETRANSLATE(C5363, ""en"", ""ko""))"),"여성 캐주얼 격자 무늬 반 단추 전면 긴 소매 맥시 드레스")</f>
        <v>여성 캐주얼 격자 무늬 반 단추 전면 긴 소매 맥시 드레스</v>
      </c>
      <c r="F5363" s="1" t="str">
        <f>IFERROR(__xludf.DUMMYFUNCTION("CONCATENATE(GOOGLETRANSLATE(C5363, ""en"", ""ja""))"),"女性カジュアルチェック柄ハーフボタンフロント長袖マキシドレス")</f>
        <v>女性カジュアルチェック柄ハーフボタンフロント長袖マキシドレス</v>
      </c>
    </row>
    <row r="5364" ht="15.75" customHeight="1">
      <c r="A5364" s="1">
        <v>5630.0</v>
      </c>
      <c r="B5364" s="1" t="s">
        <v>15</v>
      </c>
      <c r="C5364" s="1" t="s">
        <v>1827</v>
      </c>
      <c r="D5364" s="1" t="str">
        <f>IFERROR(__xludf.DUMMYFUNCTION("CONCATENATE(GOOGLETRANSLATE(C5364, ""en"", ""zh-cn""))"),"宁神茶丸 甘麦大枣丸 (1000 茶丸)3383E-MAYWAY by Mayway")</f>
        <v>宁神茶丸 甘麦大枣丸 (1000 茶丸)3383E-MAYWAY by Mayway</v>
      </c>
      <c r="E5364" s="1" t="str">
        <f>IFERROR(__xludf.DUMMYFUNCTION("CONCATENATE(GOOGLETRANSLATE(C5364, ""en"", ""ko""))"),"Calm Spirit Teapills Gan Mai Da Zao Wan (1000 티필)3383E-MAYWAY by Mayway")</f>
        <v>Calm Spirit Teapills Gan Mai Da Zao Wan (1000 티필)3383E-MAYWAY by Mayway</v>
      </c>
      <c r="F5364" s="1" t="str">
        <f>IFERROR(__xludf.DUMMYFUNCTION("CONCATENATE(GOOGLETRANSLATE(C5364, ""en"", ""ja""))"),"Calm Spirit Teapills Gan Mai Da Zao Wan (1000 Teapills)3383E-MAYWAY by Mayway")</f>
        <v>Calm Spirit Teapills Gan Mai Da Zao Wan (1000 Teapills)3383E-MAYWAY by Mayway</v>
      </c>
    </row>
    <row r="5365" ht="15.75" customHeight="1">
      <c r="A5365" s="1">
        <v>5631.0</v>
      </c>
      <c r="B5365" s="1" t="s">
        <v>15</v>
      </c>
      <c r="C5365" s="1" t="s">
        <v>2327</v>
      </c>
      <c r="D5365" s="1" t="str">
        <f>IFERROR(__xludf.DUMMYFUNCTION("CONCATENATE(GOOGLETRANSLATE(C5365, ""en"", ""zh-cn""))"),"GAN 356 i 3 无贴纸速度魔方，3x3 智能魔方 356 i3 甘斯磁力魔方智能跟踪计时运动步骤与 CubeStation 应用程序甘魔方拼图玩具（不含 GAN 机器人）")</f>
        <v>GAN 356 i 3 无贴纸速度魔方，3x3 智能魔方 356 i3 甘斯磁力魔方智能跟踪计时运动步骤与 CubeStation 应用程序甘魔方拼图玩具（不含 GAN 机器人）</v>
      </c>
      <c r="E5365" s="1" t="str">
        <f>IFERROR(__xludf.DUMMYFUNCTION("CONCATENATE(GOOGLETRANSLATE(C5365, ""en"", ""ko""))"),"GAN 356 i 3 스티커 없는 스피드 큐브, 3x3 스마트 큐브 356 i3 Gans 마그네틱 큐브 CubeStation 앱을 사용한 지능형 추적 타이밍 동작 단계 Gan 큐브 퍼즐 장난감(GAN 로봇은 포함되지 않음)")</f>
        <v>GAN 356 i 3 스티커 없는 스피드 큐브, 3x3 스마트 큐브 356 i3 Gans 마그네틱 큐브 CubeStation 앱을 사용한 지능형 추적 타이밍 동작 단계 Gan 큐브 퍼즐 장난감(GAN 로봇은 포함되지 않음)</v>
      </c>
      <c r="F5365" s="1" t="str">
        <f>IFERROR(__xludf.DUMMYFUNCTION("CONCATENATE(GOOGLETRANSLATE(C5365, ""en"", ""ja""))"),"GAN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f>
        <v>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v>
      </c>
    </row>
    <row r="5366" ht="15.75" customHeight="1">
      <c r="A5366" s="1">
        <v>5635.0</v>
      </c>
      <c r="B5366" s="1" t="s">
        <v>15</v>
      </c>
      <c r="C5366" s="1" t="s">
        <v>1842</v>
      </c>
      <c r="D5366" s="1" t="str">
        <f>IFERROR(__xludf.DUMMYFUNCTION("CONCATENATE(GOOGLETRANSLATE(C5366, ""en"", ""zh-cn""))"),"波克芬诺 GAN Megaminx M 3x3 速度魔方 Gan 五角形磁性无贴纸魔法拼图魔方玩具")</f>
        <v>波克芬诺 GAN Megaminx M 3x3 速度魔方 Gan 五角形磁性无贴纸魔法拼图魔方玩具</v>
      </c>
      <c r="E5366" s="1" t="str">
        <f>IFERROR(__xludf.DUMMYFUNCTION("CONCATENATE(GOOGLETRANSLATE(C5366, ""en"", ""ko""))"),"Bokefenuo GAN Megaminx M 3x3 스피드 큐브 Gan 오각형 자기 스티커가없는 매직 퍼즐 큐브 장난감")</f>
        <v>Bokefenuo GAN Megaminx M 3x3 스피드 큐브 Gan 오각형 자기 스티커가없는 매직 퍼즐 큐브 장난감</v>
      </c>
      <c r="F5366" s="1" t="str">
        <f>IFERROR(__xludf.DUMMYFUNCTION("CONCATENATE(GOOGLETRANSLATE(C5366, ""en"", ""ja""))"),"Bokefenuo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5367" ht="15.75" customHeight="1">
      <c r="A5367" s="1">
        <v>5636.0</v>
      </c>
      <c r="B5367" s="1" t="s">
        <v>15</v>
      </c>
      <c r="C5367" s="1" t="s">
        <v>1648</v>
      </c>
      <c r="D5367" s="1" t="str">
        <f>IFERROR(__xludf.DUMMYFUNCTION("CONCATENATE(GOOGLETRANSLATE(C5367, ""en"", ""zh-cn""))"),"CuberShop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5367" s="1" t="str">
        <f>IFERROR(__xludf.DUMMYFUNCTION("CONCATENATE(GOOGLETRANSLATE(C5367, ""en"", ""ko""))"),"CuberShop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5367" s="1" t="str">
        <f>IFERROR(__xludf.DUMMYFUNCTION("CONCATENATE(GOOGLETRANSLATE(C5367, ""en"", ""ja""))"),"CuberShop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5368" ht="15.75" customHeight="1">
      <c r="A5368" s="1">
        <v>5638.0</v>
      </c>
      <c r="B5368" s="1" t="s">
        <v>15</v>
      </c>
      <c r="C5368" s="1" t="s">
        <v>1903</v>
      </c>
      <c r="D5368" s="1" t="str">
        <f>IFERROR(__xludf.DUMMYFUNCTION("CONCATENATE(GOOGLETRANSLATE(C5368, ""en"", ""zh-cn""))"),"CuberShop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5368" s="1" t="str">
        <f>IFERROR(__xludf.DUMMYFUNCTION("CONCATENATE(GOOGLETRANSLATE(C5368, ""en"", ""ko""))"),"CuberShop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5368" s="1" t="str">
        <f>IFERROR(__xludf.DUMMYFUNCTION("CONCATENATE(GOOGLETRANSLATE(C5368, ""en"", ""ja""))"),"CuberShop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5369" ht="15.75" customHeight="1">
      <c r="A5369" s="1">
        <v>5663.0</v>
      </c>
      <c r="B5369" s="1" t="s">
        <v>15</v>
      </c>
      <c r="C5369" s="1" t="s">
        <v>1826</v>
      </c>
      <c r="D5369" s="1" t="str">
        <f>IFERROR(__xludf.DUMMYFUNCTION("CONCATENATE(GOOGLETRANSLATE(C5369, ""en"", ""zh-cn""))"),"GAN 460 M 速度魔方， 4x4 磁性魔方 Gans 460M 拼图玩具（无贴纸）")</f>
        <v>GAN 460 M 速度魔方， 4x4 磁性魔方 Gans 460M 拼图玩具（无贴纸）</v>
      </c>
      <c r="E5369" s="1" t="str">
        <f>IFERROR(__xludf.DUMMYFUNCTION("CONCATENATE(GOOGLETRANSLATE(C5369, ""en"", ""ko""))"),"GAN 460 M 스피드 큐브, 4x4 마그네틱 마스터 큐브 Gans 460M 퍼즐 장난감(스티커 없음)")</f>
        <v>GAN 460 M 스피드 큐브, 4x4 마그네틱 마스터 큐브 Gans 460M 퍼즐 장난감(스티커 없음)</v>
      </c>
      <c r="F5369" s="1" t="str">
        <f>IFERROR(__xludf.DUMMYFUNCTION("CONCATENATE(GOOGLETRANSLATE(C5369, ""en"", ""ja""))"),"GAN 460 M スピード キューブ、4x4 磁気マスター キューブ Gans 460M パズルおもちゃ (ステッカーなし)")</f>
        <v>GAN 460 M スピード キューブ、4x4 磁気マスター キューブ Gans 460M パズルおもちゃ (ステッカーなし)</v>
      </c>
    </row>
    <row r="5370" ht="15.75" customHeight="1">
      <c r="A5370" s="1">
        <v>5666.0</v>
      </c>
      <c r="B5370" s="1" t="s">
        <v>15</v>
      </c>
      <c r="C5370" s="1" t="s">
        <v>1847</v>
      </c>
      <c r="D5370" s="1" t="str">
        <f>IFERROR(__xludf.DUMMYFUNCTION("CONCATENATE(GOOGLETRANSLATE(C5370, ""en"", ""zh-cn""))"),"Bukefuno GAN 12 Maglev 3x3 磁性魔方 GAN12Maglev Speed GAN 12Maglev 拼图魔方 GAN12 Maglev 3x3 魔方（磨砂表面无贴纸）")</f>
        <v>Bukefuno GAN 12 Maglev 3x3 磁性魔方 GAN12Maglev Speed GAN 12Maglev 拼图魔方 GAN12 Maglev 3x3 魔方（磨砂表面无贴纸）</v>
      </c>
      <c r="E5370" s="1" t="str">
        <f>IFERROR(__xludf.DUMMYFUNCTION("CONCATENATE(GOOGLETRANSLATE(C5370, ""en"", ""ko""))"),"Bukefuno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5370" s="1" t="str">
        <f>IFERROR(__xludf.DUMMYFUNCTION("CONCATENATE(GOOGLETRANSLATE(C5370, ""en"", ""ja""))"),"Bukefuno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5371" ht="15.75" customHeight="1">
      <c r="A5371" s="1">
        <v>5676.0</v>
      </c>
      <c r="B5371" s="1" t="s">
        <v>15</v>
      </c>
      <c r="C5371" s="1" t="s">
        <v>4499</v>
      </c>
      <c r="D5371" s="1" t="str">
        <f>IFERROR(__xludf.DUMMYFUNCTION("CONCATENATE(GOOGLETRANSLATE(C5371, ""en"", ""zh-cn""))"),"Aritzia Wilfred 女式 Goodlux Bloomsbury 连衣裙")</f>
        <v>Aritzia Wilfred 女式 Goodlux Bloomsbury 连衣裙</v>
      </c>
      <c r="E5371" s="1" t="str">
        <f>IFERROR(__xludf.DUMMYFUNCTION("CONCATENATE(GOOGLETRANSLATE(C5371, ""en"", ""ko""))"),"Aritzia Wilfred 여성 Goodlux 블룸스버리 드레스")</f>
        <v>Aritzia Wilfred 여성 Goodlux 블룸스버리 드레스</v>
      </c>
      <c r="F5371" s="1" t="str">
        <f>IFERROR(__xludf.DUMMYFUNCTION("CONCATENATE(GOOGLETRANSLATE(C5371, ""en"", ""ja""))"),"Aritzia Wilfred レディース Goodlux Bloomsbury ドレス")</f>
        <v>Aritzia Wilfred レディース Goodlux Bloomsbury ドレス</v>
      </c>
    </row>
    <row r="5372" ht="15.75" customHeight="1">
      <c r="A5372" s="1">
        <v>5684.0</v>
      </c>
      <c r="B5372" s="1" t="s">
        <v>15</v>
      </c>
      <c r="C5372" s="1" t="s">
        <v>4500</v>
      </c>
      <c r="D5372" s="1" t="str">
        <f>IFERROR(__xludf.DUMMYFUNCTION("CONCATENATE(GOOGLETRANSLATE(C5372, ""en"", ""zh-cn""))"),"Aeropostale 女式棉质套头连帽衫")</f>
        <v>Aeropostale 女式棉质套头连帽衫</v>
      </c>
      <c r="E5372" s="1" t="str">
        <f>IFERROR(__xludf.DUMMYFUNCTION("CONCATENATE(GOOGLETRANSLATE(C5372, ""en"", ""ko""))"),"Aeropostale 여성용 면 풀오버 후디")</f>
        <v>Aeropostale 여성용 면 풀오버 후디</v>
      </c>
      <c r="F5372" s="1" t="str">
        <f>IFERROR(__xludf.DUMMYFUNCTION("CONCATENATE(GOOGLETRANSLATE(C5372, ""en"", ""ja""))"),"Aeropostale レディース コットン プルオーバー パーカー")</f>
        <v>Aeropostale レディース コットン プルオーバー パーカー</v>
      </c>
    </row>
    <row r="5373" ht="15.75" customHeight="1">
      <c r="A5373" s="1">
        <v>5690.0</v>
      </c>
      <c r="B5373" s="1" t="s">
        <v>15</v>
      </c>
      <c r="C5373" s="1" t="s">
        <v>4501</v>
      </c>
      <c r="D5373" s="1" t="str">
        <f>IFERROR(__xludf.DUMMYFUNCTION("CONCATENATE(GOOGLETRANSLATE(C5373, ""en"", ""zh-cn""))"),"女士束腰外衣")</f>
        <v>女士束腰外衣</v>
      </c>
      <c r="E5373" s="1" t="str">
        <f>IFERROR(__xludf.DUMMYFUNCTION("CONCATENATE(GOOGLETRANSLATE(C5373, ""en"", ""ko""))"),"여성용 튜닉")</f>
        <v>여성용 튜닉</v>
      </c>
      <c r="F5373" s="1" t="str">
        <f>IFERROR(__xludf.DUMMYFUNCTION("CONCATENATE(GOOGLETRANSLATE(C5373, ""en"", ""ja""))"),"レディースチュニック")</f>
        <v>レディースチュニック</v>
      </c>
    </row>
    <row r="5374" ht="15.75" customHeight="1">
      <c r="A5374" s="1">
        <v>5694.0</v>
      </c>
      <c r="B5374" s="1" t="s">
        <v>15</v>
      </c>
      <c r="C5374" s="1" t="s">
        <v>4502</v>
      </c>
      <c r="D5374" s="1" t="str">
        <f>IFERROR(__xludf.DUMMYFUNCTION("CONCATENATE(GOOGLETRANSLATE(C5374, ""en"", ""zh-cn""))"),"Duluth Trading Company 女式 Ponte Pro 针织 3/4 袖连衣裙")</f>
        <v>Duluth Trading Company 女式 Ponte Pro 针织 3/4 袖连衣裙</v>
      </c>
      <c r="E5374" s="1" t="str">
        <f>IFERROR(__xludf.DUMMYFUNCTION("CONCATENATE(GOOGLETRANSLATE(C5374, ""en"", ""ko""))"),"Duluth Trading Company 여성 Ponte Pro 니트 3/4 슬리브 드레스")</f>
        <v>Duluth Trading Company 여성 Ponte Pro 니트 3/4 슬리브 드레스</v>
      </c>
      <c r="F5374" s="1" t="str">
        <f>IFERROR(__xludf.DUMMYFUNCTION("CONCATENATE(GOOGLETRANSLATE(C5374, ""en"", ""ja""))"),"Duluth Trading Company レディース ポンテ プロ ニット 3/4 スリーブ ドレス")</f>
        <v>Duluth Trading Company レディース ポンテ プロ ニット 3/4 スリーブ ドレス</v>
      </c>
    </row>
    <row r="5375" ht="15.75" customHeight="1">
      <c r="A5375" s="1">
        <v>5696.0</v>
      </c>
      <c r="B5375" s="1" t="s">
        <v>15</v>
      </c>
      <c r="C5375" s="1" t="s">
        <v>4503</v>
      </c>
      <c r="D5375" s="1" t="str">
        <f>IFERROR(__xludf.DUMMYFUNCTION("CONCATENATE(GOOGLETRANSLATE(C5375, ""en"", ""zh-cn""))"),"Boston Proper Beyond Travel 不对称连衣裙")</f>
        <v>Boston Proper Beyond Travel 不对称连衣裙</v>
      </c>
      <c r="E5375" s="1" t="str">
        <f>IFERROR(__xludf.DUMMYFUNCTION("CONCATENATE(GOOGLETRANSLATE(C5375, ""en"", ""ko""))"),"Boston Proper Beyond Travel 비대칭 드레스")</f>
        <v>Boston Proper Beyond Travel 비대칭 드레스</v>
      </c>
      <c r="F5375" s="1" t="str">
        <f>IFERROR(__xludf.DUMMYFUNCTION("CONCATENATE(GOOGLETRANSLATE(C5375, ""en"", ""ja""))"),"ボストンプロパービヨンドトラベル非対称ドレス")</f>
        <v>ボストンプロパービヨンドトラベル非対称ドレス</v>
      </c>
    </row>
    <row r="5376" ht="15.75" customHeight="1">
      <c r="A5376" s="1">
        <v>5700.0</v>
      </c>
      <c r="B5376" s="1" t="s">
        <v>15</v>
      </c>
      <c r="C5376" s="1" t="s">
        <v>4504</v>
      </c>
      <c r="D5376" s="1" t="str">
        <f>IFERROR(__xludf.DUMMYFUNCTION("CONCATENATE(GOOGLETRANSLATE(C5376, ""en"", ""zh-cn""))"),"Fashion Nova All for Look 中长连衣裙")</f>
        <v>Fashion Nova All for Look 中长连衣裙</v>
      </c>
      <c r="E5376" s="1" t="str">
        <f>IFERROR(__xludf.DUMMYFUNCTION("CONCATENATE(GOOGLETRANSLATE(C5376, ""en"", ""ko""))"),"패션 노바 올 포 룩스 미디 드레스")</f>
        <v>패션 노바 올 포 룩스 미디 드레스</v>
      </c>
      <c r="F5376" s="1" t="str">
        <f>IFERROR(__xludf.DUMMYFUNCTION("CONCATENATE(GOOGLETRANSLATE(C5376, ""en"", ""ja""))"),"ファッションノヴァオールフォールックスミディドレス")</f>
        <v>ファッションノヴァオールフォールックスミディドレス</v>
      </c>
    </row>
    <row r="5377" ht="15.75" customHeight="1">
      <c r="A5377" s="1">
        <v>5708.0</v>
      </c>
      <c r="B5377" s="1" t="s">
        <v>15</v>
      </c>
      <c r="C5377" s="1" t="s">
        <v>4505</v>
      </c>
      <c r="D5377" s="1" t="str">
        <f>IFERROR(__xludf.DUMMYFUNCTION("CONCATENATE(GOOGLETRANSLATE(C5377, ""en"", ""zh-cn""))"),"Quince 女式 Flowknit 阔腿裤")</f>
        <v>Quince 女式 Flowknit 阔腿裤</v>
      </c>
      <c r="E5377" s="1" t="str">
        <f>IFERROR(__xludf.DUMMYFUNCTION("CONCATENATE(GOOGLETRANSLATE(C5377, ""en"", ""ko""))"),"퀸스 여성용 플로우니트 와이드 레그 팬츠")</f>
        <v>퀸스 여성용 플로우니트 와이드 레그 팬츠</v>
      </c>
      <c r="F5377" s="1" t="str">
        <f>IFERROR(__xludf.DUMMYFUNCTION("CONCATENATE(GOOGLETRANSLATE(C5377, ""en"", ""ja""))"),"Quince レディース フローニット ワイドレッグ パンツ")</f>
        <v>Quince レディース フローニット ワイドレッグ パンツ</v>
      </c>
    </row>
    <row r="5378" ht="15.75" customHeight="1">
      <c r="A5378" s="1">
        <v>5711.0</v>
      </c>
      <c r="B5378" s="1" t="s">
        <v>15</v>
      </c>
      <c r="C5378" s="1" t="s">
        <v>4506</v>
      </c>
      <c r="D5378" s="1" t="str">
        <f>IFERROR(__xludf.DUMMYFUNCTION("CONCATENATE(GOOGLETRANSLATE(C5378, ""en"", ""zh-cn""))"),"女式时尚长袖针织毛衣")</f>
        <v>女式时尚长袖针织毛衣</v>
      </c>
      <c r="E5378" s="1" t="str">
        <f>IFERROR(__xludf.DUMMYFUNCTION("CONCATENATE(GOOGLETRANSLATE(C5378, ""en"", ""ko""))"),"여성용 트렌디 긴팔 니트 스웨터")</f>
        <v>여성용 트렌디 긴팔 니트 스웨터</v>
      </c>
      <c r="F5378" s="1" t="str">
        <f>IFERROR(__xludf.DUMMYFUNCTION("CONCATENATE(GOOGLETRANSLATE(C5378, ""en"", ""ja""))"),"レディーストレンディ長袖ニットセーター")</f>
        <v>レディーストレンディ長袖ニットセーター</v>
      </c>
    </row>
    <row r="5379" ht="15.75" customHeight="1">
      <c r="A5379" s="1">
        <v>5726.0</v>
      </c>
      <c r="B5379" s="1" t="s">
        <v>15</v>
      </c>
      <c r="C5379" s="1" t="s">
        <v>4507</v>
      </c>
      <c r="D5379" s="1" t="str">
        <f>IFERROR(__xludf.DUMMYFUNCTION("CONCATENATE(GOOGLETRANSLATE(C5379, ""en"", ""zh-cn""))"),"Bonobos 专为男士定制的办公桌到晚餐衬衫")</f>
        <v>Bonobos 专为男士定制的办公桌到晚餐衬衫</v>
      </c>
      <c r="E5379" s="1" t="str">
        <f>IFERROR(__xludf.DUMMYFUNCTION("CONCATENATE(GOOGLETRANSLATE(C5379, ""en"", ""ko""))"),"보노보스의 남성용 데스크 투 디너 셔츠")</f>
        <v>보노보스의 남성용 데스크 투 디너 셔츠</v>
      </c>
      <c r="F5379" s="1" t="str">
        <f>IFERROR(__xludf.DUMMYFUNCTION("CONCATENATE(GOOGLETRANSLATE(C5379, ""en"", ""ja""))"),"Bonobos の男性向けデスク トゥ ディナー シャツ")</f>
        <v>Bonobos の男性向けデスク トゥ ディナー シャツ</v>
      </c>
    </row>
    <row r="5380" ht="15.75" customHeight="1">
      <c r="A5380" s="1">
        <v>5739.0</v>
      </c>
      <c r="B5380" s="1" t="s">
        <v>15</v>
      </c>
      <c r="C5380" s="1" t="s">
        <v>4508</v>
      </c>
      <c r="D5380" s="1" t="str">
        <f>IFERROR(__xludf.DUMMYFUNCTION("CONCATENATE(GOOGLETRANSLATE(C5380, ""en"", ""zh-cn""))"),"Fashion Nova 男士黑钻衬衫")</f>
        <v>Fashion Nova 男士黑钻衬衫</v>
      </c>
      <c r="E5380" s="1" t="str">
        <f>IFERROR(__xludf.DUMMYFUNCTION("CONCATENATE(GOOGLETRANSLATE(C5380, ""en"", ""ko""))"),"패션 노바 남성용 다크 다이아몬드 셔츠")</f>
        <v>패션 노바 남성용 다크 다이아몬드 셔츠</v>
      </c>
      <c r="F5380" s="1" t="str">
        <f>IFERROR(__xludf.DUMMYFUNCTION("CONCATENATE(GOOGLETRANSLATE(C5380, ""en"", ""ja""))"),"ファッション ノヴァ メンズ ダーク ダイヤモンド シャツ")</f>
        <v>ファッション ノヴァ メンズ ダーク ダイヤモンド シャツ</v>
      </c>
    </row>
    <row r="5381" ht="15.75" customHeight="1">
      <c r="A5381" s="1">
        <v>5753.0</v>
      </c>
      <c r="B5381" s="1" t="s">
        <v>15</v>
      </c>
      <c r="C5381" s="1" t="s">
        <v>4509</v>
      </c>
      <c r="D5381" s="1" t="str">
        <f>IFERROR(__xludf.DUMMYFUNCTION("CONCATENATE(GOOGLETRANSLATE(C5381, ""en"", ""zh-cn""))"),"Darkflash Micro-ATX 游戏电脑机箱")</f>
        <v>Darkflash Micro-ATX 游戏电脑机箱</v>
      </c>
      <c r="E5381" s="1" t="str">
        <f>IFERROR(__xludf.DUMMYFUNCTION("CONCATENATE(GOOGLETRANSLATE(C5381, ""en"", ""ko""))"),"Darkflash Micro-ATX 게이밍 PC 케이스")</f>
        <v>Darkflash Micro-ATX 게이밍 PC 케이스</v>
      </c>
      <c r="F5381" s="1" t="str">
        <f>IFERROR(__xludf.DUMMYFUNCTION("CONCATENATE(GOOGLETRANSLATE(C5381, ""en"", ""ja""))"),"Darkflash Micro-ATX ゲーミング PC ケース")</f>
        <v>Darkflash Micro-ATX ゲーミング PC ケース</v>
      </c>
    </row>
    <row r="5382" ht="15.75" customHeight="1">
      <c r="A5382" s="1">
        <v>5759.0</v>
      </c>
      <c r="B5382" s="1" t="s">
        <v>15</v>
      </c>
      <c r="C5382" s="1" t="s">
        <v>4510</v>
      </c>
      <c r="D5382" s="1" t="str">
        <f>IFERROR(__xludf.DUMMYFUNCTION("CONCATENATE(GOOGLETRANSLATE(C5382, ""en"", ""zh-cn""))"),"HYTE Y70 触控现代美学机箱")</f>
        <v>HYTE Y70 触控现代美学机箱</v>
      </c>
      <c r="E5382" s="1" t="str">
        <f>IFERROR(__xludf.DUMMYFUNCTION("CONCATENATE(GOOGLETRANSLATE(C5382, ""en"", ""ko""))"),"HYTE Y70 터치 모던 에스테틱 케이스")</f>
        <v>HYTE Y70 터치 모던 에스테틱 케이스</v>
      </c>
      <c r="F5382" s="1" t="str">
        <f>IFERROR(__xludf.DUMMYFUNCTION("CONCATENATE(GOOGLETRANSLATE(C5382, ""en"", ""ja""))"),"HYTE Y70 Touch モダンな美的ケース")</f>
        <v>HYTE Y70 Touch モダンな美的ケース</v>
      </c>
    </row>
    <row r="5383" ht="15.75" customHeight="1">
      <c r="A5383" s="1">
        <v>5765.0</v>
      </c>
      <c r="B5383" s="1" t="s">
        <v>15</v>
      </c>
      <c r="C5383" s="1" t="s">
        <v>4511</v>
      </c>
      <c r="D5383" s="1" t="str">
        <f>IFERROR(__xludf.DUMMYFUNCTION("CONCATENATE(GOOGLETRANSLATE(C5383, ""en"", ""zh-cn""))"),"HP 一体式台式机 22 位 Pentium J5040")</f>
        <v>HP 一体式台式机 22 位 Pentium J5040</v>
      </c>
      <c r="E5383" s="1" t="str">
        <f>IFERROR(__xludf.DUMMYFUNCTION("CONCATENATE(GOOGLETRANSLATE(C5383, ""en"", ""ko""))"),"HP 올인원 데스크탑 22 펜티엄 J5040")</f>
        <v>HP 올인원 데스크탑 22 펜티엄 J5040</v>
      </c>
      <c r="F5383" s="1" t="str">
        <f>IFERROR(__xludf.DUMMYFUNCTION("CONCATENATE(GOOGLETRANSLATE(C5383, ""en"", ""ja""))"),"HP オールインワン デスクトップ 22 Pentium J5040")</f>
        <v>HP オールインワン デスクトップ 22 Pentium J5040</v>
      </c>
    </row>
    <row r="5384" ht="15.75" customHeight="1">
      <c r="A5384" s="1">
        <v>5773.0</v>
      </c>
      <c r="B5384" s="1" t="s">
        <v>15</v>
      </c>
      <c r="C5384" s="1" t="s">
        <v>4512</v>
      </c>
      <c r="D5384" s="1" t="str">
        <f>IFERROR(__xludf.DUMMYFUNCTION("CONCATENATE(GOOGLETRANSLATE(C5384, ""en"", ""zh-cn""))"),"亚马逊 basics 适用于 PC 或笔记本电脑的立体声 2.0 扬声器")</f>
        <v>亚马逊 basics 适用于 PC 或笔记本电脑的立体声 2.0 扬声器</v>
      </c>
      <c r="E5384" s="1" t="str">
        <f>IFERROR(__xludf.DUMMYFUNCTION("CONCATENATE(GOOGLETRANSLATE(C5384, ""en"", ""ko""))"),"Amazon Basics PC 또는 노트북용 스테레오 2.0 스피커")</f>
        <v>Amazon Basics PC 또는 노트북용 스테레오 2.0 스피커</v>
      </c>
      <c r="F5384" s="1" t="str">
        <f>IFERROR(__xludf.DUMMYFUNCTION("CONCATENATE(GOOGLETRANSLATE(C5384, ""en"", ""ja""))"),"アマゾンベーシック PC またはラップトップ用ステレオ 2.0 スピーカー")</f>
        <v>アマゾンベーシック PC またはラップトップ用ステレオ 2.0 スピーカー</v>
      </c>
    </row>
    <row r="5385" ht="15.75" customHeight="1">
      <c r="A5385" s="1">
        <v>5785.0</v>
      </c>
      <c r="B5385" s="1" t="s">
        <v>15</v>
      </c>
      <c r="C5385" s="1" t="s">
        <v>4513</v>
      </c>
      <c r="D5385" s="1" t="str">
        <f>IFERROR(__xludf.DUMMYFUNCTION("CONCATENATE(GOOGLETRANSLATE(C5385, ""en"", ""zh-cn""))"),"华硕 NUC 14 Pro")</f>
        <v>华硕 NUC 14 Pro</v>
      </c>
      <c r="E5385" s="1" t="str">
        <f>IFERROR(__xludf.DUMMYFUNCTION("CONCATENATE(GOOGLETRANSLATE(C5385, ""en"", ""ko""))"),"아수스 NUC 14 프로")</f>
        <v>아수스 NUC 14 프로</v>
      </c>
      <c r="F5385" s="1" t="str">
        <f>IFERROR(__xludf.DUMMYFUNCTION("CONCATENATE(GOOGLETRANSLATE(C5385, ""en"", ""ja""))"),"Asus NUC 14 プロ")</f>
        <v>Asus NUC 14 プロ</v>
      </c>
    </row>
    <row r="5386" ht="15.75" customHeight="1">
      <c r="A5386" s="1">
        <v>5786.0</v>
      </c>
      <c r="B5386" s="1" t="s">
        <v>15</v>
      </c>
      <c r="C5386" s="1" t="s">
        <v>4514</v>
      </c>
      <c r="D5386" s="1" t="str">
        <f>IFERROR(__xludf.DUMMYFUNCTION("CONCATENATE(GOOGLETRANSLATE(C5386, ""en"", ""zh-cn""))"),"微软 Surface 笔记本电脑 Copilot+ PC 13.8 Snapdragon X Elite 16GB")</f>
        <v>微软 Surface 笔记本电脑 Copilot+ PC 13.8 Snapdragon X Elite 16GB</v>
      </c>
      <c r="E5386" s="1" t="str">
        <f>IFERROR(__xludf.DUMMYFUNCTION("CONCATENATE(GOOGLETRANSLATE(C5386, ""en"", ""ko""))"),"마이크로소프트 서피스 노트북 코파일럿+ PC 13.8 스냅드래곤 X 엘리트 16GB")</f>
        <v>마이크로소프트 서피스 노트북 코파일럿+ PC 13.8 스냅드래곤 X 엘리트 16GB</v>
      </c>
      <c r="F5386" s="1" t="str">
        <f>IFERROR(__xludf.DUMMYFUNCTION("CONCATENATE(GOOGLETRANSLATE(C5386, ""en"", ""ja""))"),"Microsoft Surface Laptop Copilot+ PC 13.8 Snapdragon X Elite 16GB")</f>
        <v>Microsoft Surface Laptop Copilot+ PC 13.8 Snapdragon X Elite 16GB</v>
      </c>
    </row>
    <row r="5387" ht="15.75" customHeight="1">
      <c r="A5387" s="1">
        <v>5793.0</v>
      </c>
      <c r="B5387" s="1" t="s">
        <v>15</v>
      </c>
      <c r="C5387" s="1" t="s">
        <v>4515</v>
      </c>
      <c r="D5387" s="1" t="str">
        <f>IFERROR(__xludf.DUMMYFUNCTION("CONCATENATE(GOOGLETRANSLATE(C5387, ""en"", ""zh-cn""))"),"GoSports 体育网")</f>
        <v>GoSports 体育网</v>
      </c>
      <c r="E5387" s="1" t="str">
        <f>IFERROR(__xludf.DUMMYFUNCTION("CONCATENATE(GOOGLETRANSLATE(C5387, ""en"", ""ko""))"),"GoSports 스포츠 네팅")</f>
        <v>GoSports 스포츠 네팅</v>
      </c>
      <c r="F5387" s="1" t="str">
        <f>IFERROR(__xludf.DUMMYFUNCTION("CONCATENATE(GOOGLETRANSLATE(C5387, ""en"", ""ja""))"),"GoSports スポーツ ネッティング")</f>
        <v>GoSports スポーツ ネッティング</v>
      </c>
    </row>
    <row r="5388" ht="15.75" customHeight="1">
      <c r="A5388" s="1">
        <v>5801.0</v>
      </c>
      <c r="B5388" s="1" t="s">
        <v>15</v>
      </c>
      <c r="C5388" s="1" t="s">
        <v>4516</v>
      </c>
      <c r="D5388" s="1" t="str">
        <f>IFERROR(__xludf.DUMMYFUNCTION("CONCATENATE(GOOGLETRANSLATE(C5388, ""en"", ""zh-cn""))"),"SA Sports Empire 复合弩")</f>
        <v>SA Sports Empire 复合弩</v>
      </c>
      <c r="E5388" s="1" t="str">
        <f>IFERROR(__xludf.DUMMYFUNCTION("CONCATENATE(GOOGLETRANSLATE(C5388, ""en"", ""ko""))"),"SA 스포츠 엠파이어 컴파운드 석궁")</f>
        <v>SA 스포츠 엠파이어 컴파운드 석궁</v>
      </c>
      <c r="F5388" s="1" t="str">
        <f>IFERROR(__xludf.DUMMYFUNCTION("CONCATENATE(GOOGLETRANSLATE(C5388, ""en"", ""ja""))"),"SAスポーツエンパイアコンパウンドクロスボウ")</f>
        <v>SAスポーツエンパイアコンパウンドクロスボウ</v>
      </c>
    </row>
    <row r="5389" ht="15.75" customHeight="1">
      <c r="A5389" s="1">
        <v>5805.0</v>
      </c>
      <c r="B5389" s="1" t="s">
        <v>15</v>
      </c>
      <c r="C5389" s="1" t="s">
        <v>4517</v>
      </c>
      <c r="D5389" s="1" t="str">
        <f>IFERROR(__xludf.DUMMYFUNCTION("CONCATENATE(GOOGLETRANSLATE(C5389, ""en"", ""zh-cn""))"),"MaxKare 便携式篮球框")</f>
        <v>MaxKare 便携式篮球框</v>
      </c>
      <c r="E5389" s="1" t="str">
        <f>IFERROR(__xludf.DUMMYFUNCTION("CONCATENATE(GOOGLETRANSLATE(C5389, ""en"", ""ko""))"),"MaxKare 휴대용 농구대")</f>
        <v>MaxKare 휴대용 농구대</v>
      </c>
      <c r="F5389" s="1" t="str">
        <f>IFERROR(__xludf.DUMMYFUNCTION("CONCATENATE(GOOGLETRANSLATE(C5389, ""en"", ""ja""))"),"MaxKare ポータブルバスケットボールフープ")</f>
        <v>MaxKare ポータブルバスケットボールフープ</v>
      </c>
    </row>
    <row r="5390" ht="15.75" customHeight="1">
      <c r="A5390" s="1">
        <v>5812.0</v>
      </c>
      <c r="B5390" s="1" t="s">
        <v>15</v>
      </c>
      <c r="C5390" s="1" t="s">
        <v>4518</v>
      </c>
      <c r="D5390" s="1" t="str">
        <f>IFERROR(__xludf.DUMMYFUNCTION("CONCATENATE(GOOGLETRANSLATE(C5390, ""en"", ""zh-cn""))"),"学院运动 + 户外 10 英尺 x 10 英尺简易遮阳斜腿遮篷")</f>
        <v>学院运动 + 户外 10 英尺 x 10 英尺简易遮阳斜腿遮篷</v>
      </c>
      <c r="E5390" s="1" t="str">
        <f>IFERROR(__xludf.DUMMYFUNCTION("CONCATENATE(GOOGLETRANSLATE(C5390, ""en"", ""ko""))"),"아카데미 스포츠 + 야외 10피트 x 10피트 쉬운 그늘 경사 다리 캐노피")</f>
        <v>아카데미 스포츠 + 야외 10피트 x 10피트 쉬운 그늘 경사 다리 캐노피</v>
      </c>
      <c r="F5390" s="1" t="str">
        <f>IFERROR(__xludf.DUMMYFUNCTION("CONCATENATE(GOOGLETRANSLATE(C5390, ""en"", ""ja""))"),"アカデミー スポーツ + アウトドア 10 フィート x 10 フィート イージー シェード スラント レッグ キャノピー")</f>
        <v>アカデミー スポーツ + アウトドア 10 フィート x 10 フィート イージー シェード スラント レッグ キャノピー</v>
      </c>
    </row>
    <row r="5391" ht="15.75" customHeight="1">
      <c r="A5391" s="1">
        <v>5813.0</v>
      </c>
      <c r="B5391" s="1" t="s">
        <v>15</v>
      </c>
      <c r="C5391" s="1" t="s">
        <v>4519</v>
      </c>
      <c r="D5391" s="1" t="str">
        <f>IFERROR(__xludf.DUMMYFUNCTION("CONCATENATE(GOOGLETRANSLATE(C5391, ""en"", ""zh-cn""))"),"Hit Mit 多项运动可调节室内/室外网套装")</f>
        <v>Hit Mit 多项运动可调节室内/室外网套装</v>
      </c>
      <c r="E5391" s="1" t="str">
        <f>IFERROR(__xludf.DUMMYFUNCTION("CONCATENATE(GOOGLETRANSLATE(C5391, ""en"", ""ko""))"),"Hit Mit 멀티 스포츠 조절 가능한 실내/실외 네트 세트")</f>
        <v>Hit Mit 멀티 스포츠 조절 가능한 실내/실외 네트 세트</v>
      </c>
      <c r="F5391" s="1" t="str">
        <f>IFERROR(__xludf.DUMMYFUNCTION("CONCATENATE(GOOGLETRANSLATE(C5391, ""en"", ""ja""))"),"ヒットミット マルチスポーツ アジャスタブル 屋内外用ネットセット")</f>
        <v>ヒットミット マルチスポーツ アジャスタブル 屋内外用ネットセット</v>
      </c>
    </row>
    <row r="5392" ht="15.75" customHeight="1">
      <c r="A5392" s="1">
        <v>5814.0</v>
      </c>
      <c r="B5392" s="1" t="s">
        <v>15</v>
      </c>
      <c r="C5392" s="1" t="s">
        <v>4520</v>
      </c>
      <c r="D5392" s="1" t="str">
        <f>IFERROR(__xludf.DUMMYFUNCTION("CONCATENATE(GOOGLETRANSLATE(C5392, ""en"", ""zh-cn""))"),"Spalding 54 英寸防碎聚碳酸酯精确高度便携式篮球框系统")</f>
        <v>Spalding 54 英寸防碎聚碳酸酯精确高度便携式篮球框系统</v>
      </c>
      <c r="E5392" s="1" t="str">
        <f>IFERROR(__xludf.DUMMYFUNCTION("CONCATENATE(GOOGLETRANSLATE(C5392, ""en"", ""ko""))"),"Spalding 54인치 비산 방지 폴리카보네이트 정확한 높이 휴대용 농구 골대 시스템")</f>
        <v>Spalding 54인치 비산 방지 폴리카보네이트 정확한 높이 휴대용 농구 골대 시스템</v>
      </c>
      <c r="F5392" s="1" t="str">
        <f>IFERROR(__xludf.DUMMYFUNCTION("CONCATENATE(GOOGLETRANSLATE(C5392, ""en"", ""ja""))"),"スポルディング 54 インチ飛散防止ポリカーボネート正確な高さのポータブルバスケットボールフープシステム")</f>
        <v>スポルディング 54 インチ飛散防止ポリカーボネート正確な高さのポータブルバスケットボールフープシステム</v>
      </c>
    </row>
    <row r="5393" ht="15.75" customHeight="1">
      <c r="A5393" s="1">
        <v>5815.0</v>
      </c>
      <c r="B5393" s="1" t="s">
        <v>15</v>
      </c>
      <c r="C5393" s="1" t="s">
        <v>4521</v>
      </c>
      <c r="D5393" s="1" t="str">
        <f>IFERROR(__xludf.DUMMYFUNCTION("CONCATENATE(GOOGLETRANSLATE(C5393, ""en"", ""zh-cn""))"),"TopGold 4 人便携式运动帐篷")</f>
        <v>TopGold 4 人便携式运动帐篷</v>
      </c>
      <c r="E5393" s="1" t="str">
        <f>IFERROR(__xludf.DUMMYFUNCTION("CONCATENATE(GOOGLETRANSLATE(C5393, ""en"", ""ko""))"),"TopGold 4인 휴대용 스포츠 텐트")</f>
        <v>TopGold 4인 휴대용 스포츠 텐트</v>
      </c>
      <c r="F5393" s="1" t="str">
        <f>IFERROR(__xludf.DUMMYFUNCTION("CONCATENATE(GOOGLETRANSLATE(C5393, ""en"", ""ja""))"),"TopGold 4 人用ポータブル スポーツ テント")</f>
        <v>TopGold 4 人用ポータブル スポーツ テント</v>
      </c>
    </row>
    <row r="5394" ht="15.75" customHeight="1">
      <c r="A5394" s="1">
        <v>5830.0</v>
      </c>
      <c r="B5394" s="1" t="s">
        <v>15</v>
      </c>
      <c r="C5394" s="1" t="s">
        <v>4522</v>
      </c>
      <c r="D5394" s="1" t="str">
        <f>IFERROR(__xludf.DUMMYFUNCTION("CONCATENATE(GOOGLETRANSLATE(C5394, ""en"", ""zh-cn""))"),"富兰克林体育 3 洞足球靶")</f>
        <v>富兰克林体育 3 洞足球靶</v>
      </c>
      <c r="E5394" s="1" t="str">
        <f>IFERROR(__xludf.DUMMYFUNCTION("CONCATENATE(GOOGLETRANSLATE(C5394, ""en"", ""ko""))"),"프랭클린 스포츠 3홀 풋볼 타겟")</f>
        <v>프랭클린 스포츠 3홀 풋볼 타겟</v>
      </c>
      <c r="F5394" s="1" t="str">
        <f>IFERROR(__xludf.DUMMYFUNCTION("CONCATENATE(GOOGLETRANSLATE(C5394, ""en"", ""ja""))"),"フランクリン スポーツ 3 ホール フットボール ターゲット")</f>
        <v>フランクリン スポーツ 3 ホール フットボール ターゲット</v>
      </c>
    </row>
    <row r="5395" ht="15.75" customHeight="1">
      <c r="A5395" s="1">
        <v>5846.0</v>
      </c>
      <c r="B5395" s="1" t="s">
        <v>15</v>
      </c>
      <c r="C5395" s="1" t="s">
        <v>4523</v>
      </c>
      <c r="D5395" s="1" t="str">
        <f>IFERROR(__xludf.DUMMYFUNCTION("CONCATENATE(GOOGLETRANSLATE(C5395, ""en"", ""zh-cn""))"),"九西女士艾美特经典圆形拉丝金手链手表")</f>
        <v>九西女士艾美特经典圆形拉丝金手链手表</v>
      </c>
      <c r="E5395" s="1" t="str">
        <f>IFERROR(__xludf.DUMMYFUNCTION("CONCATENATE(GOOGLETRANSLATE(C5395, ""en"", ""ko""))"),"Nine West 여성용 Emmett 클래식 라운드 브러시드 골드 팔찌 시계")</f>
        <v>Nine West 여성용 Emmett 클래식 라운드 브러시드 골드 팔찌 시계</v>
      </c>
      <c r="F5395" s="1" t="str">
        <f>IFERROR(__xludf.DUMMYFUNCTION("CONCATENATE(GOOGLETRANSLATE(C5395, ""en"", ""ja""))"),"Nine West レディース エメット クラシック ラウンド ブラッシュゴールド ブレスレット ウォッチ")</f>
        <v>Nine West レディース エメット クラシック ラウンド ブラッシュゴールド ブレスレット ウォッチ</v>
      </c>
    </row>
    <row r="5396" ht="15.75" customHeight="1">
      <c r="A5396" s="1">
        <v>5883.0</v>
      </c>
      <c r="B5396" s="1" t="s">
        <v>15</v>
      </c>
      <c r="C5396" s="1" t="s">
        <v>4524</v>
      </c>
      <c r="D5396" s="1" t="str">
        <f>IFERROR(__xludf.DUMMYFUNCTION("CONCATENATE(GOOGLETRANSLATE(C5396, ""en"", ""zh-cn""))"),"Sensyne 手机三脚架和自拍杆")</f>
        <v>Sensyne 手机三脚架和自拍杆</v>
      </c>
      <c r="E5396" s="1" t="str">
        <f>IFERROR(__xludf.DUMMYFUNCTION("CONCATENATE(GOOGLETRANSLATE(C5396, ""en"", ""ko""))"),"Sensyne 휴대폰 삼각대 및 셀카봉")</f>
        <v>Sensyne 휴대폰 삼각대 및 셀카봉</v>
      </c>
      <c r="F5396" s="1" t="str">
        <f>IFERROR(__xludf.DUMMYFUNCTION("CONCATENATE(GOOGLETRANSLATE(C5396, ""en"", ""ja""))"),"Sensyne 電話三脚と自撮り棒")</f>
        <v>Sensyne 電話三脚と自撮り棒</v>
      </c>
    </row>
    <row r="5397" ht="15.75" customHeight="1">
      <c r="A5397" s="1">
        <v>5899.0</v>
      </c>
      <c r="B5397" s="1" t="s">
        <v>15</v>
      </c>
      <c r="C5397" s="1" t="s">
        <v>4525</v>
      </c>
      <c r="D5397" s="1" t="str">
        <f>IFERROR(__xludf.DUMMYFUNCTION("CONCATENATE(GOOGLETRANSLATE(C5397, ""en"", ""zh-cn""))"),"Bellroy Venture 手机壳（适用于 iPhone 16 Pro）")</f>
        <v>Bellroy Venture 手机壳（适用于 iPhone 16 Pro）</v>
      </c>
      <c r="E5397" s="1" t="str">
        <f>IFERROR(__xludf.DUMMYFUNCTION("CONCATENATE(GOOGLETRANSLATE(C5397, ""en"", ""ko""))"),"iPhone 16 Pro용 Bellroy 벤처 폰 케이스")</f>
        <v>iPhone 16 Pro용 Bellroy 벤처 폰 케이스</v>
      </c>
      <c r="F5397" s="1" t="str">
        <f>IFERROR(__xludf.DUMMYFUNCTION("CONCATENATE(GOOGLETRANSLATE(C5397, ""en"", ""ja""))"),"Bellroy Venture 電話ケース iPhone 16 Pro用")</f>
        <v>Bellroy Venture 電話ケース iPhone 16 Pro用</v>
      </c>
    </row>
    <row r="5398" ht="15.75" customHeight="1">
      <c r="A5398" s="1">
        <v>5902.0</v>
      </c>
      <c r="B5398" s="1" t="s">
        <v>15</v>
      </c>
      <c r="C5398" s="1" t="s">
        <v>4526</v>
      </c>
      <c r="D5398" s="1" t="str">
        <f>IFERROR(__xludf.DUMMYFUNCTION("CONCATENATE(GOOGLETRANSLATE(C5398, ""en"", ""zh-cn""))"),"PopSockets Tidepool 混合包 PopGrip")</f>
        <v>PopSockets Tidepool 混合包 PopGrip</v>
      </c>
      <c r="E5398" s="1" t="str">
        <f>IFERROR(__xludf.DUMMYFUNCTION("CONCATENATE(GOOGLETRANSLATE(C5398, ""en"", ""ko""))"),"PopSockets Tidepool 혼합 가방 PopGrip")</f>
        <v>PopSockets Tidepool 혼합 가방 PopGrip</v>
      </c>
      <c r="F5398" s="1" t="str">
        <f>IFERROR(__xludf.DUMMYFUNCTION("CONCATENATE(GOOGLETRANSLATE(C5398, ""en"", ""ja""))"),"ポップソケッツ タイドプール ミックス バッグ ポップグリップ")</f>
        <v>ポップソケッツ タイドプール ミックス バッグ ポップグリップ</v>
      </c>
    </row>
    <row r="5399" ht="15.75" customHeight="1">
      <c r="A5399" s="1">
        <v>5908.0</v>
      </c>
      <c r="B5399" s="1" t="s">
        <v>15</v>
      </c>
      <c r="C5399" s="1" t="s">
        <v>4527</v>
      </c>
      <c r="D5399" s="1" t="str">
        <f>IFERROR(__xludf.DUMMYFUNCTION("CONCATENATE(GOOGLETRANSLATE(C5399, ""en"", ""zh-cn""))"),"Lamicall 手机支架、手机支架手机底座、支架兼容手机 12 Mini 11 Pro Xs Max XR X 6 6s 7 8 Plus 5 5s 5c 全部")</f>
        <v>Lamicall 手机支架、手机支架手机底座、支架兼容手机 12 Mini 11 Pro Xs Max XR X 6 6s 7 8 Plus 5 5s 5c 全部</v>
      </c>
      <c r="E5399" s="1" t="str">
        <f>IFERROR(__xludf.DUMMYFUNCTION("CONCATENATE(GOOGLETRANSLATE(C5399, ""en"", ""ko""))"),"Lamicall 휴대폰 스탠드, 휴대폰 크래들 휴대폰 독, 휴대폰과 호환되는 홀더 12 Mini 11 Pro Xs Max XR X 6 6s 7 8 Plus 5 5s 5c All")</f>
        <v>Lamicall 휴대폰 스탠드, 휴대폰 크래들 휴대폰 독, 휴대폰과 호환되는 홀더 12 Mini 11 Pro Xs Max XR X 6 6s 7 8 Plus 5 5s 5c All</v>
      </c>
      <c r="F5399" s="1" t="str">
        <f>IFERROR(__xludf.DUMMYFUNCTION("CONCATENATE(GOOGLETRANSLATE(C5399, ""en"", ""ja""))"),"Lamicall 携帯電話スタンド、電話クレードル電話ドック、ホルダーは電話 12 Mini 11 Pro Xs Max XR X 6 6s 7 8 Plus 5 5s 5c すべてに対応")</f>
        <v>Lamicall 携帯電話スタンド、電話クレードル電話ドック、ホルダーは電話 12 Mini 11 Pro Xs Max XR X 6 6s 7 8 Plus 5 5s 5c すべてに対応</v>
      </c>
    </row>
    <row r="5400" ht="15.75" customHeight="1">
      <c r="A5400" s="1">
        <v>5909.0</v>
      </c>
      <c r="B5400" s="1" t="s">
        <v>15</v>
      </c>
      <c r="C5400" s="1" t="s">
        <v>4528</v>
      </c>
      <c r="D5400" s="1" t="str">
        <f>IFERROR(__xludf.DUMMYFUNCTION("CONCATENATE(GOOGLETRANSLATE(C5400, ""en"", ""zh-cn""))"),"野花闪亮屏幕保护膜")</f>
        <v>野花闪亮屏幕保护膜</v>
      </c>
      <c r="E5400" s="1" t="str">
        <f>IFERROR(__xludf.DUMMYFUNCTION("CONCATENATE(GOOGLETRANSLATE(C5400, ""en"", ""ko""))"),"야생화 블링 스크린 프로텍터")</f>
        <v>야생화 블링 스크린 프로텍터</v>
      </c>
      <c r="F5400" s="1" t="str">
        <f>IFERROR(__xludf.DUMMYFUNCTION("CONCATENATE(GOOGLETRANSLATE(C5400, ""en"", ""ja""))"),"ワイルドフラワー ブリンブリン スクリーン プロテクター")</f>
        <v>ワイルドフラワー ブリンブリン スクリーン プロテクター</v>
      </c>
    </row>
    <row r="5401" ht="15.75" customHeight="1">
      <c r="A5401" s="1">
        <v>5917.0</v>
      </c>
      <c r="B5401" s="1" t="s">
        <v>15</v>
      </c>
      <c r="C5401" s="1" t="s">
        <v>4529</v>
      </c>
      <c r="D5401" s="1" t="str">
        <f>IFERROR(__xludf.DUMMYFUNCTION("CONCATENATE(GOOGLETRANSLATE(C5401, ""en"", ""zh-cn""))"),"三星定制不锈钢厨房套餐")</f>
        <v>三星定制不锈钢厨房套餐</v>
      </c>
      <c r="E5401" s="1" t="str">
        <f>IFERROR(__xludf.DUMMYFUNCTION("CONCATENATE(GOOGLETRANSLATE(C5401, ""en"", ""ko""))"),"삼성 맞춤형 스테인레스 스틸 주방 패키지")</f>
        <v>삼성 맞춤형 스테인레스 스틸 주방 패키지</v>
      </c>
      <c r="F5401" s="1" t="str">
        <f>IFERROR(__xludf.DUMMYFUNCTION("CONCATENATE(GOOGLETRANSLATE(C5401, ""en"", ""ja""))"),"サムスン特注のステンレススチールキッチンパッケージ")</f>
        <v>サムスン特注のステンレススチールキッチンパッケージ</v>
      </c>
    </row>
    <row r="5402" ht="15.75" customHeight="1">
      <c r="A5402" s="1">
        <v>5927.0</v>
      </c>
      <c r="B5402" s="1" t="s">
        <v>15</v>
      </c>
      <c r="C5402" s="1" t="s">
        <v>4530</v>
      </c>
      <c r="D5402" s="1" t="str">
        <f>IFERROR(__xludf.DUMMYFUNCTION("CONCATENATE(GOOGLETRANSLATE(C5402, ""en"", ""zh-cn""))"),"装饰 2.4 铜。英尺迷你冰箱")</f>
        <v>装饰 2.4 铜。英尺迷你冰箱</v>
      </c>
      <c r="E5402" s="1" t="str">
        <f>IFERROR(__xludf.DUMMYFUNCTION("CONCATENATE(GOOGLETRANSLATE(C5402, ""en"", ""ko""))"),"장식 2.4 Cu. 피트 미니 냉장고")</f>
        <v>장식 2.4 Cu. 피트 미니 냉장고</v>
      </c>
      <c r="F5402" s="1" t="str">
        <f>IFERROR(__xludf.DUMMYFUNCTION("CONCATENATE(GOOGLETRANSLATE(C5402, ""en"", ""ja""))"),"装飾 2.4 銅。フィートのミニ冷蔵庫")</f>
        <v>装飾 2.4 銅。フィートのミニ冷蔵庫</v>
      </c>
    </row>
    <row r="5403" ht="15.75" customHeight="1">
      <c r="A5403" s="1">
        <v>5939.0</v>
      </c>
      <c r="B5403" s="1" t="s">
        <v>15</v>
      </c>
      <c r="C5403" s="1" t="s">
        <v>4531</v>
      </c>
      <c r="D5403" s="1" t="str">
        <f>IFERROR(__xludf.DUMMYFUNCTION("CONCATENATE(GOOGLETRANSLATE(C5403, ""en"", ""zh-cn""))"),"格兰仕复古冰箱带顶部冷冻室无霜双门冰箱")</f>
        <v>格兰仕复古冰箱带顶部冷冻室无霜双门冰箱</v>
      </c>
      <c r="E5403" s="1" t="str">
        <f>IFERROR(__xludf.DUMMYFUNCTION("CONCATENATE(GOOGLETRANSLATE(C5403, ""en"", ""ko""))"),"Galanz 레트로 냉장고(상단 냉동고 성에가 없는 듀얼 도어 냉장고 포함)")</f>
        <v>Galanz 레트로 냉장고(상단 냉동고 성에가 없는 듀얼 도어 냉장고 포함)</v>
      </c>
      <c r="F5403" s="1" t="str">
        <f>IFERROR(__xludf.DUMMYFUNCTION("CONCATENATE(GOOGLETRANSLATE(C5403, ""en"", ""ja""))"),"Galanz レトロ冷蔵庫トップフリーザー付きフロストフリーデュアルドア冷蔵庫")</f>
        <v>Galanz レトロ冷蔵庫トップフリーザー付きフロストフリーデュアルドア冷蔵庫</v>
      </c>
    </row>
    <row r="5404" ht="15.75" customHeight="1">
      <c r="A5404" s="1">
        <v>5952.0</v>
      </c>
      <c r="B5404" s="1" t="s">
        <v>15</v>
      </c>
      <c r="C5404" s="1" t="s">
        <v>4532</v>
      </c>
      <c r="D5404" s="1" t="str">
        <f>IFERROR(__xludf.DUMMYFUNCTION("CONCATENATE(GOOGLETRANSLATE(C5404, ""en"", ""zh-cn""))"),"Cafe Express 2 片烤面包机")</f>
        <v>Cafe Express 2 片烤面包机</v>
      </c>
      <c r="E5404" s="1" t="str">
        <f>IFERROR(__xludf.DUMMYFUNCTION("CONCATENATE(GOOGLETRANSLATE(C5404, ""en"", ""ko""))"),"카페 익스프레스 2슬라이스 토스터")</f>
        <v>카페 익스프레스 2슬라이스 토스터</v>
      </c>
      <c r="F5404" s="1" t="str">
        <f>IFERROR(__xludf.DUMMYFUNCTION("CONCATENATE(GOOGLETRANSLATE(C5404, ""en"", ""ja""))"),"カフェエクスプレス 2枚切りトースター")</f>
        <v>カフェエクスプレス 2枚切りトースター</v>
      </c>
    </row>
    <row r="5405" ht="15.75" customHeight="1">
      <c r="A5405" s="1">
        <v>5956.0</v>
      </c>
      <c r="B5405" s="1" t="s">
        <v>15</v>
      </c>
      <c r="C5405" s="1" t="s">
        <v>4533</v>
      </c>
      <c r="D5405" s="1" t="str">
        <f>IFERROR(__xludf.DUMMYFUNCTION("CONCATENATE(GOOGLETRANSLATE(C5405, ""en"", ""zh-cn""))"),"iRestore Max Growth 毛发生长系统")</f>
        <v>iRestore Max Growth 毛发生长系统</v>
      </c>
      <c r="E5405" s="1" t="str">
        <f>IFERROR(__xludf.DUMMYFUNCTION("CONCATENATE(GOOGLETRANSLATE(C5405, ""en"", ""ko""))"),"iRestore Max Growth 모발 성장 시스템")</f>
        <v>iRestore Max Growth 모발 성장 시스템</v>
      </c>
      <c r="F5405" s="1" t="str">
        <f>IFERROR(__xludf.DUMMYFUNCTION("CONCATENATE(GOOGLETRANSLATE(C5405, ""en"", ""ja""))"),"iRestore Max Growth 育毛システム")</f>
        <v>iRestore Max Growth 育毛システム</v>
      </c>
    </row>
    <row r="5406" ht="15.75" customHeight="1">
      <c r="A5406" s="1">
        <v>5967.0</v>
      </c>
      <c r="B5406" s="1" t="s">
        <v>15</v>
      </c>
      <c r="C5406" s="1" t="s">
        <v>4534</v>
      </c>
      <c r="D5406" s="1" t="str">
        <f>IFERROR(__xludf.DUMMYFUNCTION("CONCATENATE(GOOGLETRANSLATE(C5406, ""en"", ""zh-cn""))"),"BeautyFit 美容必需品头发皮肤指甲配方胶囊")</f>
        <v>BeautyFit 美容必需品头发皮肤指甲配方胶囊</v>
      </c>
      <c r="E5406" s="1" t="str">
        <f>IFERROR(__xludf.DUMMYFUNCTION("CONCATENATE(GOOGLETRANSLATE(C5406, ""en"", ""ko""))"),"BeautyFit 뷰티 에센셜 헤어 스킨 네일 포뮬러 캡슐")</f>
        <v>BeautyFit 뷰티 에센셜 헤어 스킨 네일 포뮬러 캡슐</v>
      </c>
      <c r="F5406" s="1" t="str">
        <f>IFERROR(__xludf.DUMMYFUNCTION("CONCATENATE(GOOGLETRANSLATE(C5406, ""en"", ""ja""))"),"BeautyFit ビューティー エッセンシャル ヘア スキン ネイル フォーミュラ カプセル")</f>
        <v>BeautyFit ビューティー エッセンシャル ヘア スキン ネイル フォーミュラ カプセル</v>
      </c>
    </row>
    <row r="5407" ht="15.75" customHeight="1">
      <c r="A5407" s="1">
        <v>5972.0</v>
      </c>
      <c r="B5407" s="1" t="s">
        <v>15</v>
      </c>
      <c r="C5407" s="1" t="s">
        <v>4535</v>
      </c>
      <c r="D5407" s="1" t="str">
        <f>IFERROR(__xludf.DUMMYFUNCTION("CONCATENATE(GOOGLETRANSLATE(C5407, ""en"", ""zh-cn""))"),"300 粒含生物素和椰子油的软胶囊")</f>
        <v>300 粒含生物素和椰子油的软胶囊</v>
      </c>
      <c r="E5407" s="1" t="str">
        <f>IFERROR(__xludf.DUMMYFUNCTION("CONCATENATE(GOOGLETRANSLATE(C5407, ""en"", ""ko""))"),"비오틴과 코코넛 오일이 함유된 소프트젤 300개")</f>
        <v>비오틴과 코코넛 오일이 함유된 소프트젤 300개</v>
      </c>
      <c r="F5407" s="1" t="str">
        <f>IFERROR(__xludf.DUMMYFUNCTION("CONCATENATE(GOOGLETRANSLATE(C5407, ""en"", ""ja""))"),"ビオチンとココナッツオイルを配合したソフトジェル 300 個")</f>
        <v>ビオチンとココナッツオイルを配合したソフトジェル 300 個</v>
      </c>
    </row>
    <row r="5408" ht="15.75" customHeight="1">
      <c r="A5408" s="1">
        <v>5975.0</v>
      </c>
      <c r="B5408" s="1" t="s">
        <v>15</v>
      </c>
      <c r="C5408" s="1" t="s">
        <v>4536</v>
      </c>
      <c r="D5408" s="1" t="str">
        <f>IFERROR(__xludf.DUMMYFUNCTION("CONCATENATE(GOOGLETRANSLATE(C5408, ""en"", ""zh-cn""))"),"epres 健康洗发水和护发素组合")</f>
        <v>epres 健康洗发水和护发素组合</v>
      </c>
      <c r="E5408" s="1" t="str">
        <f>IFERROR(__xludf.DUMMYFUNCTION("CONCATENATE(GOOGLETRANSLATE(C5408, ""en"", ""ko""))"),"epres 헬시 헤어 샴푸 &amp; 컨디셔너 듀오")</f>
        <v>epres 헬시 헤어 샴푸 &amp; 컨디셔너 듀오</v>
      </c>
      <c r="F5408" s="1" t="str">
        <f>IFERROR(__xludf.DUMMYFUNCTION("CONCATENATE(GOOGLETRANSLATE(C5408, ""en"", ""ja""))"),"エプレ ヘルシーヘア シャンプー＆コンディショナー デュオ")</f>
        <v>エプレ ヘルシーヘア シャンプー＆コンディショナー デュオ</v>
      </c>
    </row>
    <row r="5409" ht="15.75" customHeight="1">
      <c r="A5409" s="1">
        <v>5978.0</v>
      </c>
      <c r="B5409" s="1" t="s">
        <v>15</v>
      </c>
      <c r="C5409" s="1" t="s">
        <v>4537</v>
      </c>
      <c r="D5409" s="1" t="str">
        <f>IFERROR(__xludf.DUMMYFUNCTION("CONCATENATE(GOOGLETRANSLATE(C5409, ""en"", ""zh-cn""))"),"乡村生活 Maxi Hair Plus")</f>
        <v>乡村生活 Maxi Hair Plus</v>
      </c>
      <c r="E5409" s="1" t="str">
        <f>IFERROR(__xludf.DUMMYFUNCTION("CONCATENATE(GOOGLETRANSLATE(C5409, ""en"", ""ko""))"),"컨트리 라이프 맥시 헤어 플러스")</f>
        <v>컨트리 라이프 맥시 헤어 플러스</v>
      </c>
      <c r="F5409" s="1" t="str">
        <f>IFERROR(__xludf.DUMMYFUNCTION("CONCATENATE(GOOGLETRANSLATE(C5409, ""en"", ""ja""))"),"カントリー ライフ マキシ ヘア プラス")</f>
        <v>カントリー ライフ マキシ ヘア プラス</v>
      </c>
    </row>
    <row r="5410" ht="15.75" customHeight="1">
      <c r="A5410" s="1">
        <v>5989.0</v>
      </c>
      <c r="B5410" s="1" t="s">
        <v>15</v>
      </c>
      <c r="C5410" s="1" t="s">
        <v>4538</v>
      </c>
      <c r="D5410" s="1" t="str">
        <f>IFERROR(__xludf.DUMMYFUNCTION("CONCATENATE(GOOGLETRANSLATE(C5410, ""en"", ""zh-cn""))"),"Sugarbear 头发纯素补充剂")</f>
        <v>Sugarbear 头发纯素补充剂</v>
      </c>
      <c r="E5410" s="1" t="str">
        <f>IFERROR(__xludf.DUMMYFUNCTION("CONCATENATE(GOOGLETRANSLATE(C5410, ""en"", ""ko""))"),"슈가베어 헤어 비건 보충제")</f>
        <v>슈가베어 헤어 비건 보충제</v>
      </c>
      <c r="F5410" s="1" t="str">
        <f>IFERROR(__xludf.DUMMYFUNCTION("CONCATENATE(GOOGLETRANSLATE(C5410, ""en"", ""ja""))"),"シュガーベア ヘア ビーガン サプリメント")</f>
        <v>シュガーベア ヘア ビーガン サプリメント</v>
      </c>
    </row>
    <row r="5411" ht="15.75" customHeight="1">
      <c r="A5411" s="1">
        <v>6003.0</v>
      </c>
      <c r="B5411" s="1" t="s">
        <v>15</v>
      </c>
      <c r="C5411" s="1" t="s">
        <v>4539</v>
      </c>
      <c r="D5411" s="1" t="str">
        <f>IFERROR(__xludf.DUMMYFUNCTION("CONCATENATE(GOOGLETRANSLATE(C5411, ""en"", ""zh-cn""))"),"黄金欲望修护洗发水 Oribe")</f>
        <v>黄金欲望修护洗发水 Oribe</v>
      </c>
      <c r="E5411" s="1" t="str">
        <f>IFERROR(__xludf.DUMMYFUNCTION("CONCATENATE(GOOGLETRANSLATE(C5411, ""en"", ""ko""))"),"골드 러스트 리페어 리스토어 샴푸 오리베")</f>
        <v>골드 러스트 리페어 리스토어 샴푸 오리베</v>
      </c>
      <c r="F5411" s="1" t="str">
        <f>IFERROR(__xludf.DUMMYFUNCTION("CONCATENATE(GOOGLETRANSLATE(C5411, ""en"", ""ja""))"),"ゴールドラスト リペアリストアシャンプー 織部")</f>
        <v>ゴールドラスト リペアリストアシャンプー 織部</v>
      </c>
    </row>
    <row r="5412" ht="15.75" customHeight="1">
      <c r="A5412" s="1">
        <v>6008.0</v>
      </c>
      <c r="B5412" s="1" t="s">
        <v>15</v>
      </c>
      <c r="C5412" s="1" t="s">
        <v>4540</v>
      </c>
      <c r="D5412" s="1" t="str">
        <f>IFERROR(__xludf.DUMMYFUNCTION("CONCATENATE(GOOGLETRANSLATE(C5412, ""en"", ""zh-cn""))"),"Dermal Therapy 生发精华液 60ml")</f>
        <v>Dermal Therapy 生发精华液 60ml</v>
      </c>
      <c r="E5412" s="1" t="str">
        <f>IFERROR(__xludf.DUMMYFUNCTION("CONCATENATE(GOOGLETRANSLATE(C5412, ""en"", ""ko""))"),"더말 테라피 헤어 복원 세럼 60ml")</f>
        <v>더말 테라피 헤어 복원 세럼 60ml</v>
      </c>
      <c r="F5412" s="1" t="str">
        <f>IFERROR(__xludf.DUMMYFUNCTION("CONCATENATE(GOOGLETRANSLATE(C5412, ""en"", ""ja""))"),"ダーマル セラピー ヘア リストアリング セラム 60ml")</f>
        <v>ダーマル セラピー ヘア リストアリング セラム 60ml</v>
      </c>
    </row>
    <row r="5413" ht="15.75" customHeight="1">
      <c r="A5413" s="1">
        <v>6019.0</v>
      </c>
      <c r="B5413" s="1" t="s">
        <v>15</v>
      </c>
      <c r="C5413" s="1" t="s">
        <v>4541</v>
      </c>
      <c r="D5413" s="1" t="str">
        <f>IFERROR(__xludf.DUMMYFUNCTION("CONCATENATE(GOOGLETRANSLATE(C5413, ""en"", ""zh-cn""))"),"凡士林护发水")</f>
        <v>凡士林护发水</v>
      </c>
      <c r="E5413" s="1" t="str">
        <f>IFERROR(__xludf.DUMMYFUNCTION("CONCATENATE(GOOGLETRANSLATE(C5413, ""en"", ""ko""))"),"바세린 헤어토닉")</f>
        <v>바세린 헤어토닉</v>
      </c>
      <c r="F5413" s="1" t="str">
        <f>IFERROR(__xludf.DUMMYFUNCTION("CONCATENATE(GOOGLETRANSLATE(C5413, ""en"", ""ja""))"),"ワセリンヘアトニック")</f>
        <v>ワセリンヘアトニック</v>
      </c>
    </row>
    <row r="5414" ht="15.75" customHeight="1">
      <c r="A5414" s="1">
        <v>6024.0</v>
      </c>
      <c r="B5414" s="1" t="s">
        <v>15</v>
      </c>
      <c r="C5414" s="1" t="s">
        <v>4542</v>
      </c>
      <c r="D5414" s="1" t="str">
        <f>IFERROR(__xludf.DUMMYFUNCTION("CONCATENATE(GOOGLETRANSLATE(C5414, ""en"", ""zh-cn""))"),"Swisse Ultiboost 头发皮肤指甲液 500ml")</f>
        <v>Swisse Ultiboost 头发皮肤指甲液 500ml</v>
      </c>
      <c r="E5414" s="1" t="str">
        <f>IFERROR(__xludf.DUMMYFUNCTION("CONCATENATE(GOOGLETRANSLATE(C5414, ""en"", ""ko""))"),"스위스 얼티부스트 헤어 스킨 네일 리퀴드 500ml")</f>
        <v>스위스 얼티부스트 헤어 스킨 네일 리퀴드 500ml</v>
      </c>
      <c r="F5414" s="1" t="str">
        <f>IFERROR(__xludf.DUMMYFUNCTION("CONCATENATE(GOOGLETRANSLATE(C5414, ""en"", ""ja""))"),"スイス アルティブースト ヘア スキン ネイル リキッド 500ml")</f>
        <v>スイス アルティブースト ヘア スキン ネイル リキッド 500ml</v>
      </c>
    </row>
    <row r="5415" ht="15.75" customHeight="1">
      <c r="A5415" s="1">
        <v>6027.0</v>
      </c>
      <c r="B5415" s="1" t="s">
        <v>15</v>
      </c>
      <c r="C5415" s="1" t="s">
        <v>4543</v>
      </c>
      <c r="D5415" s="1" t="str">
        <f>IFERROR(__xludf.DUMMYFUNCTION("CONCATENATE(GOOGLETRANSLATE(C5415, ""en"", ""zh-cn""))"),"美容厨师 Supergenes 健康的头发和指甲")</f>
        <v>美容厨师 Supergenes 健康的头发和指甲</v>
      </c>
      <c r="E5415" s="1" t="str">
        <f>IFERROR(__xludf.DUMMYFUNCTION("CONCATENATE(GOOGLETRANSLATE(C5415, ""en"", ""ko""))"),"뷰티 셰프 Supergenes가 건강한 머리카락과 손톱을 관리합니다")</f>
        <v>뷰티 셰프 Supergenes가 건강한 머리카락과 손톱을 관리합니다</v>
      </c>
      <c r="F5415" s="1" t="str">
        <f>IFERROR(__xludf.DUMMYFUNCTION("CONCATENATE(GOOGLETRANSLATE(C5415, ""en"", ""ja""))"),"ビューティーシェフのスーパージェネス 健康な髪と爪")</f>
        <v>ビューティーシェフのスーパージェネス 健康な髪と爪</v>
      </c>
    </row>
    <row r="5416" ht="15.75" customHeight="1">
      <c r="A5416" s="1">
        <v>6028.0</v>
      </c>
      <c r="B5416" s="1" t="s">
        <v>15</v>
      </c>
      <c r="C5416" s="1" t="s">
        <v>4544</v>
      </c>
      <c r="D5416" s="1" t="str">
        <f>IFERROR(__xludf.DUMMYFUNCTION("CONCATENATE(GOOGLETRANSLATE(C5416, ""en"", ""zh-cn""))"),"Mise en Scene 完美精华液")</f>
        <v>Mise en Scene 完美精华液</v>
      </c>
      <c r="E5416" s="1" t="str">
        <f>IFERROR(__xludf.DUMMYFUNCTION("CONCATENATE(GOOGLETRANSLATE(C5416, ""en"", ""ko""))"),"미쟝센 퍼펙트 세럼")</f>
        <v>미쟝센 퍼펙트 세럼</v>
      </c>
      <c r="F5416" s="1" t="str">
        <f>IFERROR(__xludf.DUMMYFUNCTION("CONCATENATE(GOOGLETRANSLATE(C5416, ""en"", ""ja""))"),"ミザンシーン パーフェクトセラム")</f>
        <v>ミザンシーン パーフェクトセラム</v>
      </c>
    </row>
    <row r="5417" ht="15.75" customHeight="1">
      <c r="A5417" s="1">
        <v>6034.0</v>
      </c>
      <c r="B5417" s="1" t="s">
        <v>15</v>
      </c>
      <c r="C5417" s="1" t="s">
        <v>1850</v>
      </c>
      <c r="D5417" s="1" t="str">
        <f>IFERROR(__xludf.DUMMYFUNCTION("CONCATENATE(GOOGLETRANSLATE(C5417, ""en"", ""zh-cn""))"),"GAN 13 磁悬浮磨砂涂层，磁性速度魔方 3x3 无贴纸 56 毫米磁铁魔方拼图玩具，GAN 2022 旗舰")</f>
        <v>GAN 13 磁悬浮磨砂涂层，磁性速度魔方 3x3 无贴纸 56 毫米磁铁魔方拼图玩具，GAN 2022 旗舰</v>
      </c>
      <c r="E5417" s="1" t="str">
        <f>IFERROR(__xludf.DUMMYFUNCTION("CONCATENATE(GOOGLETRANSLATE(C5417, ""en"", ""ko""))"),"GAN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5417" s="1" t="str">
        <f>IFERROR(__xludf.DUMMYFUNCTION("CONCATENATE(GOOGLETRANSLATE(C5417, ""en"", ""ja""))"),"GAN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5418" ht="15.75" customHeight="1">
      <c r="A5418" s="1">
        <v>6036.0</v>
      </c>
      <c r="B5418" s="1" t="s">
        <v>15</v>
      </c>
      <c r="C5418" s="1" t="s">
        <v>1839</v>
      </c>
      <c r="D5418" s="1" t="str">
        <f>IFERROR(__xludf.DUMMYFUNCTION("CONCATENATE(GOOGLETRANSLATE(C5418, ""en"", ""zh-cn""))"),"GAN 13 磁悬浮 UV 涂层，磁性速度魔方 3x3 无贴纸 56 毫米磁铁魔方拼图玩具，GAN 2022 旗舰")</f>
        <v>GAN 13 磁悬浮 UV 涂层，磁性速度魔方 3x3 无贴纸 56 毫米磁铁魔方拼图玩具，GAN 2022 旗舰</v>
      </c>
      <c r="E5418" s="1" t="str">
        <f>IFERROR(__xludf.DUMMYFUNCTION("CONCATENATE(GOOGLETRANSLATE(C5418, ""en"", ""ko""))"),"GAN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5418" s="1" t="str">
        <f>IFERROR(__xludf.DUMMYFUNCTION("CONCATENATE(GOOGLETRANSLATE(C5418, ""en"", ""ja""))"),"GAN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5419" ht="15.75" customHeight="1">
      <c r="A5419" s="1">
        <v>6046.0</v>
      </c>
      <c r="B5419" s="1" t="s">
        <v>15</v>
      </c>
      <c r="C5419" s="1" t="s">
        <v>1649</v>
      </c>
      <c r="D5419" s="1" t="str">
        <f>IFERROR(__xludf.DUMMYFUNCTION("CONCATENATE(GOOGLETRANSLATE(C5419, ""en"", ""zh-cn""))"),"GAN 机器人，魔方解谜机自动解谜器和解谜器，兼容 GAN 356i2 i3 iplay iCarry Speed Cubes（不含魔方）和最新版本 APP")</f>
        <v>GAN 机器人，魔方解谜机自动解谜器和解谜器，兼容 GAN 356i2 i3 iplay iCarry Speed Cubes（不含魔方）和最新版本 APP</v>
      </c>
      <c r="E5419" s="1" t="str">
        <f>IFERROR(__xludf.DUMMYFUNCTION("CONCATENATE(GOOGLETRANSLATE(C5419, ""en"", ""ko""))"),"GAN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5419" s="1" t="str">
        <f>IFERROR(__xludf.DUMMYFUNCTION("CONCATENATE(GOOGLETRANSLATE(C5419, ""en"", ""ja""))"),"GAN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5420" ht="15.75" customHeight="1">
      <c r="A5420" s="1">
        <v>6063.0</v>
      </c>
      <c r="B5420" s="1" t="s">
        <v>15</v>
      </c>
      <c r="C5420" s="1" t="s">
        <v>1842</v>
      </c>
      <c r="D5420" s="1" t="str">
        <f>IFERROR(__xludf.DUMMYFUNCTION("CONCATENATE(GOOGLETRANSLATE(C5420, ""en"", ""zh-cn""))"),"波克芬诺 GAN Megaminx M 3x3 速度魔方 Gan 五角形磁性无贴纸魔法拼图魔方玩具")</f>
        <v>波克芬诺 GAN Megaminx M 3x3 速度魔方 Gan 五角形磁性无贴纸魔法拼图魔方玩具</v>
      </c>
      <c r="E5420" s="1" t="str">
        <f>IFERROR(__xludf.DUMMYFUNCTION("CONCATENATE(GOOGLETRANSLATE(C5420, ""en"", ""ko""))"),"Bokefenuo GAN Megaminx M 3x3 스피드 큐브 Gan 오각형 자기 스티커가없는 매직 퍼즐 큐브 장난감")</f>
        <v>Bokefenuo GAN Megaminx M 3x3 스피드 큐브 Gan 오각형 자기 스티커가없는 매직 퍼즐 큐브 장난감</v>
      </c>
      <c r="F5420" s="1" t="str">
        <f>IFERROR(__xludf.DUMMYFUNCTION("CONCATENATE(GOOGLETRANSLATE(C5420, ""en"", ""ja""))"),"Bokefenuo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5421" ht="15.75" customHeight="1">
      <c r="A5421" s="1">
        <v>6067.0</v>
      </c>
      <c r="B5421" s="1" t="s">
        <v>15</v>
      </c>
      <c r="C5421" s="1" t="s">
        <v>1839</v>
      </c>
      <c r="D5421" s="1" t="str">
        <f>IFERROR(__xludf.DUMMYFUNCTION("CONCATENATE(GOOGLETRANSLATE(C5421, ""en"", ""zh-cn""))"),"GAN 13 磁悬浮 UV 涂层，磁性速度魔方 3x3 无贴纸 56 毫米磁铁魔方拼图玩具，GAN 2022 旗舰")</f>
        <v>GAN 13 磁悬浮 UV 涂层，磁性速度魔方 3x3 无贴纸 56 毫米磁铁魔方拼图玩具，GAN 2022 旗舰</v>
      </c>
      <c r="E5421" s="1" t="str">
        <f>IFERROR(__xludf.DUMMYFUNCTION("CONCATENATE(GOOGLETRANSLATE(C5421, ""en"", ""ko""))"),"GAN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5421" s="1" t="str">
        <f>IFERROR(__xludf.DUMMYFUNCTION("CONCATENATE(GOOGLETRANSLATE(C5421, ""en"", ""ja""))"),"GAN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5422" ht="15.75" customHeight="1">
      <c r="A5422" s="1">
        <v>6069.0</v>
      </c>
      <c r="B5422" s="1" t="s">
        <v>15</v>
      </c>
      <c r="C5422" s="1" t="s">
        <v>1843</v>
      </c>
      <c r="D5422" s="1" t="str">
        <f>IFERROR(__xludf.DUMMYFUNCTION("CONCATENATE(GOOGLETRANSLATE(C5422, ""en"", ""zh-cn""))"),"BroMocube 的 GAN 11M Pro 3x3 速度魔方 GAN 11 磁性拼图魔方 Gan11M 魔方（GAN 11 M Pro 磨砂无贴纸（黑色））")</f>
        <v>BroMocube 的 GAN 11M Pro 3x3 速度魔方 GAN 11 磁性拼图魔方 Gan11M 魔方（GAN 11 M Pro 磨砂无贴纸（黑色））</v>
      </c>
      <c r="E5422" s="1" t="str">
        <f>IFERROR(__xludf.DUMMYFUNCTION("CONCATENATE(GOOGLETRANSLATE(C5422, ""en"", ""ko""))"),"GAN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5422" s="1" t="str">
        <f>IFERROR(__xludf.DUMMYFUNCTION("CONCATENATE(GOOGLETRANSLATE(C5422, ""en"", ""ja""))"),"GAN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5423" ht="15.75" customHeight="1">
      <c r="A5423" s="1">
        <v>6082.0</v>
      </c>
      <c r="B5423" s="1" t="s">
        <v>15</v>
      </c>
      <c r="C5423" s="1" t="s">
        <v>1908</v>
      </c>
      <c r="D5423" s="1" t="str">
        <f>IFERROR(__xludf.DUMMYFUNCTION("CONCATENATE(GOOGLETRANSLATE(C5423, ""en"", ""zh-cn""))"),"Alexia D371-CU001 冥想座椅（纯素皮革，深灰色）")</f>
        <v>Alexia D371-CU001 冥想座椅（纯素皮革，深灰色）</v>
      </c>
      <c r="E5423" s="1" t="str">
        <f>IFERROR(__xludf.DUMMYFUNCTION("CONCATENATE(GOOGLETRANSLATE(C5423, ""en"", ""ko""))"),"알렉시아 D371-CU001 명상 시트 (비건 가죽, 다크 그레이)")</f>
        <v>알렉시아 D371-CU001 명상 시트 (비건 가죽, 다크 그레이)</v>
      </c>
      <c r="F5423" s="1" t="str">
        <f>IFERROR(__xludf.DUMMYFUNCTION("CONCATENATE(GOOGLETRANSLATE(C5423, ""en"", ""ja""))"),"Alexia D371-CU001 瞑想シート (ヴィーガンレザー、ダークグレー)")</f>
        <v>Alexia D371-CU001 瞑想シート (ヴィーガンレザー、ダークグレー)</v>
      </c>
    </row>
    <row r="5424" ht="15.75" customHeight="1">
      <c r="A5424" s="1">
        <v>6096.0</v>
      </c>
      <c r="B5424" s="1" t="s">
        <v>15</v>
      </c>
      <c r="C5424" s="1" t="s">
        <v>1913</v>
      </c>
      <c r="D5424" s="1" t="str">
        <f>IFERROR(__xludf.DUMMYFUNCTION("CONCATENATE(GOOGLETRANSLATE(C5424, ""en"", ""zh-cn""))"),"Lake CX241 骑行鞋 - 男士")</f>
        <v>Lake CX241 骑行鞋 - 男士</v>
      </c>
      <c r="E5424" s="1" t="str">
        <f>IFERROR(__xludf.DUMMYFUNCTION("CONCATENATE(GOOGLETRANSLATE(C5424, ""en"", ""ko""))"),"Lake CX241 사이클링 신발 - 남성용")</f>
        <v>Lake CX241 사이클링 신발 - 남성용</v>
      </c>
      <c r="F5424" s="1" t="str">
        <f>IFERROR(__xludf.DUMMYFUNCTION("CONCATENATE(GOOGLETRANSLATE(C5424, ""en"", ""ja""))"),"Lake CX241 サイクリング シューズ - メンズ")</f>
        <v>Lake CX241 サイクリング シューズ - メンズ</v>
      </c>
    </row>
    <row r="5425" ht="15.75" customHeight="1">
      <c r="A5425" s="1">
        <v>6100.0</v>
      </c>
      <c r="B5425" s="1" t="s">
        <v>15</v>
      </c>
      <c r="C5425" s="1" t="s">
        <v>2327</v>
      </c>
      <c r="D5425" s="1" t="str">
        <f>IFERROR(__xludf.DUMMYFUNCTION("CONCATENATE(GOOGLETRANSLATE(C5425, ""en"", ""zh-cn""))"),"GAN 356 i 3 无贴纸速度魔方，3x3 智能魔方 356 i3 甘斯磁力魔方智能跟踪计时运动步骤与 CubeStation 应用程序甘魔方拼图玩具（不含 GAN 机器人）")</f>
        <v>GAN 356 i 3 无贴纸速度魔方，3x3 智能魔方 356 i3 甘斯磁力魔方智能跟踪计时运动步骤与 CubeStation 应用程序甘魔方拼图玩具（不含 GAN 机器人）</v>
      </c>
      <c r="E5425" s="1" t="str">
        <f>IFERROR(__xludf.DUMMYFUNCTION("CONCATENATE(GOOGLETRANSLATE(C5425, ""en"", ""ko""))"),"GAN 356 i 3 스티커 없는 스피드 큐브, 3x3 스마트 큐브 356 i3 Gans 마그네틱 큐브 CubeStation 앱을 사용한 지능형 추적 타이밍 동작 단계 Gan 큐브 퍼즐 장난감(GAN 로봇은 포함되지 않음)")</f>
        <v>GAN 356 i 3 스티커 없는 스피드 큐브, 3x3 스마트 큐브 356 i3 Gans 마그네틱 큐브 CubeStation 앱을 사용한 지능형 추적 타이밍 동작 단계 Gan 큐브 퍼즐 장난감(GAN 로봇은 포함되지 않음)</v>
      </c>
      <c r="F5425" s="1" t="str">
        <f>IFERROR(__xludf.DUMMYFUNCTION("CONCATENATE(GOOGLETRANSLATE(C5425, ""en"", ""ja""))"),"GAN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f>
        <v>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v>
      </c>
    </row>
    <row r="5426" ht="15.75" customHeight="1">
      <c r="A5426" s="1">
        <v>6110.0</v>
      </c>
      <c r="B5426" s="1" t="s">
        <v>15</v>
      </c>
      <c r="C5426" s="1" t="s">
        <v>1850</v>
      </c>
      <c r="D5426" s="1" t="str">
        <f>IFERROR(__xludf.DUMMYFUNCTION("CONCATENATE(GOOGLETRANSLATE(C5426, ""en"", ""zh-cn""))"),"GAN 13 磁悬浮磨砂涂层，磁性速度魔方 3x3 无贴纸 56 毫米磁铁魔方拼图玩具，GAN 2022 旗舰")</f>
        <v>GAN 13 磁悬浮磨砂涂层，磁性速度魔方 3x3 无贴纸 56 毫米磁铁魔方拼图玩具，GAN 2022 旗舰</v>
      </c>
      <c r="E5426" s="1" t="str">
        <f>IFERROR(__xludf.DUMMYFUNCTION("CONCATENATE(GOOGLETRANSLATE(C5426, ""en"", ""ko""))"),"GAN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5426" s="1" t="str">
        <f>IFERROR(__xludf.DUMMYFUNCTION("CONCATENATE(GOOGLETRANSLATE(C5426, ""en"", ""ja""))"),"GAN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5427" ht="15.75" customHeight="1">
      <c r="A5427" s="1">
        <v>6120.0</v>
      </c>
      <c r="B5427" s="1" t="s">
        <v>15</v>
      </c>
      <c r="C5427" s="1" t="s">
        <v>1838</v>
      </c>
      <c r="D5427" s="1" t="str">
        <f>IFERROR(__xludf.DUMMYFUNCTION("CONCATENATE(GOOGLETRANSLATE(C5427, ""en"", ""zh-cn""))"),"Ravensburger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5427" s="1" t="str">
        <f>IFERROR(__xludf.DUMMYFUNCTION("CONCATENATE(GOOGLETRANSLATE(C5427, ""en"", ""ko""))"),"Ravensburger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5427" s="1" t="str">
        <f>IFERROR(__xludf.DUMMYFUNCTION("CONCATENATE(GOOGLETRANSLATE(C5427, ""en"", ""ja""))"),"Ravensburger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5428" ht="15.75" customHeight="1">
      <c r="A5428" s="1">
        <v>6141.0</v>
      </c>
      <c r="B5428" s="1" t="s">
        <v>15</v>
      </c>
      <c r="C5428" s="1" t="s">
        <v>3654</v>
      </c>
      <c r="D5428" s="1" t="str">
        <f>IFERROR(__xludf.DUMMYFUNCTION("CONCATENATE(GOOGLETRANSLATE(C5428, ""en"", ""zh-cn""))"),"马西磁力椭圆训练机有氧运动机")</f>
        <v>马西磁力椭圆训练机有氧运动机</v>
      </c>
      <c r="E5428" s="1" t="str">
        <f>IFERROR(__xludf.DUMMYFUNCTION("CONCATENATE(GOOGLETRANSLATE(C5428, ""en"", ""ko""))"),"Marcy 자기 타원형 트레이너 심장 운동 기계")</f>
        <v>Marcy 자기 타원형 트레이너 심장 운동 기계</v>
      </c>
      <c r="F5428" s="1" t="str">
        <f>IFERROR(__xludf.DUMMYFUNCTION("CONCATENATE(GOOGLETRANSLATE(C5428, ""en"", ""ja""))"),"マーシー マグネティックエリプティカル トレーナー カーディオ トレーニング マシン")</f>
        <v>マーシー マグネティックエリプティカル トレーナー カーディオ トレーニング マシン</v>
      </c>
    </row>
    <row r="5429" ht="15.75" customHeight="1">
      <c r="A5429" s="1">
        <v>6178.0</v>
      </c>
      <c r="B5429" s="1" t="s">
        <v>15</v>
      </c>
      <c r="C5429" s="1" t="s">
        <v>1843</v>
      </c>
      <c r="D5429" s="1" t="str">
        <f>IFERROR(__xludf.DUMMYFUNCTION("CONCATENATE(GOOGLETRANSLATE(C5429, ""en"", ""zh-cn""))"),"BroMocube 的 GAN 11M Pro 3x3 速度魔方 GAN 11 磁性拼图魔方 Gan11M 魔方（GAN 11 M Pro 磨砂无贴纸（黑色））")</f>
        <v>BroMocube 的 GAN 11M Pro 3x3 速度魔方 GAN 11 磁性拼图魔方 Gan11M 魔方（GAN 11 M Pro 磨砂无贴纸（黑色））</v>
      </c>
      <c r="E5429" s="1" t="str">
        <f>IFERROR(__xludf.DUMMYFUNCTION("CONCATENATE(GOOGLETRANSLATE(C5429, ""en"", ""ko""))"),"GAN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5429" s="1" t="str">
        <f>IFERROR(__xludf.DUMMYFUNCTION("CONCATENATE(GOOGLETRANSLATE(C5429, ""en"", ""ja""))"),"GAN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5430" ht="15.75" customHeight="1">
      <c r="A5430" s="1">
        <v>6207.0</v>
      </c>
      <c r="B5430" s="1" t="s">
        <v>15</v>
      </c>
      <c r="C5430" s="1" t="s">
        <v>1841</v>
      </c>
      <c r="D5430" s="1" t="str">
        <f>IFERROR(__xludf.DUMMYFUNCTION("CONCATENATE(GOOGLETRANSLATE(C5430, ""en"", ""zh-cn""))"),"CyclingDeal 自行车旅行箱 - 700c 自行车 - 自行车航空航班旅行硬箱箱包 EVA 材料轻便耐用，带 TSA 锁 - 非常适合公路自行车 - 运输设备专业")</f>
        <v>CyclingDeal 自行车旅行箱 - 700c 自行车 - 自行车航空航班旅行硬箱箱包 EVA 材料轻便耐用，带 TSA 锁 - 非常适合公路自行车 - 运输设备专业</v>
      </c>
      <c r="E5430" s="1" t="str">
        <f>IFERROR(__xludf.DUMMYFUNCTION("CONCATENATE(GOOGLETRANSLATE(C5430, ""en"", ""ko""))"),"CyclingDeal 자전거 여행용 케이스 - 700c 자전거 - 자전거 항공 항공편 여행용 하드 케이스 박스 백 EVA 소재 TSA 잠금 장치가 포함된 경량 및 내구성 - 도로 자전거에 적합 - 운송 장비 프로")</f>
        <v>CyclingDeal 자전거 여행용 케이스 - 700c 자전거 - 자전거 항공 항공편 여행용 하드 케이스 박스 백 EVA 소재 TSA 잠금 장치가 포함된 경량 및 내구성 - 도로 자전거에 적합 - 운송 장비 프로</v>
      </c>
      <c r="F5430" s="1" t="str">
        <f>IFERROR(__xludf.DUMMYFUNCTION("CONCATENATE(GOOGLETRANSLATE(C5430, ""en"", ""ja""))"),"CyclingDeal バイクトラベルケース - 700c バイク - 自転車航空便旅行ハードケースボックスバッグ EVA 素材 軽量&amp;耐久性 TSA ロック付き - ロードバイクに最適 - 輸送機器プロ")</f>
        <v>CyclingDeal バイクトラベルケース - 700c バイク - 自転車航空便旅行ハードケースボックスバッグ EVA 素材 軽量&amp;耐久性 TSA ロック付き - ロードバイクに最適 - 輸送機器プロ</v>
      </c>
    </row>
    <row r="5431" ht="15.75" customHeight="1">
      <c r="A5431" s="1">
        <v>6249.0</v>
      </c>
      <c r="B5431" s="1" t="s">
        <v>15</v>
      </c>
      <c r="C5431" s="1" t="s">
        <v>2372</v>
      </c>
      <c r="D5431" s="1" t="str">
        <f>IFERROR(__xludf.DUMMYFUNCTION("CONCATENATE(GOOGLETRANSLATE(C5431, ""en"", ""zh-cn""))"),"Devoko 5 件套露台家具套装全天候户外组合沙发手动编织柳条藤条露台谈话套装带垫子和玻璃桌（米色）")</f>
        <v>Devoko 5 件套露台家具套装全天候户外组合沙发手动编织柳条藤条露台谈话套装带垫子和玻璃桌（米色）</v>
      </c>
      <c r="E5431" s="1" t="str">
        <f>IFERROR(__xludf.DUMMYFUNCTION("CONCATENATE(GOOGLETRANSLATE(C5431, ""en"", ""ko""))"),"Devoko 5 조각 파티오 가구 세트 전천후 야외 단면 소파 수동 직조 고리 버들 등나무 파티오 대화 세트 쿠션과 유리 테이블 (베이지 색)")</f>
        <v>Devoko 5 조각 파티오 가구 세트 전천후 야외 단면 소파 수동 직조 고리 버들 등나무 파티오 대화 세트 쿠션과 유리 테이블 (베이지 색)</v>
      </c>
      <c r="F5431" s="1" t="str">
        <f>IFERROR(__xludf.DUMMYFUNCTION("CONCATENATE(GOOGLETRANSLATE(C5431, ""en"", ""ja""))"),"Devoko パティオ家具 5 点セット 全天候型 屋外 セクショナルソファ 手動織り 籐ラタン パティオ会話セット クッションとガラステーブル付き (ベージュ)")</f>
        <v>Devoko パティオ家具 5 点セット 全天候型 屋外 セクショナルソファ 手動織り 籐ラタン パティオ会話セット クッションとガラステーブル付き (ベージュ)</v>
      </c>
    </row>
    <row r="5432" ht="15.75" customHeight="1">
      <c r="A5432" s="1">
        <v>6252.0</v>
      </c>
      <c r="B5432" s="1" t="s">
        <v>15</v>
      </c>
      <c r="C5432" s="1" t="s">
        <v>1856</v>
      </c>
      <c r="D5432" s="1" t="str">
        <f>IFERROR(__xludf.DUMMYFUNCTION("CONCATENATE(GOOGLETRANSLATE(C5432, ""en"", ""zh-cn""))"),"西迪鞋天才 10")</f>
        <v>西迪鞋天才 10</v>
      </c>
      <c r="E5432" s="1" t="str">
        <f>IFERROR(__xludf.DUMMYFUNCTION("CONCATENATE(GOOGLETRANSLATE(C5432, ""en"", ""ko""))"),"시디 신발 천재 10")</f>
        <v>시디 신발 천재 10</v>
      </c>
      <c r="F5432" s="1" t="str">
        <f>IFERROR(__xludf.DUMMYFUNCTION("CONCATENATE(GOOGLETRANSLATE(C5432, ""en"", ""ja""))"),"シディ シューズ ジーニアス 10")</f>
        <v>シディ シューズ ジーニアス 10</v>
      </c>
    </row>
    <row r="5433" ht="15.75" customHeight="1">
      <c r="A5433" s="1">
        <v>6259.0</v>
      </c>
      <c r="B5433" s="1" t="s">
        <v>15</v>
      </c>
      <c r="C5433" s="1" t="s">
        <v>2012</v>
      </c>
      <c r="D5433" s="1" t="str">
        <f>IFERROR(__xludf.DUMMYFUNCTION("CONCATENATE(GOOGLETRANSLATE(C5433, ""en"", ""zh-cn""))"),"Lake 男鞋 Cx238")</f>
        <v>Lake 男鞋 Cx238</v>
      </c>
      <c r="E5433" s="1" t="str">
        <f>IFERROR(__xludf.DUMMYFUNCTION("CONCATENATE(GOOGLETRANSLATE(C5433, ""en"", ""ko""))"),"레이크 남성 신발 Cx238")</f>
        <v>레이크 남성 신발 Cx238</v>
      </c>
      <c r="F5433" s="1" t="str">
        <f>IFERROR(__xludf.DUMMYFUNCTION("CONCATENATE(GOOGLETRANSLATE(C5433, ""en"", ""ja""))"),"レイク メンズ シューズ CX238")</f>
        <v>レイク メンズ シューズ CX238</v>
      </c>
    </row>
    <row r="5434" ht="15.75" customHeight="1">
      <c r="A5434" s="1">
        <v>6260.0</v>
      </c>
      <c r="B5434" s="1" t="s">
        <v>15</v>
      </c>
      <c r="C5434" s="1" t="s">
        <v>1906</v>
      </c>
      <c r="D5434" s="1" t="str">
        <f>IFERROR(__xludf.DUMMYFUNCTION("CONCATENATE(GOOGLETRANSLATE(C5434, ""en"", ""zh-cn""))"),"Igloo 54 夸脱钢带传统不锈钢冷却器带开瓶器")</f>
        <v>Igloo 54 夸脱钢带传统不锈钢冷却器带开瓶器</v>
      </c>
      <c r="E5434" s="1" t="str">
        <f>IFERROR(__xludf.DUMMYFUNCTION("CONCATENATE(GOOGLETRANSLATE(C5434, ""en"", ""ko""))"),"이글루 54 Qt 스틸 벨티드 레거시 스테인리스 스틸 쿨러(병따개 포함)")</f>
        <v>이글루 54 Qt 스틸 벨티드 레거시 스테인리스 스틸 쿨러(병따개 포함)</v>
      </c>
      <c r="F5434" s="1" t="str">
        <f>IFERROR(__xludf.DUMMYFUNCTION("CONCATENATE(GOOGLETRANSLATE(C5434, ""en"", ""ja""))"),"Igloo 54 Qt スチールベルト付きレガシーステンレススチールクーラー ボトルオープナー付き")</f>
        <v>Igloo 54 Qt スチールベルト付きレガシーステンレススチールクーラー ボトルオープナー付き</v>
      </c>
    </row>
    <row r="5435" ht="15.75" customHeight="1">
      <c r="A5435" s="1">
        <v>6264.0</v>
      </c>
      <c r="B5435" s="1" t="s">
        <v>15</v>
      </c>
      <c r="C5435" s="1" t="s">
        <v>2324</v>
      </c>
      <c r="D5435" s="1" t="str">
        <f>IFERROR(__xludf.DUMMYFUNCTION("CONCATENATE(GOOGLETRANSLATE(C5435, ""en"", ""zh-cn""))"),"罗林斯| Renegade 系列棒球接球手套装 | NOCSAE 认证 |成人 |中级|青年|多种颜色")</f>
        <v>罗林斯| Renegade 系列棒球接球手套装 | NOCSAE 认证 |成人 |中级|青年|多种颜色</v>
      </c>
      <c r="E5435" s="1" t="str">
        <f>IFERROR(__xludf.DUMMYFUNCTION("CONCATENATE(GOOGLETRANSLATE(C5435, ""en"", ""ko""))"),"롤링스 | 레니게이드 시리즈 야구 포수 세트 | NOCSAE 인증 | 성인 | 중급 | 청소년 | 다양한 색상")</f>
        <v>롤링스 | 레니게이드 시리즈 야구 포수 세트 | NOCSAE 인증 | 성인 | 중급 | 청소년 | 다양한 색상</v>
      </c>
      <c r="F5435" s="1" t="str">
        <f>IFERROR(__xludf.DUMMYFUNCTION("CONCATENATE(GOOGLETRANSLATE(C5435, ""en"", ""ja""))"),"ローリングス | Renegade シリーズ野球キャッチャーセット | NOCSAE 認定 |アダルト |中級 |若者 |複数の色")</f>
        <v>ローリングス | Renegade シリーズ野球キャッチャーセット | NOCSAE 認定 |アダルト |中級 |若者 |複数の色</v>
      </c>
    </row>
    <row r="5436" ht="15.75" customHeight="1">
      <c r="A5436" s="1">
        <v>6273.0</v>
      </c>
      <c r="B5436" s="1" t="s">
        <v>15</v>
      </c>
      <c r="C5436" s="1" t="s">
        <v>1650</v>
      </c>
      <c r="D5436" s="1" t="str">
        <f>IFERROR(__xludf.DUMMYFUNCTION("CONCATENATE(GOOGLETRANSLATE(C5436, ""en"", ""zh-cn""))"),"SHARGEEK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5436" s="1" t="str">
        <f>IFERROR(__xludf.DUMMYFUNCTION("CONCATENATE(GOOGLETRANSLATE(C5436, ""en"", ""ko""))"),"SHARGEEK의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5436" s="1" t="str">
        <f>IFERROR(__xludf.DUMMYFUNCTION("CONCATENATE(GOOGLETRANSLATE(C5436, ""en"", ""ja""))"),"SHARGEEK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5437" ht="15.75" customHeight="1">
      <c r="A5437" s="1">
        <v>6283.0</v>
      </c>
      <c r="B5437" s="1" t="s">
        <v>15</v>
      </c>
      <c r="C5437" s="1" t="s">
        <v>1861</v>
      </c>
      <c r="D5437" s="1" t="str">
        <f>IFERROR(__xludf.DUMMYFUNCTION("CONCATENATE(GOOGLETRANSLATE(C5437, ""en"", ""zh-cn""))"),"博克芬诺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5437" s="1" t="str">
        <f>IFERROR(__xludf.DUMMYFUNCTION("CONCATENATE(GOOGLETRANSLATE(C5437, ""en"", ""ko""))"),"Bokefenuo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5437" s="1" t="str">
        <f>IFERROR(__xludf.DUMMYFUNCTION("CONCATENATE(GOOGLETRANSLATE(C5437, ""en"", ""ja""))"),"Bokefenuo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5438" ht="15.75" customHeight="1">
      <c r="A5438" s="1">
        <v>6290.0</v>
      </c>
      <c r="B5438" s="1" t="s">
        <v>15</v>
      </c>
      <c r="C5438" s="1" t="s">
        <v>1853</v>
      </c>
      <c r="D5438" s="1" t="str">
        <f>IFERROR(__xludf.DUMMYFUNCTION("CONCATENATE(GOOGLETRANSLATE(C5438, ""en"", ""zh-cn""))"),"带金属腿和盖子的拼图桌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5438" s="1" t="str">
        <f>IFERROR(__xludf.DUMMYFUNCTION("CONCATENATE(GOOGLETRANSLATE(C5438, ""en"", ""ko""))"),"금속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5438" s="1" t="str">
        <f>IFERROR(__xludf.DUMMYFUNCTION("CONCATENATE(GOOGLETRANSLATE(C5438, ""en"", ""ja""))"),"金属製の脚とカバー付きパズルテーブル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5439" ht="15.75" customHeight="1">
      <c r="A5439" s="1">
        <v>6302.0</v>
      </c>
      <c r="B5439" s="1" t="s">
        <v>15</v>
      </c>
      <c r="C5439" s="1" t="s">
        <v>2308</v>
      </c>
      <c r="D5439" s="1" t="str">
        <f>IFERROR(__xludf.DUMMYFUNCTION("CONCATENATE(GOOGLETRANSLATE(C5439, ""en"", ""zh-cn""))"),"Igloo 70 夸脱高级 Trailmate 轮式滚动冷却器，橄榄绿")</f>
        <v>Igloo 70 夸脱高级 Trailmate 轮式滚动冷却器，橄榄绿</v>
      </c>
      <c r="E5439" s="1" t="str">
        <f>IFERROR(__xludf.DUMMYFUNCTION("CONCATENATE(GOOGLETRANSLATE(C5439, ""en"", ""ko""))"),"Igloo 70 Qt 프리미엄 Trailmate 바퀴 달린 롤링 쿨러, 올리브 그린")</f>
        <v>Igloo 70 Qt 프리미엄 Trailmate 바퀴 달린 롤링 쿨러, 올리브 그린</v>
      </c>
      <c r="F5439" s="1" t="str">
        <f>IFERROR(__xludf.DUMMYFUNCTION("CONCATENATE(GOOGLETRANSLATE(C5439, ""en"", ""ja""))"),"Igloo 70 Qt プレミアム Trailmate ホイール付きローリング クーラー、オリーブ グリーン")</f>
        <v>Igloo 70 Qt プレミアム Trailmate ホイール付きローリング クーラー、オリーブ グリーン</v>
      </c>
    </row>
    <row r="5440" ht="15.75" customHeight="1">
      <c r="A5440" s="1">
        <v>6306.0</v>
      </c>
      <c r="B5440" s="1" t="s">
        <v>15</v>
      </c>
      <c r="C5440" s="1" t="s">
        <v>2320</v>
      </c>
      <c r="D5440" s="1" t="str">
        <f>IFERROR(__xludf.DUMMYFUNCTION("CONCATENATE(GOOGLETRANSLATE(C5440, ""en"", ""zh-cn""))"),"Meta Quest 2 — 高级一体式虚拟现实耳机 — 128 GB 获取 Meta Quest 2，内含 GOLF+ 和 Space Pirate Trainer DX")</f>
        <v>Meta Quest 2 — 高级一体式虚拟现实耳机 — 128 GB 获取 Meta Quest 2，内含 GOLF+ 和 Space Pirate Trainer DX</v>
      </c>
      <c r="E5440" s="1" t="str">
        <f>IFERROR(__xludf.DUMMYFUNCTION("CONCATENATE(GOOGLETRANSLATE(C5440, ""en"", ""ko""))"),"Meta Quest 2 — 고급 올인원 가상 현실 헤드셋 — 128GB GOLF+ 및 Space Pirate Trainer DX가 포함된 Meta Quest 2를 구매하세요")</f>
        <v>Meta Quest 2 — 고급 올인원 가상 현실 헤드셋 — 128GB GOLF+ 및 Space Pirate Trainer DX가 포함된 Meta Quest 2를 구매하세요</v>
      </c>
      <c r="F5440" s="1" t="str">
        <f>IFERROR(__xludf.DUMMYFUNCTION("CONCATENATE(GOOGLETRANSLATE(C5440, ""en"", ""ja""))"),"Meta Quest 2 — 高度なオールインワン バーチャル リアリティ ヘッドセット — 128 GB GOLF+ および Space Pirate Trainer DX を含む Meta Quest 2 を入手")</f>
        <v>Meta Quest 2 — 高度なオールインワン バーチャル リアリティ ヘッドセット — 128 GB GOLF+ および Space Pirate Trainer DX を含む Meta Quest 2 を入手</v>
      </c>
    </row>
    <row r="5441" ht="15.75" customHeight="1">
      <c r="A5441" s="1">
        <v>6311.0</v>
      </c>
      <c r="B5441" s="1" t="s">
        <v>15</v>
      </c>
      <c r="C5441" s="1" t="s">
        <v>1913</v>
      </c>
      <c r="D5441" s="1" t="str">
        <f>IFERROR(__xludf.DUMMYFUNCTION("CONCATENATE(GOOGLETRANSLATE(C5441, ""en"", ""zh-cn""))"),"Lake CX241 骑行鞋 - 男士")</f>
        <v>Lake CX241 骑行鞋 - 男士</v>
      </c>
      <c r="E5441" s="1" t="str">
        <f>IFERROR(__xludf.DUMMYFUNCTION("CONCATENATE(GOOGLETRANSLATE(C5441, ""en"", ""ko""))"),"Lake CX241 사이클링 신발 - 남성용")</f>
        <v>Lake CX241 사이클링 신발 - 남성용</v>
      </c>
      <c r="F5441" s="1" t="str">
        <f>IFERROR(__xludf.DUMMYFUNCTION("CONCATENATE(GOOGLETRANSLATE(C5441, ""en"", ""ja""))"),"Lake CX241 サイクリング シューズ - メンズ")</f>
        <v>Lake CX241 サイクリング シューズ - メンズ</v>
      </c>
    </row>
    <row r="5442" ht="15.75" customHeight="1">
      <c r="A5442" s="1">
        <v>6313.0</v>
      </c>
      <c r="B5442" s="1" t="s">
        <v>15</v>
      </c>
      <c r="C5442" s="1" t="s">
        <v>2375</v>
      </c>
      <c r="D5442" s="1" t="str">
        <f>IFERROR(__xludf.DUMMYFUNCTION("CONCATENATE(GOOGLETRANSLATE(C5442, ""en"", ""zh-cn""))"),"Coleman WeatherMaster 6 人帐篷（带屏幕室）")</f>
        <v>Coleman WeatherMaster 6 人帐篷（带屏幕室）</v>
      </c>
      <c r="E5442" s="1" t="str">
        <f>IFERROR(__xludf.DUMMYFUNCTION("CONCATENATE(GOOGLETRANSLATE(C5442, ""en"", ""ko""))"),"콜맨 웨더마스터 6인용 텐트(스크린룸 포함)")</f>
        <v>콜맨 웨더마스터 6인용 텐트(스크린룸 포함)</v>
      </c>
      <c r="F5442" s="1" t="str">
        <f>IFERROR(__xludf.DUMMYFUNCTION("CONCATENATE(GOOGLETRANSLATE(C5442, ""en"", ""ja""))"),"コールマン ウェザーマスター 6人用テント スクリーンルーム付き")</f>
        <v>コールマン ウェザーマスター 6人用テント スクリーンルーム付き</v>
      </c>
    </row>
    <row r="5443" ht="15.75" customHeight="1">
      <c r="A5443" s="1">
        <v>6316.0</v>
      </c>
      <c r="B5443" s="1" t="s">
        <v>15</v>
      </c>
      <c r="C5443" s="1" t="s">
        <v>1822</v>
      </c>
      <c r="D5443" s="1" t="str">
        <f>IFERROR(__xludf.DUMMYFUNCTION("CONCATENATE(GOOGLETRANSLATE(C5443, ""en"", ""zh-cn""))"),"Rawlings Heart of the Hide 棒球手套系列")</f>
        <v>Rawlings Heart of the Hide 棒球手套系列</v>
      </c>
      <c r="E5443" s="1" t="str">
        <f>IFERROR(__xludf.DUMMYFUNCTION("CONCATENATE(GOOGLETRANSLATE(C5443, ""en"", ""ko""))"),"롤링스의 Hide 야구 글러브 시리즈의 심장")</f>
        <v>롤링스의 Hide 야구 글러브 시리즈의 심장</v>
      </c>
      <c r="F5443" s="1" t="str">
        <f>IFERROR(__xludf.DUMMYFUNCTION("CONCATENATE(GOOGLETRANSLATE(C5443, ""en"", ""ja""))"),"ローリングス ハート オブ ザ ハイド ベースボール グローブ シリーズ")</f>
        <v>ローリングス ハート オブ ザ ハイド ベースボール グローブ シリーズ</v>
      </c>
    </row>
    <row r="5444" ht="15.75" customHeight="1">
      <c r="A5444" s="1">
        <v>6317.0</v>
      </c>
      <c r="B5444" s="1" t="s">
        <v>15</v>
      </c>
      <c r="C5444" s="1" t="s">
        <v>2309</v>
      </c>
      <c r="D5444" s="1" t="str">
        <f>IFERROR(__xludf.DUMMYFUNCTION("CONCATENATE(GOOGLETRANSLATE(C5444, ""en"", ""zh-cn""))"),"BiSaddle SRT 超短无鼻可调自行车鞍座黑色带钛导轨定制舒适，均码")</f>
        <v>BiSaddle SRT 超短无鼻可调自行车鞍座黑色带钛导轨定制舒适，均码</v>
      </c>
      <c r="E5444" s="1" t="str">
        <f>IFERROR(__xludf.DUMMYFUNCTION("CONCATENATE(GOOGLETRANSLATE(C5444, ""en"", ""ko""))"),"BiSaddle SRT 슈퍼 짧은 노즈리스 조절식 자전거 안장 블랙(티타늄 레일 포함) 맞춤형 컴포트, 단일 사이즈")</f>
        <v>BiSaddle SRT 슈퍼 짧은 노즈리스 조절식 자전거 안장 블랙(티타늄 레일 포함) 맞춤형 컴포트, 단일 사이즈</v>
      </c>
      <c r="F5444" s="1" t="str">
        <f>IFERROR(__xludf.DUMMYFUNCTION("CONCATENATE(GOOGLETRANSLATE(C5444, ""en"", ""ja""))"),"BiSaddle SRT スーパーショート ノーズレス 調節可能 自転車サドル ブラック チタンレール付き カスタムフィット コンフォート、ワンサイズ")</f>
        <v>BiSaddle SRT スーパーショート ノーズレス 調節可能 自転車サドル ブラック チタンレール付き カスタムフィット コンフォート、ワンサイズ</v>
      </c>
    </row>
    <row r="5445" ht="15.75" customHeight="1">
      <c r="A5445" s="1">
        <v>6323.0</v>
      </c>
      <c r="B5445" s="1" t="s">
        <v>15</v>
      </c>
      <c r="C5445" s="1" t="s">
        <v>1650</v>
      </c>
      <c r="D5445" s="1" t="str">
        <f>IFERROR(__xludf.DUMMYFUNCTION("CONCATENATE(GOOGLETRANSLATE(C5445, ""en"", ""zh-cn""))"),"SHARGEEK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5445" s="1" t="str">
        <f>IFERROR(__xludf.DUMMYFUNCTION("CONCATENATE(GOOGLETRANSLATE(C5445, ""en"", ""ko""))"),"SHARGEEK의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5445" s="1" t="str">
        <f>IFERROR(__xludf.DUMMYFUNCTION("CONCATENATE(GOOGLETRANSLATE(C5445, ""en"", ""ja""))"),"SHARGEEK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5446" ht="15.75" customHeight="1">
      <c r="A5446" s="1">
        <v>6337.0</v>
      </c>
      <c r="B5446" s="1" t="s">
        <v>15</v>
      </c>
      <c r="C5446" s="1" t="s">
        <v>1827</v>
      </c>
      <c r="D5446" s="1" t="str">
        <f>IFERROR(__xludf.DUMMYFUNCTION("CONCATENATE(GOOGLETRANSLATE(C5446, ""en"", ""zh-cn""))"),"宁神茶丸 甘麦大枣丸 (1000 茶丸)3383E-MAYWAY by Mayway")</f>
        <v>宁神茶丸 甘麦大枣丸 (1000 茶丸)3383E-MAYWAY by Mayway</v>
      </c>
      <c r="E5446" s="1" t="str">
        <f>IFERROR(__xludf.DUMMYFUNCTION("CONCATENATE(GOOGLETRANSLATE(C5446, ""en"", ""ko""))"),"Calm Spirit Teapills Gan Mai Da Zao Wan (1000 티필)3383E-MAYWAY by Mayway")</f>
        <v>Calm Spirit Teapills Gan Mai Da Zao Wan (1000 티필)3383E-MAYWAY by Mayway</v>
      </c>
      <c r="F5446" s="1" t="str">
        <f>IFERROR(__xludf.DUMMYFUNCTION("CONCATENATE(GOOGLETRANSLATE(C5446, ""en"", ""ja""))"),"Calm Spirit Teapills Gan Mai Da Zao Wan (1000 Teapills)3383E-MAYWAY by Mayway")</f>
        <v>Calm Spirit Teapills Gan Mai Da Zao Wan (1000 Teapills)3383E-MAYWAY by Mayway</v>
      </c>
    </row>
    <row r="5447" ht="15.75" customHeight="1">
      <c r="A5447" s="1">
        <v>6339.0</v>
      </c>
      <c r="B5447" s="1" t="s">
        <v>15</v>
      </c>
      <c r="C5447" s="1" t="s">
        <v>1849</v>
      </c>
      <c r="D5447" s="1" t="str">
        <f>IFERROR(__xludf.DUMMYFUNCTION("CONCATENATE(GOOGLETRANSLATE(C5447, ""en"", ""zh-cn""))"),"GAN 460 M， Gan 4x4 磁性速度魔方， gan 460 m 4 x 4 儿童和成人无贴纸拼图玩具")</f>
        <v>GAN 460 M， Gan 4x4 磁性速度魔方， gan 460 m 4 x 4 儿童和成人无贴纸拼图玩具</v>
      </c>
      <c r="E5447" s="1" t="str">
        <f>IFERROR(__xludf.DUMMYFUNCTION("CONCATENATE(GOOGLETRANSLATE(C5447, ""en"", ""ko""))"),"GAN 460 M, Gan 4x4 자기 속도 큐브, gan 460 m 4 by 4 어린이와 성인을 위한 스티커 없는 퍼즐 장난감")</f>
        <v>GAN 460 M, Gan 4x4 자기 속도 큐브, gan 460 m 4 by 4 어린이와 성인을 위한 스티커 없는 퍼즐 장난감</v>
      </c>
      <c r="F5447" s="1" t="str">
        <f>IFERROR(__xludf.DUMMYFUNCTION("CONCATENATE(GOOGLETRANSLATE(C5447, ""en"", ""ja""))"),"GAN 460 M、Gan 4x4 磁気スピードキューブ、GAN 460 m 4 by 4 ステッカーレスパズルおもちゃ子供と大人向け")</f>
        <v>GAN 460 M、Gan 4x4 磁気スピードキューブ、GAN 460 m 4 by 4 ステッカーレスパズルおもちゃ子供と大人向け</v>
      </c>
    </row>
    <row r="5448" ht="15.75" customHeight="1">
      <c r="A5448" s="1">
        <v>6340.0</v>
      </c>
      <c r="B5448" s="1" t="s">
        <v>15</v>
      </c>
      <c r="C5448" s="1" t="s">
        <v>2327</v>
      </c>
      <c r="D5448" s="1" t="str">
        <f>IFERROR(__xludf.DUMMYFUNCTION("CONCATENATE(GOOGLETRANSLATE(C5448, ""en"", ""zh-cn""))"),"GAN 356 i 3 无贴纸速度魔方，3x3 智能魔方 356 i3 甘斯磁力魔方智能跟踪计时运动步骤与 CubeStation 应用程序甘魔方拼图玩具（不含 GAN 机器人）")</f>
        <v>GAN 356 i 3 无贴纸速度魔方，3x3 智能魔方 356 i3 甘斯磁力魔方智能跟踪计时运动步骤与 CubeStation 应用程序甘魔方拼图玩具（不含 GAN 机器人）</v>
      </c>
      <c r="E5448" s="1" t="str">
        <f>IFERROR(__xludf.DUMMYFUNCTION("CONCATENATE(GOOGLETRANSLATE(C5448, ""en"", ""ko""))"),"GAN 356 i 3 스티커 없는 스피드 큐브, 3x3 스마트 큐브 356 i3 Gans 마그네틱 큐브 CubeStation 앱을 사용한 지능형 추적 타이밍 동작 단계 Gan 큐브 퍼즐 장난감(GAN 로봇은 포함되지 않음)")</f>
        <v>GAN 356 i 3 스티커 없는 스피드 큐브, 3x3 스마트 큐브 356 i3 Gans 마그네틱 큐브 CubeStation 앱을 사용한 지능형 추적 타이밍 동작 단계 Gan 큐브 퍼즐 장난감(GAN 로봇은 포함되지 않음)</v>
      </c>
      <c r="F5448" s="1" t="str">
        <f>IFERROR(__xludf.DUMMYFUNCTION("CONCATENATE(GOOGLETRANSLATE(C5448, ""en"", ""ja""))"),"GAN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f>
        <v>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v>
      </c>
    </row>
    <row r="5449" ht="15.75" customHeight="1">
      <c r="A5449" s="1">
        <v>6363.0</v>
      </c>
      <c r="B5449" s="1" t="s">
        <v>15</v>
      </c>
      <c r="C5449" s="1" t="s">
        <v>1840</v>
      </c>
      <c r="D5449" s="1" t="str">
        <f>IFERROR(__xludf.DUMMYFUNCTION("CONCATENATE(GOOGLETRANSLATE(C5449, ""en"", ""zh-cn""))"),"Cuberspeed GAN 13 uv 涂层 MagLev 无贴纸 3x3 速度立方拼图 gan13 maglev uv 涂层旗舰拼图")</f>
        <v>Cuberspeed GAN 13 uv 涂层 MagLev 无贴纸 3x3 速度立方拼图 gan13 maglev uv 涂层旗舰拼图</v>
      </c>
      <c r="E5449" s="1" t="str">
        <f>IFERROR(__xludf.DUMMYFUNCTION("CONCATENATE(GOOGLETRANSLATE(C5449, ""en"", ""ko""))"),"Cuberspeed GAN 13 uv 코팅 MagLev 스티커가 없는 3x3 스피드 큐브 퍼즐 gan13 maglev uv 코팅 플래그십 퍼즐")</f>
        <v>Cuberspeed GAN 13 uv 코팅 MagLev 스티커가 없는 3x3 스피드 큐브 퍼즐 gan13 maglev uv 코팅 플래그십 퍼즐</v>
      </c>
      <c r="F5449" s="1" t="str">
        <f>IFERROR(__xludf.DUMMYFUNCTION("CONCATENATE(GOOGLETRANSLATE(C5449, ""en"", ""ja""))"),"Cuberspeed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5450" ht="15.75" customHeight="1">
      <c r="A5450" s="1">
        <v>6369.0</v>
      </c>
      <c r="B5450" s="1" t="s">
        <v>15</v>
      </c>
      <c r="C5450" s="1" t="s">
        <v>1852</v>
      </c>
      <c r="D5450" s="1" t="str">
        <f>IFERROR(__xludf.DUMMYFUNCTION("CONCATENATE(GOOGLETRANSLATE(C5450, ""en"", ""zh-cn""))"),"Roxenda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5450" s="1" t="str">
        <f>IFERROR(__xludf.DUMMYFUNCTION("CONCATENATE(GOOGLETRANSLATE(C5450, ""en"", ""ko""))"),"Roxenda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5450" s="1" t="str">
        <f>IFERROR(__xludf.DUMMYFUNCTION("CONCATENATE(GOOGLETRANSLATE(C5450, ""en"", ""ja""))"),"Roxenda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5451" ht="15.75" customHeight="1">
      <c r="A5451" s="1">
        <v>6371.0</v>
      </c>
      <c r="B5451" s="1" t="s">
        <v>15</v>
      </c>
      <c r="C5451" s="1" t="s">
        <v>4545</v>
      </c>
      <c r="D5451" s="1" t="str">
        <f>IFERROR(__xludf.DUMMYFUNCTION("CONCATENATE(GOOGLETRANSLATE(C5451, ""en"", ""zh-cn""))"),"女式休闲宽松长袖衬衫")</f>
        <v>女式休闲宽松长袖衬衫</v>
      </c>
      <c r="E5451" s="1" t="str">
        <f>IFERROR(__xludf.DUMMYFUNCTION("CONCATENATE(GOOGLETRANSLATE(C5451, ""en"", ""ko""))"),"여성 캐주얼 루즈핏 긴팔 셔츠")</f>
        <v>여성 캐주얼 루즈핏 긴팔 셔츠</v>
      </c>
      <c r="F5451" s="1" t="str">
        <f>IFERROR(__xludf.DUMMYFUNCTION("CONCATENATE(GOOGLETRANSLATE(C5451, ""en"", ""ja""))"),"レディースカジュアルルーズフィット長袖シャツ")</f>
        <v>レディースカジュアルルーズフィット長袖シャツ</v>
      </c>
    </row>
    <row r="5452" ht="15.75" customHeight="1">
      <c r="A5452" s="1">
        <v>6389.0</v>
      </c>
      <c r="B5452" s="1" t="s">
        <v>15</v>
      </c>
      <c r="C5452" s="1" t="s">
        <v>4546</v>
      </c>
      <c r="D5452" s="1" t="str">
        <f>IFERROR(__xludf.DUMMYFUNCTION("CONCATENATE(GOOGLETRANSLATE(C5452, ""en"", ""zh-cn""))"),"BLENCOT 女式休闲荷叶边盖袖 V 领飘逸中长连衣裙（带口袋）")</f>
        <v>BLENCOT 女式休闲荷叶边盖袖 V 领飘逸中长连衣裙（带口袋）</v>
      </c>
      <c r="E5452" s="1" t="str">
        <f>IFERROR(__xludf.DUMMYFUNCTION("CONCATENATE(GOOGLETRANSLATE(C5452, ""en"", ""ko""))"),"BLENCOT 여성 캐주얼 러플 캡 슬리브 V 넥 포켓이 있는 플로위 미디 드레스")</f>
        <v>BLENCOT 여성 캐주얼 러플 캡 슬리브 V 넥 포켓이 있는 플로위 미디 드레스</v>
      </c>
      <c r="F5452" s="1" t="str">
        <f>IFERROR(__xludf.DUMMYFUNCTION("CONCATENATE(GOOGLETRANSLATE(C5452, ""en"", ""ja""))"),"BLENCOT レディース カジュアル フリル キャップ スリーブ V ネック 流れるような ミディドレス ポケット付き")</f>
        <v>BLENCOT レディース カジュアル フリル キャップ スリーブ V ネック 流れるような ミディドレス ポケット付き</v>
      </c>
    </row>
    <row r="5453" ht="15.75" customHeight="1">
      <c r="A5453" s="1">
        <v>6390.0</v>
      </c>
      <c r="B5453" s="1" t="s">
        <v>15</v>
      </c>
      <c r="C5453" s="1" t="s">
        <v>4547</v>
      </c>
      <c r="D5453" s="1" t="str">
        <f>IFERROR(__xludf.DUMMYFUNCTION("CONCATENATE(GOOGLETRANSLATE(C5453, ""en"", ""zh-cn""))"),"ONLYpuff 女式图案口袋束腰上衣")</f>
        <v>ONLYpuff 女式图案口袋束腰上衣</v>
      </c>
      <c r="E5453" s="1" t="str">
        <f>IFERROR(__xludf.DUMMYFUNCTION("CONCATENATE(GOOGLETRANSLATE(C5453, ""en"", ""ko""))"),"ONLY퍼프 여성용 그래픽 포켓 튜닉 탑")</f>
        <v>ONLY퍼프 여성용 그래픽 포켓 튜닉 탑</v>
      </c>
      <c r="F5453" s="1" t="str">
        <f>IFERROR(__xludf.DUMMYFUNCTION("CONCATENATE(GOOGLETRANSLATE(C5453, ""en"", ""ja""))"),"ONLYpuff レディース グラフィック ポケット チュニック トップ")</f>
        <v>ONLYpuff レディース グラフィック ポケット チュニック トップ</v>
      </c>
    </row>
    <row r="5454" ht="15.75" customHeight="1">
      <c r="A5454" s="1">
        <v>6416.0</v>
      </c>
      <c r="B5454" s="1" t="s">
        <v>15</v>
      </c>
      <c r="C5454" s="1" t="s">
        <v>4548</v>
      </c>
      <c r="D5454" s="1" t="str">
        <f>IFERROR(__xludf.DUMMYFUNCTION("CONCATENATE(GOOGLETRANSLATE(C5454, ""en"", ""zh-cn""))"),"Zara 男士宽松针织 T 恤")</f>
        <v>Zara 男士宽松针织 T 恤</v>
      </c>
      <c r="E5454" s="1" t="str">
        <f>IFERROR(__xludf.DUMMYFUNCTION("CONCATENATE(GOOGLETRANSLATE(C5454, ""en"", ""ko""))"),"Zara 남성 릴렉스핏 니트 티셔츠")</f>
        <v>Zara 남성 릴렉스핏 니트 티셔츠</v>
      </c>
      <c r="F5454" s="1" t="str">
        <f>IFERROR(__xludf.DUMMYFUNCTION("CONCATENATE(GOOGLETRANSLATE(C5454, ""en"", ""ja""))"),"ZARA メンズ リラックスフィット ニット Tシャツ")</f>
        <v>ZARA メンズ リラックスフィット ニット Tシャツ</v>
      </c>
    </row>
    <row r="5455" ht="15.75" customHeight="1">
      <c r="A5455" s="1">
        <v>6418.0</v>
      </c>
      <c r="B5455" s="1" t="s">
        <v>15</v>
      </c>
      <c r="C5455" s="1" t="s">
        <v>4549</v>
      </c>
      <c r="D5455" s="1" t="str">
        <f>IFERROR(__xludf.DUMMYFUNCTION("CONCATENATE(GOOGLETRANSLATE(C5455, ""en"", ""zh-cn""))"),"Cotton King 男士长袖牛津衬衫")</f>
        <v>Cotton King 男士长袖牛津衬衫</v>
      </c>
      <c r="E5455" s="1" t="str">
        <f>IFERROR(__xludf.DUMMYFUNCTION("CONCATENATE(GOOGLETRANSLATE(C5455, ""en"", ""ko""))"),"코튼 킹 남성용 긴팔 옥스포드 셔츠")</f>
        <v>코튼 킹 남성용 긴팔 옥스포드 셔츠</v>
      </c>
      <c r="F5455" s="1" t="str">
        <f>IFERROR(__xludf.DUMMYFUNCTION("CONCATENATE(GOOGLETRANSLATE(C5455, ""en"", ""ja""))"),"Cotton King メンズ 長袖オックスフォード シャツ")</f>
        <v>Cotton King メンズ 長袖オックスフォード シャツ</v>
      </c>
    </row>
    <row r="5456" ht="15.75" customHeight="1">
      <c r="A5456" s="1">
        <v>6427.0</v>
      </c>
      <c r="B5456" s="1" t="s">
        <v>15</v>
      </c>
      <c r="C5456" s="1" t="s">
        <v>4550</v>
      </c>
      <c r="D5456" s="1" t="str">
        <f>IFERROR(__xludf.DUMMYFUNCTION("CONCATENATE(GOOGLETRANSLATE(C5456, ""en"", ""zh-cn""))"),"Fashion Nova 男式 Ethel 纹理针织休闲 T 恤")</f>
        <v>Fashion Nova 男式 Ethel 纹理针织休闲 T 恤</v>
      </c>
      <c r="E5456" s="1" t="str">
        <f>IFERROR(__xludf.DUMMYFUNCTION("CONCATENATE(GOOGLETRANSLATE(C5456, ""en"", ""ko""))"),"패션 노바 남성 에델 텍스처드 니트 릴렉스 티셔츠")</f>
        <v>패션 노바 남성 에델 텍스처드 니트 릴렉스 티셔츠</v>
      </c>
      <c r="F5456" s="1" t="str">
        <f>IFERROR(__xludf.DUMMYFUNCTION("CONCATENATE(GOOGLETRANSLATE(C5456, ""en"", ""ja""))"),"Fashion Nova メンズ エセル テクスチャード ニット リラックス ティー シャツ")</f>
        <v>Fashion Nova メンズ エセル テクスチャード ニット リラックス ティー シャツ</v>
      </c>
    </row>
    <row r="5457" ht="15.75" customHeight="1">
      <c r="A5457" s="1">
        <v>6428.0</v>
      </c>
      <c r="B5457" s="1" t="s">
        <v>15</v>
      </c>
      <c r="C5457" s="1" t="s">
        <v>4551</v>
      </c>
      <c r="D5457" s="1" t="str">
        <f>IFERROR(__xludf.DUMMYFUNCTION("CONCATENATE(GOOGLETRANSLATE(C5457, ""en"", ""zh-cn""))"),"Legendary Whitetails 男式隐士棉质亨利衬衫")</f>
        <v>Legendary Whitetails 男式隐士棉质亨利衬衫</v>
      </c>
      <c r="E5457" s="1" t="str">
        <f>IFERROR(__xludf.DUMMYFUNCTION("CONCATENATE(GOOGLETRANSLATE(C5457, ""en"", ""ko""))"),"전설적인 Whitetails 남성 은둔자 코튼 헨리 셔츠")</f>
        <v>전설적인 Whitetails 남성 은둔자 코튼 헨리 셔츠</v>
      </c>
      <c r="F5457" s="1" t="str">
        <f>IFERROR(__xludf.DUMMYFUNCTION("CONCATENATE(GOOGLETRANSLATE(C5457, ""en"", ""ja""))"),"Legendary Whitetails メンズ 世捨て人 コットン ヘンリー シャツ")</f>
        <v>Legendary Whitetails メンズ 世捨て人 コットン ヘンリー シャツ</v>
      </c>
    </row>
    <row r="5458" ht="15.75" customHeight="1">
      <c r="A5458" s="1">
        <v>6455.0</v>
      </c>
      <c r="B5458" s="1" t="s">
        <v>15</v>
      </c>
      <c r="C5458" s="1" t="s">
        <v>4552</v>
      </c>
      <c r="D5458" s="1" t="str">
        <f>IFERROR(__xludf.DUMMYFUNCTION("CONCATENATE(GOOGLETRANSLATE(C5458, ""en"", ""zh-cn""))"),"可插拔 Thunderbolt 4 扩展坞")</f>
        <v>可插拔 Thunderbolt 4 扩展坞</v>
      </c>
      <c r="E5458" s="1" t="str">
        <f>IFERROR(__xludf.DUMMYFUNCTION("CONCATENATE(GOOGLETRANSLATE(C5458, ""en"", ""ko""))"),"플러그형 Thunderbolt 4 도크")</f>
        <v>플러그형 Thunderbolt 4 도크</v>
      </c>
      <c r="F5458" s="1" t="str">
        <f>IFERROR(__xludf.DUMMYFUNCTION("CONCATENATE(GOOGLETRANSLATE(C5458, ""en"", ""ja""))"),"プラグイン可能な Thunderbolt 4 ドック")</f>
        <v>プラグイン可能な Thunderbolt 4 ドック</v>
      </c>
    </row>
    <row r="5459" ht="15.75" customHeight="1">
      <c r="A5459" s="1">
        <v>6456.0</v>
      </c>
      <c r="B5459" s="1" t="s">
        <v>15</v>
      </c>
      <c r="C5459" s="1" t="s">
        <v>4553</v>
      </c>
      <c r="D5459" s="1" t="str">
        <f>IFERROR(__xludf.DUMMYFUNCTION("CONCATENATE(GOOGLETRANSLATE(C5459, ""en"", ""zh-cn""))"),"银欣Raven Mini-Itx 游戏电脑机箱")</f>
        <v>银欣Raven Mini-Itx 游戏电脑机箱</v>
      </c>
      <c r="E5459" s="1" t="str">
        <f>IFERROR(__xludf.DUMMYFUNCTION("CONCATENATE(GOOGLETRANSLATE(C5459, ""en"", ""ko""))"),"SilverStone Raven Mini-Itx 게임용 컴퓨터 케이스")</f>
        <v>SilverStone Raven Mini-Itx 게임용 컴퓨터 케이스</v>
      </c>
      <c r="F5459" s="1" t="str">
        <f>IFERROR(__xludf.DUMMYFUNCTION("CONCATENATE(GOOGLETRANSLATE(C5459, ""en"", ""ja""))"),"SilverStone Raven Mini-Itx ゲーミング コンピューター ケース")</f>
        <v>SilverStone Raven Mini-Itx ゲーミング コンピューター ケース</v>
      </c>
    </row>
    <row r="5460" ht="15.75" customHeight="1">
      <c r="A5460" s="1">
        <v>6459.0</v>
      </c>
      <c r="B5460" s="1" t="s">
        <v>15</v>
      </c>
      <c r="C5460" s="1" t="s">
        <v>4554</v>
      </c>
      <c r="D5460" s="1" t="str">
        <f>IFERROR(__xludf.DUMMYFUNCTION("CONCATENATE(GOOGLETRANSLATE(C5460, ""en"", ""zh-cn""))"),"联想 V15 G2 英特尔酷睿内存")</f>
        <v>联想 V15 G2 英特尔酷睿内存</v>
      </c>
      <c r="E5460" s="1" t="str">
        <f>IFERROR(__xludf.DUMMYFUNCTION("CONCATENATE(GOOGLETRANSLATE(C5460, ""en"", ""ko""))"),"레노버 V15 G2 인텔 코어 RAM")</f>
        <v>레노버 V15 G2 인텔 코어 RAM</v>
      </c>
      <c r="F5460" s="1" t="str">
        <f>IFERROR(__xludf.DUMMYFUNCTION("CONCATENATE(GOOGLETRANSLATE(C5460, ""en"", ""ja""))"),"レノボ V15 G2 インテル コア RAM")</f>
        <v>レノボ V15 G2 インテル コア RAM</v>
      </c>
    </row>
    <row r="5461" ht="15.75" customHeight="1">
      <c r="A5461" s="1">
        <v>6465.0</v>
      </c>
      <c r="B5461" s="1" t="s">
        <v>15</v>
      </c>
      <c r="C5461" s="1" t="s">
        <v>4555</v>
      </c>
      <c r="D5461" s="1" t="str">
        <f>IFERROR(__xludf.DUMMYFUNCTION("CONCATENATE(GOOGLETRANSLATE(C5461, ""en"", ""zh-cn""))"),"Redragon K556 RGB LED 背光有线机械游戏键盘")</f>
        <v>Redragon K556 RGB LED 背光有线机械游戏键盘</v>
      </c>
      <c r="E5461" s="1" t="str">
        <f>IFERROR(__xludf.DUMMYFUNCTION("CONCATENATE(GOOGLETRANSLATE(C5461, ""en"", ""ko""))"),"Redragon K556 RGB LED 백라이트 유선 기계식 게이밍 키보드")</f>
        <v>Redragon K556 RGB LED 백라이트 유선 기계식 게이밍 키보드</v>
      </c>
      <c r="F5461" s="1" t="str">
        <f>IFERROR(__xludf.DUMMYFUNCTION("CONCATENATE(GOOGLETRANSLATE(C5461, ""en"", ""ja""))"),"Redragon K556 RGB LED バックライト付き有線メカニカル ゲーミング キーボード")</f>
        <v>Redragon K556 RGB LED バックライト付き有線メカニカル ゲーミング キーボード</v>
      </c>
    </row>
    <row r="5462" ht="15.75" customHeight="1">
      <c r="A5462" s="1">
        <v>6470.0</v>
      </c>
      <c r="B5462" s="1" t="s">
        <v>15</v>
      </c>
      <c r="C5462" s="1" t="s">
        <v>4556</v>
      </c>
      <c r="D5462" s="1" t="str">
        <f>IFERROR(__xludf.DUMMYFUNCTION("CONCATENATE(GOOGLETRANSLATE(C5462, ""en"", ""zh-cn""))"),"闪迪 Ultra PLUS SDXC 存储卡")</f>
        <v>闪迪 Ultra PLUS SDXC 存储卡</v>
      </c>
      <c r="E5462" s="1" t="str">
        <f>IFERROR(__xludf.DUMMYFUNCTION("CONCATENATE(GOOGLETRANSLATE(C5462, ""en"", ""ko""))"),"SanDisk Ultra PLUS SDXC 메모리 카드")</f>
        <v>SanDisk Ultra PLUS SDXC 메모리 카드</v>
      </c>
      <c r="F5462" s="1" t="str">
        <f>IFERROR(__xludf.DUMMYFUNCTION("CONCATENATE(GOOGLETRANSLATE(C5462, ""en"", ""ja""))"),"サンディスク ウルトラ プラス SDXC メモリーカード")</f>
        <v>サンディスク ウルトラ プラス SDXC メモリーカード</v>
      </c>
    </row>
    <row r="5463" ht="15.75" customHeight="1">
      <c r="A5463" s="1">
        <v>6475.0</v>
      </c>
      <c r="B5463" s="1" t="s">
        <v>15</v>
      </c>
      <c r="C5463" s="1" t="s">
        <v>3234</v>
      </c>
      <c r="D5463" s="1" t="str">
        <f>IFERROR(__xludf.DUMMYFUNCTION("CONCATENATE(GOOGLETRANSLATE(C5463, ""en"", ""zh-cn""))"),"配备 FHD Win 11 和 Beat i3 1115G4 的笔记本电脑")</f>
        <v>配备 FHD Win 11 和 Beat i3 1115G4 的笔记本电脑</v>
      </c>
      <c r="E5463" s="1" t="str">
        <f>IFERROR(__xludf.DUMMYFUNCTION("CONCATENATE(GOOGLETRANSLATE(C5463, ""en"", ""ko""))"),"FHD Win 11 및 Beat i3 1115G4가 탑재된 노트북 컴퓨터")</f>
        <v>FHD Win 11 및 Beat i3 1115G4가 탑재된 노트북 컴퓨터</v>
      </c>
      <c r="F5463" s="1" t="str">
        <f>IFERROR(__xludf.DUMMYFUNCTION("CONCATENATE(GOOGLETRANSLATE(C5463, ""en"", ""ja""))"),"FHD Win 11 および Beat i3 1115G4 を搭載したラップトップ コンピューター")</f>
        <v>FHD Win 11 および Beat i3 1115G4 を搭載したラップトップ コンピューター</v>
      </c>
    </row>
    <row r="5464" ht="15.75" customHeight="1">
      <c r="A5464" s="1">
        <v>6501.0</v>
      </c>
      <c r="B5464" s="1" t="s">
        <v>15</v>
      </c>
      <c r="C5464" s="1" t="s">
        <v>4557</v>
      </c>
      <c r="D5464" s="1" t="str">
        <f>IFERROR(__xludf.DUMMYFUNCTION("CONCATENATE(GOOGLETRANSLATE(C5464, ""en"", ""zh-cn""))"),"罗技 MX Keys S 无线键盘")</f>
        <v>罗技 MX Keys S 无线键盘</v>
      </c>
      <c r="E5464" s="1" t="str">
        <f>IFERROR(__xludf.DUMMYFUNCTION("CONCATENATE(GOOGLETRANSLATE(C5464, ""en"", ""ko""))"),"로지텍 MX Keys S 무선 키보드")</f>
        <v>로지텍 MX Keys S 무선 키보드</v>
      </c>
      <c r="F5464" s="1" t="str">
        <f>IFERROR(__xludf.DUMMYFUNCTION("CONCATENATE(GOOGLETRANSLATE(C5464, ""en"", ""ja""))"),"ロジクール MX Keys S ワイヤレス キーボード")</f>
        <v>ロジクール MX Keys S ワイヤレス キーボード</v>
      </c>
    </row>
    <row r="5465" ht="15.75" customHeight="1">
      <c r="A5465" s="1">
        <v>6513.0</v>
      </c>
      <c r="B5465" s="1" t="s">
        <v>15</v>
      </c>
      <c r="C5465" s="1" t="s">
        <v>4558</v>
      </c>
      <c r="D5465" s="1" t="str">
        <f>IFERROR(__xludf.DUMMYFUNCTION("CONCATENATE(GOOGLETRANSLATE(C5465, ""en"", ""zh-cn""))"),"华硕 NUC 14 Pro UCFF 165H")</f>
        <v>华硕 NUC 14 Pro UCFF 165H</v>
      </c>
      <c r="E5465" s="1" t="str">
        <f>IFERROR(__xludf.DUMMYFUNCTION("CONCATENATE(GOOGLETRANSLATE(C5465, ""en"", ""ko""))"),"아수스 NUC 14 프로 UCFF 165H")</f>
        <v>아수스 NUC 14 프로 UCFF 165H</v>
      </c>
      <c r="F5465" s="1" t="str">
        <f>IFERROR(__xludf.DUMMYFUNCTION("CONCATENATE(GOOGLETRANSLATE(C5465, ""en"", ""ja""))"),"Asus NUC 14 プロ UCFF 165H")</f>
        <v>Asus NUC 14 プロ UCFF 165H</v>
      </c>
    </row>
    <row r="5466" ht="15.75" customHeight="1">
      <c r="A5466" s="1">
        <v>6520.0</v>
      </c>
      <c r="B5466" s="1" t="s">
        <v>15</v>
      </c>
      <c r="C5466" s="1" t="s">
        <v>4559</v>
      </c>
      <c r="D5466" s="1" t="str">
        <f>IFERROR(__xludf.DUMMYFUNCTION("CONCATENATE(GOOGLETRANSLATE(C5466, ""en"", ""zh-cn""))"),"HP 24-cr0030 一体式台式电脑")</f>
        <v>HP 24-cr0030 一体式台式电脑</v>
      </c>
      <c r="E5466" s="1" t="str">
        <f>IFERROR(__xludf.DUMMYFUNCTION("CONCATENATE(GOOGLETRANSLATE(C5466, ""en"", ""ko""))"),"HP 24-cr0030 올인원 데스크탑 컴퓨터")</f>
        <v>HP 24-cr0030 올인원 데스크탑 컴퓨터</v>
      </c>
      <c r="F5466" s="1" t="str">
        <f>IFERROR(__xludf.DUMMYFUNCTION("CONCATENATE(GOOGLETRANSLATE(C5466, ""en"", ""ja""))"),"HP 24-cr0030 オールインワン デスクトップ コンピューター")</f>
        <v>HP 24-cr0030 オールインワン デスクトップ コンピューター</v>
      </c>
    </row>
    <row r="5467" ht="15.75" customHeight="1">
      <c r="A5467" s="1">
        <v>6538.0</v>
      </c>
      <c r="B5467" s="1" t="s">
        <v>15</v>
      </c>
      <c r="C5467" s="1" t="s">
        <v>4560</v>
      </c>
      <c r="D5467" s="1" t="str">
        <f>IFERROR(__xludf.DUMMYFUNCTION("CONCATENATE(GOOGLETRANSLATE(C5467, ""en"", ""zh-cn""))"),"Toy Choi 真正实用的二合一儿童吸尘器 - 适合幼儿的玩具吸尘器，带声音效果，假装玩耍儿童吸尘器，家用")</f>
        <v>Toy Choi 真正实用的二合一儿童吸尘器 - 适合幼儿的玩具吸尘器，带声音效果，假装玩耍儿童吸尘器，家用</v>
      </c>
      <c r="E5467" s="1" t="str">
        <f>IFERROR(__xludf.DUMMYFUNCTION("CONCATENATE(GOOGLETRANSLATE(C5467, ""en"", ""ko""))"),"실제로 작동하는 Toy Choi의 2-in-1 어린이 진공청소기 - 음향 효과가 있는 유아용 장난감 진공청소기, 역할극 어린이 진공청소기, 가정용")</f>
        <v>실제로 작동하는 Toy Choi의 2-in-1 어린이 진공청소기 - 음향 효과가 있는 유아용 장난감 진공청소기, 역할극 어린이 진공청소기, 가정용</v>
      </c>
      <c r="F5467" s="1" t="str">
        <f>IFERROR(__xludf.DUMMYFUNCTION("CONCATENATE(GOOGLETRANSLATE(C5467, ""en"", ""ja""))"),"Toy Choi の本当に使える 2-in-1 子供用掃除機 - 効果音付き幼児用おもちゃ掃除機、ごっこ遊び子供用掃除機、家庭用")</f>
        <v>Toy Choi の本当に使える 2-in-1 子供用掃除機 - 効果音付き幼児用おもちゃ掃除機、ごっこ遊び子供用掃除機、家庭用</v>
      </c>
    </row>
    <row r="5468" ht="15.75" customHeight="1">
      <c r="A5468" s="1">
        <v>6539.0</v>
      </c>
      <c r="B5468" s="1" t="s">
        <v>15</v>
      </c>
      <c r="C5468" s="1" t="s">
        <v>4561</v>
      </c>
      <c r="D5468" s="1" t="str">
        <f>IFERROR(__xludf.DUMMYFUNCTION("CONCATENATE(GOOGLETRANSLATE(C5468, ""en"", ""zh-cn""))"),"学习之旅 跟我学 彩色趣味鱼缸")</f>
        <v>学习之旅 跟我学 彩色趣味鱼缸</v>
      </c>
      <c r="E5468" s="1" t="str">
        <f>IFERROR(__xludf.DUMMYFUNCTION("CONCATENATE(GOOGLETRANSLATE(C5468, ""en"", ""ko""))"),"배움의 여정 나와 함께 배워보세요 컬러풀한 재미있는 어항")</f>
        <v>배움의 여정 나와 함께 배워보세요 컬러풀한 재미있는 어항</v>
      </c>
      <c r="F5468" s="1" t="str">
        <f>IFERROR(__xludf.DUMMYFUNCTION("CONCATENATE(GOOGLETRANSLATE(C5468, ""en"", ""ja""))"),"学習の旅 一緒に学びましょう Color Fun Fish Bowl")</f>
        <v>学習の旅 一緒に学びましょう Color Fun Fish Bowl</v>
      </c>
    </row>
    <row r="5469" ht="15.75" customHeight="1">
      <c r="A5469" s="1">
        <v>6541.0</v>
      </c>
      <c r="B5469" s="1" t="s">
        <v>15</v>
      </c>
      <c r="C5469" s="1" t="s">
        <v>4562</v>
      </c>
      <c r="D5469" s="1" t="str">
        <f>IFERROR(__xludf.DUMMYFUNCTION("CONCATENATE(GOOGLETRANSLATE(C5469, ""en"", ""zh-cn""))"),"Crate &amp; Kids 毛绒篝火儿童玩具套装")</f>
        <v>Crate &amp; Kids 毛绒篝火儿童玩具套装</v>
      </c>
      <c r="E5469" s="1" t="str">
        <f>IFERROR(__xludf.DUMMYFUNCTION("CONCATENATE(GOOGLETRANSLATE(C5469, ""en"", ""ko""))"),"상자 및 어린이 봉제 인형 캠프파이어 어린이 플레이 세트")</f>
        <v>상자 및 어린이 봉제 인형 캠프파이어 어린이 플레이 세트</v>
      </c>
      <c r="F5469" s="1" t="str">
        <f>IFERROR(__xludf.DUMMYFUNCTION("CONCATENATE(GOOGLETRANSLATE(C5469, ""en"", ""ja""))"),"クレート＆キッズ ぬいぐるみ キャンプファイヤー キッズ プレイセット")</f>
        <v>クレート＆キッズ ぬいぐるみ キャンプファイヤー キッズ プレイセット</v>
      </c>
    </row>
    <row r="5470" ht="15.75" customHeight="1">
      <c r="A5470" s="1">
        <v>6551.0</v>
      </c>
      <c r="B5470" s="1" t="s">
        <v>15</v>
      </c>
      <c r="C5470" s="1" t="s">
        <v>4563</v>
      </c>
      <c r="D5470" s="1" t="str">
        <f>IFERROR(__xludf.DUMMYFUNCTION("CONCATENATE(GOOGLETRANSLATE(C5470, ""en"", ""zh-cn""))"),"Pillowhale 儿童木制可折叠便携式烧烤迷你厨房烧烤玩具")</f>
        <v>Pillowhale 儿童木制可折叠便携式烧烤迷你厨房烧烤玩具</v>
      </c>
      <c r="E5470" s="1" t="str">
        <f>IFERROR(__xludf.DUMMYFUNCTION("CONCATENATE(GOOGLETRANSLATE(C5470, ""en"", ""ko""))"),"Pillowhale 어린이 나무 접이식 휴대용 바베큐 미니 주방 그릴 장난감")</f>
        <v>Pillowhale 어린이 나무 접이식 휴대용 바베큐 미니 주방 그릴 장난감</v>
      </c>
      <c r="F5470" s="1" t="str">
        <f>IFERROR(__xludf.DUMMYFUNCTION("CONCATENATE(GOOGLETRANSLATE(C5470, ""en"", ""ja""))"),"Pillowhale 子供用 木製 折りたたみ式 ポータブル BBQ ミニ キッチン グリル おもちゃ")</f>
        <v>Pillowhale 子供用 木製 折りたたみ式 ポータブル BBQ ミニ キッチン グリル おもちゃ</v>
      </c>
    </row>
    <row r="5471" ht="15.75" customHeight="1">
      <c r="A5471" s="1">
        <v>6562.0</v>
      </c>
      <c r="B5471" s="1" t="s">
        <v>15</v>
      </c>
      <c r="C5471" s="1" t="s">
        <v>4564</v>
      </c>
      <c r="D5471" s="1" t="str">
        <f>IFERROR(__xludf.DUMMYFUNCTION("CONCATENATE(GOOGLETRANSLATE(C5471, ""en"", ""zh-cn""))"),"儿童益智平板电脑智能玩具")</f>
        <v>儿童益智平板电脑智能玩具</v>
      </c>
      <c r="E5471" s="1" t="str">
        <f>IFERROR(__xludf.DUMMYFUNCTION("CONCATENATE(GOOGLETRANSLATE(C5471, ""en"", ""ko""))"),"어린이를 위한 어린이 교육용 태블릿 스마트 장난감")</f>
        <v>어린이를 위한 어린이 교육용 태블릿 스마트 장난감</v>
      </c>
      <c r="F5471" s="1" t="str">
        <f>IFERROR(__xludf.DUMMYFUNCTION("CONCATENATE(GOOGLETRANSLATE(C5471, ""en"", ""ja""))"),"子供用知育タブレット子供用スマートおもちゃ")</f>
        <v>子供用知育タブレット子供用スマートおもちゃ</v>
      </c>
    </row>
    <row r="5472" ht="15.75" customHeight="1">
      <c r="A5472" s="1">
        <v>6563.0</v>
      </c>
      <c r="B5472" s="1" t="s">
        <v>15</v>
      </c>
      <c r="C5472" s="1" t="s">
        <v>4565</v>
      </c>
      <c r="D5472" s="1" t="str">
        <f>IFERROR(__xludf.DUMMYFUNCTION("CONCATENATE(GOOGLETRANSLATE(C5472, ""en"", ""zh-cn""))"),"BananMelonBM 67 件套猫狗宠物雕像玩具套装")</f>
        <v>BananMelonBM 67 件套猫狗宠物雕像玩具套装</v>
      </c>
      <c r="E5472" s="1" t="str">
        <f>IFERROR(__xludf.DUMMYFUNCTION("CONCATENATE(GOOGLETRANSLATE(C5472, ""en"", ""ko""))"),"BananMelonBM 67개 고양이와 개 애완동물 조각상 플레이 세트")</f>
        <v>BananMelonBM 67개 고양이와 개 애완동물 조각상 플레이 세트</v>
      </c>
      <c r="F5472" s="1" t="str">
        <f>IFERROR(__xludf.DUMMYFUNCTION("CONCATENATE(GOOGLETRANSLATE(C5472, ""en"", ""ja""))"),"BananMelonBM 67 個の猫と犬のペットの置物プレイセット")</f>
        <v>BananMelonBM 67 個の猫と犬のペットの置物プレイセット</v>
      </c>
    </row>
    <row r="5473" ht="15.75" customHeight="1">
      <c r="A5473" s="1">
        <v>6567.0</v>
      </c>
      <c r="B5473" s="1" t="s">
        <v>15</v>
      </c>
      <c r="C5473" s="1" t="s">
        <v>4566</v>
      </c>
      <c r="D5473" s="1" t="str">
        <f>IFERROR(__xludf.DUMMYFUNCTION("CONCATENATE(GOOGLETRANSLATE(C5473, ""en"", ""zh-cn""))"),"Fisher Price Laugh &amp; Learn Mix &amp; Learn DJ 台")</f>
        <v>Fisher Price Laugh &amp; Learn Mix &amp; Learn DJ 台</v>
      </c>
      <c r="E5473" s="1" t="str">
        <f>IFERROR(__xludf.DUMMYFUNCTION("CONCATENATE(GOOGLETRANSLATE(C5473, ""en"", ""ko""))"),"Fisher Price 웃음 &amp; 배우기 믹스 &amp; 배우기 DJ 테이블")</f>
        <v>Fisher Price 웃음 &amp; 배우기 믹스 &amp; 배우기 DJ 테이블</v>
      </c>
      <c r="F5473" s="1" t="str">
        <f>IFERROR(__xludf.DUMMYFUNCTION("CONCATENATE(GOOGLETRANSLATE(C5473, ""en"", ""ja""))"),"フィッシャープライス 笑って学んでミックスして学ぶ DJテーブル")</f>
        <v>フィッシャープライス 笑って学んでミックスして学ぶ DJテーブル</v>
      </c>
    </row>
    <row r="5474" ht="15.75" customHeight="1">
      <c r="A5474" s="1">
        <v>6585.0</v>
      </c>
      <c r="B5474" s="1" t="s">
        <v>15</v>
      </c>
      <c r="C5474" s="1" t="s">
        <v>4567</v>
      </c>
      <c r="D5474" s="1" t="str">
        <f>IFERROR(__xludf.DUMMYFUNCTION("CONCATENATE(GOOGLETRANSLATE(C5474, ""en"", ""zh-cn""))"),"Park &amp; Sun 锦标赛 4000 人排球套装")</f>
        <v>Park &amp; Sun 锦标赛 4000 人排球套装</v>
      </c>
      <c r="E5474" s="1" t="str">
        <f>IFERROR(__xludf.DUMMYFUNCTION("CONCATENATE(GOOGLETRANSLATE(C5474, ""en"", ""ko""))"),"Park &amp; ​​Sun 토너먼트 4000 배구 세트")</f>
        <v>Park &amp; ​​Sun 토너먼트 4000 배구 세트</v>
      </c>
      <c r="F5474" s="1" t="str">
        <f>IFERROR(__xludf.DUMMYFUNCTION("CONCATENATE(GOOGLETRANSLATE(C5474, ""en"", ""ja""))"),"パーク&amp;サントーナメント4000バレーボールセット")</f>
        <v>パーク&amp;サントーナメント4000バレーボールセット</v>
      </c>
    </row>
    <row r="5475" ht="15.75" customHeight="1">
      <c r="A5475" s="1">
        <v>6587.0</v>
      </c>
      <c r="B5475" s="1" t="s">
        <v>15</v>
      </c>
      <c r="C5475" s="1" t="s">
        <v>4568</v>
      </c>
      <c r="D5475" s="1" t="str">
        <f>IFERROR(__xludf.DUMMYFUNCTION("CONCATENATE(GOOGLETRANSLATE(C5475, ""en"", ""zh-cn""))"),"威泽山地车")</f>
        <v>威泽山地车</v>
      </c>
      <c r="E5475" s="1" t="str">
        <f>IFERROR(__xludf.DUMMYFUNCTION("CONCATENATE(GOOGLETRANSLATE(C5475, ""en"", ""ko""))"),"WEIZE 산악자전거")</f>
        <v>WEIZE 산악자전거</v>
      </c>
      <c r="F5475" s="1" t="str">
        <f>IFERROR(__xludf.DUMMYFUNCTION("CONCATENATE(GOOGLETRANSLATE(C5475, ""en"", ""ja""))"),"WEIZE マウンテンバイク")</f>
        <v>WEIZE マウンテンバイク</v>
      </c>
    </row>
    <row r="5476" ht="15.75" customHeight="1">
      <c r="A5476" s="1">
        <v>6593.0</v>
      </c>
      <c r="B5476" s="1" t="s">
        <v>15</v>
      </c>
      <c r="C5476" s="1" t="s">
        <v>4569</v>
      </c>
      <c r="D5476" s="1" t="str">
        <f>IFERROR(__xludf.DUMMYFUNCTION("CONCATENATE(GOOGLETRANSLATE(C5476, ""en"", ""zh-cn""))"),"Hall of Games 32 英尺户外排球和羽毛球网带手提包配件套装")</f>
        <v>Hall of Games 32 英尺户外排球和羽毛球网带手提包配件套装</v>
      </c>
      <c r="E5476" s="1" t="str">
        <f>IFERROR(__xludf.DUMMYFUNCTION("CONCATENATE(GOOGLETRANSLATE(C5476, ""en"", ""ko""))"),"홀 오브 게임 32피트 야외 배구 및 배드민턴 네트 휴대용 가방 액세서리 세트 포함")</f>
        <v>홀 오브 게임 32피트 야외 배구 및 배드민턴 네트 휴대용 가방 액세서리 세트 포함</v>
      </c>
      <c r="F5476" s="1" t="str">
        <f>IFERROR(__xludf.DUMMYFUNCTION("CONCATENATE(GOOGLETRANSLATE(C5476, ""en"", ""ja""))"),"Hall of Games 32フィートの屋外バレーボールとバドミントンネット、キャリングバッグアクセサリーセット付き")</f>
        <v>Hall of Games 32フィートの屋外バレーボールとバドミントンネット、キャリングバッグアクセサリーセット付き</v>
      </c>
    </row>
    <row r="5477" ht="15.75" customHeight="1">
      <c r="A5477" s="1">
        <v>6596.0</v>
      </c>
      <c r="B5477" s="1" t="s">
        <v>15</v>
      </c>
      <c r="C5477" s="1" t="s">
        <v>4570</v>
      </c>
      <c r="D5477" s="1" t="str">
        <f>IFERROR(__xludf.DUMMYFUNCTION("CONCATENATE(GOOGLETRANSLATE(C5477, ""en"", ""zh-cn""))"),"URCUZER 运动帐篷")</f>
        <v>URCUZER 运动帐篷</v>
      </c>
      <c r="E5477" s="1" t="str">
        <f>IFERROR(__xludf.DUMMYFUNCTION("CONCATENATE(GOOGLETRANSLATE(C5477, ""en"", ""ko""))"),"URCUZER 스포츠 텐트")</f>
        <v>URCUZER 스포츠 텐트</v>
      </c>
      <c r="F5477" s="1" t="str">
        <f>IFERROR(__xludf.DUMMYFUNCTION("CONCATENATE(GOOGLETRANSLATE(C5477, ""en"", ""ja""))"),"URCUZER スポーツテント")</f>
        <v>URCUZER スポーツテント</v>
      </c>
    </row>
    <row r="5478" ht="15.75" customHeight="1">
      <c r="A5478" s="1">
        <v>6600.0</v>
      </c>
      <c r="B5478" s="1" t="s">
        <v>15</v>
      </c>
      <c r="C5478" s="1" t="s">
        <v>4571</v>
      </c>
      <c r="D5478" s="1" t="str">
        <f>IFERROR(__xludf.DUMMYFUNCTION("CONCATENATE(GOOGLETRANSLATE(C5478, ""en"", ""zh-cn""))"),"Kffkff 便携式排球网套件")</f>
        <v>Kffkff 便携式排球网套件</v>
      </c>
      <c r="E5478" s="1" t="str">
        <f>IFERROR(__xludf.DUMMYFUNCTION("CONCATENATE(GOOGLETRANSLATE(C5478, ""en"", ""ko""))"),"Kffkff 휴대용 배구 네트 키트")</f>
        <v>Kffkff 휴대용 배구 네트 키트</v>
      </c>
      <c r="F5478" s="1" t="str">
        <f>IFERROR(__xludf.DUMMYFUNCTION("CONCATENATE(GOOGLETRANSLATE(C5478, ""en"", ""ja""))"),"Kffkff ポータブルバレーボールネットキット")</f>
        <v>Kffkff ポータブルバレーボールネットキット</v>
      </c>
    </row>
    <row r="5479" ht="15.75" customHeight="1">
      <c r="A5479" s="1">
        <v>6610.0</v>
      </c>
      <c r="B5479" s="1" t="s">
        <v>15</v>
      </c>
      <c r="C5479" s="1" t="s">
        <v>4572</v>
      </c>
      <c r="D5479" s="1" t="str">
        <f>IFERROR(__xludf.DUMMYFUNCTION("CONCATENATE(GOOGLETRANSLATE(C5479, ""en"", ""zh-cn""))"),"Zensport 全尺寸 22 英尺便携式匹克球网套装")</f>
        <v>Zensport 全尺寸 22 英尺便携式匹克球网套装</v>
      </c>
      <c r="E5479" s="1" t="str">
        <f>IFERROR(__xludf.DUMMYFUNCTION("CONCATENATE(GOOGLETRANSLATE(C5479, ""en"", ""ko""))"),"Zensport 풀 사이즈 22피트 휴대용 피클볼 네트 세트")</f>
        <v>Zensport 풀 사이즈 22피트 휴대용 피클볼 네트 세트</v>
      </c>
      <c r="F5479" s="1" t="str">
        <f>IFERROR(__xludf.DUMMYFUNCTION("CONCATENATE(GOOGLETRANSLATE(C5479, ""en"", ""ja""))"),"Zensport フルサイズ 22 フィート ポータブル ピックルボール ネット セット")</f>
        <v>Zensport フルサイズ 22 フィート ポータブル ピックルボール ネット セット</v>
      </c>
    </row>
    <row r="5480" ht="15.75" customHeight="1">
      <c r="A5480" s="1">
        <v>6627.0</v>
      </c>
      <c r="B5480" s="1" t="s">
        <v>15</v>
      </c>
      <c r="C5480" s="1" t="s">
        <v>4573</v>
      </c>
      <c r="D5480" s="1" t="str">
        <f>IFERROR(__xludf.DUMMYFUNCTION("CONCATENATE(GOOGLETRANSLATE(C5480, ""en"", ""zh-cn""))"),"Bulova 女士狂想曲手表 97P145")</f>
        <v>Bulova 女士狂想曲手表 97P145</v>
      </c>
      <c r="E5480" s="1" t="str">
        <f>IFERROR(__xludf.DUMMYFUNCTION("CONCATENATE(GOOGLETRANSLATE(C5480, ""en"", ""ko""))"),"부로바 여성용 랩소디 시계 97P145")</f>
        <v>부로바 여성용 랩소디 시계 97P145</v>
      </c>
      <c r="F5480" s="1" t="str">
        <f>IFERROR(__xludf.DUMMYFUNCTION("CONCATENATE(GOOGLETRANSLATE(C5480, ""en"", ""ja""))"),"ブローバ レディース ラプソディ ウォッ​​チ 97P145")</f>
        <v>ブローバ レディース ラプソディ ウォッ​​チ 97P145</v>
      </c>
    </row>
    <row r="5481" ht="15.75" customHeight="1">
      <c r="A5481" s="1">
        <v>6633.0</v>
      </c>
      <c r="B5481" s="1" t="s">
        <v>15</v>
      </c>
      <c r="C5481" s="1" t="s">
        <v>4574</v>
      </c>
      <c r="D5481" s="1" t="str">
        <f>IFERROR(__xludf.DUMMYFUNCTION("CONCATENATE(GOOGLETRANSLATE(C5481, ""en"", ""zh-cn""))"),"Fossil 女式 Carlie 玫瑰金表盘手表")</f>
        <v>Fossil 女式 Carlie 玫瑰金表盘手表</v>
      </c>
      <c r="E5481" s="1" t="str">
        <f>IFERROR(__xludf.DUMMYFUNCTION("CONCATENATE(GOOGLETRANSLATE(C5481, ""en"", ""ko""))"),"화석 여성용 칼리 로즈 골드 다이얼 시계")</f>
        <v>화석 여성용 칼리 로즈 골드 다이얼 시계</v>
      </c>
      <c r="F5481" s="1" t="str">
        <f>IFERROR(__xludf.DUMMYFUNCTION("CONCATENATE(GOOGLETRANSLATE(C5481, ""en"", ""ja""))"),"Fossil レディース Carlie ローズゴールド ダイヤル ウォッチ")</f>
        <v>Fossil レディース Carlie ローズゴールド ダイヤル ウォッチ</v>
      </c>
    </row>
    <row r="5482" ht="15.75" customHeight="1">
      <c r="A5482" s="1">
        <v>6635.0</v>
      </c>
      <c r="B5482" s="1" t="s">
        <v>15</v>
      </c>
      <c r="C5482" s="1" t="s">
        <v>4575</v>
      </c>
      <c r="D5482" s="1" t="str">
        <f>IFERROR(__xludf.DUMMYFUNCTION("CONCATENATE(GOOGLETRANSLATE(C5482, ""en"", ""zh-cn""))"),"JBW 女士奥林匹亚白金系列 2.55 克拉钻石腕表")</f>
        <v>JBW 女士奥林匹亚白金系列 2.55 克拉钻石腕表</v>
      </c>
      <c r="E5482" s="1" t="str">
        <f>IFERROR(__xludf.DUMMYFUNCTION("CONCATENATE(GOOGLETRANSLATE(C5482, ""en"", ""ko""))"),"JBW 여성용 올림피아 플래티넘 시리즈 2.55 ctw 다이아몬드 시계")</f>
        <v>JBW 여성용 올림피아 플래티넘 시리즈 2.55 ctw 다이아몬드 시계</v>
      </c>
      <c r="F5482" s="1" t="str">
        <f>IFERROR(__xludf.DUMMYFUNCTION("CONCATENATE(GOOGLETRANSLATE(C5482, ""en"", ""ja""))"),"JBW レディース オリンピア プラチナ シリーズ 2.55 ctw ダイヤモンド ウォッチ")</f>
        <v>JBW レディース オリンピア プラチナ シリーズ 2.55 ctw ダイヤモンド ウォッチ</v>
      </c>
    </row>
    <row r="5483" ht="15.75" customHeight="1">
      <c r="A5483" s="1">
        <v>6636.0</v>
      </c>
      <c r="B5483" s="1" t="s">
        <v>15</v>
      </c>
      <c r="C5483" s="1" t="s">
        <v>4576</v>
      </c>
      <c r="D5483" s="1" t="str">
        <f>IFERROR(__xludf.DUMMYFUNCTION("CONCATENATE(GOOGLETRANSLATE(C5483, ""en"", ""zh-cn""))"),"Anne Klein 女士高级水晶手镯手表套装，玫瑰金和玫瑰金")</f>
        <v>Anne Klein 女士高级水晶手镯手表套装，玫瑰金和玫瑰金</v>
      </c>
      <c r="E5483" s="1" t="str">
        <f>IFERROR(__xludf.DUMMYFUNCTION("CONCATENATE(GOOGLETRANSLATE(C5483, ""en"", ""ko""))"),"Anne Klein 여성용 프리미엄 크리스탈 팔찌 시계 세트(로즈 및 로즈 골드)")</f>
        <v>Anne Klein 여성용 프리미엄 크리스탈 팔찌 시계 세트(로즈 및 로즈 골드)</v>
      </c>
      <c r="F5483" s="1" t="str">
        <f>IFERROR(__xludf.DUMMYFUNCTION("CONCATENATE(GOOGLETRANSLATE(C5483, ""en"", ""ja""))"),"Anne Klein レディース プレミアム クリスタル バングル ウォッチ セット (ローズとローズゴールド)")</f>
        <v>Anne Klein レディース プレミアム クリスタル バングル ウォッチ セット (ローズとローズゴールド)</v>
      </c>
    </row>
    <row r="5484" ht="15.75" customHeight="1">
      <c r="A5484" s="1">
        <v>6647.0</v>
      </c>
      <c r="B5484" s="1" t="s">
        <v>15</v>
      </c>
      <c r="C5484" s="1" t="s">
        <v>4577</v>
      </c>
      <c r="D5484" s="1" t="str">
        <f>IFERROR(__xludf.DUMMYFUNCTION("CONCATENATE(GOOGLETRANSLATE(C5484, ""en"", ""zh-cn""))"),"Shinola Derby 珍珠母贝钻石手链腕表")</f>
        <v>Shinola Derby 珍珠母贝钻石手链腕表</v>
      </c>
      <c r="E5484" s="1" t="str">
        <f>IFERROR(__xludf.DUMMYFUNCTION("CONCATENATE(GOOGLETRANSLATE(C5484, ""en"", ""ko""))"),"Shinola Derby 마더 오브 펄 앤 다이아몬드 브레이슬릿 시계")</f>
        <v>Shinola Derby 마더 오브 펄 앤 다이아몬드 브레이슬릿 시계</v>
      </c>
      <c r="F5484" s="1" t="str">
        <f>IFERROR(__xludf.DUMMYFUNCTION("CONCATENATE(GOOGLETRANSLATE(C5484, ""en"", ""ja""))"),"Shinola Derby マザーオブパールとダイヤモンドのブレスレットウォッチ")</f>
        <v>Shinola Derby マザーオブパールとダイヤモンドのブレスレットウォッチ</v>
      </c>
    </row>
    <row r="5485" ht="15.75" customHeight="1">
      <c r="A5485" s="1">
        <v>6648.0</v>
      </c>
      <c r="B5485" s="1" t="s">
        <v>15</v>
      </c>
      <c r="C5485" s="1" t="s">
        <v>4578</v>
      </c>
      <c r="D5485" s="1" t="str">
        <f>IFERROR(__xludf.DUMMYFUNCTION("CONCATENATE(GOOGLETRANSLATE(C5485, ""en"", ""zh-cn""))"),"Peugeot 女式 34x24 毫米坦克手表带水晶表圈")</f>
        <v>Peugeot 女式 34x24 毫米坦克手表带水晶表圈</v>
      </c>
      <c r="E5485" s="1" t="str">
        <f>IFERROR(__xludf.DUMMYFUNCTION("CONCATENATE(GOOGLETRANSLATE(C5485, ""en"", ""ko""))"),"푸조 여성용 34x24mm 탱크 시계(크리스털 베젤 포함)")</f>
        <v>푸조 여성용 34x24mm 탱크 시계(크리스털 베젤 포함)</v>
      </c>
      <c r="F5485" s="1" t="str">
        <f>IFERROR(__xludf.DUMMYFUNCTION("CONCATENATE(GOOGLETRANSLATE(C5485, ""en"", ""ja""))"),"プジョー レディース 34x24mm タンクウォッチ (クリスタルベゼル付き)")</f>
        <v>プジョー レディース 34x24mm タンクウォッチ (クリスタルベゼル付き)</v>
      </c>
    </row>
    <row r="5486" ht="15.75" customHeight="1">
      <c r="A5486" s="1">
        <v>6650.0</v>
      </c>
      <c r="B5486" s="1" t="s">
        <v>15</v>
      </c>
      <c r="C5486" s="1" t="s">
        <v>4579</v>
      </c>
      <c r="D5486" s="1" t="str">
        <f>IFERROR(__xludf.DUMMYFUNCTION("CONCATENATE(GOOGLETRANSLATE(C5486, ""en"", ""zh-cn""))"),"西铁城男士 BN0200-56E Promaster 潜水员钛金属手表")</f>
        <v>西铁城男士 BN0200-56E Promaster 潜水员钛金属手表</v>
      </c>
      <c r="E5486" s="1" t="str">
        <f>IFERROR(__xludf.DUMMYFUNCTION("CONCATENATE(GOOGLETRANSLATE(C5486, ""en"", ""ko""))"),"Citizen 남성용 BN0200-56E Promaster 다이버 티타늄 시계")</f>
        <v>Citizen 남성용 BN0200-56E Promaster 다이버 티타늄 시계</v>
      </c>
      <c r="F5486" s="1" t="str">
        <f>IFERROR(__xludf.DUMMYFUNCTION("CONCATENATE(GOOGLETRANSLATE(C5486, ""en"", ""ja""))"),"シチズン メンズ BN0200-56E プロマスター ダイバー チタン腕時計")</f>
        <v>シチズン メンズ BN0200-56E プロマスター ダイバー チタン腕時計</v>
      </c>
    </row>
    <row r="5487" ht="15.75" customHeight="1">
      <c r="A5487" s="1">
        <v>6655.0</v>
      </c>
      <c r="B5487" s="1" t="s">
        <v>15</v>
      </c>
      <c r="C5487" s="1" t="s">
        <v>4580</v>
      </c>
      <c r="D5487" s="1" t="str">
        <f>IFERROR(__xludf.DUMMYFUNCTION("CONCATENATE(GOOGLETRANSLATE(C5487, ""en"", ""zh-cn""))"),"TAURI 3 合 1 适用于 iPhone 16 手机壳，兼容 MagSafe [抗黄] 带 2 个屏幕保护膜，军用级保护，防震纤薄")</f>
        <v>TAURI 3 合 1 适用于 iPhone 16 手机壳，兼容 MagSafe [抗黄] 带 2 个屏幕保护膜，军用级保护，防震纤薄</v>
      </c>
      <c r="E5487" s="1" t="str">
        <f>IFERROR(__xludf.DUMMYFUNCTION("CONCATENATE(GOOGLETRANSLATE(C5487, ""en"", ""ko""))"),"iPhone 16용 TAURI 3 in 1 케이스, MagSafe와 호환 가능 [황변 방지] 2X 화면 보호기, 군용 등급 보호, 충격 방지 슬림")</f>
        <v>iPhone 16용 TAURI 3 in 1 케이스, MagSafe와 호환 가능 [황변 방지] 2X 화면 보호기, 군용 등급 보호, 충격 방지 슬림</v>
      </c>
      <c r="F5487" s="1" t="str">
        <f>IFERROR(__xludf.DUMMYFUNCTION("CONCATENATE(GOOGLETRANSLATE(C5487, ""en"", ""ja""))"),"TAURI 3 in 1 iPhone 16 ケース、MagSafe 対応 [黄ばみ防止] スクリーンプロテクター 2 枚付き、軍用グレードの保護、耐衝撃スリム")</f>
        <v>TAURI 3 in 1 iPhone 16 ケース、MagSafe 対応 [黄ばみ防止] スクリーンプロテクター 2 枚付き、軍用グレードの保護、耐衝撃スリム</v>
      </c>
    </row>
    <row r="5488" ht="15.75" customHeight="1">
      <c r="A5488" s="1">
        <v>6662.0</v>
      </c>
      <c r="B5488" s="1" t="s">
        <v>15</v>
      </c>
      <c r="C5488" s="1" t="s">
        <v>4581</v>
      </c>
      <c r="D5488" s="1" t="str">
        <f>IFERROR(__xludf.DUMMYFUNCTION("CONCATENATE(GOOGLETRANSLATE(C5488, ""en"", ""zh-cn""))"),"萨普蒂格手机支架")</f>
        <v>萨普蒂格手机支架</v>
      </c>
      <c r="E5488" s="1" t="str">
        <f>IFERROR(__xludf.DUMMYFUNCTION("CONCATENATE(GOOGLETRANSLATE(C5488, ""en"", ""ko""))"),"Suptig 휴대폰 홀더")</f>
        <v>Suptig 휴대폰 홀더</v>
      </c>
      <c r="F5488" s="1" t="str">
        <f>IFERROR(__xludf.DUMMYFUNCTION("CONCATENATE(GOOGLETRANSLATE(C5488, ""en"", ""ja""))"),"Suptig 携帯電話ホルダー")</f>
        <v>Suptig 携帯電話ホルダー</v>
      </c>
    </row>
    <row r="5489" ht="15.75" customHeight="1">
      <c r="A5489" s="1">
        <v>6666.0</v>
      </c>
      <c r="B5489" s="1" t="s">
        <v>15</v>
      </c>
      <c r="C5489" s="1" t="s">
        <v>4582</v>
      </c>
      <c r="D5489" s="1" t="str">
        <f>IFERROR(__xludf.DUMMYFUNCTION("CONCATENATE(GOOGLETRANSLATE(C5489, ""en"", ""zh-cn""))"),"PopSockets 梦幻心形手机握把")</f>
        <v>PopSockets 梦幻心形手机握把</v>
      </c>
      <c r="E5489" s="1" t="str">
        <f>IFERROR(__xludf.DUMMYFUNCTION("CONCATENATE(GOOGLETRANSLATE(C5489, ""en"", ""ko""))"),"PopSockets 드리미 하트 폰 그립")</f>
        <v>PopSockets 드리미 하트 폰 그립</v>
      </c>
      <c r="F5489" s="1" t="str">
        <f>IFERROR(__xludf.DUMMYFUNCTION("CONCATENATE(GOOGLETRANSLATE(C5489, ""en"", ""ja""))"),"ポップソケッツ ドリーミー ハート フォン グリップ")</f>
        <v>ポップソケッツ ドリーミー ハート フォン グリップ</v>
      </c>
    </row>
    <row r="5490" ht="15.75" customHeight="1">
      <c r="A5490" s="1">
        <v>6669.0</v>
      </c>
      <c r="B5490" s="1" t="s">
        <v>15</v>
      </c>
      <c r="C5490" s="1" t="s">
        <v>4583</v>
      </c>
      <c r="D5490" s="1" t="str">
        <f>IFERROR(__xludf.DUMMYFUNCTION("CONCATENATE(GOOGLETRANSLATE(C5490, ""en"", ""zh-cn""))"),"SOOPII 磁性手机指环架")</f>
        <v>SOOPII 磁性手机指环架</v>
      </c>
      <c r="E5490" s="1" t="str">
        <f>IFERROR(__xludf.DUMMYFUNCTION("CONCATENATE(GOOGLETRANSLATE(C5490, ""en"", ""ko""))"),"SOOPII 자기 휴대폰 링 홀더")</f>
        <v>SOOPII 자기 휴대폰 링 홀더</v>
      </c>
      <c r="F5490" s="1" t="str">
        <f>IFERROR(__xludf.DUMMYFUNCTION("CONCATENATE(GOOGLETRANSLATE(C5490, ""en"", ""ja""))"),"SOOPII 磁気電話リング ホルダー")</f>
        <v>SOOPII 磁気電話リング ホルダー</v>
      </c>
    </row>
    <row r="5491" ht="15.75" customHeight="1">
      <c r="A5491" s="1">
        <v>6711.0</v>
      </c>
      <c r="B5491" s="1" t="s">
        <v>15</v>
      </c>
      <c r="C5491" s="1" t="s">
        <v>4584</v>
      </c>
      <c r="D5491" s="1" t="str">
        <f>IFERROR(__xludf.DUMMYFUNCTION("CONCATENATE(GOOGLETRANSLATE(C5491, ""en"", ""zh-cn""))"),"GE 前置式洗衣机 GFW550SSNWW")</f>
        <v>GE 前置式洗衣机 GFW550SSNWW</v>
      </c>
      <c r="E5491" s="1" t="str">
        <f>IFERROR(__xludf.DUMMYFUNCTION("CONCATENATE(GOOGLETRANSLATE(C5491, ""en"", ""ko""))"),"GE 전면 투입 세탁기 GFW550SSNWW")</f>
        <v>GE 전면 투입 세탁기 GFW550SSNWW</v>
      </c>
      <c r="F5491" s="1" t="str">
        <f>IFERROR(__xludf.DUMMYFUNCTION("CONCATENATE(GOOGLETRANSLATE(C5491, ""en"", ""ja""))"),"GE フロントロードワッシャー GFW550SSNWW")</f>
        <v>GE フロントロードワッシャー GFW550SSNWW</v>
      </c>
    </row>
    <row r="5492" ht="15.75" customHeight="1">
      <c r="A5492" s="1">
        <v>6720.0</v>
      </c>
      <c r="B5492" s="1" t="s">
        <v>15</v>
      </c>
      <c r="C5492" s="1" t="s">
        <v>4585</v>
      </c>
      <c r="D5492" s="1" t="str">
        <f>IFERROR(__xludf.DUMMYFUNCTION("CONCATENATE(GOOGLETRANSLATE(C5492, ""en"", ""zh-cn""))"),"Haden Heritage 4 片宽槽烤面包机")</f>
        <v>Haden Heritage 4 片宽槽烤面包机</v>
      </c>
      <c r="E5492" s="1" t="str">
        <f>IFERROR(__xludf.DUMMYFUNCTION("CONCATENATE(GOOGLETRANSLATE(C5492, ""en"", ""ko""))"),"Haden Heritage 4슬라이스 와이드 슬롯 토스터")</f>
        <v>Haden Heritage 4슬라이스 와이드 슬롯 토스터</v>
      </c>
      <c r="F5492" s="1" t="str">
        <f>IFERROR(__xludf.DUMMYFUNCTION("CONCATENATE(GOOGLETRANSLATE(C5492, ""en"", ""ja""))"),"Haden Heritage 4 スライス ワイド スロット トースター")</f>
        <v>Haden Heritage 4 スライス ワイド スロット トースター</v>
      </c>
    </row>
    <row r="5493" ht="15.75" customHeight="1">
      <c r="A5493" s="1">
        <v>6743.0</v>
      </c>
      <c r="B5493" s="1" t="s">
        <v>15</v>
      </c>
      <c r="C5493" s="1" t="s">
        <v>4586</v>
      </c>
      <c r="D5493" s="1" t="str">
        <f>IFERROR(__xludf.DUMMYFUNCTION("CONCATENATE(GOOGLETRANSLATE(C5493, ""en"", ""zh-cn""))"),"埃文亚历山大修饰我的头发修复系统")</f>
        <v>埃文亚历山大修饰我的头发修复系统</v>
      </c>
      <c r="E5493" s="1" t="str">
        <f>IFERROR(__xludf.DUMMYFUNCTION("CONCATENATE(GOOGLETRANSLATE(C5493, ""en"", ""ko""))"),"에반 알렉산더 그루밍 마이 헤어 리페어 시스템")</f>
        <v>에반 알렉산더 그루밍 마이 헤어 리페어 시스템</v>
      </c>
      <c r="F5493" s="1" t="str">
        <f>IFERROR(__xludf.DUMMYFUNCTION("CONCATENATE(GOOGLETRANSLATE(C5493, ""en"", ""ja""))"),"エヴァン アレクサンダー グルーミング マイ ヘアリペア システム")</f>
        <v>エヴァン アレクサンダー グルーミング マイ ヘアリペア システム</v>
      </c>
    </row>
    <row r="5494" ht="15.75" customHeight="1">
      <c r="A5494" s="1">
        <v>6744.0</v>
      </c>
      <c r="B5494" s="1" t="s">
        <v>15</v>
      </c>
      <c r="C5494" s="1" t="s">
        <v>4587</v>
      </c>
      <c r="D5494" s="1" t="str">
        <f>IFERROR(__xludf.DUMMYFUNCTION("CONCATENATE(GOOGLETRANSLATE(C5494, ""en"", ""zh-cn""))"),"InstaSkincare 生物素洗发水和护发素套装")</f>
        <v>InstaSkincare 生物素洗发水和护发素套装</v>
      </c>
      <c r="E5494" s="1" t="str">
        <f>IFERROR(__xludf.DUMMYFUNCTION("CONCATENATE(GOOGLETRANSLATE(C5494, ""en"", ""ko""))"),"InstaSkincare 비오틴 샴푸 및 컨디셔너 세트")</f>
        <v>InstaSkincare 비오틴 샴푸 및 컨디셔너 세트</v>
      </c>
      <c r="F5494" s="1" t="str">
        <f>IFERROR(__xludf.DUMMYFUNCTION("CONCATENATE(GOOGLETRANSLATE(C5494, ""en"", ""ja""))"),"InstaSkincare ビオチン シャンプー &amp; コンディショナー セット")</f>
        <v>InstaSkincare ビオチン シャンプー &amp; コンディショナー セット</v>
      </c>
    </row>
    <row r="5495" ht="15.75" customHeight="1">
      <c r="A5495" s="1">
        <v>6745.0</v>
      </c>
      <c r="B5495" s="1" t="s">
        <v>15</v>
      </c>
      <c r="C5495" s="1" t="s">
        <v>4588</v>
      </c>
      <c r="D5495" s="1" t="str">
        <f>IFERROR(__xludf.DUMMYFUNCTION("CONCATENATE(GOOGLETRANSLATE(C5495, ""en"", ""zh-cn""))"),"她的三重威胁系统护发套装")</f>
        <v>她的三重威胁系统护发套装</v>
      </c>
      <c r="E5495" s="1" t="str">
        <f>IFERROR(__xludf.DUMMYFUNCTION("CONCATENATE(GOOGLETRANSLATE(C5495, ""en"", ""ko""))"),"Hers Triple Threat System 헤어 케어 키트")</f>
        <v>Hers Triple Threat System 헤어 케어 키트</v>
      </c>
      <c r="F5495" s="1" t="str">
        <f>IFERROR(__xludf.DUMMYFUNCTION("CONCATENATE(GOOGLETRANSLATE(C5495, ""en"", ""ja""))"),"Hers トリプル スレット システム ヘアケア キット")</f>
        <v>Hers トリプル スレット システム ヘアケア キット</v>
      </c>
    </row>
    <row r="5496" ht="15.75" customHeight="1">
      <c r="A5496" s="1">
        <v>6752.0</v>
      </c>
      <c r="B5496" s="1" t="s">
        <v>15</v>
      </c>
      <c r="C5496" s="1" t="s">
        <v>4589</v>
      </c>
      <c r="D5496" s="1" t="str">
        <f>IFERROR(__xludf.DUMMYFUNCTION("CONCATENATE(GOOGLETRANSLATE(C5496, ""en"", ""zh-cn""))"),"日常健康椰子香草洗发水")</f>
        <v>日常健康椰子香草洗发水</v>
      </c>
      <c r="E5496" s="1" t="str">
        <f>IFERROR(__xludf.DUMMYFUNCTION("CONCATENATE(GOOGLETRANSLATE(C5496, ""en"", ""ko""))"),"루틴 웰니스 코코넛 &amp; 바닐라 샴푸")</f>
        <v>루틴 웰니스 코코넛 &amp; 바닐라 샴푸</v>
      </c>
      <c r="F5496" s="1" t="str">
        <f>IFERROR(__xludf.DUMMYFUNCTION("CONCATENATE(GOOGLETRANSLATE(C5496, ""en"", ""ja""))"),"ルーティン ウェルネス ココナッツ &amp; バニラ シャンプー")</f>
        <v>ルーティン ウェルネス ココナッツ &amp; バニラ シャンプー</v>
      </c>
    </row>
    <row r="5497" ht="15.75" customHeight="1">
      <c r="A5497" s="1">
        <v>6760.0</v>
      </c>
      <c r="B5497" s="1" t="s">
        <v>15</v>
      </c>
      <c r="C5497" s="1" t="s">
        <v>4181</v>
      </c>
      <c r="D5497" s="1" t="str">
        <f>IFERROR(__xludf.DUMMYFUNCTION("CONCATENATE(GOOGLETRANSLATE(C5497, ""en"", ""zh-cn""))"),"海藻提取物美容直发面膜基底的功效")</f>
        <v>海藻提取物美容直发面膜基底的功效</v>
      </c>
      <c r="E5497" s="1" t="str">
        <f>IFERROR(__xludf.DUMMYFUNCTION("CONCATENATE(GOOGLETRANSLATE(C5497, ""en"", ""ko""))"),"해조추출물을 함유한 뷰티 스트레이트 헤어 마스크 베이스의 기능")</f>
        <v>해조추출물을 함유한 뷰티 스트레이트 헤어 마스크 베이스의 기능</v>
      </c>
      <c r="F5497" s="1" t="str">
        <f>IFERROR(__xludf.DUMMYFUNCTION("CONCATENATE(GOOGLETRANSLATE(C5497, ""en"", ""ja""))"),"海藻エキス配合ビューティストレートヘアマスクベースの働き")</f>
        <v>海藻エキス配合ビューティストレートヘアマスクベースの働き</v>
      </c>
    </row>
    <row r="5498" ht="15.75" customHeight="1">
      <c r="A5498" s="1">
        <v>6769.0</v>
      </c>
      <c r="B5498" s="1" t="s">
        <v>15</v>
      </c>
      <c r="C5498" s="1" t="s">
        <v>2434</v>
      </c>
      <c r="D5498" s="1" t="str">
        <f>IFERROR(__xludf.DUMMYFUNCTION("CONCATENATE(GOOGLETRANSLATE(C5498, ""en"", ""zh-cn""))"),"角蛋白洗发水护发素")</f>
        <v>角蛋白洗发水护发素</v>
      </c>
      <c r="E5498" s="1" t="str">
        <f>IFERROR(__xludf.DUMMYFUNCTION("CONCATENATE(GOOGLETRANSLATE(C5498, ""en"", ""ko""))"),"케라틴 샴푸 헤어 트리트먼트")</f>
        <v>케라틴 샴푸 헤어 트리트먼트</v>
      </c>
      <c r="F5498" s="1" t="str">
        <f>IFERROR(__xludf.DUMMYFUNCTION("CONCATENATE(GOOGLETRANSLATE(C5498, ""en"", ""ja""))"),"ケラチンシャンプー ヘアトリートメント")</f>
        <v>ケラチンシャンプー ヘアトリートメント</v>
      </c>
    </row>
    <row r="5499" ht="15.75" customHeight="1">
      <c r="A5499" s="1">
        <v>6772.0</v>
      </c>
      <c r="B5499" s="1" t="s">
        <v>15</v>
      </c>
      <c r="C5499" s="1" t="s">
        <v>4590</v>
      </c>
      <c r="D5499" s="1" t="str">
        <f>IFERROR(__xludf.DUMMYFUNCTION("CONCATENATE(GOOGLETRANSLATE(C5499, ""en"", ""zh-cn""))"),"生物编程吹风机 Repronizer 107D Plus")</f>
        <v>生物编程吹风机 Repronizer 107D Plus</v>
      </c>
      <c r="E5499" s="1" t="str">
        <f>IFERROR(__xludf.DUMMYFUNCTION("CONCATENATE(GOOGLETRANSLATE(C5499, ""en"", ""ko""))"),"바이오프로그래밍 헤어 드라이어 Repronizer 107D Plus")</f>
        <v>바이오프로그래밍 헤어 드라이어 Repronizer 107D Plus</v>
      </c>
      <c r="F5499" s="1" t="str">
        <f>IFERROR(__xludf.DUMMYFUNCTION("CONCATENATE(GOOGLETRANSLATE(C5499, ""en"", ""ja""))"),"バイオプログラミング ヘアドライヤー レプロナイザー 107D Plus")</f>
        <v>バイオプログラミング ヘアドライヤー レプロナイザー 107D Plus</v>
      </c>
    </row>
    <row r="5500" ht="15.75" customHeight="1">
      <c r="A5500" s="1">
        <v>6774.0</v>
      </c>
      <c r="B5500" s="1" t="s">
        <v>15</v>
      </c>
      <c r="C5500" s="1" t="s">
        <v>4591</v>
      </c>
      <c r="D5500" s="1" t="str">
        <f>IFERROR(__xludf.DUMMYFUNCTION("CONCATENATE(GOOGLETRANSLATE(C5500, ""en"", ""zh-cn""))"),"Nature's Bounty Optimal Solutions 头发、皮肤和指甲超强快速释放液体软胶囊")</f>
        <v>Nature's Bounty Optimal Solutions 头发、皮肤和指甲超强快速释放液体软胶囊</v>
      </c>
      <c r="E5500" s="1" t="str">
        <f>IFERROR(__xludf.DUMMYFUNCTION("CONCATENATE(GOOGLETRANSLATE(C5500, ""en"", ""ko""))"),"Nature's Bounty Optimal Solutions 모발, 피부 및 손톱 초강력 신속 방출 액체 소프트젤")</f>
        <v>Nature's Bounty Optimal Solutions 모발, 피부 및 손톱 초강력 신속 방출 액체 소프트젤</v>
      </c>
      <c r="F5500" s="1" t="str">
        <f>IFERROR(__xludf.DUMMYFUNCTION("CONCATENATE(GOOGLETRANSLATE(C5500, ""en"", ""ja""))"),"Nature's Bounty 最適なソリューション 髪、肌、爪 エクストラストレングス 速放性液体ソフトジェル")</f>
        <v>Nature's Bounty 最適なソリューション 髪、肌、爪 エクストラストレングス 速放性液体ソフトジェル</v>
      </c>
    </row>
    <row r="5501" ht="15.75" customHeight="1">
      <c r="A5501" s="1">
        <v>6775.0</v>
      </c>
      <c r="B5501" s="1" t="s">
        <v>15</v>
      </c>
      <c r="C5501" s="1" t="s">
        <v>4592</v>
      </c>
      <c r="D5501" s="1" t="str">
        <f>IFERROR(__xludf.DUMMYFUNCTION("CONCATENATE(GOOGLETRANSLATE(C5501, ""en"", ""zh-cn""))"),"Eva NYC Take Care 健康洗发水")</f>
        <v>Eva NYC Take Care 健康洗发水</v>
      </c>
      <c r="E5501" s="1" t="str">
        <f>IFERROR(__xludf.DUMMYFUNCTION("CONCATENATE(GOOGLETRANSLATE(C5501, ""en"", ""ko""))"),"Eva NYC 테이크 케어 헬시 헤어 샴푸")</f>
        <v>Eva NYC 테이크 케어 헬시 헤어 샴푸</v>
      </c>
      <c r="F5501" s="1" t="str">
        <f>IFERROR(__xludf.DUMMYFUNCTION("CONCATENATE(GOOGLETRANSLATE(C5501, ""en"", ""ja""))"),"エヴァ NYC テイク ケア ヘルシー ヘア シャンプー")</f>
        <v>エヴァ NYC テイク ケア ヘルシー ヘア シャンプー</v>
      </c>
    </row>
    <row r="5502" ht="15.75" customHeight="1">
      <c r="A5502" s="1">
        <v>6777.0</v>
      </c>
      <c r="B5502" s="1" t="s">
        <v>15</v>
      </c>
      <c r="C5502" s="1" t="s">
        <v>4593</v>
      </c>
      <c r="D5502" s="1" t="str">
        <f>IFERROR(__xludf.DUMMYFUNCTION("CONCATENATE(GOOGLETRANSLATE(C5502, ""en"", ""zh-cn""))"),"按美容功能定制共洗")</f>
        <v>按美容功能定制共洗</v>
      </c>
      <c r="E5502" s="1" t="str">
        <f>IFERROR(__xludf.DUMMYFUNCTION("CONCATENATE(GOOGLETRANSLATE(C5502, ""en"", ""ko""))"),"미용 기능별 맞춤형 코워시")</f>
        <v>미용 기능별 맞춤형 코워시</v>
      </c>
      <c r="F5502" s="1" t="str">
        <f>IFERROR(__xludf.DUMMYFUNCTION("CONCATENATE(GOOGLETRANSLATE(C5502, ""en"", ""ja""))"),"美容機能によるカスタムコウォッシュ")</f>
        <v>美容機能によるカスタムコウォッシュ</v>
      </c>
    </row>
    <row r="5503" ht="15.75" customHeight="1">
      <c r="A5503" s="1">
        <v>6779.0</v>
      </c>
      <c r="B5503" s="1" t="s">
        <v>15</v>
      </c>
      <c r="C5503" s="1" t="s">
        <v>4594</v>
      </c>
      <c r="D5503" s="1" t="str">
        <f>IFERROR(__xludf.DUMMYFUNCTION("CONCATENATE(GOOGLETRANSLATE(C5503, ""en"", ""zh-cn""))"),"MIGUHARA 日常丝质护发精华")</f>
        <v>MIGUHARA 日常丝质护发精华</v>
      </c>
      <c r="E5503" s="1" t="str">
        <f>IFERROR(__xludf.DUMMYFUNCTION("CONCATENATE(GOOGLETRANSLATE(C5503, ""en"", ""ko""))"),"미구하라 데일리 실크 이펙트 헤어 세럼")</f>
        <v>미구하라 데일리 실크 이펙트 헤어 세럼</v>
      </c>
      <c r="F5503" s="1" t="str">
        <f>IFERROR(__xludf.DUMMYFUNCTION("CONCATENATE(GOOGLETRANSLATE(C5503, ""en"", ""ja""))"),"MIGUHARA デイリーシルクエフェクト ヘアセラム")</f>
        <v>MIGUHARA デイリーシルクエフェクト ヘアセラム</v>
      </c>
    </row>
    <row r="5504" ht="15.75" customHeight="1">
      <c r="A5504" s="1">
        <v>6790.0</v>
      </c>
      <c r="B5504" s="1" t="s">
        <v>15</v>
      </c>
      <c r="C5504" s="1" t="s">
        <v>4595</v>
      </c>
      <c r="D5504" s="1" t="str">
        <f>IFERROR(__xludf.DUMMYFUNCTION("CONCATENATE(GOOGLETRANSLATE(C5504, ""en"", ""zh-cn""))"),"Beauty Pro The Moisture Shot 保湿秀发目标浓缩液混合液的功能")</f>
        <v>Beauty Pro The Moisture Shot 保湿秀发目标浓缩液混合液的功能</v>
      </c>
      <c r="E5504" s="1" t="str">
        <f>IFERROR(__xludf.DUMMYFUNCTION("CONCATENATE(GOOGLETRANSLATE(C5504, ""en"", ""ko""))"),"뷰티프로의 기능 더 모이스처 샷 하이드레이팅 헤어 골 컨센트레이트 믹스인")</f>
        <v>뷰티프로의 기능 더 모이스처 샷 하이드레이팅 헤어 골 컨센트레이트 믹스인</v>
      </c>
      <c r="F5504" s="1" t="str">
        <f>IFERROR(__xludf.DUMMYFUNCTION("CONCATENATE(GOOGLETRANSLATE(C5504, ""en"", ""ja""))"),"ビューティ プロ ザ モイスチャー ショット ハイドレーティング ヘアー ゴール コンセントレート ミックスインの機能")</f>
        <v>ビューティ プロ ザ モイスチャー ショット ハイドレーティング ヘアー ゴール コンセントレート ミックスインの機能</v>
      </c>
    </row>
    <row r="5505" ht="15.75" customHeight="1">
      <c r="A5505" s="1">
        <v>6795.0</v>
      </c>
      <c r="B5505" s="1" t="s">
        <v>15</v>
      </c>
      <c r="C5505" s="1" t="s">
        <v>4596</v>
      </c>
      <c r="D5505" s="1" t="str">
        <f>IFERROR(__xludf.DUMMYFUNCTION("CONCATENATE(GOOGLETRANSLATE(C5505, ""en"", ""zh-cn""))"),"HealthKart HK Vitals 健康头发复合维生素生物素洗发水和护发素组合")</f>
        <v>HealthKart HK Vitals 健康头发复合维生素生物素洗发水和护发素组合</v>
      </c>
      <c r="E5505" s="1" t="str">
        <f>IFERROR(__xludf.DUMMYFUNCTION("CONCATENATE(GOOGLETRANSLATE(C5505, ""en"", ""ko""))"),"HealthKart HK Vitals 건강한 모발 종합비타민 비오틴 샴푸 &amp; 컨디셔너 콤보")</f>
        <v>HealthKart HK Vitals 건강한 모발 종합비타민 비오틴 샴푸 &amp; 컨디셔너 콤보</v>
      </c>
      <c r="F5505" s="1" t="str">
        <f>IFERROR(__xludf.DUMMYFUNCTION("CONCATENATE(GOOGLETRANSLATE(C5505, ""en"", ""ja""))"),"HealthKart HK Vitals ヘルシーヘア マルチビタミン ビオチン シャンプー &amp; コンディショナー コンボ")</f>
        <v>HealthKart HK Vitals ヘルシーヘア マルチビタミン ビオチン シャンプー &amp; コンディショナー コンボ</v>
      </c>
    </row>
    <row r="5506" ht="15.75" customHeight="1">
      <c r="A5506" s="1">
        <v>6819.0</v>
      </c>
      <c r="B5506" s="1" t="s">
        <v>15</v>
      </c>
      <c r="C5506" s="1" t="s">
        <v>4597</v>
      </c>
      <c r="D5506" s="1" t="str">
        <f>IFERROR(__xludf.DUMMYFUNCTION("CONCATENATE(GOOGLETRANSLATE(C5506, ""en"", ""zh-cn""))"),"电子书和平装书出版基础知识：行动指南")</f>
        <v>电子书和平装书出版基础知识：行动指南</v>
      </c>
      <c r="E5506" s="1" t="str">
        <f>IFERROR(__xludf.DUMMYFUNCTION("CONCATENATE(GOOGLETRANSLATE(C5506, ""en"", ""ko""))"),"전자책 및 페이퍼백 도서 출판의 기본: 실행 가이드")</f>
        <v>전자책 및 페이퍼백 도서 출판의 기본: 실행 가이드</v>
      </c>
      <c r="F5506" s="1" t="str">
        <f>IFERROR(__xludf.DUMMYFUNCTION("CONCATENATE(GOOGLETRANSLATE(C5506, ""en"", ""ja""))"),"電子書籍およびペーパーバック書籍出版の基礎: 行動ガイド")</f>
        <v>電子書籍およびペーパーバック書籍出版の基礎: 行動ガイド</v>
      </c>
    </row>
    <row r="5507" ht="15.75" customHeight="1">
      <c r="A5507" s="1">
        <v>6822.0</v>
      </c>
      <c r="B5507" s="1" t="s">
        <v>15</v>
      </c>
      <c r="C5507" s="1" t="s">
        <v>4598</v>
      </c>
      <c r="D5507" s="1" t="str">
        <f>IFERROR(__xludf.DUMMYFUNCTION("CONCATENATE(GOOGLETRANSLATE(C5507, ""en"", ""zh-cn""))"),"Rakuten Kobo Libra Color 电子阅读器 黑色")</f>
        <v>Rakuten Kobo Libra Color 电子阅读器 黑色</v>
      </c>
      <c r="E5507" s="1" t="str">
        <f>IFERROR(__xludf.DUMMYFUNCTION("CONCATENATE(GOOGLETRANSLATE(C5507, ""en"", ""ko""))"),"라쿠텐 공방 리브라 컬러 e-reader 블랙")</f>
        <v>라쿠텐 공방 리브라 컬러 e-reader 블랙</v>
      </c>
      <c r="F5507" s="1" t="str">
        <f>IFERROR(__xludf.DUMMYFUNCTION("CONCATENATE(GOOGLETRANSLATE(C5507, ""en"", ""ja""))"),"楽天Kobo Libra Color 電子書籍リーダー ブラック")</f>
        <v>楽天Kobo Libra Color 電子書籍リーダー ブラック</v>
      </c>
    </row>
    <row r="5508" ht="15.75" customHeight="1">
      <c r="A5508" s="1">
        <v>6832.0</v>
      </c>
      <c r="B5508" s="1" t="s">
        <v>15</v>
      </c>
      <c r="C5508" s="1" t="s">
        <v>4599</v>
      </c>
      <c r="D5508" s="1" t="str">
        <f>IFERROR(__xludf.DUMMYFUNCTION("CONCATENATE(GOOGLETRANSLATE(C5508, ""en"", ""zh-cn""))"),"你的一切完美：一本小说")</f>
        <v>你的一切完美：一本小说</v>
      </c>
      <c r="E5508" s="1" t="str">
        <f>IFERROR(__xludf.DUMMYFUNCTION("CONCATENATE(GOOGLETRANSLATE(C5508, ""en"", ""ko""))"),"당신의 모든 완벽함: 소설")</f>
        <v>당신의 모든 완벽함: 소설</v>
      </c>
      <c r="F5508" s="1" t="str">
        <f>IFERROR(__xludf.DUMMYFUNCTION("CONCATENATE(GOOGLETRANSLATE(C5508, ""en"", ""ja""))"),"すべてのあなたの完璧さ: 小説")</f>
        <v>すべてのあなたの完璧さ: 小説</v>
      </c>
    </row>
    <row r="5509" ht="15.75" customHeight="1">
      <c r="A5509" s="1">
        <v>6838.0</v>
      </c>
      <c r="B5509" s="1" t="s">
        <v>15</v>
      </c>
      <c r="C5509" s="1" t="s">
        <v>4600</v>
      </c>
      <c r="D5509" s="1" t="str">
        <f>IFERROR(__xludf.DUMMYFUNCTION("CONCATENATE(GOOGLETRANSLATE(C5509, ""en"", ""zh-cn""))"),"雪儿：第一部分：回忆录 [电子书]")</f>
        <v>雪儿：第一部分：回忆录 [电子书]</v>
      </c>
      <c r="E5509" s="1" t="str">
        <f>IFERROR(__xludf.DUMMYFUNCTION("CONCATENATE(GOOGLETRANSLATE(C5509, ""en"", ""ko""))"),"Cher: 파트 1: 회고록 [eBook]")</f>
        <v>Cher: 파트 1: 회고록 [eBook]</v>
      </c>
      <c r="F5509" s="1" t="str">
        <f>IFERROR(__xludf.DUMMYFUNCTION("CONCATENATE(GOOGLETRANSLATE(C5509, ""en"", ""ja""))"),"シェール: パート 1: 回想録 [電子書籍]")</f>
        <v>シェール: パート 1: 回想録 [電子書籍]</v>
      </c>
    </row>
    <row r="5510" ht="15.75" customHeight="1">
      <c r="A5510" s="1">
        <v>6840.0</v>
      </c>
      <c r="B5510" s="1" t="s">
        <v>15</v>
      </c>
      <c r="C5510" s="1" t="s">
        <v>4601</v>
      </c>
      <c r="D5510" s="1" t="str">
        <f>IFERROR(__xludf.DUMMYFUNCTION("CONCATENATE(GOOGLETRANSLATE(C5510, ""en"", ""zh-cn""))"),"梦境：一本小说")</f>
        <v>梦境：一本小说</v>
      </c>
      <c r="E5510" s="1" t="str">
        <f>IFERROR(__xludf.DUMMYFUNCTION("CONCATENATE(GOOGLETRANSLATE(C5510, ""en"", ""ko""))"),"드림랜드: 소설")</f>
        <v>드림랜드: 소설</v>
      </c>
      <c r="F5510" s="1" t="str">
        <f>IFERROR(__xludf.DUMMYFUNCTION("CONCATENATE(GOOGLETRANSLATE(C5510, ""en"", ""ja""))"),"ドリームランド: 小説")</f>
        <v>ドリームランド: 小説</v>
      </c>
    </row>
    <row r="5511" ht="15.75" customHeight="1">
      <c r="A5511" s="1">
        <v>6846.0</v>
      </c>
      <c r="B5511" s="1" t="s">
        <v>15</v>
      </c>
      <c r="C5511" s="1" t="s">
        <v>4602</v>
      </c>
      <c r="D5511" s="1" t="str">
        <f>IFERROR(__xludf.DUMMYFUNCTION("CONCATENATE(GOOGLETRANSLATE(C5511, ""en"", ""zh-cn""))"),"五年后：一本小说 [电子书]")</f>
        <v>五年后：一本小说 [电子书]</v>
      </c>
      <c r="E5511" s="1" t="str">
        <f>IFERROR(__xludf.DUMMYFUNCTION("CONCATENATE(GOOGLETRANSLATE(C5511, ""en"", ""ko""))"),"5년 후: 소설 [eBook]")</f>
        <v>5년 후: 소설 [eBook]</v>
      </c>
      <c r="F5511" s="1" t="str">
        <f>IFERROR(__xludf.DUMMYFUNCTION("CONCATENATE(GOOGLETRANSLATE(C5511, ""en"", ""ja""))"),"5 年後: 小説 [電子書籍]")</f>
        <v>5 年後: 小説 [電子書籍]</v>
      </c>
    </row>
    <row r="5512" ht="15.75" customHeight="1">
      <c r="A5512" s="1">
        <v>6877.0</v>
      </c>
      <c r="B5512" s="1" t="s">
        <v>15</v>
      </c>
      <c r="C5512" s="1" t="s">
        <v>4603</v>
      </c>
      <c r="D5512" s="1" t="str">
        <f>IFERROR(__xludf.DUMMYFUNCTION("CONCATENATE(GOOGLETRANSLATE(C5512, ""en"", ""zh-cn""))"),"Inside - Sony PlayStation 4 [数字下载]")</f>
        <v>Inside - Sony PlayStation 4 [数字下载]</v>
      </c>
      <c r="E5512" s="1" t="str">
        <f>IFERROR(__xludf.DUMMYFUNCTION("CONCATENATE(GOOGLETRANSLATE(C5512, ""en"", ""ko""))"),"내부 - Sony PlayStation 4 [디지털 다운로드]")</f>
        <v>내부 - Sony PlayStation 4 [디지털 다운로드]</v>
      </c>
      <c r="F5512" s="1" t="str">
        <f>IFERROR(__xludf.DUMMYFUNCTION("CONCATENATE(GOOGLETRANSLATE(C5512, ""en"", ""ja""))"),"Inside - Sony PlayStation 4 [デジタルダウンロード]")</f>
        <v>Inside - Sony PlayStation 4 [デジタルダウンロード]</v>
      </c>
    </row>
    <row r="5513" ht="15.75" customHeight="1">
      <c r="A5513" s="1">
        <v>6885.0</v>
      </c>
      <c r="B5513" s="1" t="s">
        <v>15</v>
      </c>
      <c r="C5513" s="1" t="s">
        <v>4604</v>
      </c>
      <c r="D5513" s="1" t="str">
        <f>IFERROR(__xludf.DUMMYFUNCTION("CONCATENATE(GOOGLETRANSLATE(C5513, ""en"", ""zh-cn""))"),"PlayStation 5 DualSense 无线控制器索尼")</f>
        <v>PlayStation 5 DualSense 无线控制器索尼</v>
      </c>
      <c r="E5513" s="1" t="str">
        <f>IFERROR(__xludf.DUMMYFUNCTION("CONCATENATE(GOOGLETRANSLATE(C5513, ""en"", ""ko""))"),"PlayStation 5 DualSense 무선 컨트롤러 소니")</f>
        <v>PlayStation 5 DualSense 무선 컨트롤러 소니</v>
      </c>
      <c r="F5513" s="1" t="str">
        <f>IFERROR(__xludf.DUMMYFUNCTION("CONCATENATE(GOOGLETRANSLATE(C5513, ""en"", ""ja""))"),"PlayStation 5 DualSense ワイヤレス コントローラー ソニー")</f>
        <v>PlayStation 5 DualSense ワイヤレス コントローラー ソニー</v>
      </c>
    </row>
    <row r="5514" ht="15.75" customHeight="1">
      <c r="A5514" s="1">
        <v>6897.0</v>
      </c>
      <c r="B5514" s="1" t="s">
        <v>15</v>
      </c>
      <c r="C5514" s="1" t="s">
        <v>4605</v>
      </c>
      <c r="D5514" s="1" t="str">
        <f>IFERROR(__xludf.DUMMYFUNCTION("CONCATENATE(GOOGLETRANSLATE(C5514, ""en"", ""zh-cn""))"),"Apple 电子礼品卡 - 10 美元以上")</f>
        <v>Apple 电子礼品卡 - 10 美元以上</v>
      </c>
      <c r="E5514" s="1" t="str">
        <f>IFERROR(__xludf.DUMMYFUNCTION("CONCATENATE(GOOGLETRANSLATE(C5514, ""en"", ""ko""))"),"Apple eGift 카드 - $10 이상")</f>
        <v>Apple eGift 카드 - $10 이상</v>
      </c>
      <c r="F5514" s="1" t="str">
        <f>IFERROR(__xludf.DUMMYFUNCTION("CONCATENATE(GOOGLETRANSLATE(C5514, ""en"", ""ja""))"),"Apple eギフトカード - $10+")</f>
        <v>Apple eギフトカード - $10+</v>
      </c>
    </row>
    <row r="5515" ht="15.75" customHeight="1">
      <c r="A5515" s="1">
        <v>6900.0</v>
      </c>
      <c r="B5515" s="1" t="s">
        <v>15</v>
      </c>
      <c r="C5515" s="1" t="s">
        <v>4606</v>
      </c>
      <c r="D5515" s="1" t="str">
        <f>IFERROR(__xludf.DUMMYFUNCTION("CONCATENATE(GOOGLETRANSLATE(C5515, ""en"", ""zh-cn""))"),"200 美元 Apple 礼品卡 - 应用程序、游戏、Apple Arcade 等（电子邮件发送）")</f>
        <v>200 美元 Apple 礼品卡 - 应用程序、游戏、Apple Arcade 等（电子邮件发送）</v>
      </c>
      <c r="E5515" s="1" t="str">
        <f>IFERROR(__xludf.DUMMYFUNCTION("CONCATENATE(GOOGLETRANSLATE(C5515, ""en"", ""ko""))"),"$200 Apple 기프트 카드 - 앱, 게임, Apple 아케이드 등(이메일 전달)")</f>
        <v>$200 Apple 기프트 카드 - 앱, 게임, Apple 아케이드 등(이메일 전달)</v>
      </c>
      <c r="F5515" s="1" t="str">
        <f>IFERROR(__xludf.DUMMYFUNCTION("CONCATENATE(GOOGLETRANSLATE(C5515, ""en"", ""ja""))"),"$200 Apple ギフト カード - アプリ、ゲーム、Apple Arcade など (電子メール配信)")</f>
        <v>$200 Apple ギフト カード - アプリ、ゲーム、Apple Arcade など (電子メール配信)</v>
      </c>
    </row>
    <row r="5516" ht="15.75" customHeight="1">
      <c r="A5516" s="1">
        <v>6903.0</v>
      </c>
      <c r="B5516" s="1" t="s">
        <v>15</v>
      </c>
      <c r="C5516" s="1" t="s">
        <v>4607</v>
      </c>
      <c r="D5516" s="1" t="str">
        <f>IFERROR(__xludf.DUMMYFUNCTION("CONCATENATE(GOOGLETRANSLATE(C5516, ""en"", ""zh-cn""))"),"Apple iTunes 礼品卡 16 美元 iTunes Key 美国")</f>
        <v>Apple iTunes 礼品卡 16 美元 iTunes Key 美国</v>
      </c>
      <c r="E5516" s="1" t="str">
        <f>IFERROR(__xludf.DUMMYFUNCTION("CONCATENATE(GOOGLETRANSLATE(C5516, ""en"", ""ko""))"),"Apple iTunes 기프트 카드 16 USD iTunes 키 미국")</f>
        <v>Apple iTunes 기프트 카드 16 USD iTunes 키 미국</v>
      </c>
      <c r="F5516" s="1" t="str">
        <f>IFERROR(__xludf.DUMMYFUNCTION("CONCATENATE(GOOGLETRANSLATE(C5516, ""en"", ""ja""))"),"Apple iTunes ギフトカード 16 USD iTunes キー 米国")</f>
        <v>Apple iTunes ギフトカード 16 USD iTunes キー 米国</v>
      </c>
    </row>
    <row r="5517" ht="15.75" customHeight="1">
      <c r="A5517" s="1">
        <v>6906.0</v>
      </c>
      <c r="B5517" s="1" t="s">
        <v>15</v>
      </c>
      <c r="C5517" s="1" t="s">
        <v>4608</v>
      </c>
      <c r="D5517" s="1" t="str">
        <f>IFERROR(__xludf.DUMMYFUNCTION("CONCATENATE(GOOGLETRANSLATE(C5517, ""en"", ""zh-cn""))"),"Apple 100 美元美国礼品卡")</f>
        <v>Apple 100 美元美国礼品卡</v>
      </c>
      <c r="E5517" s="1" t="str">
        <f>IFERROR(__xludf.DUMMYFUNCTION("CONCATENATE(GOOGLETRANSLATE(C5517, ""en"", ""ko""))"),"Apple $100 기프트 카드(미국)")</f>
        <v>Apple $100 기프트 카드(미국)</v>
      </c>
      <c r="F5517" s="1" t="str">
        <f>IFERROR(__xludf.DUMMYFUNCTION("CONCATENATE(GOOGLETRANSLATE(C5517, ""en"", ""ja""))"),"Apple $100 ギフトカード 米国")</f>
        <v>Apple $100 ギフトカード 米国</v>
      </c>
    </row>
    <row r="5518" ht="15.75" customHeight="1">
      <c r="A5518" s="1">
        <v>6908.0</v>
      </c>
      <c r="B5518" s="1" t="s">
        <v>15</v>
      </c>
      <c r="C5518" s="1" t="s">
        <v>4609</v>
      </c>
      <c r="D5518" s="1" t="str">
        <f>IFERROR(__xludf.DUMMYFUNCTION("CONCATENATE(GOOGLETRANSLATE(C5518, ""en"", ""zh-cn""))"),"Apple 礼品卡（美国）")</f>
        <v>Apple 礼品卡（美国）</v>
      </c>
      <c r="E5518" s="1" t="str">
        <f>IFERROR(__xludf.DUMMYFUNCTION("CONCATENATE(GOOGLETRANSLATE(C5518, ""en"", ""ko""))"),"Apple 기프트 카드(미국)")</f>
        <v>Apple 기프트 카드(미국)</v>
      </c>
      <c r="F5518" s="1" t="str">
        <f>IFERROR(__xludf.DUMMYFUNCTION("CONCATENATE(GOOGLETRANSLATE(C5518, ""en"", ""ja""))"),"Apple ギフトカード (米国)")</f>
        <v>Apple ギフトカード (米国)</v>
      </c>
    </row>
    <row r="5519" ht="15.75" customHeight="1">
      <c r="A5519" s="1">
        <v>6910.0</v>
      </c>
      <c r="B5519" s="1" t="s">
        <v>15</v>
      </c>
      <c r="C5519" s="1" t="s">
        <v>4610</v>
      </c>
      <c r="D5519" s="1" t="str">
        <f>IFERROR(__xludf.DUMMYFUNCTION("CONCATENATE(GOOGLETRANSLATE(C5519, ""en"", ""zh-cn""))"),"Apple 员工礼品卡 - 自定义品牌和消息传递")</f>
        <v>Apple 员工礼品卡 - 自定义品牌和消息传递</v>
      </c>
      <c r="E5519" s="1" t="str">
        <f>IFERROR(__xludf.DUMMYFUNCTION("CONCATENATE(GOOGLETRANSLATE(C5519, ""en"", ""ko""))"),"직원을 위한 Apple 기프트 카드 - 맞춤형 브랜딩 및 메시지")</f>
        <v>직원을 위한 Apple 기프트 카드 - 맞춤형 브랜딩 및 메시지</v>
      </c>
      <c r="F5519" s="1" t="str">
        <f>IFERROR(__xludf.DUMMYFUNCTION("CONCATENATE(GOOGLETRANSLATE(C5519, ""en"", ""ja""))"),"従業員向け Apple ギフトカード - カスタムブランディングとメッセージング")</f>
        <v>従業員向け Apple ギフトカード - カスタムブランディングとメッセージング</v>
      </c>
    </row>
    <row r="5520" ht="15.75" customHeight="1">
      <c r="A5520" s="1">
        <v>6933.0</v>
      </c>
      <c r="B5520" s="1" t="s">
        <v>15</v>
      </c>
      <c r="C5520" s="1" t="s">
        <v>4611</v>
      </c>
      <c r="D5520" s="1" t="str">
        <f>IFERROR(__xludf.DUMMYFUNCTION("CONCATENATE(GOOGLETRANSLATE(C5520, ""en"", ""zh-cn""))"),"维兰德 [电子书]")</f>
        <v>维兰德 [电子书]</v>
      </c>
      <c r="E5520" s="1" t="str">
        <f>IFERROR(__xludf.DUMMYFUNCTION("CONCATENATE(GOOGLETRANSLATE(C5520, ""en"", ""ko""))"),"빌란트 [eBook]")</f>
        <v>빌란트 [eBook]</v>
      </c>
      <c r="F5520" s="1" t="str">
        <f>IFERROR(__xludf.DUMMYFUNCTION("CONCATENATE(GOOGLETRANSLATE(C5520, ""en"", ""ja""))"),"ヴィーランド [電子書籍]")</f>
        <v>ヴィーランド [電子書籍]</v>
      </c>
    </row>
    <row r="5521" ht="15.75" customHeight="1">
      <c r="A5521" s="1">
        <v>6939.0</v>
      </c>
      <c r="B5521" s="1" t="s">
        <v>15</v>
      </c>
      <c r="C5521" s="1" t="s">
        <v>4612</v>
      </c>
      <c r="D5521" s="1" t="str">
        <f>IFERROR(__xludf.DUMMYFUNCTION("CONCATENATE(GOOGLETRANSLATE(C5521, ""en"", ""zh-cn""))"),"揭开亿万富翁的面纱：万圣节浪漫；电子书；作者 - 艾玛·布雷")</f>
        <v>揭开亿万富翁的面纱：万圣节浪漫；电子书；作者 - 艾玛·布雷</v>
      </c>
      <c r="E5521" s="1" t="str">
        <f>IFERROR(__xludf.DUMMYFUNCTION("CONCATENATE(GOOGLETRANSLATE(C5521, ""en"", ""ko""))"),"억만장자의 가면을 벗기다: 할로윈 로맨스; 전자책; 저자 - 엠마 브레이")</f>
        <v>억만장자의 가면을 벗기다: 할로윈 로맨스; 전자책; 저자 - 엠마 브레이</v>
      </c>
      <c r="F5521" s="1" t="str">
        <f>IFERROR(__xludf.DUMMYFUNCTION("CONCATENATE(GOOGLETRANSLATE(C5521, ""en"", ""ja""))"),"億万長者の正体を暴く：ハロウィーンのロマンス;電子書籍;著者 - エマ・ブレイ")</f>
        <v>億万長者の正体を暴く：ハロウィーンのロマンス;電子書籍;著者 - エマ・ブレイ</v>
      </c>
    </row>
    <row r="5522" ht="15.75" customHeight="1">
      <c r="A5522" s="1">
        <v>6954.0</v>
      </c>
      <c r="B5522" s="1" t="s">
        <v>15</v>
      </c>
      <c r="C5522" s="1" t="s">
        <v>4613</v>
      </c>
      <c r="D5522" s="1" t="str">
        <f>IFERROR(__xludf.DUMMYFUNCTION("CONCATENATE(GOOGLETRANSLATE(C5522, ""en"", ""zh-cn""))"),"糖的味道")</f>
        <v>糖的味道</v>
      </c>
      <c r="E5522" s="1" t="str">
        <f>IFERROR(__xludf.DUMMYFUNCTION("CONCATENATE(GOOGLETRANSLATE(C5522, ""en"", ""ko""))"),"설탕의 맛")</f>
        <v>설탕의 맛</v>
      </c>
      <c r="F5522" s="1" t="str">
        <f>IFERROR(__xludf.DUMMYFUNCTION("CONCATENATE(GOOGLETRANSLATE(C5522, ""en"", ""ja""))"),"砂糖の味")</f>
        <v>砂糖の味</v>
      </c>
    </row>
    <row r="5523" ht="15.75" customHeight="1">
      <c r="A5523" s="1">
        <v>6964.0</v>
      </c>
      <c r="B5523" s="1" t="s">
        <v>15</v>
      </c>
      <c r="C5523" s="1" t="s">
        <v>4614</v>
      </c>
      <c r="D5523" s="1" t="str">
        <f>IFERROR(__xludf.DUMMYFUNCTION("CONCATENATE(GOOGLETRANSLATE(C5523, ""en"", ""zh-cn""))"),"购买赠品")</f>
        <v>购买赠品</v>
      </c>
      <c r="E5523" s="1" t="str">
        <f>IFERROR(__xludf.DUMMYFUNCTION("CONCATENATE(GOOGLETRANSLATE(C5523, ""en"", ""ko""))"),"구매시 선물")</f>
        <v>구매시 선물</v>
      </c>
      <c r="F5523" s="1" t="str">
        <f>IFERROR(__xludf.DUMMYFUNCTION("CONCATENATE(GOOGLETRANSLATE(C5523, ""en"", ""ja""))"),"購入時のギフト")</f>
        <v>購入時のギフト</v>
      </c>
    </row>
    <row r="5524" ht="15.75" customHeight="1">
      <c r="A5524" s="1">
        <v>6975.0</v>
      </c>
      <c r="B5524" s="1" t="s">
        <v>15</v>
      </c>
      <c r="C5524" s="1" t="s">
        <v>4615</v>
      </c>
      <c r="D5524" s="1" t="str">
        <f>IFERROR(__xludf.DUMMYFUNCTION("CONCATENATE(GOOGLETRANSLATE(C5524, ""en"", ""zh-cn""))"),"《大金刚乡村》回归")</f>
        <v>《大金刚乡村》回归</v>
      </c>
      <c r="E5524" s="1" t="str">
        <f>IFERROR(__xludf.DUMMYFUNCTION("CONCATENATE(GOOGLETRANSLATE(C5524, ""en"", ""ko""))"),"동키콩 컨트리 리턴즈")</f>
        <v>동키콩 컨트리 리턴즈</v>
      </c>
      <c r="F5524" s="1" t="str">
        <f>IFERROR(__xludf.DUMMYFUNCTION("CONCATENATE(GOOGLETRANSLATE(C5524, ""en"", ""ja""))"),"ドンキーコング リターンズ")</f>
        <v>ドンキーコング リターンズ</v>
      </c>
    </row>
    <row r="5525" ht="15.75" customHeight="1">
      <c r="A5525" s="1">
        <v>6986.0</v>
      </c>
      <c r="B5525" s="1" t="s">
        <v>15</v>
      </c>
      <c r="C5525" s="1" t="s">
        <v>4616</v>
      </c>
      <c r="D5525" s="1" t="str">
        <f>IFERROR(__xludf.DUMMYFUNCTION("CONCATENATE(GOOGLETRANSLATE(C5525, ""en"", ""zh-cn""))"),"eCash - 任天堂 eShop 礼品卡（数字下载）")</f>
        <v>eCash - 任天堂 eShop 礼品卡（数字下载）</v>
      </c>
      <c r="E5525" s="1" t="str">
        <f>IFERROR(__xludf.DUMMYFUNCTION("CONCATENATE(GOOGLETRANSLATE(C5525, ""en"", ""ko""))"),"eCash - Nintendo eShop 기프트 카드(디지털 다운로드)")</f>
        <v>eCash - Nintendo eShop 기프트 카드(디지털 다운로드)</v>
      </c>
      <c r="F5525" s="1" t="str">
        <f>IFERROR(__xludf.DUMMYFUNCTION("CONCATENATE(GOOGLETRANSLATE(C5525, ""en"", ""ja""))"),"eCash - ニンテンドー eショップ ギフトカード (デジタル ダウンロード)")</f>
        <v>eCash - ニンテンドー eショップ ギフトカード (デジタル ダウンロード)</v>
      </c>
    </row>
    <row r="5526" ht="15.75" customHeight="1">
      <c r="A5526" s="1">
        <v>7000.0</v>
      </c>
      <c r="B5526" s="1" t="s">
        <v>15</v>
      </c>
      <c r="C5526" s="1" t="s">
        <v>4617</v>
      </c>
      <c r="D5526" s="1" t="str">
        <f>IFERROR(__xludf.DUMMYFUNCTION("CONCATENATE(GOOGLETRANSLATE(C5526, ""en"", ""zh-cn""))"),"荒野大镖客：救赎")</f>
        <v>荒野大镖客：救赎</v>
      </c>
      <c r="E5526" s="1" t="str">
        <f>IFERROR(__xludf.DUMMYFUNCTION("CONCATENATE(GOOGLETRANSLATE(C5526, ""en"", ""ko""))"),"레드 데드 리뎀션")</f>
        <v>레드 데드 리뎀션</v>
      </c>
      <c r="F5526" s="1" t="str">
        <f>IFERROR(__xludf.DUMMYFUNCTION("CONCATENATE(GOOGLETRANSLATE(C5526, ""en"", ""ja""))"),"レッド・デッド・リデンプション")</f>
        <v>レッド・デッド・リデンプション</v>
      </c>
    </row>
    <row r="5527" ht="15.75" customHeight="1">
      <c r="A5527" s="1">
        <v>7006.0</v>
      </c>
      <c r="B5527" s="1" t="s">
        <v>15</v>
      </c>
      <c r="C5527" s="1" t="s">
        <v>4618</v>
      </c>
      <c r="D5527" s="1" t="str">
        <f>IFERROR(__xludf.DUMMYFUNCTION("CONCATENATE(GOOGLETRANSLATE(C5527, ""en"", ""zh-cn""))"),"FAIRY TAIL (Nintendo Switch) - Nintendo eShop 帐户 - 全球")</f>
        <v>FAIRY TAIL (Nintendo Switch) - Nintendo eShop 帐户 - 全球</v>
      </c>
      <c r="E5527" s="1" t="str">
        <f>IFERROR(__xludf.DUMMYFUNCTION("CONCATENATE(GOOGLETRANSLATE(C5527, ""en"", ""ko""))"),"FAIRY TAIL(Nintendo Switch) - Nintendo eShop 계정 - GLOBAL")</f>
        <v>FAIRY TAIL(Nintendo Switch) - Nintendo eShop 계정 - GLOBAL</v>
      </c>
      <c r="F5527" s="1" t="str">
        <f>IFERROR(__xludf.DUMMYFUNCTION("CONCATENATE(GOOGLETRANSLATE(C5527, ""en"", ""ja""))"),"FAIRY TAIL (Nintendo Switch) - ニンテンドーeショップアカウント - GLOBAL")</f>
        <v>FAIRY TAIL (Nintendo Switch) - ニンテンドーeショップアカウント - GLOBAL</v>
      </c>
    </row>
    <row r="5528" ht="15.75" customHeight="1">
      <c r="A5528" s="1">
        <v>7013.0</v>
      </c>
      <c r="B5528" s="1" t="s">
        <v>15</v>
      </c>
      <c r="C5528" s="1" t="s">
        <v>4619</v>
      </c>
      <c r="D5528" s="1" t="str">
        <f>IFERROR(__xludf.DUMMYFUNCTION("CONCATENATE(GOOGLETRANSLATE(C5528, ""en"", ""zh-cn""))"),"阿迪达斯 (adidas) 女式 Farm Tiro 运动裤")</f>
        <v>阿迪达斯 (adidas) 女式 Farm Tiro 运动裤</v>
      </c>
      <c r="E5528" s="1" t="str">
        <f>IFERROR(__xludf.DUMMYFUNCTION("CONCATENATE(GOOGLETRANSLATE(C5528, ""en"", ""ko""))"),"adidas 여성용 팜 티로 트랙팬츠")</f>
        <v>adidas 여성용 팜 티로 트랙팬츠</v>
      </c>
      <c r="F5528" s="1" t="str">
        <f>IFERROR(__xludf.DUMMYFUNCTION("CONCATENATE(GOOGLETRANSLATE(C5528, ""en"", ""ja""))"),"アディダス レディース ファーム ティロ トラック パンツ")</f>
        <v>アディダス レディース ファーム ティロ トラック パンツ</v>
      </c>
    </row>
    <row r="5529" ht="15.75" customHeight="1">
      <c r="A5529" s="1">
        <v>7017.0</v>
      </c>
      <c r="B5529" s="1" t="s">
        <v>15</v>
      </c>
      <c r="C5529" s="1" t="s">
        <v>4620</v>
      </c>
      <c r="D5529" s="1" t="str">
        <f>IFERROR(__xludf.DUMMYFUNCTION("CONCATENATE(GOOGLETRANSLATE(C5529, ""en"", ""zh-cn""))"),"男式阿迪达斯三条纹经编常规运动服运动夹克")</f>
        <v>男式阿迪达斯三条纹经编常规运动服运动夹克</v>
      </c>
      <c r="E5529" s="1" t="str">
        <f>IFERROR(__xludf.DUMMYFUNCTION("CONCATENATE(GOOGLETRANSLATE(C5529, ""en"", ""ko""))"),"남성용 아디다스 3-스트라이프 트리코 레귤러 스포츠웨어 트랙 재킷")</f>
        <v>남성용 아디다스 3-스트라이프 트리코 레귤러 스포츠웨어 트랙 재킷</v>
      </c>
      <c r="F5529" s="1" t="str">
        <f>IFERROR(__xludf.DUMMYFUNCTION("CONCATENATE(GOOGLETRANSLATE(C5529, ""en"", ""ja""))"),"メンズ アディダス 3 ストライプ トリコット レギュラー スポーツウェア トラック ジャケット")</f>
        <v>メンズ アディダス 3 ストライプ トリコット レギュラー スポーツウェア トラック ジャケット</v>
      </c>
    </row>
    <row r="5530" ht="15.75" customHeight="1">
      <c r="A5530" s="1">
        <v>7026.0</v>
      </c>
      <c r="B5530" s="1" t="s">
        <v>15</v>
      </c>
      <c r="C5530" s="1" t="s">
        <v>4621</v>
      </c>
      <c r="D5530" s="1" t="str">
        <f>IFERROR(__xludf.DUMMYFUNCTION("CONCATENATE(GOOGLETRANSLATE(C5530, ""en"", ""zh-cn""))"),"Adidas Originals Adicolor Firebird 运动裤")</f>
        <v>Adidas Originals Adicolor Firebird 运动裤</v>
      </c>
      <c r="E5530" s="1" t="str">
        <f>IFERROR(__xludf.DUMMYFUNCTION("CONCATENATE(GOOGLETRANSLATE(C5530, ""en"", ""ko""))"),"Adidas Originals Adicolor 파이어버드 트랙팬츠")</f>
        <v>Adidas Originals Adicolor 파이어버드 트랙팬츠</v>
      </c>
      <c r="F5530" s="1" t="str">
        <f>IFERROR(__xludf.DUMMYFUNCTION("CONCATENATE(GOOGLETRANSLATE(C5530, ""en"", ""ja""))"),"アディダス オリジナルス アディカラー ファイアバード トラック パンツ")</f>
        <v>アディダス オリジナルス アディカラー ファイアバード トラック パンツ</v>
      </c>
    </row>
    <row r="5531" ht="15.75" customHeight="1">
      <c r="A5531" s="1">
        <v>7028.0</v>
      </c>
      <c r="B5531" s="1" t="s">
        <v>15</v>
      </c>
      <c r="C5531" s="1" t="s">
        <v>4622</v>
      </c>
      <c r="D5531" s="1" t="str">
        <f>IFERROR(__xludf.DUMMYFUNCTION("CONCATENATE(GOOGLETRANSLATE(C5531, ""en"", ""zh-cn""))"),"阿迪达斯 (adidas) 女式 Adicolor 经典火鸟宽松运动裤")</f>
        <v>阿迪达斯 (adidas) 女式 Adicolor 经典火鸟宽松运动裤</v>
      </c>
      <c r="E5531" s="1" t="str">
        <f>IFERROR(__xludf.DUMMYFUNCTION("CONCATENATE(GOOGLETRANSLATE(C5531, ""en"", ""ko""))"),"adidas 여성용 Adicolor 클래식 파이어버드 루즈 트랙 팬츠")</f>
        <v>adidas 여성용 Adicolor 클래식 파이어버드 루즈 트랙 팬츠</v>
      </c>
      <c r="F5531" s="1" t="str">
        <f>IFERROR(__xludf.DUMMYFUNCTION("CONCATENATE(GOOGLETRANSLATE(C5531, ""en"", ""ja""))"),"アディダス レディース アディカラー クラシック ファイヤーバード ルーズ トラック パンツ")</f>
        <v>アディダス レディース アディカラー クラシック ファイヤーバード ルーズ トラック パンツ</v>
      </c>
    </row>
    <row r="5532" ht="15.75" customHeight="1">
      <c r="A5532" s="1">
        <v>7032.0</v>
      </c>
      <c r="B5532" s="1" t="s">
        <v>15</v>
      </c>
      <c r="C5532" s="1" t="s">
        <v>4623</v>
      </c>
      <c r="D5532" s="1" t="str">
        <f>IFERROR(__xludf.DUMMYFUNCTION("CONCATENATE(GOOGLETRANSLATE(C5532, ""en"", ""zh-cn""))"),"阿迪达斯 (adidas) 男士 Lite Racer Adapt 7.0 鞋")</f>
        <v>阿迪达斯 (adidas) 男士 Lite Racer Adapt 7.0 鞋</v>
      </c>
      <c r="E5532" s="1" t="str">
        <f>IFERROR(__xludf.DUMMYFUNCTION("CONCATENATE(GOOGLETRANSLATE(C5532, ""en"", ""ko""))"),"아디다스 남성 라이트 레이서 어댑트 7.0 신발")</f>
        <v>아디다스 남성 라이트 레이서 어댑트 7.0 신발</v>
      </c>
      <c r="F5532" s="1" t="str">
        <f>IFERROR(__xludf.DUMMYFUNCTION("CONCATENATE(GOOGLETRANSLATE(C5532, ""en"", ""ja""))"),"アディダス メンズ ライト レーサー アダプト 7.0 シューズ")</f>
        <v>アディダス メンズ ライト レーサー アダプト 7.0 シューズ</v>
      </c>
    </row>
    <row r="5533" ht="15.75" customHeight="1">
      <c r="A5533" s="1">
        <v>7037.0</v>
      </c>
      <c r="B5533" s="1" t="s">
        <v>15</v>
      </c>
      <c r="C5533" s="1" t="s">
        <v>4624</v>
      </c>
      <c r="D5533" s="1" t="str">
        <f>IFERROR(__xludf.DUMMYFUNCTION("CONCATENATE(GOOGLETRANSLATE(C5533, ""en"", ""zh-cn""))"),"adidas Originals 男士 Adicolor Firebird 宽松版型运动裤")</f>
        <v>adidas Originals 男士 Adicolor Firebird 宽松版型运动裤</v>
      </c>
      <c r="E5533" s="1" t="str">
        <f>IFERROR(__xludf.DUMMYFUNCTION("CONCATENATE(GOOGLETRANSLATE(C5533, ""en"", ""ko""))"),"아디다스 오리지널스 남성 아디컬러 파이어버드 배기 핏 트랙 팬츠")</f>
        <v>아디다스 오리지널스 남성 아디컬러 파이어버드 배기 핏 트랙 팬츠</v>
      </c>
      <c r="F5533" s="1" t="str">
        <f>IFERROR(__xludf.DUMMYFUNCTION("CONCATENATE(GOOGLETRANSLATE(C5533, ""en"", ""ja""))"),"アディダス オリジナルス メンズ アディカラー ファイアバード バギーフィット トラック パンツ")</f>
        <v>アディダス オリジナルス メンズ アディカラー ファイアバード バギーフィット トラック パンツ</v>
      </c>
    </row>
    <row r="5534" ht="15.75" customHeight="1">
      <c r="A5534" s="1">
        <v>7054.0</v>
      </c>
      <c r="B5534" s="1" t="s">
        <v>15</v>
      </c>
      <c r="C5534" s="1" t="s">
        <v>4625</v>
      </c>
      <c r="D5534" s="1" t="str">
        <f>IFERROR(__xludf.DUMMYFUNCTION("CONCATENATE(GOOGLETRANSLATE(C5534, ""en"", ""zh-cn""))"),"ASICS Nature 短袖 T 恤")</f>
        <v>ASICS Nature 短袖 T 恤</v>
      </c>
      <c r="E5534" s="1" t="str">
        <f>IFERROR(__xludf.DUMMYFUNCTION("CONCATENATE(GOOGLETRANSLATE(C5534, ""en"", ""ko""))"),"아식스 네이처 반팔 티셔츠")</f>
        <v>아식스 네이처 반팔 티셔츠</v>
      </c>
      <c r="F5534" s="1" t="str">
        <f>IFERROR(__xludf.DUMMYFUNCTION("CONCATENATE(GOOGLETRANSLATE(C5534, ""en"", ""ja""))"),"アシックスネイチャー半袖Tシャツ")</f>
        <v>アシックスネイチャー半袖Tシャツ</v>
      </c>
    </row>
    <row r="5535" ht="15.75" customHeight="1">
      <c r="A5535" s="1">
        <v>7058.0</v>
      </c>
      <c r="B5535" s="1" t="s">
        <v>15</v>
      </c>
      <c r="C5535" s="1" t="s">
        <v>4626</v>
      </c>
      <c r="D5535" s="1" t="str">
        <f>IFERROR(__xludf.DUMMYFUNCTION("CONCATENATE(GOOGLETRANSLATE(C5535, ""en"", ""zh-cn""))"),"ASICS 男士 ACTIBREEZE 3D 凉鞋")</f>
        <v>ASICS 男士 ACTIBREEZE 3D 凉鞋</v>
      </c>
      <c r="E5535" s="1" t="str">
        <f>IFERROR(__xludf.DUMMYFUNCTION("CONCATENATE(GOOGLETRANSLATE(C5535, ""en"", ""ko""))"),"아식스 남성 ACTIBREEZE 3D 샌들")</f>
        <v>아식스 남성 ACTIBREEZE 3D 샌들</v>
      </c>
      <c r="F5535" s="1" t="str">
        <f>IFERROR(__xludf.DUMMYFUNCTION("CONCATENATE(GOOGLETRANSLATE(C5535, ""en"", ""ja""))"),"アシックス ACTIBREEZE 3D サンダル メンズ")</f>
        <v>アシックス ACTIBREEZE 3D サンダル メンズ</v>
      </c>
    </row>
    <row r="5536" ht="15.75" customHeight="1">
      <c r="A5536" s="1">
        <v>7062.0</v>
      </c>
      <c r="B5536" s="1" t="s">
        <v>15</v>
      </c>
      <c r="C5536" s="1" t="s">
        <v>4627</v>
      </c>
      <c r="D5536" s="1" t="str">
        <f>IFERROR(__xludf.DUMMYFUNCTION("CONCATENATE(GOOGLETRANSLATE(C5536, ""en"", ""zh-cn""))"),"ASICS 女士活动针织裤")</f>
        <v>ASICS 女士活动针织裤</v>
      </c>
      <c r="E5536" s="1" t="str">
        <f>IFERROR(__xludf.DUMMYFUNCTION("CONCATENATE(GOOGLETRANSLATE(C5536, ""en"", ""ko""))"),"ASICS 여성용 모빌리티 니트 팬츠")</f>
        <v>ASICS 여성용 모빌리티 니트 팬츠</v>
      </c>
      <c r="F5536" s="1" t="str">
        <f>IFERROR(__xludf.DUMMYFUNCTION("CONCATENATE(GOOGLETRANSLATE(C5536, ""en"", ""ja""))"),"アシックス モビリティニットパンツ レディース")</f>
        <v>アシックス モビリティニットパンツ レディース</v>
      </c>
    </row>
    <row r="5537" ht="15.75" customHeight="1">
      <c r="A5537" s="1">
        <v>7079.0</v>
      </c>
      <c r="B5537" s="1" t="s">
        <v>15</v>
      </c>
      <c r="C5537" s="1" t="s">
        <v>4628</v>
      </c>
      <c r="D5537" s="1" t="str">
        <f>IFERROR(__xludf.DUMMYFUNCTION("CONCATENATE(GOOGLETRANSLATE(C5537, ""en"", ""zh-cn""))"),"ASICS 女式 7/8 性能紧身裤")</f>
        <v>ASICS 女式 7/8 性能紧身裤</v>
      </c>
      <c r="E5537" s="1" t="str">
        <f>IFERROR(__xludf.DUMMYFUNCTION("CONCATENATE(GOOGLETRANSLATE(C5537, ""en"", ""ko""))"),"아식스 여성용 7/8 퍼포먼스 타이트")</f>
        <v>아식스 여성용 7/8 퍼포먼스 타이트</v>
      </c>
      <c r="F5537" s="1" t="str">
        <f>IFERROR(__xludf.DUMMYFUNCTION("CONCATENATE(GOOGLETRANSLATE(C5537, ""en"", ""ja""))"),"アシックス ウィメンズ 7/8 パフォーマンス タイト")</f>
        <v>アシックス ウィメンズ 7/8 パフォーマンス タイト</v>
      </c>
    </row>
    <row r="5538" ht="15.75" customHeight="1">
      <c r="A5538" s="1">
        <v>7084.0</v>
      </c>
      <c r="B5538" s="1" t="s">
        <v>15</v>
      </c>
      <c r="C5538" s="1" t="s">
        <v>4629</v>
      </c>
      <c r="D5538" s="1" t="str">
        <f>IFERROR(__xludf.DUMMYFUNCTION("CONCATENATE(GOOGLETRANSLATE(C5538, ""en"", ""zh-cn""))"),"男士 ASICS 无缝短袖上衣")</f>
        <v>男士 ASICS 无缝短袖上衣</v>
      </c>
      <c r="E5538" s="1" t="str">
        <f>IFERROR(__xludf.DUMMYFUNCTION("CONCATENATE(GOOGLETRANSLATE(C5538, ""en"", ""ko""))"),"남성 ASICS 심리스 반팔 탑")</f>
        <v>남성 ASICS 심리스 반팔 탑</v>
      </c>
      <c r="F5538" s="1" t="str">
        <f>IFERROR(__xludf.DUMMYFUNCTION("CONCATENATE(GOOGLETRANSLATE(C5538, ""en"", ""ja""))"),"メンズ アシックス シームレス 半袖トップ")</f>
        <v>メンズ アシックス シームレス 半袖トップ</v>
      </c>
    </row>
    <row r="5539" ht="15.75" customHeight="1">
      <c r="A5539" s="1">
        <v>7086.0</v>
      </c>
      <c r="B5539" s="1" t="s">
        <v>15</v>
      </c>
      <c r="C5539" s="1" t="s">
        <v>4630</v>
      </c>
      <c r="D5539" s="1" t="str">
        <f>IFERROR(__xludf.DUMMYFUNCTION("CONCATENATE(GOOGLETRANSLATE(C5539, ""en"", ""zh-cn""))"),"ASICS 男士 Gel-Venture 9 跑鞋")</f>
        <v>ASICS 男士 Gel-Venture 9 跑鞋</v>
      </c>
      <c r="E5539" s="1" t="str">
        <f>IFERROR(__xludf.DUMMYFUNCTION("CONCATENATE(GOOGLETRANSLATE(C5539, ""en"", ""ko""))"),"아식스 남성용 젤-벤처 9 러닝화")</f>
        <v>아식스 남성용 젤-벤처 9 러닝화</v>
      </c>
      <c r="F5539" s="1" t="str">
        <f>IFERROR(__xludf.DUMMYFUNCTION("CONCATENATE(GOOGLETRANSLATE(C5539, ""en"", ""ja""))"),"アシックス メンズ Gel-Venture 9 ランニングシューズ")</f>
        <v>アシックス メンズ Gel-Venture 9 ランニングシューズ</v>
      </c>
    </row>
    <row r="5540" ht="15.75" customHeight="1">
      <c r="A5540" s="1">
        <v>7088.0</v>
      </c>
      <c r="B5540" s="1" t="s">
        <v>15</v>
      </c>
      <c r="C5540" s="1" t="s">
        <v>4631</v>
      </c>
      <c r="D5540" s="1" t="str">
        <f>IFERROR(__xludf.DUMMYFUNCTION("CONCATENATE(GOOGLETRANSLATE(C5540, ""en"", ""zh-cn""))"),"ASICS 男士活动针织夹克")</f>
        <v>ASICS 男士活动针织夹克</v>
      </c>
      <c r="E5540" s="1" t="str">
        <f>IFERROR(__xludf.DUMMYFUNCTION("CONCATENATE(GOOGLETRANSLATE(C5540, ""en"", ""ko""))"),"ASICS 남성 모빌리티 니트 재킷")</f>
        <v>ASICS 남성 모빌리티 니트 재킷</v>
      </c>
      <c r="F5540" s="1" t="str">
        <f>IFERROR(__xludf.DUMMYFUNCTION("CONCATENATE(GOOGLETRANSLATE(C5540, ""en"", ""ja""))"),"アシックス モビリティニットジャケット メンズ")</f>
        <v>アシックス モビリティニットジャケット メンズ</v>
      </c>
    </row>
    <row r="5541" ht="15.75" customHeight="1">
      <c r="A5541" s="1">
        <v>7094.0</v>
      </c>
      <c r="B5541" s="1" t="s">
        <v>15</v>
      </c>
      <c r="C5541" s="1" t="s">
        <v>4632</v>
      </c>
      <c r="D5541" s="1" t="str">
        <f>IFERROR(__xludf.DUMMYFUNCTION("CONCATENATE(GOOGLETRANSLATE(C5541, ""en"", ""zh-cn""))"),"Gymshark 女式加高网布弹力梭织上衣")</f>
        <v>Gymshark 女式加高网布弹力梭织上衣</v>
      </c>
      <c r="E5541" s="1" t="str">
        <f>IFERROR(__xludf.DUMMYFUNCTION("CONCATENATE(GOOGLETRANSLATE(C5541, ""en"", ""ko""))"),"Gymshark 여성용 Elevate 메쉬 패널 스트레치 우븐 탑")</f>
        <v>Gymshark 여성용 Elevate 메쉬 패널 스트레치 우븐 탑</v>
      </c>
      <c r="F5541" s="1" t="str">
        <f>IFERROR(__xludf.DUMMYFUNCTION("CONCATENATE(GOOGLETRANSLATE(C5541, ""en"", ""ja""))"),"Gymshark レディース エレベート メッシュパネル ストレッチウーブン トップ")</f>
        <v>Gymshark レディース エレベート メッシュパネル ストレッチウーブン トップ</v>
      </c>
    </row>
    <row r="5542" ht="15.75" customHeight="1">
      <c r="A5542" s="1">
        <v>7095.0</v>
      </c>
      <c r="B5542" s="1" t="s">
        <v>15</v>
      </c>
      <c r="C5542" s="1" t="s">
        <v>4633</v>
      </c>
      <c r="D5542" s="1" t="str">
        <f>IFERROR(__xludf.DUMMYFUNCTION("CONCATENATE(GOOGLETRANSLATE(C5542, ""en"", ""zh-cn""))"),"Gymshark Everyday 无缝长袖短款上衣")</f>
        <v>Gymshark Everyday 无缝长袖短款上衣</v>
      </c>
      <c r="E5542" s="1" t="str">
        <f>IFERROR(__xludf.DUMMYFUNCTION("CONCATENATE(GOOGLETRANSLATE(C5542, ""en"", ""ko""))"),"Gymshark Everyday 심리스 긴팔 크롭 탑")</f>
        <v>Gymshark Everyday 심리스 긴팔 크롭 탑</v>
      </c>
      <c r="F5542" s="1" t="str">
        <f>IFERROR(__xludf.DUMMYFUNCTION("CONCATENATE(GOOGLETRANSLATE(C5542, ""en"", ""ja""))"),"Gymshark エブリデイ シームレス ロング スリーブ クロップ トップ")</f>
        <v>Gymshark エブリデイ シームレス ロング スリーブ クロップ トップ</v>
      </c>
    </row>
    <row r="5543" ht="15.75" customHeight="1">
      <c r="A5543" s="1">
        <v>7141.0</v>
      </c>
      <c r="B5543" s="1" t="s">
        <v>15</v>
      </c>
      <c r="C5543" s="1" t="s">
        <v>4634</v>
      </c>
      <c r="D5543" s="1" t="str">
        <f>IFERROR(__xludf.DUMMYFUNCTION("CONCATENATE(GOOGLETRANSLATE(C5543, ""en"", ""zh-cn""))"),"耐克男式 Tech Fleece 全拉链 Windrunner 连帽衫")</f>
        <v>耐克男式 Tech Fleece 全拉链 Windrunner 连帽衫</v>
      </c>
      <c r="E5543" s="1" t="str">
        <f>IFERROR(__xludf.DUMMYFUNCTION("CONCATENATE(GOOGLETRANSLATE(C5543, ""en"", ""ko""))"),"나이키 남성 테크 플리스 풀집 윈드러너 후디")</f>
        <v>나이키 남성 테크 플리스 풀집 윈드러너 후디</v>
      </c>
      <c r="F5543" s="1" t="str">
        <f>IFERROR(__xludf.DUMMYFUNCTION("CONCATENATE(GOOGLETRANSLATE(C5543, ""en"", ""ja""))"),"ナイキ メンズ テック フリース フルジップ ウィンドランナー パーカー")</f>
        <v>ナイキ メンズ テック フリース フルジップ ウィンドランナー パーカー</v>
      </c>
    </row>
    <row r="5544" ht="15.75" customHeight="1">
      <c r="A5544" s="1">
        <v>7147.0</v>
      </c>
      <c r="B5544" s="1" t="s">
        <v>15</v>
      </c>
      <c r="C5544" s="1" t="s">
        <v>4635</v>
      </c>
      <c r="D5544" s="1" t="str">
        <f>IFERROR(__xludf.DUMMYFUNCTION("CONCATENATE(GOOGLETRANSLATE(C5544, ""en"", ""zh-cn""))"),"耐克女式高腰超大凤凰抓绒运动裤")</f>
        <v>耐克女式高腰超大凤凰抓绒运动裤</v>
      </c>
      <c r="E5544" s="1" t="str">
        <f>IFERROR(__xludf.DUMMYFUNCTION("CONCATENATE(GOOGLETRANSLATE(C5544, ""en"", ""ko""))"),"나이키 여성용 하이웨이스트 오버사이즈 피닉스 플리스 스웨트팬츠")</f>
        <v>나이키 여성용 하이웨이스트 오버사이즈 피닉스 플리스 스웨트팬츠</v>
      </c>
      <c r="F5544" s="1" t="str">
        <f>IFERROR(__xludf.DUMMYFUNCTION("CONCATENATE(GOOGLETRANSLATE(C5544, ""en"", ""ja""))"),"ナイキ レディース ハイウエスト オーバーサイズ フェニックス フリース スウェットパンツ")</f>
        <v>ナイキ レディース ハイウエスト オーバーサイズ フェニックス フリース スウェットパンツ</v>
      </c>
    </row>
    <row r="5545" ht="15.75" customHeight="1">
      <c r="A5545" s="1">
        <v>7161.0</v>
      </c>
      <c r="B5545" s="1" t="s">
        <v>15</v>
      </c>
      <c r="C5545" s="1" t="s">
        <v>4636</v>
      </c>
      <c r="D5545" s="1" t="str">
        <f>IFERROR(__xludf.DUMMYFUNCTION("CONCATENATE(GOOGLETRANSLATE(C5545, ""en"", ""zh-cn""))"),"耐克女式运动服梭织长裤")</f>
        <v>耐克女式运动服梭织长裤</v>
      </c>
      <c r="E5545" s="1" t="str">
        <f>IFERROR(__xludf.DUMMYFUNCTION("CONCATENATE(GOOGLETRANSLATE(C5545, ""en"", ""ko""))"),"나이키 여성용 스포츠웨어 우븐 팬츠")</f>
        <v>나이키 여성용 스포츠웨어 우븐 팬츠</v>
      </c>
      <c r="F5545" s="1" t="str">
        <f>IFERROR(__xludf.DUMMYFUNCTION("CONCATENATE(GOOGLETRANSLATE(C5545, ""en"", ""ja""))"),"ナイキ レディース スポーツウェア ウーブン パンツ")</f>
        <v>ナイキ レディース スポーツウェア ウーブン パンツ</v>
      </c>
    </row>
    <row r="5546" ht="15.75" customHeight="1">
      <c r="A5546" s="1">
        <v>7186.0</v>
      </c>
      <c r="B5546" s="1" t="s">
        <v>15</v>
      </c>
      <c r="C5546" s="1" t="s">
        <v>4637</v>
      </c>
      <c r="D5546" s="1" t="str">
        <f>IFERROR(__xludf.DUMMYFUNCTION("CONCATENATE(GOOGLETRANSLATE(C5546, ""en"", ""zh-cn""))"),"Reebok 女式 Archive Evolution 毛圈布长裤")</f>
        <v>Reebok 女式 Archive Evolution 毛圈布长裤</v>
      </c>
      <c r="E5546" s="1" t="str">
        <f>IFERROR(__xludf.DUMMYFUNCTION("CONCATENATE(GOOGLETRANSLATE(C5546, ""en"", ""ko""))"),"Reebok 여성 아카이브 Evolution 프렌치 테리 팬츠")</f>
        <v>Reebok 여성 아카이브 Evolution 프렌치 테리 팬츠</v>
      </c>
      <c r="F5546" s="1" t="str">
        <f>IFERROR(__xludf.DUMMYFUNCTION("CONCATENATE(GOOGLETRANSLATE(C5546, ""en"", ""ja""))"),"リーボック レディース アーカイブ エボリューション フレンチ テリー​​ パンツ")</f>
        <v>リーボック レディース アーカイブ エボリューション フレンチ テリー​​ パンツ</v>
      </c>
    </row>
    <row r="5547" ht="15.75" customHeight="1">
      <c r="A5547" s="1">
        <v>7190.0</v>
      </c>
      <c r="B5547" s="1" t="s">
        <v>15</v>
      </c>
      <c r="C5547" s="1" t="s">
        <v>4638</v>
      </c>
      <c r="D5547" s="1" t="str">
        <f>IFERROR(__xludf.DUMMYFUNCTION("CONCATENATE(GOOGLETRANSLATE(C5547, ""en"", ""zh-cn""))"),"Reebok 男士运动经典长裤")</f>
        <v>Reebok 男士运动经典长裤</v>
      </c>
      <c r="E5547" s="1" t="str">
        <f>IFERROR(__xludf.DUMMYFUNCTION("CONCATENATE(GOOGLETRANSLATE(C5547, ""en"", ""ko""))"),"Reebok 남성 스포츠 클래식 바지")</f>
        <v>Reebok 남성 스포츠 클래식 바지</v>
      </c>
      <c r="F5547" s="1" t="str">
        <f>IFERROR(__xludf.DUMMYFUNCTION("CONCATENATE(GOOGLETRANSLATE(C5547, ""en"", ""ja""))"),"リーボック メンズ スポーツ クラシック パンツ")</f>
        <v>リーボック メンズ スポーツ クラシック パンツ</v>
      </c>
    </row>
    <row r="5548" ht="15.75" customHeight="1">
      <c r="A5548" s="1">
        <v>7195.0</v>
      </c>
      <c r="B5548" s="1" t="s">
        <v>15</v>
      </c>
      <c r="C5548" s="1" t="s">
        <v>4639</v>
      </c>
      <c r="D5548" s="1" t="str">
        <f>IFERROR(__xludf.DUMMYFUNCTION("CONCATENATE(GOOGLETRANSLATE(C5548, ""en"", ""zh-cn""))"),"Reebok 男士运动员训练裤")</f>
        <v>Reebok 男士运动员训练裤</v>
      </c>
      <c r="E5548" s="1" t="str">
        <f>IFERROR(__xludf.DUMMYFUNCTION("CONCATENATE(GOOGLETRANSLATE(C5548, ""en"", ""ko""))"),"Reebok 남성용 운동선수 트레이닝 팬츠")</f>
        <v>Reebok 남성용 운동선수 트레이닝 팬츠</v>
      </c>
      <c r="F5548" s="1" t="str">
        <f>IFERROR(__xludf.DUMMYFUNCTION("CONCATENATE(GOOGLETRANSLATE(C5548, ""en"", ""ja""))"),"リーボック メンズ アスリート トレーニング パンツ")</f>
        <v>リーボック メンズ アスリート トレーニング パンツ</v>
      </c>
    </row>
    <row r="5549" ht="15.75" customHeight="1">
      <c r="A5549" s="1">
        <v>7200.0</v>
      </c>
      <c r="B5549" s="1" t="s">
        <v>15</v>
      </c>
      <c r="C5549" s="1" t="s">
        <v>4640</v>
      </c>
      <c r="D5549" s="1" t="str">
        <f>IFERROR(__xludf.DUMMYFUNCTION("CONCATENATE(GOOGLETRANSLATE(C5549, ""en"", ""zh-cn""))"),"Reebok 男士跑步裤")</f>
        <v>Reebok 男士跑步裤</v>
      </c>
      <c r="E5549" s="1" t="str">
        <f>IFERROR(__xludf.DUMMYFUNCTION("CONCATENATE(GOOGLETRANSLATE(C5549, ""en"", ""ko""))"),"Reebok 남성 러닝 팬츠")</f>
        <v>Reebok 남성 러닝 팬츠</v>
      </c>
      <c r="F5549" s="1" t="str">
        <f>IFERROR(__xludf.DUMMYFUNCTION("CONCATENATE(GOOGLETRANSLATE(C5549, ""en"", ""ja""))"),"リーボック メンズ ランニング パンツ")</f>
        <v>リーボック メンズ ランニング パンツ</v>
      </c>
    </row>
    <row r="5550" ht="15.75" customHeight="1">
      <c r="A5550" s="1">
        <v>7205.0</v>
      </c>
      <c r="B5550" s="1" t="s">
        <v>15</v>
      </c>
      <c r="C5550" s="1" t="s">
        <v>4641</v>
      </c>
      <c r="D5550" s="1" t="str">
        <f>IFERROR(__xludf.DUMMYFUNCTION("CONCATENATE(GOOGLETRANSLATE(C5550, ""en"", ""zh-cn""))"),"Reebok 女式宽幅工装裤")</f>
        <v>Reebok 女式宽幅工装裤</v>
      </c>
      <c r="E5550" s="1" t="str">
        <f>IFERROR(__xludf.DUMMYFUNCTION("CONCATENATE(GOOGLETRANSLATE(C5550, ""en"", ""ko""))"),"Reebok 여성용 와이드 카고 팬츠")</f>
        <v>Reebok 여성용 와이드 카고 팬츠</v>
      </c>
      <c r="F5550" s="1" t="str">
        <f>IFERROR(__xludf.DUMMYFUNCTION("CONCATENATE(GOOGLETRANSLATE(C5550, ""en"", ""ja""))"),"リーボック レディース ワイド カーゴ パンツ")</f>
        <v>リーボック レディース ワイド カーゴ パンツ</v>
      </c>
    </row>
    <row r="5551" ht="15.75" customHeight="1">
      <c r="A5551" s="1">
        <v>7236.0</v>
      </c>
      <c r="B5551" s="1" t="s">
        <v>15</v>
      </c>
      <c r="C5551" s="1" t="s">
        <v>2324</v>
      </c>
      <c r="D5551" s="1" t="str">
        <f>IFERROR(__xludf.DUMMYFUNCTION("CONCATENATE(GOOGLETRANSLATE(C5551, ""en"", ""zh-cn""))"),"罗林斯| Renegade 系列棒球接球手套装 | NOCSAE 认证 |成人 |中级|青年|多种颜色")</f>
        <v>罗林斯| Renegade 系列棒球接球手套装 | NOCSAE 认证 |成人 |中级|青年|多种颜色</v>
      </c>
      <c r="E5551" s="1" t="str">
        <f>IFERROR(__xludf.DUMMYFUNCTION("CONCATENATE(GOOGLETRANSLATE(C5551, ""en"", ""ko""))"),"롤링스 | 레니게이드 시리즈 야구 포수 세트 | NOCSAE 인증 | 성인 | 중급 | 청소년 | 다양한 색상")</f>
        <v>롤링스 | 레니게이드 시리즈 야구 포수 세트 | NOCSAE 인증 | 성인 | 중급 | 청소년 | 다양한 색상</v>
      </c>
      <c r="F5551" s="1" t="str">
        <f>IFERROR(__xludf.DUMMYFUNCTION("CONCATENATE(GOOGLETRANSLATE(C5551, ""en"", ""ja""))"),"ローリングス | Renegade シリーズ野球キャッチャーセット | NOCSAE 認定 |アダルト |中級 |若者 |複数の色")</f>
        <v>ローリングス | Renegade シリーズ野球キャッチャーセット | NOCSAE 認定 |アダルト |中級 |若者 |複数の色</v>
      </c>
    </row>
    <row r="5552" ht="15.75" customHeight="1">
      <c r="A5552" s="1">
        <v>7243.0</v>
      </c>
      <c r="B5552" s="1" t="s">
        <v>15</v>
      </c>
      <c r="C5552" s="1" t="s">
        <v>2375</v>
      </c>
      <c r="D5552" s="1" t="str">
        <f>IFERROR(__xludf.DUMMYFUNCTION("CONCATENATE(GOOGLETRANSLATE(C5552, ""en"", ""zh-cn""))"),"Coleman WeatherMaster 6 人帐篷（带屏幕室）")</f>
        <v>Coleman WeatherMaster 6 人帐篷（带屏幕室）</v>
      </c>
      <c r="E5552" s="1" t="str">
        <f>IFERROR(__xludf.DUMMYFUNCTION("CONCATENATE(GOOGLETRANSLATE(C5552, ""en"", ""ko""))"),"콜맨 웨더마스터 6인용 텐트(스크린룸 포함)")</f>
        <v>콜맨 웨더마스터 6인용 텐트(스크린룸 포함)</v>
      </c>
      <c r="F5552" s="1" t="str">
        <f>IFERROR(__xludf.DUMMYFUNCTION("CONCATENATE(GOOGLETRANSLATE(C5552, ""en"", ""ja""))"),"コールマン ウェザーマスター 6人用テント スクリーンルーム付き")</f>
        <v>コールマン ウェザーマスター 6人用テント スクリーンルーム付き</v>
      </c>
    </row>
    <row r="5553" ht="15.75" customHeight="1">
      <c r="A5553" s="1">
        <v>7248.0</v>
      </c>
      <c r="B5553" s="1" t="s">
        <v>15</v>
      </c>
      <c r="C5553" s="1" t="s">
        <v>1820</v>
      </c>
      <c r="D5553" s="1" t="str">
        <f>IFERROR(__xludf.DUMMYFUNCTION("CONCATENATE(GOOGLETRANSLATE(C5553, ""en"", ""zh-cn""))"),"Giro Empire SLX 男士公路骑行鞋")</f>
        <v>Giro Empire SLX 男士公路骑行鞋</v>
      </c>
      <c r="E5553" s="1" t="str">
        <f>IFERROR(__xludf.DUMMYFUNCTION("CONCATENATE(GOOGLETRANSLATE(C5553, ""en"", ""ko""))"),"Giro Empire SLX 남성용 로드 사이클링 신발")</f>
        <v>Giro Empire SLX 남성용 로드 사이클링 신발</v>
      </c>
      <c r="F5553" s="1" t="str">
        <f>IFERROR(__xludf.DUMMYFUNCTION("CONCATENATE(GOOGLETRANSLATE(C5553, ""en"", ""ja""))"),"Giro Empire SLX メンズ ロード サイクリング シューズ")</f>
        <v>Giro Empire SLX メンズ ロード サイクリング シューズ</v>
      </c>
    </row>
    <row r="5554" ht="15.75" customHeight="1">
      <c r="A5554" s="1">
        <v>7249.0</v>
      </c>
      <c r="B5554" s="1" t="s">
        <v>15</v>
      </c>
      <c r="C5554" s="1" t="s">
        <v>1908</v>
      </c>
      <c r="D5554" s="1" t="str">
        <f>IFERROR(__xludf.DUMMYFUNCTION("CONCATENATE(GOOGLETRANSLATE(C5554, ""en"", ""zh-cn""))"),"Alexia D371-CU001 冥想座椅（纯素皮革，深灰色）")</f>
        <v>Alexia D371-CU001 冥想座椅（纯素皮革，深灰色）</v>
      </c>
      <c r="E5554" s="1" t="str">
        <f>IFERROR(__xludf.DUMMYFUNCTION("CONCATENATE(GOOGLETRANSLATE(C5554, ""en"", ""ko""))"),"알렉시아 D371-CU001 명상 시트 (비건 가죽, 다크 그레이)")</f>
        <v>알렉시아 D371-CU001 명상 시트 (비건 가죽, 다크 그레이)</v>
      </c>
      <c r="F5554" s="1" t="str">
        <f>IFERROR(__xludf.DUMMYFUNCTION("CONCATENATE(GOOGLETRANSLATE(C5554, ""en"", ""ja""))"),"Alexia D371-CU001 瞑想シート (ヴィーガンレザー、ダークグレー)")</f>
        <v>Alexia D371-CU001 瞑想シート (ヴィーガンレザー、ダークグレー)</v>
      </c>
    </row>
    <row r="5555" ht="15.75" customHeight="1">
      <c r="A5555" s="1">
        <v>7255.0</v>
      </c>
      <c r="B5555" s="1" t="s">
        <v>15</v>
      </c>
      <c r="C5555" s="1" t="s">
        <v>1818</v>
      </c>
      <c r="D5555" s="1" t="str">
        <f>IFERROR(__xludf.DUMMYFUNCTION("CONCATENATE(GOOGLETRANSLATE(C5555, ""en"", ""zh-cn""))"),"Alexia D371-E063 冥想座椅（布料，沙色）")</f>
        <v>Alexia D371-E063 冥想座椅（布料，沙色）</v>
      </c>
      <c r="E5555" s="1" t="str">
        <f>IFERROR(__xludf.DUMMYFUNCTION("CONCATENATE(GOOGLETRANSLATE(C5555, ""en"", ""ko""))"),"알렉시아 D371-E063 명상의자 (천, 모래)")</f>
        <v>알렉시아 D371-E063 명상의자 (천, 모래)</v>
      </c>
      <c r="F5555" s="1" t="str">
        <f>IFERROR(__xludf.DUMMYFUNCTION("CONCATENATE(GOOGLETRANSLATE(C5555, ""en"", ""ja""))"),"Alexia D371-E063 瞑想シート (ファブリック、サンド)")</f>
        <v>Alexia D371-E063 瞑想シート (ファブリック、サンド)</v>
      </c>
    </row>
    <row r="5556" ht="15.75" customHeight="1">
      <c r="A5556" s="1">
        <v>7256.0</v>
      </c>
      <c r="B5556" s="1" t="s">
        <v>15</v>
      </c>
      <c r="C5556" s="1" t="s">
        <v>2372</v>
      </c>
      <c r="D5556" s="1" t="str">
        <f>IFERROR(__xludf.DUMMYFUNCTION("CONCATENATE(GOOGLETRANSLATE(C5556, ""en"", ""zh-cn""))"),"Devoko 5 件套露台家具套装全天候户外组合沙发手动编织柳条藤条露台谈话套装带垫子和玻璃桌（米色）")</f>
        <v>Devoko 5 件套露台家具套装全天候户外组合沙发手动编织柳条藤条露台谈话套装带垫子和玻璃桌（米色）</v>
      </c>
      <c r="E5556" s="1" t="str">
        <f>IFERROR(__xludf.DUMMYFUNCTION("CONCATENATE(GOOGLETRANSLATE(C5556, ""en"", ""ko""))"),"Devoko 5 조각 파티오 가구 세트 전천후 야외 단면 소파 수동 직조 고리 버들 등나무 파티오 대화 세트 쿠션과 유리 테이블 (베이지 색)")</f>
        <v>Devoko 5 조각 파티오 가구 세트 전천후 야외 단면 소파 수동 직조 고리 버들 등나무 파티오 대화 세트 쿠션과 유리 테이블 (베이지 색)</v>
      </c>
      <c r="F5556" s="1" t="str">
        <f>IFERROR(__xludf.DUMMYFUNCTION("CONCATENATE(GOOGLETRANSLATE(C5556, ""en"", ""ja""))"),"Devoko パティオ家具 5 点セット 全天候型 屋外 セクショナルソファ 手動織り 籐ラタン パティオ会話セット クッションとガラステーブル付き (ベージュ)")</f>
        <v>Devoko パティオ家具 5 点セット 全天候型 屋外 セクショナルソファ 手動織り 籐ラタン パティオ会話セット クッションとガラステーブル付き (ベージュ)</v>
      </c>
    </row>
    <row r="5557" ht="15.75" customHeight="1">
      <c r="A5557" s="1">
        <v>7266.0</v>
      </c>
      <c r="B5557" s="1" t="s">
        <v>15</v>
      </c>
      <c r="C5557" s="1" t="s">
        <v>4642</v>
      </c>
      <c r="D5557" s="1" t="str">
        <f>IFERROR(__xludf.DUMMYFUNCTION("CONCATENATE(GOOGLETRANSLATE(C5557, ""en"", ""zh-cn""))"),"Fluidmaster 完整马桶水箱维修套件 400AKRP10")</f>
        <v>Fluidmaster 完整马桶水箱维修套件 400AKRP10</v>
      </c>
      <c r="E5557" s="1" t="str">
        <f>IFERROR(__xludf.DUMMYFUNCTION("CONCATENATE(GOOGLETRANSLATE(C5557, ""en"", ""ko""))"),"Fluidmaster 전체 변기 탱크 수리 키트 400AKRP10")</f>
        <v>Fluidmaster 전체 변기 탱크 수리 키트 400AKRP10</v>
      </c>
      <c r="F5557" s="1" t="str">
        <f>IFERROR(__xludf.DUMMYFUNCTION("CONCATENATE(GOOGLETRANSLATE(C5557, ""en"", ""ja""))"),"Fluidmaster トイレタンク修理キット一式 400AKRP10")</f>
        <v>Fluidmaster トイレタンク修理キット一式 400AKRP10</v>
      </c>
    </row>
    <row r="5558" ht="15.75" customHeight="1">
      <c r="A5558" s="1">
        <v>7272.0</v>
      </c>
      <c r="B5558" s="1" t="s">
        <v>15</v>
      </c>
      <c r="C5558" s="1" t="s">
        <v>4643</v>
      </c>
      <c r="D5558" s="1" t="str">
        <f>IFERROR(__xludf.DUMMYFUNCTION("CONCATENATE(GOOGLETRANSLATE(C5558, ""en"", ""zh-cn""))"),"#PRO45H - Fluidmaster 填充阀，带水箱和碗水位控制")</f>
        <v>#PRO45H - Fluidmaster 填充阀，带水箱和碗水位控制</v>
      </c>
      <c r="E5558" s="1" t="str">
        <f>IFERROR(__xludf.DUMMYFUNCTION("CONCATENATE(GOOGLETRANSLATE(C5558, ""en"", ""ko""))"),"#PRO45H - 탱크 및 보울 수위 조절 기능이 있는 Fluidmaster 충전 밸브")</f>
        <v>#PRO45H - 탱크 및 보울 수위 조절 기능이 있는 Fluidmaster 충전 밸브</v>
      </c>
      <c r="F5558" s="1" t="str">
        <f>IFERROR(__xludf.DUMMYFUNCTION("CONCATENATE(GOOGLETRANSLATE(C5558, ""en"", ""ja""))"),"#PRO45H - タンクおよびボウルの水位制御付き Fluidmaster 充填バルブ")</f>
        <v>#PRO45H - タンクおよびボウルの水位制御付き Fluidmaster 充填バルブ</v>
      </c>
    </row>
    <row r="5559" ht="15.75" customHeight="1">
      <c r="A5559" s="1">
        <v>7279.0</v>
      </c>
      <c r="B5559" s="1" t="s">
        <v>15</v>
      </c>
      <c r="C5559" s="1" t="s">
        <v>4644</v>
      </c>
      <c r="D5559" s="1" t="str">
        <f>IFERROR(__xludf.DUMMYFUNCTION("CONCATENATE(GOOGLETRANSLATE(C5559, ""en"", ""zh-cn""))"),"FM8100 Fluidmaster 冲洗和闪光碗清洁系统")</f>
        <v>FM8100 Fluidmaster 冲洗和闪光碗清洁系统</v>
      </c>
      <c r="E5559" s="1" t="str">
        <f>IFERROR(__xludf.DUMMYFUNCTION("CONCATENATE(GOOGLETRANSLATE(C5559, ""en"", ""ko""))"),"FM8100 Fluidmaster 플러시 &amp; 스파클 보울 청소 시스템")</f>
        <v>FM8100 Fluidmaster 플러시 &amp; 스파클 보울 청소 시스템</v>
      </c>
      <c r="F5559" s="1" t="str">
        <f>IFERROR(__xludf.DUMMYFUNCTION("CONCATENATE(GOOGLETRANSLATE(C5559, ""en"", ""ja""))"),"FM8100 Fluidmaster フラッシュ &amp; スパークル ボウル クリーニング システム")</f>
        <v>FM8100 Fluidmaster フラッシュ &amp; スパークル ボウル クリーニング システム</v>
      </c>
    </row>
    <row r="5560" ht="15.75" customHeight="1">
      <c r="A5560" s="1">
        <v>7288.0</v>
      </c>
      <c r="B5560" s="1" t="s">
        <v>15</v>
      </c>
      <c r="C5560" s="1" t="s">
        <v>4645</v>
      </c>
      <c r="D5560" s="1" t="str">
        <f>IFERROR(__xludf.DUMMYFUNCTION("CONCATENATE(GOOGLETRANSLATE(C5560, ""en"", ""zh-cn""))"),"Fluidmaster 3 英寸通用马桶挡板")</f>
        <v>Fluidmaster 3 英寸通用马桶挡板</v>
      </c>
      <c r="E5560" s="1" t="str">
        <f>IFERROR(__xludf.DUMMYFUNCTION("CONCATENATE(GOOGLETRANSLATE(C5560, ""en"", ""ko""))"),"Fluidmaster 3인치 범용 변기 플래퍼")</f>
        <v>Fluidmaster 3인치 범용 변기 플래퍼</v>
      </c>
      <c r="F5560" s="1" t="str">
        <f>IFERROR(__xludf.DUMMYFUNCTION("CONCATENATE(GOOGLETRANSLATE(C5560, ""en"", ""ja""))"),"Fluidmaster 3 インチ ユニバーサル トイレ フラッパー")</f>
        <v>Fluidmaster 3 インチ ユニバーサル トイレ フラッパー</v>
      </c>
    </row>
    <row r="5561" ht="15.75" customHeight="1">
      <c r="A5561" s="1">
        <v>7294.0</v>
      </c>
      <c r="B5561" s="1" t="s">
        <v>15</v>
      </c>
      <c r="C5561" s="1" t="s">
        <v>4646</v>
      </c>
      <c r="D5561" s="1" t="str">
        <f>IFERROR(__xludf.DUMMYFUNCTION("CONCATENATE(GOOGLETRANSLATE(C5561, ""en"", ""zh-cn""))"),"Fluidmaster Flush 'n' Sparkle 马桶补充墨盒")</f>
        <v>Fluidmaster Flush 'n' Sparkle 马桶补充墨盒</v>
      </c>
      <c r="E5561" s="1" t="str">
        <f>IFERROR(__xludf.DUMMYFUNCTION("CONCATENATE(GOOGLETRANSLATE(C5561, ""en"", ""ko""))"),"Fluidmaster Flush 'n' Sparkle 변기 리필 카트리지")</f>
        <v>Fluidmaster Flush 'n' Sparkle 변기 리필 카트리지</v>
      </c>
      <c r="F5561" s="1" t="str">
        <f>IFERROR(__xludf.DUMMYFUNCTION("CONCATENATE(GOOGLETRANSLATE(C5561, ""en"", ""ja""))"),"Fluidmaster Flush 'n' Sparkle トイレボウル詰め替えカートリッジ")</f>
        <v>Fluidmaster Flush 'n' Sparkle トイレボウル詰め替えカートリッジ</v>
      </c>
    </row>
    <row r="5562" ht="15.75" customHeight="1">
      <c r="A5562" s="1">
        <v>7300.0</v>
      </c>
      <c r="B5562" s="1" t="s">
        <v>15</v>
      </c>
      <c r="C5562" s="1" t="s">
        <v>4647</v>
      </c>
      <c r="D5562" s="1" t="str">
        <f>IFERROR(__xludf.DUMMYFUNCTION("CONCATENATE(GOOGLETRANSLATE(C5562, ""en"", ""zh-cn""))"),"Fluidmaster 冲洗阀")</f>
        <v>Fluidmaster 冲洗阀</v>
      </c>
      <c r="E5562" s="1" t="str">
        <f>IFERROR(__xludf.DUMMYFUNCTION("CONCATENATE(GOOGLETRANSLATE(C5562, ""en"", ""ko""))"),"Fluidmaster 플러시 밸브")</f>
        <v>Fluidmaster 플러시 밸브</v>
      </c>
      <c r="F5562" s="1" t="str">
        <f>IFERROR(__xludf.DUMMYFUNCTION("CONCATENATE(GOOGLETRANSLATE(C5562, ""en"", ""ja""))"),"フルードマスター フラッシュ バルブ")</f>
        <v>フルードマスター フラッシュ バルブ</v>
      </c>
    </row>
    <row r="5563" ht="15.75" customHeight="1">
      <c r="A5563" s="1">
        <v>7301.0</v>
      </c>
      <c r="B5563" s="1" t="s">
        <v>15</v>
      </c>
      <c r="C5563" s="1" t="s">
        <v>4648</v>
      </c>
      <c r="D5563" s="1" t="str">
        <f>IFERROR(__xludf.DUMMYFUNCTION("CONCATENATE(GOOGLETRANSLATE(C5563, ""en"", ""zh-cn""))"),"适用于 Glacier Bay 和 Niagra 马桶的 Fluidmaster 703A 无挡板进水阀")</f>
        <v>适用于 Glacier Bay 和 Niagra 马桶的 Fluidmaster 703A 无挡板进水阀</v>
      </c>
      <c r="E5563" s="1" t="str">
        <f>IFERROR(__xludf.DUMMYFUNCTION("CONCATENATE(GOOGLETRANSLATE(C5563, ""en"", ""ko""))"),"Glacier Bay 및 Niagra 변기용 Fluidmaster 703A 플래퍼리스 충전 밸브")</f>
        <v>Glacier Bay 및 Niagra 변기용 Fluidmaster 703A 플래퍼리스 충전 밸브</v>
      </c>
      <c r="F5563" s="1" t="str">
        <f>IFERROR(__xludf.DUMMYFUNCTION("CONCATENATE(GOOGLETRANSLATE(C5563, ""en"", ""ja""))"),"Fluidmaster 703A フラッパーレス充填バルブ、グレイシャー ベイおよびナイアグラ トイレ用")</f>
        <v>Fluidmaster 703A フラッパーレス充填バルブ、グレイシャー ベイおよびナイアグラ トイレ用</v>
      </c>
    </row>
    <row r="5564" ht="15.75" customHeight="1">
      <c r="A5564" s="1">
        <v>7311.0</v>
      </c>
      <c r="B5564" s="1" t="s">
        <v>15</v>
      </c>
      <c r="C5564" s="1" t="s">
        <v>4649</v>
      </c>
      <c r="D5564" s="1" t="str">
        <f>IFERROR(__xludf.DUMMYFUNCTION("CONCATENATE(GOOGLETRANSLATE(C5564, ""en"", ""zh-cn""))"),"冰川湾汉普顿浴室梳妆台")</f>
        <v>冰川湾汉普顿浴室梳妆台</v>
      </c>
      <c r="E5564" s="1" t="str">
        <f>IFERROR(__xludf.DUMMYFUNCTION("CONCATENATE(GOOGLETRANSLATE(C5564, ""en"", ""ko""))"),"Glacier Bay Hampton 욕실 세면대 캐비닛")</f>
        <v>Glacier Bay Hampton 욕실 세면대 캐비닛</v>
      </c>
      <c r="F5564" s="1" t="str">
        <f>IFERROR(__xludf.DUMMYFUNCTION("CONCATENATE(GOOGLETRANSLATE(C5564, ""en"", ""ja""))"),"グレイシャー ベイ ハンプトンのバスルームの化粧台キャビネット")</f>
        <v>グレイシャー ベイ ハンプトンのバスルームの化粧台キャビネット</v>
      </c>
    </row>
    <row r="5565" ht="15.75" customHeight="1">
      <c r="A5565" s="1">
        <v>7315.0</v>
      </c>
      <c r="B5565" s="1" t="s">
        <v>15</v>
      </c>
      <c r="C5565" s="1" t="s">
        <v>4650</v>
      </c>
      <c r="D5565" s="1" t="str">
        <f>IFERROR(__xludf.DUMMYFUNCTION("CONCATENATE(GOOGLETRANSLATE(C5565, ""en"", ""zh-cn""))"),"Chans Furniture 78 英寸传统风格实木霍普金顿双水槽浴室梳妆台套装带白色大理石台面")</f>
        <v>Chans Furniture 78 英寸传统风格实木霍普金顿双水槽浴室梳妆台套装带白色大理石台面</v>
      </c>
      <c r="E5565" s="1" t="str">
        <f>IFERROR(__xludf.DUMMYFUNCTION("CONCATENATE(GOOGLETRANSLATE(C5565, ""en"", ""ko""))"),"Chans 가구 78 인치 전통적인 스타일 단단한 나무 Hopkinton 더블 싱크 욕실 세면대 세트 흰색 대리석 탑")</f>
        <v>Chans 가구 78 인치 전통적인 스타일 단단한 나무 Hopkinton 더블 싱크 욕실 세면대 세트 흰색 대리석 탑</v>
      </c>
      <c r="F5565" s="1" t="str">
        <f>IFERROR(__xludf.DUMMYFUNCTION("CONCATENATE(GOOGLETRANSLATE(C5565, ""en"", ""ja""))"),"Chans Furniture 78 インチの伝統的なスタイルの無垢材ホプキントン ダブルシンク バスルーム バニティ セット ホワイト大理石トップ")</f>
        <v>Chans Furniture 78 インチの伝統的なスタイルの無垢材ホプキントン ダブルシンク バスルーム バニティ セット ホワイト大理石トップ</v>
      </c>
    </row>
    <row r="5566" ht="15.75" customHeight="1">
      <c r="A5566" s="1">
        <v>7319.0</v>
      </c>
      <c r="B5566" s="1" t="s">
        <v>15</v>
      </c>
      <c r="C5566" s="1" t="s">
        <v>4651</v>
      </c>
      <c r="D5566" s="1" t="str">
        <f>IFERROR(__xludf.DUMMYFUNCTION("CONCATENATE(GOOGLETRANSLATE(C5566, ""en"", ""zh-cn""))"),"Design House Wyndham 白色半光浴室壁柜")</f>
        <v>Design House Wyndham 白色半光浴室壁柜</v>
      </c>
      <c r="E5566" s="1" t="str">
        <f>IFERROR(__xludf.DUMMYFUNCTION("CONCATENATE(GOOGLETRANSLATE(C5566, ""en"", ""ko""))"),"디자인 하우스 윈덤 화이트 반광택 욕실 벽 캐비닛")</f>
        <v>디자인 하우스 윈덤 화이트 반광택 욕실 벽 캐비닛</v>
      </c>
      <c r="F5566" s="1" t="str">
        <f>IFERROR(__xludf.DUMMYFUNCTION("CONCATENATE(GOOGLETRANSLATE(C5566, ""en"", ""ja""))"),"デザイン ハウス ウィンダム ホワイト 半光沢バスルーム ウォール キャビネット")</f>
        <v>デザイン ハウス ウィンダム ホワイト 半光沢バスルーム ウォール キャビネット</v>
      </c>
    </row>
    <row r="5567" ht="15.75" customHeight="1">
      <c r="A5567" s="1">
        <v>7329.0</v>
      </c>
      <c r="B5567" s="1" t="s">
        <v>15</v>
      </c>
      <c r="C5567" s="1" t="s">
        <v>4652</v>
      </c>
      <c r="D5567" s="1" t="str">
        <f>IFERROR(__xludf.DUMMYFUNCTION("CONCATENATE(GOOGLETRANSLATE(C5567, ""en"", ""zh-cn""))"),"Kohler Hadron 48 英寸浴室梳妆柜，带水槽和石英台面")</f>
        <v>Kohler Hadron 48 英寸浴室梳妆柜，带水槽和石英台面</v>
      </c>
      <c r="E5567" s="1" t="str">
        <f>IFERROR(__xludf.DUMMYFUNCTION("CONCATENATE(GOOGLETRANSLATE(C5567, ""en"", ""ko""))"),"Kohler Hadron 48"" 욕실 세면대 캐비닛, 싱크대 및 석영 상판 포함")</f>
        <v>Kohler Hadron 48" 욕실 세면대 캐비닛, 싱크대 및 석영 상판 포함</v>
      </c>
      <c r="F5567" s="1" t="str">
        <f>IFERROR(__xludf.DUMMYFUNCTION("CONCATENATE(GOOGLETRANSLATE(C5567, ""en"", ""ja""))"),"Kohler Hadron 48 インチ バスルーム 洗面化粧台 キャビネット シンクとクォーツトップ付き")</f>
        <v>Kohler Hadron 48 インチ バスルーム 洗面化粧台 キャビネット シンクとクォーツトップ付き</v>
      </c>
    </row>
    <row r="5568" ht="15.75" customHeight="1">
      <c r="A5568" s="1">
        <v>7338.0</v>
      </c>
      <c r="B5568" s="1" t="s">
        <v>15</v>
      </c>
      <c r="C5568" s="1" t="s">
        <v>4653</v>
      </c>
      <c r="D5568" s="1" t="str">
        <f>IFERROR(__xludf.DUMMYFUNCTION("CONCATENATE(GOOGLETRANSLATE(C5568, ""en"", ""zh-cn""))"),"浴室地柜")</f>
        <v>浴室地柜</v>
      </c>
      <c r="E5568" s="1" t="str">
        <f>IFERROR(__xludf.DUMMYFUNCTION("CONCATENATE(GOOGLETRANSLATE(C5568, ""en"", ""ko""))"),"욕실 바닥 캐비닛")</f>
        <v>욕실 바닥 캐비닛</v>
      </c>
      <c r="F5568" s="1" t="str">
        <f>IFERROR(__xludf.DUMMYFUNCTION("CONCATENATE(GOOGLETRANSLATE(C5568, ""en"", ""ja""))"),"バスルームフロアキャビネット")</f>
        <v>バスルームフロアキャビネット</v>
      </c>
    </row>
    <row r="5569" ht="15.75" customHeight="1">
      <c r="A5569" s="1">
        <v>7363.0</v>
      </c>
      <c r="B5569" s="1" t="s">
        <v>15</v>
      </c>
      <c r="C5569" s="1" t="s">
        <v>4654</v>
      </c>
      <c r="D5569" s="1" t="str">
        <f>IFERROR(__xludf.DUMMYFUNCTION("CONCATENATE(GOOGLETRANSLATE(C5569, ""en"", ""zh-cn""))"),"Ktaxon 工业壁挂式浴室储物柜医药柜整理器节省空间")</f>
        <v>Ktaxon 工业壁挂式浴室储物柜医药柜整理器节省空间</v>
      </c>
      <c r="E5569" s="1" t="str">
        <f>IFERROR(__xludf.DUMMYFUNCTION("CONCATENATE(GOOGLETRANSLATE(C5569, ""en"", ""ko""))"),"Ktaxon 산업 잘 고정된 목욕탕 저장 내각 약장 조직자 저장 공간")</f>
        <v>Ktaxon 산업 잘 고정된 목욕탕 저장 내각 약장 조직자 저장 공간</v>
      </c>
      <c r="F5569" s="1" t="str">
        <f>IFERROR(__xludf.DUMMYFUNCTION("CONCATENATE(GOOGLETRANSLATE(C5569, ""en"", ""ja""))"),"Ktaxon 工業用壁掛けバスルーム収納キャビネット薬キャビネットオーガナイザースペースを節約")</f>
        <v>Ktaxon 工業用壁掛けバスルーム収納キャビネット薬キャビネットオーガナイザースペースを節約</v>
      </c>
    </row>
    <row r="5570" ht="15.75" customHeight="1">
      <c r="A5570" s="1">
        <v>7368.0</v>
      </c>
      <c r="B5570" s="1" t="s">
        <v>15</v>
      </c>
      <c r="C5570" s="1" t="s">
        <v>4655</v>
      </c>
      <c r="D5570" s="1" t="str">
        <f>IFERROR(__xludf.DUMMYFUNCTION("CONCATENATE(GOOGLETRANSLATE(C5570, ""en"", ""zh-cn""))"),"Ktaxon 68寸浴室柜")</f>
        <v>Ktaxon 68寸浴室柜</v>
      </c>
      <c r="E5570" s="1" t="str">
        <f>IFERROR(__xludf.DUMMYFUNCTION("CONCATENATE(GOOGLETRANSLATE(C5570, ""en"", ""ko""))"),"Ktaxon 68인치 욕실 캐비닛")</f>
        <v>Ktaxon 68인치 욕실 캐비닛</v>
      </c>
      <c r="F5570" s="1" t="str">
        <f>IFERROR(__xludf.DUMMYFUNCTION("CONCATENATE(GOOGLETRANSLATE(C5570, ""en"", ""ja""))"),"Ktaxon 68 インチ バスルーム キャビネット")</f>
        <v>Ktaxon 68 インチ バスルーム キャビネット</v>
      </c>
    </row>
    <row r="5571" ht="15.75" customHeight="1">
      <c r="A5571" s="1">
        <v>7370.0</v>
      </c>
      <c r="B5571" s="1" t="s">
        <v>15</v>
      </c>
      <c r="C5571" s="1" t="s">
        <v>4656</v>
      </c>
      <c r="D5571" s="1" t="str">
        <f>IFERROR(__xludf.DUMMYFUNCTION("CONCATENATE(GOOGLETRANSLATE(C5571, ""en"", ""zh-cn""))"),"Ktaxon 木质浴室药柜")</f>
        <v>Ktaxon 木质浴室药柜</v>
      </c>
      <c r="E5571" s="1" t="str">
        <f>IFERROR(__xludf.DUMMYFUNCTION("CONCATENATE(GOOGLETRANSLATE(C5571, ""en"", ""ko""))"),"Ktaxon 나무 욕실 약장")</f>
        <v>Ktaxon 나무 욕실 약장</v>
      </c>
      <c r="F5571" s="1" t="str">
        <f>IFERROR(__xludf.DUMMYFUNCTION("CONCATENATE(GOOGLETRANSLATE(C5571, ""en"", ""ja""))"),"Ktaxon 木製バスルーム薬キャビネット")</f>
        <v>Ktaxon 木製バスルーム薬キャビネット</v>
      </c>
    </row>
    <row r="5572" ht="15.75" customHeight="1">
      <c r="A5572" s="1">
        <v>7378.0</v>
      </c>
      <c r="B5572" s="1" t="s">
        <v>15</v>
      </c>
      <c r="C5572" s="1" t="s">
        <v>4657</v>
      </c>
      <c r="D5572" s="1" t="str">
        <f>IFERROR(__xludf.DUMMYFUNCTION("CONCATENATE(GOOGLETRANSLATE(C5572, ""en"", ""zh-cn""))"),"浴室壁柜")</f>
        <v>浴室壁柜</v>
      </c>
      <c r="E5572" s="1" t="str">
        <f>IFERROR(__xludf.DUMMYFUNCTION("CONCATENATE(GOOGLETRANSLATE(C5572, ""en"", ""ko""))"),"욕실 벽 캐비닛")</f>
        <v>욕실 벽 캐비닛</v>
      </c>
      <c r="F5572" s="1" t="str">
        <f>IFERROR(__xludf.DUMMYFUNCTION("CONCATENATE(GOOGLETRANSLATE(C5572, ""en"", ""ja""))"),"バスルーム用ウォールキャビネット")</f>
        <v>バスルーム用ウォールキャビネット</v>
      </c>
    </row>
    <row r="5573" ht="15.75" customHeight="1">
      <c r="A5573" s="1">
        <v>7381.0</v>
      </c>
      <c r="B5573" s="1" t="s">
        <v>15</v>
      </c>
      <c r="C5573" s="1" t="s">
        <v>4658</v>
      </c>
      <c r="D5573" s="1" t="str">
        <f>IFERROR(__xludf.DUMMYFUNCTION("CONCATENATE(GOOGLETRANSLATE(C5573, ""en"", ""zh-cn""))"),"壁挂式浴室柜")</f>
        <v>壁挂式浴室柜</v>
      </c>
      <c r="E5573" s="1" t="str">
        <f>IFERROR(__xludf.DUMMYFUNCTION("CONCATENATE(GOOGLETRANSLATE(C5573, ""en"", ""ko""))"),"벽걸이형 욕실 캐비닛")</f>
        <v>벽걸이형 욕실 캐비닛</v>
      </c>
      <c r="F5573" s="1" t="str">
        <f>IFERROR(__xludf.DUMMYFUNCTION("CONCATENATE(GOOGLETRANSLATE(C5573, ""en"", ""ja""))"),"壁に取り付けられたバスルームキャビネット")</f>
        <v>壁に取り付けられたバスルームキャビネット</v>
      </c>
    </row>
    <row r="5574" ht="15.75" customHeight="1">
      <c r="A5574" s="1">
        <v>7382.0</v>
      </c>
      <c r="B5574" s="1" t="s">
        <v>15</v>
      </c>
      <c r="C5574" s="1" t="s">
        <v>4659</v>
      </c>
      <c r="D5574" s="1" t="str">
        <f>IFERROR(__xludf.DUMMYFUNCTION("CONCATENATE(GOOGLETRANSLATE(C5574, ""en"", ""zh-cn""))"),"Brita Soho Color 系列滤水壶")</f>
        <v>Brita Soho Color 系列滤水壶</v>
      </c>
      <c r="E5574" s="1" t="str">
        <f>IFERROR(__xludf.DUMMYFUNCTION("CONCATENATE(GOOGLETRANSLATE(C5574, ""en"", ""ko""))"),"브리타 소호 컬러 시리즈 정수 필터 피처")</f>
        <v>브리타 소호 컬러 시리즈 정수 필터 피처</v>
      </c>
      <c r="F5574" s="1" t="str">
        <f>IFERROR(__xludf.DUMMYFUNCTION("CONCATENATE(GOOGLETRANSLATE(C5574, ""en"", ""ja""))"),"Brita Soho カラー シリーズ 浄水器ピッチャー")</f>
        <v>Brita Soho カラー シリーズ 浄水器ピッチャー</v>
      </c>
    </row>
    <row r="5575" ht="15.75" customHeight="1">
      <c r="A5575" s="1">
        <v>7384.0</v>
      </c>
      <c r="B5575" s="1" t="s">
        <v>15</v>
      </c>
      <c r="C5575" s="1" t="s">
        <v>4660</v>
      </c>
      <c r="D5575" s="1" t="str">
        <f>IFERROR(__xludf.DUMMYFUNCTION("CONCATENATE(GOOGLETRANSLATE(C5575, ""en"", ""zh-cn""))"),"Brita Hub 紧凑型台面滤水装置")</f>
        <v>Brita Hub 紧凑型台面滤水装置</v>
      </c>
      <c r="E5575" s="1" t="str">
        <f>IFERROR(__xludf.DUMMYFUNCTION("CONCATENATE(GOOGLETRANSLATE(C5575, ""en"", ""ko""))"),"브리타 허브 컴팩트 수조 정수 장치")</f>
        <v>브리타 허브 컴팩트 수조 정수 장치</v>
      </c>
      <c r="F5575" s="1" t="str">
        <f>IFERROR(__xludf.DUMMYFUNCTION("CONCATENATE(GOOGLETRANSLATE(C5575, ""en"", ""ja""))"),"Brita Hub コンパクトなカウンタートップ水ろ過装置")</f>
        <v>Brita Hub コンパクトなカウンタートップ水ろ過装置</v>
      </c>
    </row>
    <row r="5576" ht="15.75" customHeight="1">
      <c r="A5576" s="1">
        <v>7385.0</v>
      </c>
      <c r="B5576" s="1" t="s">
        <v>15</v>
      </c>
      <c r="C5576" s="1" t="s">
        <v>4661</v>
      </c>
      <c r="D5576" s="1" t="str">
        <f>IFERROR(__xludf.DUMMYFUNCTION("CONCATENATE(GOOGLETRANSLATE(C5576, ""en"", ""zh-cn""))"),"Brita Hub 即时强力台面过滤 87341")</f>
        <v>Brita Hub 即时强力台面过滤 87341</v>
      </c>
      <c r="E5576" s="1" t="str">
        <f>IFERROR(__xludf.DUMMYFUNCTION("CONCATENATE(GOOGLETRANSLATE(C5576, ""en"", ""ko""))"),"브리타허브 즉석 강력한 조리대 여과기 87341")</f>
        <v>브리타허브 즉석 강력한 조리대 여과기 87341</v>
      </c>
      <c r="F5576" s="1" t="str">
        <f>IFERROR(__xludf.DUMMYFUNCTION("CONCATENATE(GOOGLETRANSLATE(C5576, ""en"", ""ja""))"),"Brita Hub インスタント強力カウンタートップろ過 87341")</f>
        <v>Brita Hub インスタント強力カウンタートップろ過 87341</v>
      </c>
    </row>
    <row r="5577" ht="15.75" customHeight="1">
      <c r="A5577" s="1">
        <v>7387.0</v>
      </c>
      <c r="B5577" s="1" t="s">
        <v>15</v>
      </c>
      <c r="C5577" s="1" t="s">
        <v>4662</v>
      </c>
      <c r="D5577" s="1" t="str">
        <f>IFERROR(__xludf.DUMMYFUNCTION("CONCATENATE(GOOGLETRANSLATE(C5577, ""en"", ""zh-cn""))"),"Brita On Tap 水龙头滤水系统")</f>
        <v>Brita On Tap 水龙头滤水系统</v>
      </c>
      <c r="E5577" s="1" t="str">
        <f>IFERROR(__xludf.DUMMYFUNCTION("CONCATENATE(GOOGLETRANSLATE(C5577, ""en"", ""ko""))"),"Brita On Tap 수전 정수 필터 시스템")</f>
        <v>Brita On Tap 수전 정수 필터 시스템</v>
      </c>
      <c r="F5577" s="1" t="str">
        <f>IFERROR(__xludf.DUMMYFUNCTION("CONCATENATE(GOOGLETRANSLATE(C5577, ""en"", ""ja""))"),"Brita オンタップ蛇口水フィルターシステム")</f>
        <v>Brita オンタップ蛇口水フィルターシステム</v>
      </c>
    </row>
    <row r="5578" ht="15.75" customHeight="1">
      <c r="A5578" s="1">
        <v>7406.0</v>
      </c>
      <c r="B5578" s="1" t="s">
        <v>15</v>
      </c>
      <c r="C5578" s="1" t="s">
        <v>4663</v>
      </c>
      <c r="D5578" s="1" t="str">
        <f>IFERROR(__xludf.DUMMYFUNCTION("CONCATENATE(GOOGLETRANSLATE(C5578, ""en"", ""zh-cn""))"),"Brita 10 杯滤水壶")</f>
        <v>Brita 10 杯滤水壶</v>
      </c>
      <c r="E5578" s="1" t="str">
        <f>IFERROR(__xludf.DUMMYFUNCTION("CONCATENATE(GOOGLETRANSLATE(C5578, ""en"", ""ko""))"),"브리타 10컵 정수 필터 피처")</f>
        <v>브리타 10컵 정수 필터 피처</v>
      </c>
      <c r="F5578" s="1" t="str">
        <f>IFERROR(__xludf.DUMMYFUNCTION("CONCATENATE(GOOGLETRANSLATE(C5578, ""en"", ""ja""))"),"Brita 10カップ浄水フィルターピッチャー")</f>
        <v>Brita 10カップ浄水フィルターピッチャー</v>
      </c>
    </row>
    <row r="5579" ht="15.75" customHeight="1">
      <c r="A5579" s="1">
        <v>7410.0</v>
      </c>
      <c r="B5579" s="1" t="s">
        <v>15</v>
      </c>
      <c r="C5579" s="1" t="s">
        <v>4664</v>
      </c>
      <c r="D5579" s="1" t="str">
        <f>IFERROR(__xludf.DUMMYFUNCTION("CONCATENATE(GOOGLETRANSLATE(C5579, ""en"", ""zh-cn""))"),"Brita 35618 水龙头过滤系统")</f>
        <v>Brita 35618 水龙头过滤系统</v>
      </c>
      <c r="E5579" s="1" t="str">
        <f>IFERROR(__xludf.DUMMYFUNCTION("CONCATENATE(GOOGLETRANSLATE(C5579, ""en"", ""ko""))"),"브리타 35618 수전 필터 시스템")</f>
        <v>브리타 35618 수전 필터 시스템</v>
      </c>
      <c r="F5579" s="1" t="str">
        <f>IFERROR(__xludf.DUMMYFUNCTION("CONCATENATE(GOOGLETRANSLATE(C5579, ""en"", ""ja""))"),"Brita 35618 蛇口フィルターシステム")</f>
        <v>Brita 35618 蛇口フィルターシステム</v>
      </c>
    </row>
    <row r="5580" ht="15.75" customHeight="1">
      <c r="A5580" s="1">
        <v>7433.0</v>
      </c>
      <c r="B5580" s="1" t="s">
        <v>15</v>
      </c>
      <c r="C5580" s="1" t="s">
        <v>4665</v>
      </c>
      <c r="D5580" s="1" t="str">
        <f>IFERROR(__xludf.DUMMYFUNCTION("CONCATENATE(GOOGLETRANSLATE(C5580, ""en"", ""zh-cn""))"),"替换罐过滤器 PUR")</f>
        <v>替换罐过滤器 PUR</v>
      </c>
      <c r="E5580" s="1" t="str">
        <f>IFERROR(__xludf.DUMMYFUNCTION("CONCATENATE(GOOGLETRANSLATE(C5580, ""en"", ""ko""))"),"교체 투수 필터 PUR")</f>
        <v>교체 투수 필터 PUR</v>
      </c>
      <c r="F5580" s="1" t="str">
        <f>IFERROR(__xludf.DUMMYFUNCTION("CONCATENATE(GOOGLETRANSLATE(C5580, ""en"", ""ja""))"),"交換用ピッチャーフィルター PUR")</f>
        <v>交換用ピッチャーフィルター PUR</v>
      </c>
    </row>
    <row r="5581" ht="15.75" customHeight="1">
      <c r="A5581" s="1">
        <v>7438.0</v>
      </c>
      <c r="B5581" s="1" t="s">
        <v>15</v>
      </c>
      <c r="C5581" s="1" t="s">
        <v>4666</v>
      </c>
      <c r="D5581" s="1" t="str">
        <f>IFERROR(__xludf.DUMMYFUNCTION("CONCATENATE(GOOGLETRANSLATE(C5581, ""en"", ""zh-cn""))"),"PUR Plus 30 杯分配器过滤系统")</f>
        <v>PUR Plus 30 杯分配器过滤系统</v>
      </c>
      <c r="E5581" s="1" t="str">
        <f>IFERROR(__xludf.DUMMYFUNCTION("CONCATENATE(GOOGLETRANSLATE(C5581, ""en"", ""ko""))"),"PUR Plus 30컵 디스펜서 여과 시스템")</f>
        <v>PUR Plus 30컵 디스펜서 여과 시스템</v>
      </c>
      <c r="F5581" s="1" t="str">
        <f>IFERROR(__xludf.DUMMYFUNCTION("CONCATENATE(GOOGLETRANSLATE(C5581, ""en"", ""ja""))"),"PUR Plus 30 カップ ディスペンサー濾過システム")</f>
        <v>PUR Plus 30 カップ ディスペンサー濾過システム</v>
      </c>
    </row>
    <row r="5582" ht="15.75" customHeight="1">
      <c r="A5582" s="1">
        <v>7467.0</v>
      </c>
      <c r="B5582" s="1" t="s">
        <v>15</v>
      </c>
      <c r="C5582" s="1" t="s">
        <v>4667</v>
      </c>
      <c r="D5582" s="1" t="str">
        <f>IFERROR(__xludf.DUMMYFUNCTION("CONCATENATE(GOOGLETRANSLATE(C5582, ""en"", ""zh-cn""))"),"Equate 男士毛发再生治疗")</f>
        <v>Equate 男士毛发再生治疗</v>
      </c>
      <c r="E5582" s="1" t="str">
        <f>IFERROR(__xludf.DUMMYFUNCTION("CONCATENATE(GOOGLETRANSLATE(C5582, ""en"", ""ko""))"),"남성 모발 재성장 치료 Equate")</f>
        <v>남성 모발 재성장 치료 Equate</v>
      </c>
      <c r="F5582" s="1" t="str">
        <f>IFERROR(__xludf.DUMMYFUNCTION("CONCATENATE(GOOGLETRANSLATE(C5582, ""en"", ""ja""))"),"エクエイト メンズ 育毛トリートメント")</f>
        <v>エクエイト メンズ 育毛トリートメント</v>
      </c>
    </row>
    <row r="5583" ht="15.75" customHeight="1">
      <c r="A5583" s="1">
        <v>7470.0</v>
      </c>
      <c r="B5583" s="1" t="s">
        <v>15</v>
      </c>
      <c r="C5583" s="1" t="s">
        <v>4668</v>
      </c>
      <c r="D5583" s="1" t="str">
        <f>IFERROR(__xludf.DUMMYFUNCTION("CONCATENATE(GOOGLETRANSLATE(C5583, ""en"", ""zh-cn""))"),"Equate 速效乳制品消化膳食补充剂")</f>
        <v>Equate 速效乳制品消化膳食补充剂</v>
      </c>
      <c r="E5583" s="1" t="str">
        <f>IFERROR(__xludf.DUMMYFUNCTION("CONCATENATE(GOOGLETRANSLATE(C5583, ""en"", ""ko""))"),"속효성 유제품 소화 식이 보충제를 동일시하세요")</f>
        <v>속효성 유제품 소화 식이 보충제를 동일시하세요</v>
      </c>
      <c r="F5583" s="1" t="str">
        <f>IFERROR(__xludf.DUMMYFUNCTION("CONCATENATE(GOOGLETRANSLATE(C5583, ""en"", ""ja""))"),"即効性のある乳製品消化栄養補助食品と同等")</f>
        <v>即効性のある乳製品消化栄養補助食品と同等</v>
      </c>
    </row>
    <row r="5584" ht="15.75" customHeight="1">
      <c r="A5584" s="1">
        <v>7478.0</v>
      </c>
      <c r="B5584" s="1" t="s">
        <v>15</v>
      </c>
      <c r="C5584" s="1" t="s">
        <v>4669</v>
      </c>
      <c r="D5584" s="1" t="str">
        <f>IFERROR(__xludf.DUMMYFUNCTION("CONCATENATE(GOOGLETRANSLATE(C5584, ""en"", ""zh-cn""))"),"3 包最大强度 Vagicaine 止痒霜，1 盎司，By Equate（3 包）")</f>
        <v>3 包最大强度 Vagicaine 止痒霜，1 盎司，By Equate（3 包）</v>
      </c>
      <c r="E5584" s="1" t="str">
        <f>IFERROR(__xludf.DUMMYFUNCTION("CONCATENATE(GOOGLETRANSLATE(C5584, ""en"", ""ko""))"),"최대 강도 질케인 가려움증 크림 3팩, 1온스, By Equate(3팩)")</f>
        <v>최대 강도 질케인 가려움증 크림 3팩, 1온스, By Equate(3팩)</v>
      </c>
      <c r="F5584" s="1" t="str">
        <f>IFERROR(__xludf.DUMMYFUNCTION("CONCATENATE(GOOGLETRANSLATE(C5584, ""en"", ""ja""))"),"マキシマム ストレングス ヴァジカイン かゆみ止めクリーム 3 パック、1 オンス、Equate 製 (3 パック)")</f>
        <v>マキシマム ストレングス ヴァジカイン かゆみ止めクリーム 3 パック、1 オンス、Equate 製 (3 パック)</v>
      </c>
    </row>
    <row r="5585" ht="15.75" customHeight="1">
      <c r="A5585" s="1">
        <v>7481.0</v>
      </c>
      <c r="B5585" s="1" t="s">
        <v>15</v>
      </c>
      <c r="C5585" s="1" t="s">
        <v>4670</v>
      </c>
      <c r="D5585" s="1" t="str">
        <f>IFERROR(__xludf.DUMMYFUNCTION("CONCATENATE(GOOGLETRANSLATE(C5585, ""en"", ""zh-cn""))"),"Equate 超强冷热止痛霜，3 盎司")</f>
        <v>Equate 超强冷热止痛霜，3 盎司</v>
      </c>
      <c r="E5585" s="1" t="str">
        <f>IFERROR(__xludf.DUMMYFUNCTION("CONCATENATE(GOOGLETRANSLATE(C5585, ""en"", ""ko""))"),"Equate Extra Strength Cool &amp; Heat 통증 완화 크림, 3온스")</f>
        <v>Equate Extra Strength Cool &amp; Heat 통증 완화 크림, 3온스</v>
      </c>
      <c r="F5585" s="1" t="str">
        <f>IFERROR(__xludf.DUMMYFUNCTION("CONCATENATE(GOOGLETRANSLATE(C5585, ""en"", ""ja""))"),"Equate エクストラストレングス クール＆ヒート鎮痛クリーム、3オンス")</f>
        <v>Equate エクストラストレングス クール＆ヒート鎮痛クリーム、3オンス</v>
      </c>
    </row>
    <row r="5586" ht="15.75" customHeight="1">
      <c r="A5586" s="1">
        <v>7483.0</v>
      </c>
      <c r="B5586" s="1" t="s">
        <v>15</v>
      </c>
      <c r="C5586" s="1" t="s">
        <v>4671</v>
      </c>
      <c r="D5586" s="1" t="str">
        <f>IFERROR(__xludf.DUMMYFUNCTION("CONCATENATE(GOOGLETRANSLATE(C5586, ""en"", ""zh-cn""))"),"等同最大强度抗真菌液体")</f>
        <v>等同最大强度抗真菌液体</v>
      </c>
      <c r="E5586" s="1" t="str">
        <f>IFERROR(__xludf.DUMMYFUNCTION("CONCATENATE(GOOGLETRANSLATE(C5586, ""en"", ""ko""))"),"최대 강도 항진균액 동일")</f>
        <v>최대 강도 항진균액 동일</v>
      </c>
      <c r="F5586" s="1" t="str">
        <f>IFERROR(__xludf.DUMMYFUNCTION("CONCATENATE(GOOGLETRANSLATE(C5586, ""en"", ""ja""))"),"最大強度の抗真菌液と同等")</f>
        <v>最大強度の抗真菌液と同等</v>
      </c>
    </row>
    <row r="5587" ht="15.75" customHeight="1">
      <c r="A5587" s="1">
        <v>7488.0</v>
      </c>
      <c r="B5587" s="1" t="s">
        <v>15</v>
      </c>
      <c r="C5587" s="1" t="s">
        <v>4672</v>
      </c>
      <c r="D5587" s="1" t="str">
        <f>IFERROR(__xludf.DUMMYFUNCTION("CONCATENATE(GOOGLETRANSLATE(C5587, ""en"", ""zh-cn""))"),"Equate 深层清洁护肤霜 2 件装")</f>
        <v>Equate 深层清洁护肤霜 2 件装</v>
      </c>
      <c r="E5587" s="1" t="str">
        <f>IFERROR(__xludf.DUMMYFUNCTION("CONCATENATE(GOOGLETRANSLATE(C5587, ""en"", ""ko""))"),"이퀘이트 딥 클렌징 스킨 크림 2팩")</f>
        <v>이퀘이트 딥 클렌징 스킨 크림 2팩</v>
      </c>
      <c r="F5587" s="1" t="str">
        <f>IFERROR(__xludf.DUMMYFUNCTION("CONCATENATE(GOOGLETRANSLATE(C5587, ""en"", ""ja""))"),"エクアテ ディープ クレンジング スキン クリーム 2 パック")</f>
        <v>エクアテ ディープ クレンジング スキン クリーム 2 パック</v>
      </c>
    </row>
    <row r="5588" ht="15.75" customHeight="1">
      <c r="A5588" s="1">
        <v>7493.0</v>
      </c>
      <c r="B5588" s="1" t="s">
        <v>15</v>
      </c>
      <c r="C5588" s="1" t="s">
        <v>4673</v>
      </c>
      <c r="D5588" s="1" t="str">
        <f>IFERROR(__xludf.DUMMYFUNCTION("CONCATENATE(GOOGLETRANSLATE(C5588, ""en"", ""zh-cn""))"),"Equate Vision Formula 50+ 软胶囊")</f>
        <v>Equate Vision Formula 50+ 软胶囊</v>
      </c>
      <c r="E5588" s="1" t="str">
        <f>IFERROR(__xludf.DUMMYFUNCTION("CONCATENATE(GOOGLETRANSLATE(C5588, ""en"", ""ko""))"),"Equate Vision Formula 50+ 소프트젤")</f>
        <v>Equate Vision Formula 50+ 소프트젤</v>
      </c>
      <c r="F5588" s="1" t="str">
        <f>IFERROR(__xludf.DUMMYFUNCTION("CONCATENATE(GOOGLETRANSLATE(C5588, ""en"", ""ja""))"),"エクエイト ビジョン フォーミュラ 50+ ソフトジェル")</f>
        <v>エクエイト ビジョン フォーミュラ 50+ ソフトジェル</v>
      </c>
    </row>
    <row r="5589" ht="15.75" customHeight="1">
      <c r="A5589" s="1">
        <v>7508.0</v>
      </c>
      <c r="B5589" s="1" t="s">
        <v>15</v>
      </c>
      <c r="C5589" s="1" t="s">
        <v>4674</v>
      </c>
      <c r="D5589" s="1" t="str">
        <f>IFERROR(__xludf.DUMMYFUNCTION("CONCATENATE(GOOGLETRANSLATE(C5589, ""en"", ""zh-cn""))"),"Hi-pro-pac 强效生发护理")</f>
        <v>Hi-pro-pac 强效生发护理</v>
      </c>
      <c r="E5589" s="1" t="str">
        <f>IFERROR(__xludf.DUMMYFUNCTION("CONCATENATE(GOOGLETRANSLATE(C5589, ""en"", ""ko""))"),"하이프로팩 ​​스트렝스 강화 헤어 부스터 트리트먼트")</f>
        <v>하이프로팩 ​​스트렝스 강화 헤어 부스터 트리트먼트</v>
      </c>
      <c r="F5589" s="1" t="str">
        <f>IFERROR(__xludf.DUMMYFUNCTION("CONCATENATE(GOOGLETRANSLATE(C5589, ""en"", ""ja""))"),"ハイプロパック ストレングス エンハンシング ヘアブースター トリートメント")</f>
        <v>ハイプロパック ストレングス エンハンシング ヘアブースター トリートメント</v>
      </c>
    </row>
    <row r="5590" ht="15.75" customHeight="1">
      <c r="A5590" s="1">
        <v>7510.0</v>
      </c>
      <c r="B5590" s="1" t="s">
        <v>15</v>
      </c>
      <c r="C5590" s="1" t="s">
        <v>4675</v>
      </c>
      <c r="D5590" s="1" t="str">
        <f>IFERROR(__xludf.DUMMYFUNCTION("CONCATENATE(GOOGLETRANSLATE(C5590, ""en"", ""zh-cn""))"),"Hi-Pro-Pac 极度受损头发强效蛋白质护理")</f>
        <v>Hi-Pro-Pac 极度受损头发强效蛋白质护理</v>
      </c>
      <c r="E5590" s="1" t="str">
        <f>IFERROR(__xludf.DUMMYFUNCTION("CONCATENATE(GOOGLETRANSLATE(C5590, ""en"", ""ko""))"),"하이프로팩 ​​극손상 모발 인텐스 프로틴 트리트먼트")</f>
        <v>하이프로팩 ​​극손상 모발 인텐스 프로틴 트리트먼트</v>
      </c>
      <c r="F5590" s="1" t="str">
        <f>IFERROR(__xludf.DUMMYFUNCTION("CONCATENATE(GOOGLETRANSLATE(C5590, ""en"", ""ja""))"),"Hi-Pro-Pac 極度ダメージヘア インテンス プロテイン トリートメント")</f>
        <v>Hi-Pro-Pac 極度ダメージヘア インテンス プロテイン トリートメント</v>
      </c>
    </row>
    <row r="5591" ht="15.75" customHeight="1">
      <c r="A5591" s="1">
        <v>7516.0</v>
      </c>
      <c r="B5591" s="1" t="s">
        <v>15</v>
      </c>
      <c r="C5591" s="1" t="s">
        <v>4676</v>
      </c>
      <c r="D5591" s="1" t="str">
        <f>IFERROR(__xludf.DUMMYFUNCTION("CONCATENATE(GOOGLETRANSLATE(C5591, ""en"", ""zh-cn""))"),"Hi Pro Pac 乳木果油保湿面膜")</f>
        <v>Hi Pro Pac 乳木果油保湿面膜</v>
      </c>
      <c r="E5591" s="1" t="str">
        <f>IFERROR(__xludf.DUMMYFUNCTION("CONCATENATE(GOOGLETRANSLATE(C5591, ""en"", ""ko""))"),"하이프로팩 ​​시어버터 모이스처 마스크")</f>
        <v>하이프로팩 ​​시어버터 모이스처 마스크</v>
      </c>
      <c r="F5591" s="1" t="str">
        <f>IFERROR(__xludf.DUMMYFUNCTION("CONCATENATE(GOOGLETRANSLATE(C5591, ""en"", ""ja""))"),"ハイプロパック シアバターモイスチャーマスク")</f>
        <v>ハイプロパック シアバターモイスチャーマスク</v>
      </c>
    </row>
    <row r="5592" ht="15.75" customHeight="1">
      <c r="A5592" s="1">
        <v>7523.0</v>
      </c>
      <c r="B5592" s="1" t="s">
        <v>15</v>
      </c>
      <c r="C5592" s="1" t="s">
        <v>4677</v>
      </c>
      <c r="D5592" s="1" t="str">
        <f>IFERROR(__xludf.DUMMYFUNCTION("CONCATENATE(GOOGLETRANSLATE(C5592, ""en"", ""zh-cn""))"),"Hi-pro-pac 强效蛋白质护理，保护彩色和高亮头发")</f>
        <v>Hi-pro-pac 强效蛋白质护理，保护彩色和高亮头发</v>
      </c>
      <c r="E5592" s="1" t="str">
        <f>IFERROR(__xludf.DUMMYFUNCTION("CONCATENATE(GOOGLETRANSLATE(C5592, ""en"", ""ko""))"),"염색되고 하이라이트된 모발을 보호하는 하이프로팩 ​​인텐스 프로틴 트리트먼트")</f>
        <v>염색되고 하이라이트된 모발을 보호하는 하이프로팩 ​​인텐스 프로틴 트리트먼트</v>
      </c>
      <c r="F5592" s="1" t="str">
        <f>IFERROR(__xludf.DUMMYFUNCTION("CONCATENATE(GOOGLETRANSLATE(C5592, ""en"", ""ja""))"),"カラーリングおよびハイライトされた髪の防御のための Hi-pro-pac インテンス プロテイン トリートメント")</f>
        <v>カラーリングおよびハイライトされた髪の防御のための Hi-pro-pac インテンス プロテイン トリートメント</v>
      </c>
    </row>
    <row r="5593" ht="15.75" customHeight="1">
      <c r="A5593" s="1">
        <v>7527.0</v>
      </c>
      <c r="B5593" s="1" t="s">
        <v>15</v>
      </c>
      <c r="C5593" s="1" t="s">
        <v>4678</v>
      </c>
      <c r="D5593" s="1" t="str">
        <f>IFERROR(__xludf.DUMMYFUNCTION("CONCATENATE(GOOGLETRANSLATE(C5593, ""en"", ""zh-cn""))"),"Hi Pro Pac 头发抛光护理")</f>
        <v>Hi Pro Pac 头发抛光护理</v>
      </c>
      <c r="E5593" s="1" t="str">
        <f>IFERROR(__xludf.DUMMYFUNCTION("CONCATENATE(GOOGLETRANSLATE(C5593, ""en"", ""ko""))"),"하이프로팩 ​​헤어 폴리싱 트리트먼트")</f>
        <v>하이프로팩 ​​헤어 폴리싱 트리트먼트</v>
      </c>
      <c r="F5593" s="1" t="str">
        <f>IFERROR(__xludf.DUMMYFUNCTION("CONCATENATE(GOOGLETRANSLATE(C5593, ""en"", ""ja""))"),"ハイプロパック ヘアポリッシュトリートメント")</f>
        <v>ハイプロパック ヘアポリッシュトリートメント</v>
      </c>
    </row>
    <row r="5594" ht="15.75" customHeight="1">
      <c r="A5594" s="1">
        <v>7538.0</v>
      </c>
      <c r="B5594" s="1" t="s">
        <v>15</v>
      </c>
      <c r="C5594" s="1" t="s">
        <v>4679</v>
      </c>
      <c r="D5594" s="1" t="str">
        <f>IFERROR(__xludf.DUMMYFUNCTION("CONCATENATE(GOOGLETRANSLATE(C5594, ""en"", ""zh-cn""))"),"Hi-pro Packette 极度蛋白质处理")</f>
        <v>Hi-pro Packette 极度蛋白质处理</v>
      </c>
      <c r="E5594" s="1" t="str">
        <f>IFERROR(__xludf.DUMMYFUNCTION("CONCATENATE(GOOGLETRANSLATE(C5594, ""en"", ""ko""))"),"하이프로패킷 익스트림 프로틴 트리트먼트")</f>
        <v>하이프로패킷 익스트림 프로틴 트리트먼트</v>
      </c>
      <c r="F5594" s="1" t="str">
        <f>IFERROR(__xludf.DUMMYFUNCTION("CONCATENATE(GOOGLETRANSLATE(C5594, ""en"", ""ja""))"),"ハイプロパケットエクストリームプロテイントリートメント")</f>
        <v>ハイプロパケットエクストリームプロテイントリートメント</v>
      </c>
    </row>
    <row r="5595" ht="15.75" customHeight="1">
      <c r="A5595" s="1">
        <v>7541.0</v>
      </c>
      <c r="B5595" s="1" t="s">
        <v>15</v>
      </c>
      <c r="C5595" s="1" t="s">
        <v>4680</v>
      </c>
      <c r="D5595" s="1" t="str">
        <f>IFERROR(__xludf.DUMMYFUNCTION("CONCATENATE(GOOGLETRANSLATE(C5595, ""en"", ""zh-cn""))"),"Hi Pro Pac 摩洛哥 Mend 摩洛哥坚果油强效沙龙护理 8 包")</f>
        <v>Hi Pro Pac 摩洛哥 Mend 摩洛哥坚果油强效沙龙护理 8 包</v>
      </c>
      <c r="E5595" s="1" t="str">
        <f>IFERROR(__xludf.DUMMYFUNCTION("CONCATENATE(GOOGLETRANSLATE(C5595, ""en"", ""ko""))"),"하이프로팩 ​​모로칸 멘드 아르간 오일 인텐스 살롱 트리트먼트 8팩")</f>
        <v>하이프로팩 ​​모로칸 멘드 아르간 오일 인텐스 살롱 트리트먼트 8팩</v>
      </c>
      <c r="F5595" s="1" t="str">
        <f>IFERROR(__xludf.DUMMYFUNCTION("CONCATENATE(GOOGLETRANSLATE(C5595, ""en"", ""ja""))"),"Hi Pro Pac モロッカン メンド アルガン オイル インテンス サロン トリートメント 8 パック")</f>
        <v>Hi Pro Pac モロッカン メンド アルガン オイル インテンス サロン トリートメント 8 パック</v>
      </c>
    </row>
    <row r="5596" ht="15.75" customHeight="1">
      <c r="A5596" s="1">
        <v>7554.0</v>
      </c>
      <c r="B5596" s="1" t="s">
        <v>15</v>
      </c>
      <c r="C5596" s="1" t="s">
        <v>2978</v>
      </c>
      <c r="D5596" s="1" t="str">
        <f>IFERROR(__xludf.DUMMYFUNCTION("CONCATENATE(GOOGLETRANSLATE(C5596, ""en"", ""zh-cn""))"),"露得清 Hydro Boost 凝胶霜超干性皮肤")</f>
        <v>露得清 Hydro Boost 凝胶霜超干性皮肤</v>
      </c>
      <c r="E5596" s="1" t="str">
        <f>IFERROR(__xludf.DUMMYFUNCTION("CONCATENATE(GOOGLETRANSLATE(C5596, ""en"", ""ko""))"),"뉴트로지나 하이드로 부스트 젤-크림 엑스트라-드라이 스킨")</f>
        <v>뉴트로지나 하이드로 부스트 젤-크림 엑스트라-드라이 스킨</v>
      </c>
      <c r="F5596" s="1" t="str">
        <f>IFERROR(__xludf.DUMMYFUNCTION("CONCATENATE(GOOGLETRANSLATE(C5596, ""en"", ""ja""))"),"ニュートロジーナ ハイドロ ブースト ジェルクリーム エクストラドライスキン")</f>
        <v>ニュートロジーナ ハイドロ ブースト ジェルクリーム エクストラドライスキン</v>
      </c>
    </row>
    <row r="5597" ht="15.75" customHeight="1">
      <c r="A5597" s="1">
        <v>7556.0</v>
      </c>
      <c r="B5597" s="1" t="s">
        <v>15</v>
      </c>
      <c r="C5597" s="1" t="s">
        <v>2532</v>
      </c>
      <c r="D5597" s="1" t="str">
        <f>IFERROR(__xludf.DUMMYFUNCTION("CONCATENATE(GOOGLETRANSLATE(C5597, ""en"", ""zh-cn""))"),"露得清防晒药用舒缓凝胶")</f>
        <v>露得清防晒药用舒缓凝胶</v>
      </c>
      <c r="E5597" s="1" t="str">
        <f>IFERROR(__xludf.DUMMYFUNCTION("CONCATENATE(GOOGLETRANSLATE(C5597, ""en"", ""ko""))"),"뉴트로지나 썬 레스큐 약용 릴리프 젤")</f>
        <v>뉴트로지나 썬 레스큐 약용 릴리프 젤</v>
      </c>
      <c r="F5597" s="1" t="str">
        <f>IFERROR(__xludf.DUMMYFUNCTION("CONCATENATE(GOOGLETRANSLATE(C5597, ""en"", ""ja""))"),"ニュートロジーナ サン レスキュー 薬用リリーフジェル")</f>
        <v>ニュートロジーナ サン レスキュー 薬用リリーフジェル</v>
      </c>
    </row>
    <row r="5598" ht="15.75" customHeight="1">
      <c r="A5598" s="1">
        <v>7557.0</v>
      </c>
      <c r="B5598" s="1" t="s">
        <v>15</v>
      </c>
      <c r="C5598" s="1" t="s">
        <v>2535</v>
      </c>
      <c r="D5598" s="1" t="str">
        <f>IFERROR(__xludf.DUMMYFUNCTION("CONCATENATE(GOOGLETRANSLATE(C5598, ""en"", ""zh-cn""))"),"露得清快速皱纹修复抗衰老视黄醇霜")</f>
        <v>露得清快速皱纹修复抗衰老视黄醇霜</v>
      </c>
      <c r="E5598" s="1" t="str">
        <f>IFERROR(__xludf.DUMMYFUNCTION("CONCATENATE(GOOGLETRANSLATE(C5598, ""en"", ""ko""))"),"뉴트로지나 래피드 링클 리페어 안티에이징 레티놀 크림")</f>
        <v>뉴트로지나 래피드 링클 리페어 안티에이징 레티놀 크림</v>
      </c>
      <c r="F5598" s="1" t="str">
        <f>IFERROR(__xludf.DUMMYFUNCTION("CONCATENATE(GOOGLETRANSLATE(C5598, ""en"", ""ja""))"),"ニュートロジーナ ラピッド リンクル リペア アンチエイジング レチノール クリーム")</f>
        <v>ニュートロジーナ ラピッド リンクル リペア アンチエイジング レチノール クリーム</v>
      </c>
    </row>
    <row r="5599" ht="15.75" customHeight="1">
      <c r="A5599" s="1">
        <v>7562.0</v>
      </c>
      <c r="B5599" s="1" t="s">
        <v>15</v>
      </c>
      <c r="C5599" s="1" t="s">
        <v>4681</v>
      </c>
      <c r="D5599" s="1" t="str">
        <f>IFERROR(__xludf.DUMMYFUNCTION("CONCATENATE(GOOGLETRANSLATE(C5599, ""en"", ""zh-cn""))"),"Neutrogena Clear &amp; DEFEND+ 每日精华液")</f>
        <v>Neutrogena Clear &amp; DEFEND+ 每日精华液</v>
      </c>
      <c r="E5599" s="1" t="str">
        <f>IFERROR(__xludf.DUMMYFUNCTION("CONCATENATE(GOOGLETRANSLATE(C5599, ""en"", ""ko""))"),"뉴트로지나 클리어 &amp; 디펜스+ 데일리 세럼")</f>
        <v>뉴트로지나 클리어 &amp; 디펜스+ 데일리 세럼</v>
      </c>
      <c r="F5599" s="1" t="str">
        <f>IFERROR(__xludf.DUMMYFUNCTION("CONCATENATE(GOOGLETRANSLATE(C5599, ""en"", ""ja""))"),"ニュートロジーナ クリア &amp; DEFEND+ デイリー セラム")</f>
        <v>ニュートロジーナ クリア &amp; DEFEND+ デイリー セラム</v>
      </c>
    </row>
    <row r="5600" ht="15.75" customHeight="1">
      <c r="A5600" s="1">
        <v>7590.0</v>
      </c>
      <c r="B5600" s="1" t="s">
        <v>15</v>
      </c>
      <c r="C5600" s="1" t="s">
        <v>3855</v>
      </c>
      <c r="D5600" s="1" t="str">
        <f>IFERROR(__xludf.DUMMYFUNCTION("CONCATENATE(GOOGLETRANSLATE(C5600, ""en"", ""zh-cn""))"),"Neutrogena 舒适润唇膏深层保湿 300ml")</f>
        <v>Neutrogena 舒适润唇膏深层保湿 300ml</v>
      </c>
      <c r="E5600" s="1" t="str">
        <f>IFERROR(__xludf.DUMMYFUNCTION("CONCATENATE(GOOGLETRANSLATE(C5600, ""en"", ""ko""))"),"뉴트로지나 컴포트 밤 딥 하이드레이션 300ml")</f>
        <v>뉴트로지나 컴포트 밤 딥 하이드레이션 300ml</v>
      </c>
      <c r="F5600" s="1" t="str">
        <f>IFERROR(__xludf.DUMMYFUNCTION("CONCATENATE(GOOGLETRANSLATE(C5600, ""en"", ""ja""))"),"ニュートロジーナ コンフォート バーム ディープ ハイドレーション 300ml")</f>
        <v>ニュートロジーナ コンフォート バーム ディープ ハイドレーション 300ml</v>
      </c>
    </row>
    <row r="5601" ht="15.75" customHeight="1">
      <c r="A5601" s="1">
        <v>7603.0</v>
      </c>
      <c r="B5601" s="1" t="s">
        <v>15</v>
      </c>
      <c r="C5601" s="1" t="s">
        <v>2977</v>
      </c>
      <c r="D5601" s="1" t="str">
        <f>IFERROR(__xludf.DUMMYFUNCTION("CONCATENATE(GOOGLETRANSLATE(C5601, ""en"", ""zh-cn""))"),"露得清亮采凝胶霜，15g")</f>
        <v>露得清亮采凝胶霜，15g</v>
      </c>
      <c r="E5601" s="1" t="str">
        <f>IFERROR(__xludf.DUMMYFUNCTION("CONCATENATE(GOOGLETRANSLATE(C5601, ""en"", ""ko""))"),"뉴트로지나 브라이트 부스트 젤 크림, 15g")</f>
        <v>뉴트로지나 브라이트 부스트 젤 크림, 15g</v>
      </c>
      <c r="F5601" s="1" t="str">
        <f>IFERROR(__xludf.DUMMYFUNCTION("CONCATENATE(GOOGLETRANSLATE(C5601, ""en"", ""ja""))"),"ニュートロジーナ ブライト ブースト ジェル クリーム、15g")</f>
        <v>ニュートロジーナ ブライト ブースト ジェル クリーム、15g</v>
      </c>
    </row>
    <row r="5602" ht="15.75" customHeight="1">
      <c r="A5602" s="1">
        <v>7610.0</v>
      </c>
      <c r="B5602" s="1" t="s">
        <v>15</v>
      </c>
      <c r="C5602" s="1" t="s">
        <v>2529</v>
      </c>
      <c r="D5602" s="1" t="str">
        <f>IFERROR(__xludf.DUMMYFUNCTION("CONCATENATE(GOOGLETRANSLATE(C5602, ""en"", ""zh-cn""))"),"露得清 Bright Boost 亮肤精华液")</f>
        <v>露得清 Bright Boost 亮肤精华液</v>
      </c>
      <c r="E5602" s="1" t="str">
        <f>IFERROR(__xludf.DUMMYFUNCTION("CONCATENATE(GOOGLETRANSLATE(C5602, ""en"", ""ko""))"),"뉴트로지나 브라이트 부스트 일루미네이팅 세럼")</f>
        <v>뉴트로지나 브라이트 부스트 일루미네이팅 세럼</v>
      </c>
      <c r="F5602" s="1" t="str">
        <f>IFERROR(__xludf.DUMMYFUNCTION("CONCATENATE(GOOGLETRANSLATE(C5602, ""en"", ""ja""))"),"ニュートロジーナ ブライト ブースト イルミネイティング セラム")</f>
        <v>ニュートロジーナ ブライト ブースト イルミネイティング セラム</v>
      </c>
    </row>
    <row r="5603" ht="15.75" customHeight="1">
      <c r="A5603" s="1">
        <v>7624.0</v>
      </c>
      <c r="B5603" s="1" t="s">
        <v>15</v>
      </c>
      <c r="C5603" s="1" t="s">
        <v>2974</v>
      </c>
      <c r="D5603" s="1" t="str">
        <f>IFERROR(__xludf.DUMMYFUNCTION("CONCATENATE(GOOGLETRANSLATE(C5603, ""en"", ""zh-cn""))"),"露得清阿​​达帕林凝胶痤疮治疗")</f>
        <v>露得清阿​​达帕林凝胶痤疮治疗</v>
      </c>
      <c r="E5603" s="1" t="str">
        <f>IFERROR(__xludf.DUMMYFUNCTION("CONCATENATE(GOOGLETRANSLATE(C5603, ""en"", ""ko""))"),"뉴트로지나 아다팔렌 젤 여드름 치료")</f>
        <v>뉴트로지나 아다팔렌 젤 여드름 치료</v>
      </c>
      <c r="F5603" s="1" t="str">
        <f>IFERROR(__xludf.DUMMYFUNCTION("CONCATENATE(GOOGLETRANSLATE(C5603, ""en"", ""ja""))"),"ニュートロジーナ アダパレン ジェル ニキビ治療薬")</f>
        <v>ニュートロジーナ アダパレン ジェル ニキビ治療薬</v>
      </c>
    </row>
    <row r="5604" ht="15.75" customHeight="1">
      <c r="A5604" s="1">
        <v>7629.0</v>
      </c>
      <c r="B5604" s="1" t="s">
        <v>15</v>
      </c>
      <c r="C5604" s="1" t="s">
        <v>2975</v>
      </c>
      <c r="D5604" s="1" t="str">
        <f>IFERROR(__xludf.DUMMYFUNCTION("CONCATENATE(GOOGLETRANSLATE(C5604, ""en"", ""zh-cn""))"),"露得清透明防御快速凝胶")</f>
        <v>露得清透明防御快速凝胶</v>
      </c>
      <c r="E5604" s="1" t="str">
        <f>IFERROR(__xludf.DUMMYFUNCTION("CONCATENATE(GOOGLETRANSLATE(C5604, ""en"", ""ko""))"),"뉴트로지나 클리어 앤 디펜드 래피드 젤")</f>
        <v>뉴트로지나 클리어 앤 디펜드 래피드 젤</v>
      </c>
      <c r="F5604" s="1" t="str">
        <f>IFERROR(__xludf.DUMMYFUNCTION("CONCATENATE(GOOGLETRANSLATE(C5604, ""en"", ""ja""))"),"ニュートロジーナ クリア＆ディフェンド ラピッドジェル")</f>
        <v>ニュートロジーナ クリア＆ディフェンド ラピッドジェル</v>
      </c>
    </row>
    <row r="5605" ht="15.75" customHeight="1">
      <c r="A5605" s="1">
        <v>7634.0</v>
      </c>
      <c r="B5605" s="1" t="s">
        <v>15</v>
      </c>
      <c r="C5605" s="1" t="s">
        <v>4269</v>
      </c>
      <c r="D5605" s="1" t="str">
        <f>IFERROR(__xludf.DUMMYFUNCTION("CONCATENATE(GOOGLETRANSLATE(C5605, ""en"", ""zh-cn""))"),"露得清现场痤疮治疗")</f>
        <v>露得清现场痤疮治疗</v>
      </c>
      <c r="E5605" s="1" t="str">
        <f>IFERROR(__xludf.DUMMYFUNCTION("CONCATENATE(GOOGLETRANSLATE(C5605, ""en"", ""ko""))"),"뉴트로지나 온 더 스팟 여드름 치료")</f>
        <v>뉴트로지나 온 더 스팟 여드름 치료</v>
      </c>
      <c r="F5605" s="1" t="str">
        <f>IFERROR(__xludf.DUMMYFUNCTION("CONCATENATE(GOOGLETRANSLATE(C5605, ""en"", ""ja""))"),"ニュートロジーナのオンザスポットニキビ治療")</f>
        <v>ニュートロジーナのオンザスポットニキビ治療</v>
      </c>
    </row>
    <row r="5606" ht="15.75" customHeight="1">
      <c r="A5606" s="1">
        <v>7639.0</v>
      </c>
      <c r="B5606" s="1" t="s">
        <v>15</v>
      </c>
      <c r="C5606" s="1" t="s">
        <v>4682</v>
      </c>
      <c r="D5606" s="1" t="str">
        <f>IFERROR(__xludf.DUMMYFUNCTION("CONCATENATE(GOOGLETRANSLATE(C5606, ""en"", ""zh-cn""))"),"Arm &amp; Hammer 全面护理狗牙科喷雾，6 液量盎司 |薄荷味狗狗牙科喷雾，轻松无刷清洁 |小苏打增强配方，可保持口气清新和控制牙垢")</f>
        <v>Arm &amp; Hammer 全面护理狗牙科喷雾，6 液量盎司 |薄荷味狗狗牙科喷雾，轻松无刷清洁 |小苏打增强配方，可保持口气清新和控制牙垢</v>
      </c>
      <c r="E5606" s="1" t="str">
        <f>IFERROR(__xludf.DUMMYFUNCTION("CONCATENATE(GOOGLETRANSLATE(C5606, ""en"", ""ko""))"),"암 앤 해머 컴플리트 케어 도그 덴탈 스프레이, 6 Fl Oz | 간편한 브러시리스 청소를 위한 민트 맛 강아지 치과용 스프레이 | 신선한 입 냄새와 치석 관리를 위한 베이킹 소다 강화 포뮬러")</f>
        <v>암 앤 해머 컴플리트 케어 도그 덴탈 스프레이, 6 Fl Oz | 간편한 브러시리스 청소를 위한 민트 맛 강아지 치과용 스프레이 | 신선한 입 냄새와 치석 관리를 위한 베이킹 소다 강화 포뮬러</v>
      </c>
      <c r="F5606" s="1" t="str">
        <f>IFERROR(__xludf.DUMMYFUNCTION("CONCATENATE(GOOGLETRANSLATE(C5606, ""en"", ""ja""))"),"アーム＆ハンマー コンプリートケア 犬用デンタルスプレー、6液量オンス |ブラシレスで簡単に掃除できるミント風味の犬用デンタルスプレー |爽やかな息と歯石コントロールのための重曹強化フォーミュラ")</f>
        <v>アーム＆ハンマー コンプリートケア 犬用デンタルスプレー、6液量オンス |ブラシレスで簡単に掃除できるミント風味の犬用デンタルスプレー |爽やかな息と歯石コントロールのための重曹強化フォーミュラ</v>
      </c>
    </row>
    <row r="5607" ht="15.75" customHeight="1">
      <c r="A5607" s="1">
        <v>7646.0</v>
      </c>
      <c r="B5607" s="1" t="s">
        <v>15</v>
      </c>
      <c r="C5607" s="1" t="s">
        <v>4683</v>
      </c>
      <c r="D5607" s="1" t="str">
        <f>IFERROR(__xludf.DUMMYFUNCTION("CONCATENATE(GOOGLETRANSLATE(C5607, ""en"", ""zh-cn""))"),"手臂和锤子垃圾铲垃圾袋 3 件补充装")</f>
        <v>手臂和锤子垃圾铲垃圾袋 3 件补充装</v>
      </c>
      <c r="E5607" s="1" t="str">
        <f>IFERROR(__xludf.DUMMYFUNCTION("CONCATENATE(GOOGLETRANSLATE(C5607, ""en"", ""ko""))"),"ARM &amp; HAMMER LITTER SCOOP 폐기물 봉투 3CT 리필")</f>
        <v>ARM &amp; HAMMER LITTER SCOOP 폐기물 봉투 3CT 리필</v>
      </c>
      <c r="F5607" s="1" t="str">
        <f>IFERROR(__xludf.DUMMYFUNCTION("CONCATENATE(GOOGLETRANSLATE(C5607, ""en"", ""ja""))"),"アーム＆ハンマー リッター スクープ ウェストバッグ 3CT リフィル")</f>
        <v>アーム＆ハンマー リッター スクープ ウェストバッグ 3CT リフィル</v>
      </c>
    </row>
    <row r="5608" ht="15.75" customHeight="1">
      <c r="A5608" s="1">
        <v>7651.0</v>
      </c>
      <c r="B5608" s="1" t="s">
        <v>15</v>
      </c>
      <c r="C5608" s="1" t="s">
        <v>4684</v>
      </c>
      <c r="D5608" s="1" t="str">
        <f>IFERROR(__xludf.DUMMYFUNCTION("CONCATENATE(GOOGLETRANSLATE(C5608, ""en"", ""zh-cn""))"),"ARM &amp; HAMMER Clump &amp; Seal 猫砂，清新香味 14 磅")</f>
        <v>ARM &amp; HAMMER Clump &amp; Seal 猫砂，清新香味 14 磅</v>
      </c>
      <c r="E5608" s="1" t="str">
        <f>IFERROR(__xludf.DUMMYFUNCTION("CONCATENATE(GOOGLETRANSLATE(C5608, ""en"", ""ko""))"),"ARM &amp; HAMMER 클럼프 앤 씰 고양이 모래, 신선한 향기 14lb")</f>
        <v>ARM &amp; HAMMER 클럼프 앤 씰 고양이 모래, 신선한 향기 14lb</v>
      </c>
      <c r="F5608" s="1" t="str">
        <f>IFERROR(__xludf.DUMMYFUNCTION("CONCATENATE(GOOGLETRANSLATE(C5608, ""en"", ""ja""))"),"ARM &amp; HAMMER クランプ &amp; シール猫砂、フレッシュな香り 14ポンド")</f>
        <v>ARM &amp; HAMMER クランプ &amp; シール猫砂、フレッシュな香り 14ポンド</v>
      </c>
    </row>
    <row r="5609" ht="15.75" customHeight="1">
      <c r="A5609" s="1">
        <v>7654.0</v>
      </c>
      <c r="B5609" s="1" t="s">
        <v>15</v>
      </c>
      <c r="C5609" s="1" t="s">
        <v>4685</v>
      </c>
      <c r="D5609" s="1" t="str">
        <f>IFERROR(__xludf.DUMMYFUNCTION("CONCATENATE(GOOGLETRANSLATE(C5609, ""en"", ""zh-cn""))"),"Arm &amp; Hammer 猫用无泪小猫洗发水天然猫洗发水，用于控制气味，含小苏打，20 液量盎司甜杏仁香味温和清洁小猫洗发水（1 件装）")</f>
        <v>Arm &amp; Hammer 猫用无泪小猫洗发水天然猫洗发水，用于控制气味，含小苏打，20 液量盎司甜杏仁香味温和清洁小猫洗发水（1 件装）</v>
      </c>
      <c r="E5609" s="1" t="str">
        <f>IFERROR(__xludf.DUMMYFUNCTION("CONCATENATE(GOOGLETRANSLATE(C5609, ""en"", ""ko""))"),"암 앤 해머 고양이용 티어리스 새끼 고양이 샴푸 베이킹 소다 함유 냄새 조절용 천연 고양이 샴푸, 20 Fl Oz 달콤한 아몬드 향의 순한 클렌징 새끼 고양이 샴푸(1팩)")</f>
        <v>암 앤 해머 고양이용 티어리스 새끼 고양이 샴푸 베이킹 소다 함유 냄새 조절용 천연 고양이 샴푸, 20 Fl Oz 달콤한 아몬드 향의 순한 클렌징 새끼 고양이 샴푸(1팩)</v>
      </c>
      <c r="F5609" s="1" t="str">
        <f>IFERROR(__xludf.DUMMYFUNCTION("CONCATENATE(GOOGLETRANSLATE(C5609, ""en"", ""ja""))"),"アーム＆ハンマー 猫用ティアレス子猫シャンプー 重曹配合の臭気制御用ナチュラル猫シャンプー、20液量オンス 優しい洗浄子猫シャンプー、スイートアーモンドの香り (1パック)")</f>
        <v>アーム＆ハンマー 猫用ティアレス子猫シャンプー 重曹配合の臭気制御用ナチュラル猫シャンプー、20液量オンス 優しい洗浄子猫シャンプー、スイートアーモンドの香り (1パック)</v>
      </c>
    </row>
    <row r="5610" ht="15.75" customHeight="1">
      <c r="A5610" s="1">
        <v>7671.0</v>
      </c>
      <c r="B5610" s="1" t="s">
        <v>15</v>
      </c>
      <c r="C5610" s="1" t="s">
        <v>4686</v>
      </c>
      <c r="D5610" s="1" t="str">
        <f>IFERROR(__xludf.DUMMYFUNCTION("CONCATENATE(GOOGLETRANSLATE(C5610, ""en"", ""zh-cn""))"),"PetSafe ScoopFree 异味控制水晶猫砂，清新香味，4.3 磅袋装，2 件装")</f>
        <v>PetSafe ScoopFree 异味控制水晶猫砂，清新香味，4.3 磅袋装，2 件装</v>
      </c>
      <c r="E5610" s="1" t="str">
        <f>IFERROR(__xludf.DUMMYFUNCTION("CONCATENATE(GOOGLETRANSLATE(C5610, ""en"", ""ko""))"),"PetSafe ScoopFree 냄새 제어 크리스탈 고양이 모래, 신선한 향기, 4.3파운드 가방, 2팩")</f>
        <v>PetSafe ScoopFree 냄새 제어 크리스탈 고양이 모래, 신선한 향기, 4.3파운드 가방, 2팩</v>
      </c>
      <c r="F5610" s="1" t="str">
        <f>IFERROR(__xludf.DUMMYFUNCTION("CONCATENATE(GOOGLETRANSLATE(C5610, ""en"", ""ja""))"),"PetSafe ScoopFree 臭気制御クリスタル猫砂、フレッシュな香り、4.3 ポンドバッグ、2 個パック")</f>
        <v>PetSafe ScoopFree 臭気制御クリスタル猫砂、フレッシュな香り、4.3 ポンドバッグ、2 個パック</v>
      </c>
    </row>
    <row r="5611" ht="15.75" customHeight="1">
      <c r="A5611" s="1">
        <v>7681.0</v>
      </c>
      <c r="B5611" s="1" t="s">
        <v>15</v>
      </c>
      <c r="C5611" s="1" t="s">
        <v>2547</v>
      </c>
      <c r="D5611" s="1" t="str">
        <f>IFERROR(__xludf.DUMMYFUNCTION("CONCATENATE(GOOGLETRANSLATE(C5611, ""en"", ""zh-cn""))"),"PetSafe Drinkwell 白金狗猫饮水器，宠物自动饮水器，168 盎司，灰色")</f>
        <v>PetSafe Drinkwell 白金狗猫饮水器，宠物自动饮水器，168 盎司，灰色</v>
      </c>
      <c r="E5611" s="1" t="str">
        <f>IFERROR(__xludf.DUMMYFUNCTION("CONCATENATE(GOOGLETRANSLATE(C5611, ""en"", ""ko""))"),"PetSafe Drinkwell 플래티넘 개 및 고양이 분수, 애완동물용 자동 식수대, 168 온스, 회색")</f>
        <v>PetSafe Drinkwell 플래티넘 개 및 고양이 분수, 애완동물용 자동 식수대, 168 온스, 회색</v>
      </c>
      <c r="F5611" s="1" t="str">
        <f>IFERROR(__xludf.DUMMYFUNCTION("CONCATENATE(GOOGLETRANSLATE(C5611, ""en"", ""ja""))"),"PetSafe ドリンクウェル プラチナ犬猫用水飲み器 ペット用自動水飲み器 168オンス グレー")</f>
        <v>PetSafe ドリンクウェル プラチナ犬猫用水飲み器 ペット用自動水飲み器 168オンス グレー</v>
      </c>
    </row>
    <row r="5612" ht="15.75" customHeight="1">
      <c r="A5612" s="1">
        <v>7691.0</v>
      </c>
      <c r="B5612" s="1" t="s">
        <v>15</v>
      </c>
      <c r="C5612" s="1" t="s">
        <v>4687</v>
      </c>
      <c r="D5612" s="1" t="str">
        <f>IFERROR(__xludf.DUMMYFUNCTION("CONCATENATE(GOOGLETRANSLATE(C5612, ""en"", ""zh-cn""))"),"PetSafe Drinkwell Cat 饮水器碳替换过滤器 - 与 Drinkwell 1/2 加仑、1 加仑、2 加仑、Avalon、Pagoda、Sedona 和 Seascape 喷泉兼容，12 件装")</f>
        <v>PetSafe Drinkwell Cat 饮水器碳替换过滤器 - 与 Drinkwell 1/2 加仑、1 加仑、2 加仑、Avalon、Pagoda、Sedona 和 Seascape 喷泉兼容，12 件装</v>
      </c>
      <c r="E5612" s="1" t="str">
        <f>IFERROR(__xludf.DUMMYFUNCTION("CONCATENATE(GOOGLETRANSLATE(C5612, ""en"", ""ko""))"),"PetSafe Drinkwell 고양이 분수 탄소 교체 필터 - Drinkwell 1/2갤런, 1갤런, 2갤런, Avalon, Pagoda, Sedona 및 Seascape 분수와 호환 가능, 12팩")</f>
        <v>PetSafe Drinkwell 고양이 분수 탄소 교체 필터 - Drinkwell 1/2갤런, 1갤런, 2갤런, Avalon, Pagoda, Sedona 및 Seascape 분수와 호환 가능, 12팩</v>
      </c>
      <c r="F5612" s="1" t="str">
        <f>IFERROR(__xludf.DUMMYFUNCTION("CONCATENATE(GOOGLETRANSLATE(C5612, ""en"", ""ja""))"),"PetSafe ドリンクウェル 猫 ウォーターファウンテン カーボン交換フィルター - ドリンクウェル 1/2 ガロン、1 ガロン、2 ガロン、アバロン、パゴダ、セドナ、シースケープ ファウンテンに対応、12 個パック")</f>
        <v>PetSafe ドリンクウェル 猫 ウォーターファウンテン カーボン交換フィルター - ドリンクウェル 1/2 ガロン、1 ガロン、2 ガロン、アバロン、パゴダ、セドナ、シースケープ ファウンテンに対応、12 個パック</v>
      </c>
    </row>
    <row r="5613" ht="15.75" customHeight="1">
      <c r="A5613" s="1">
        <v>7692.0</v>
      </c>
      <c r="B5613" s="1" t="s">
        <v>15</v>
      </c>
      <c r="C5613" s="1" t="s">
        <v>4688</v>
      </c>
      <c r="D5613" s="1" t="str">
        <f>IFERROR(__xludf.DUMMYFUNCTION("CONCATENATE(GOOGLETRANSLATE(C5613, ""en"", ""zh-cn""))"),"PetSafe ScoopFree 异味控制水晶猫砂，清新香味，8 磅袋装")</f>
        <v>PetSafe ScoopFree 异味控制水晶猫砂，清新香味，8 磅袋装</v>
      </c>
      <c r="E5613" s="1" t="str">
        <f>IFERROR(__xludf.DUMMYFUNCTION("CONCATENATE(GOOGLETRANSLATE(C5613, ""en"", ""ko""))"),"PetSafe ScoopFree 냄새 제어 크리스탈 고양이 모래, 신선한 향기, 8파운드 가방")</f>
        <v>PetSafe ScoopFree 냄새 제어 크리스탈 고양이 모래, 신선한 향기, 8파운드 가방</v>
      </c>
      <c r="F5613" s="1" t="str">
        <f>IFERROR(__xludf.DUMMYFUNCTION("CONCATENATE(GOOGLETRANSLATE(C5613, ""en"", ""ja""))"),"PetSafe ScoopFree 臭気コントロール クリスタル猫砂、フレッシュな香り、8 ポンドバッグ")</f>
        <v>PetSafe ScoopFree 臭気コントロール クリスタル猫砂、フレッシュな香り、8 ポンドバッグ</v>
      </c>
    </row>
    <row r="5614" ht="15.75" customHeight="1">
      <c r="A5614" s="1">
        <v>7698.0</v>
      </c>
      <c r="B5614" s="1" t="s">
        <v>15</v>
      </c>
      <c r="C5614" s="1" t="s">
        <v>4689</v>
      </c>
      <c r="D5614" s="1" t="str">
        <f>IFERROR(__xludf.DUMMYFUNCTION("CONCATENATE(GOOGLETRANSLATE(C5614, ""en"", ""zh-cn""))"),"MidWest Homes for Pets 替换塑料手柄适用于狗折叠和携带板条箱，黑色，Handle-1")</f>
        <v>MidWest Homes for Pets 替换塑料手柄适用于狗折叠和携带板条箱，黑色，Handle-1</v>
      </c>
      <c r="E5614" s="1" t="str">
        <f>IFERROR(__xludf.DUMMYFUNCTION("CONCATENATE(GOOGLETRANSLATE(C5614, ""en"", ""ko""))"),"MidWest Homes for Pets 개용 접이식 및 운반 상자용 교체 플라스틱 손잡이, 검정색, 핸들-1")</f>
        <v>MidWest Homes for Pets 개용 접이식 및 운반 상자용 교체 플라스틱 손잡이, 검정색, 핸들-1</v>
      </c>
      <c r="F5614" s="1" t="str">
        <f>IFERROR(__xludf.DUMMYFUNCTION("CONCATENATE(GOOGLETRANSLATE(C5614, ""en"", ""ja""))"),"MidWest Homes for Pets 犬用折りたたみキャリークレート用交換用プラスチックハンドル、ブラック、ハンドル-1")</f>
        <v>MidWest Homes for Pets 犬用折りたたみキャリークレート用交換用プラスチックハンドル、ブラック、ハンドル-1</v>
      </c>
    </row>
    <row r="5615" ht="15.75" customHeight="1">
      <c r="A5615" s="1">
        <v>7703.0</v>
      </c>
      <c r="B5615" s="1" t="s">
        <v>15</v>
      </c>
      <c r="C5615" s="1" t="s">
        <v>4690</v>
      </c>
      <c r="D5615" s="1" t="str">
        <f>IFERROR(__xludf.DUMMYFUNCTION("CONCATENATE(GOOGLETRANSLATE(C5615, ""en"", ""zh-cn""))"),"MidWest Homes for Pets 方形运动笔织物网底，22.05 英寸长 x 9.85 英寸宽 x 9.85 英寸高")</f>
        <v>MidWest Homes for Pets 方形运动笔织物网底，22.05 英寸长 x 9.85 英寸宽 x 9.85 英寸高</v>
      </c>
      <c r="E5615" s="1" t="str">
        <f>IFERROR(__xludf.DUMMYFUNCTION("CONCATENATE(GOOGLETRANSLATE(C5615, ""en"", ""ko""))"),"애완 동물을 위한 MidWest 주택 정사각형 운동 펜 패브릭 메쉬 바닥, 22.05""L x 9.85""W x 9.85""H")</f>
        <v>애완 동물을 위한 MidWest 주택 정사각형 운동 펜 패브릭 메쉬 바닥, 22.05"L x 9.85"W x 9.85"H</v>
      </c>
      <c r="F5615" s="1" t="str">
        <f>IFERROR(__xludf.DUMMYFUNCTION("CONCATENATE(GOOGLETRANSLATE(C5615, ""en"", ""ja""))"),"MidWest Homes for Pets スクエアエクササイズペン ファブリックメッシュボトム、長さ22.05インチ x 幅9.85インチ x 高さ9.85インチ")</f>
        <v>MidWest Homes for Pets スクエアエクササイズペン ファブリックメッシュボトム、長さ22.05インチ x 幅9.85インチ x 高さ9.85インチ</v>
      </c>
    </row>
    <row r="5616" ht="15.75" customHeight="1">
      <c r="A5616" s="1">
        <v>7707.0</v>
      </c>
      <c r="B5616" s="1" t="s">
        <v>15</v>
      </c>
      <c r="C5616" s="1" t="s">
        <v>4691</v>
      </c>
      <c r="D5616" s="1" t="str">
        <f>IFERROR(__xludf.DUMMYFUNCTION("CONCATENATE(GOOGLETRANSLATE(C5616, ""en"", ""zh-cn""))"),"MidWest Homes For Pets 金属狗笼替换盘； 36寸")</f>
        <v>MidWest Homes For Pets 金属狗笼替换盘； 36寸</v>
      </c>
      <c r="E5616" s="1" t="str">
        <f>IFERROR(__xludf.DUMMYFUNCTION("CONCATENATE(GOOGLETRANSLATE(C5616, ""en"", ""ko""))"),"애완 동물을 위한 중서부 주택 금속 개 상자 교체 팬; 36인치")</f>
        <v>애완 동물을 위한 중서부 주택 금속 개 상자 교체 팬; 36인치</v>
      </c>
      <c r="F5616" s="1" t="str">
        <f>IFERROR(__xludf.DUMMYFUNCTION("CONCATENATE(GOOGLETRANSLATE(C5616, ""en"", ""ja""))"),"MidWest Homes For Pets 金属製犬用クレート交換用パン。 36インチ")</f>
        <v>MidWest Homes For Pets 金属製犬用クレート交換用パン。 36インチ</v>
      </c>
    </row>
    <row r="5617" ht="15.75" customHeight="1">
      <c r="A5617" s="1">
        <v>7714.0</v>
      </c>
      <c r="B5617" s="1" t="s">
        <v>15</v>
      </c>
      <c r="C5617" s="1" t="s">
        <v>4692</v>
      </c>
      <c r="D5617" s="1" t="str">
        <f>IFERROR(__xludf.DUMMYFUNCTION("CONCATENATE(GOOGLETRANSLATE(C5617, ""en"", ""zh-cn""))"),"MidWest Homes for Pets Snap'y Fit 食物碗 |宠物碗，20 盎司（2.5 杯）|狗碗可轻松固定在金属狗笼、猫笼或鸟笼上 |宠物碗尺寸为 6 长 x 6 宽 x 2 高英寸，银色")</f>
        <v>MidWest Homes for Pets Snap'y Fit 食物碗 |宠物碗，20 盎司（2.5 杯）|狗碗可轻松固定在金属狗笼、猫笼或鸟笼上 |宠物碗尺寸为 6 长 x 6 宽 x 2 高英寸，银色</v>
      </c>
      <c r="E5617" s="1" t="str">
        <f>IFERROR(__xludf.DUMMYFUNCTION("CONCATENATE(GOOGLETRANSLATE(C5617, ""en"", ""ko""))"),"애완 동물을 위한 MidWest 주택 Snap'y Fit Food Bowl | 애완동물 그릇, 20온스 (2.5컵) | 개 그릇은 금속 개 상자, 고양이 케이지 또는 새장에 쉽게 부착됩니다 | 애완 동물 그릇 측정 6L x 6W x 2H 인치, 은색")</f>
        <v>애완 동물을 위한 MidWest 주택 Snap'y Fit Food Bowl | 애완동물 그릇, 20온스 (2.5컵) | 개 그릇은 금속 개 상자, 고양이 케이지 또는 새장에 쉽게 부착됩니다 | 애완 동물 그릇 측정 6L x 6W x 2H 인치, 은색</v>
      </c>
      <c r="F5617" s="1" t="str">
        <f>IFERROR(__xludf.DUMMYFUNCTION("CONCATENATE(GOOGLETRANSLATE(C5617, ""en"", ""ja""))"),"MidWest Homes for Pets Snap'y Fit フードボウル |ペットボウル、20オンス(2.5カップ) |犬用ボウルは金属製の犬用クレート、猫用ケージ、鳥用ケージに簡単に取り付けられます。ペットボウルのサイズは長さ6 x 幅6 x 高さ2インチ、シルバー")</f>
        <v>MidWest Homes for Pets Snap'y Fit フードボウル |ペットボウル、20オンス(2.5カップ) |犬用ボウルは金属製の犬用クレート、猫用ケージ、鳥用ケージに簡単に取り付けられます。ペットボウルのサイズは長さ6 x 幅6 x 高さ2インチ、シルバー</v>
      </c>
    </row>
    <row r="5618" ht="15.75" customHeight="1">
      <c r="A5618" s="1">
        <v>7722.0</v>
      </c>
      <c r="B5618" s="1" t="s">
        <v>15</v>
      </c>
      <c r="C5618" s="1" t="s">
        <v>4693</v>
      </c>
      <c r="D5618" s="1" t="str">
        <f>IFERROR(__xludf.DUMMYFUNCTION("CONCATENATE(GOOGLETRANSLATE(C5618, ""en"", ""zh-cn""))"),"Pet Loo Pee-Pod 带海绵 - 7 件装 - 宠物室内厕所托盘 - 尿液处理")</f>
        <v>Pet Loo Pee-Pod 带海绵 - 7 件装 - 宠物室内厕所托盘 - 尿液处理</v>
      </c>
      <c r="E5618" s="1" t="str">
        <f>IFERROR(__xludf.DUMMYFUNCTION("CONCATENATE(GOOGLETRANSLATE(C5618, ""en"", ""ko""))"),"애완동물 화장실 오줌 포드(스펀지 포함) - 7팩 - 애완동물용 실내 화장실 트레이 - 소변 처리")</f>
        <v>애완동물 화장실 오줌 포드(스펀지 포함) - 7팩 - 애완동물용 실내 화장실 트레이 - 소변 처리</v>
      </c>
      <c r="F5618" s="1" t="str">
        <f>IFERROR(__xludf.DUMMYFUNCTION("CONCATENATE(GOOGLETRANSLATE(C5618, ""en"", ""ja""))"),"Pet Loo おしっこポッド スポンジ付き - 7個パック - ペット用屋内トイレトレイ - 尿処理")</f>
        <v>Pet Loo おしっこポッド スポンジ付き - 7個パック - ペット用屋内トイレトレイ - 尿処理</v>
      </c>
    </row>
    <row r="5619" ht="15.75" customHeight="1">
      <c r="A5619" s="1">
        <v>7727.0</v>
      </c>
      <c r="B5619" s="1" t="s">
        <v>15</v>
      </c>
      <c r="C5619" s="1" t="s">
        <v>4694</v>
      </c>
      <c r="D5619" s="1" t="str">
        <f>IFERROR(__xludf.DUMMYFUNCTION("CONCATENATE(GOOGLETRANSLATE(C5619, ""en"", ""zh-cn""))"),"PetSafe 极端天气铝制狗门，节能，3 个隔热瓣，大号，用于外门，专为极端天气而设计（白色 - 大号）")</f>
        <v>PetSafe 极端天气铝制狗门，节能，3 个隔热瓣，大号，用于外门，专为极端天气而设计（白色 - 大号）</v>
      </c>
      <c r="E5619" s="1" t="str">
        <f>IFERROR(__xludf.DUMMYFUNCTION("CONCATENATE(GOOGLETRANSLATE(C5619, ""en"", ""ko""))"),"PetSafe Extreme Weather 알루미늄 개 도어, 에너지 효율적, 단열용 플랩 3개, 대형, 외부 도어용, 극한의 날씨에 맞게 제작(흰색 - 대형)")</f>
        <v>PetSafe Extreme Weather 알루미늄 개 도어, 에너지 효율적, 단열용 플랩 3개, 대형, 외부 도어용, 극한의 날씨에 맞게 제작(흰색 - 대형)</v>
      </c>
      <c r="F5619" s="1" t="str">
        <f>IFERROR(__xludf.DUMMYFUNCTION("CONCATENATE(GOOGLETRANSLATE(C5619, ""en"", ""ja""))"),"PetSafe 極端な天候用アルミニウム製犬用ドア、エネルギー効率が高く、断熱用の 3 フラップ、大型、屋外ドア用、極端な天候用に設計 (ホワイト - L)")</f>
        <v>PetSafe 極端な天候用アルミニウム製犬用ドア、エネルギー効率が高く、断熱用の 3 フラップ、大型、屋外ドア用、極端な天候用に設計 (ホワイト - L)</v>
      </c>
    </row>
    <row r="5620" ht="15.75" customHeight="1">
      <c r="A5620" s="1">
        <v>7742.0</v>
      </c>
      <c r="B5620" s="1" t="s">
        <v>15</v>
      </c>
      <c r="C5620" s="1" t="s">
        <v>4695</v>
      </c>
      <c r="D5620" s="1" t="str">
        <f>IFERROR(__xludf.DUMMYFUNCTION("CONCATENATE(GOOGLETRANSLATE(C5620, ""en"", ""zh-cn""))"),"PetSafe Gentle Leader 狗用无拉头项圈，狗头项圈 - 拉动的终极解决方案，加垫鼻环，快速按扣颈带，狗笼头，大号 - 黑色")</f>
        <v>PetSafe Gentle Leader 狗用无拉头项圈，狗头项圈 - 拉动的终极解决方案，加垫鼻环，快速按扣颈带，狗笼头，大号 - 黑色</v>
      </c>
      <c r="E5620" s="1" t="str">
        <f>IFERROR(__xludf.DUMMYFUNCTION("CONCATENATE(GOOGLETRANSLATE(C5620, ""en"", ""ko""))"),"PetSafe Gentle Leader 개를 위한 당기지 않는 머리 목줄, 개 머리 목줄 - 당김에 대한 궁극적인 솔루션, 패딩 처리된 코 루프, 퀵 스냅 넥 스트랩, 개 고삐, 대형 - 검정색")</f>
        <v>PetSafe Gentle Leader 개를 위한 당기지 않는 머리 목줄, 개 머리 목줄 - 당김에 대한 궁극적인 솔루션, 패딩 처리된 코 루프, 퀵 스냅 넥 스트랩, 개 고삐, 대형 - 검정색</v>
      </c>
      <c r="F5620" s="1" t="str">
        <f>IFERROR(__xludf.DUMMYFUNCTION("CONCATENATE(GOOGLETRANSLATE(C5620, ""en"", ""ja""))"),"PetSafe ジェントルリーダー 引っ張らない首輪 犬用 犬用首輪 - 引っ張りに対する究極の解決策 パッド入りノーズループ クイックスナップネックストラップ 犬用ホルター Lサイズ ブラック")</f>
        <v>PetSafe ジェントルリーダー 引っ張らない首輪 犬用 犬用首輪 - 引っ張りに対する究極の解決策 パッド入りノーズループ クイックスナップネックストラップ 犬用ホルター Lサイズ ブラック</v>
      </c>
    </row>
    <row r="5621" ht="15.75" customHeight="1">
      <c r="A5621" s="1">
        <v>7750.0</v>
      </c>
      <c r="B5621" s="1" t="s">
        <v>15</v>
      </c>
      <c r="C5621" s="1" t="s">
        <v>4696</v>
      </c>
      <c r="D5621" s="1" t="str">
        <f>IFERROR(__xludf.DUMMYFUNCTION("CONCATENATE(GOOGLETRANSLATE(C5621, ""en"", ""zh-cn""))"),"Aqueon 20 加仑 LED 水族箱套件")</f>
        <v>Aqueon 20 加仑 LED 水族箱套件</v>
      </c>
      <c r="E5621" s="1" t="str">
        <f>IFERROR(__xludf.DUMMYFUNCTION("CONCATENATE(GOOGLETRANSLATE(C5621, ""en"", ""ko""))"),"Aqueon 20갤런 LED 수족관 키트")</f>
        <v>Aqueon 20갤런 LED 수족관 키트</v>
      </c>
      <c r="F5621" s="1" t="str">
        <f>IFERROR(__xludf.DUMMYFUNCTION("CONCATENATE(GOOGLETRANSLATE(C5621, ""en"", ""ja""))"),"Aqueon 20 ガロン LED 水族館キット")</f>
        <v>Aqueon 20 ガロン LED 水族館キット</v>
      </c>
    </row>
    <row r="5622" ht="15.75" customHeight="1">
      <c r="A5622" s="1">
        <v>7757.0</v>
      </c>
      <c r="B5622" s="1" t="s">
        <v>15</v>
      </c>
      <c r="C5622" s="1" t="s">
        <v>4697</v>
      </c>
      <c r="D5622" s="1" t="str">
        <f>IFERROR(__xludf.DUMMYFUNCTION("CONCATENATE(GOOGLETRANSLATE(C5622, ""en"", ""zh-cn""))"),"Aqueon LED MiniBow SmartClean 鱼缸套件")</f>
        <v>Aqueon LED MiniBow SmartClean 鱼缸套件</v>
      </c>
      <c r="E5622" s="1" t="str">
        <f>IFERROR(__xludf.DUMMYFUNCTION("CONCATENATE(GOOGLETRANSLATE(C5622, ""en"", ""ko""))"),"Aqueon LED MiniBow SmartClean 물고기 수족관 키트")</f>
        <v>Aqueon LED MiniBow SmartClean 물고기 수족관 키트</v>
      </c>
      <c r="F5622" s="1" t="str">
        <f>IFERROR(__xludf.DUMMYFUNCTION("CONCATENATE(GOOGLETRANSLATE(C5622, ""en"", ""ja""))"),"Aqueon LED MiniBow SmartClean 魚水族館キット")</f>
        <v>Aqueon LED MiniBow SmartClean 魚水族館キット</v>
      </c>
    </row>
    <row r="5623" ht="15.75" customHeight="1">
      <c r="A5623" s="1">
        <v>7759.0</v>
      </c>
      <c r="B5623" s="1" t="s">
        <v>15</v>
      </c>
      <c r="C5623" s="1" t="s">
        <v>4698</v>
      </c>
      <c r="D5623" s="1" t="str">
        <f>IFERROR(__xludf.DUMMYFUNCTION("CONCATENATE(GOOGLETRANSLATE(C5623, ""en"", ""zh-cn""))"),"Aqueon 210 加仑玻璃长方形水族箱")</f>
        <v>Aqueon 210 加仑玻璃长方形水族箱</v>
      </c>
      <c r="E5623" s="1" t="str">
        <f>IFERROR(__xludf.DUMMYFUNCTION("CONCATENATE(GOOGLETRANSLATE(C5623, ""en"", ""ko""))"),"Aqueon 210 갤런 유리 직사각형 수족관")</f>
        <v>Aqueon 210 갤런 유리 직사각형 수족관</v>
      </c>
      <c r="F5623" s="1" t="str">
        <f>IFERROR(__xludf.DUMMYFUNCTION("CONCATENATE(GOOGLETRANSLATE(C5623, ""en"", ""ja""))"),"Aqueon 210 ガロン ガラス製長方形水族館")</f>
        <v>Aqueon 210 ガロン ガラス製長方形水族館</v>
      </c>
    </row>
    <row r="5624" ht="15.75" customHeight="1">
      <c r="A5624" s="1">
        <v>7760.0</v>
      </c>
      <c r="B5624" s="1" t="s">
        <v>15</v>
      </c>
      <c r="C5624" s="1" t="s">
        <v>4699</v>
      </c>
      <c r="D5624" s="1" t="str">
        <f>IFERROR(__xludf.DUMMYFUNCTION("CONCATENATE(GOOGLETRANSLATE(C5624, ""en"", ""zh-cn""))"),"带 EcoRenew 滤芯的 Aqueon SmartClean 电源过滤器")</f>
        <v>带 EcoRenew 滤芯的 Aqueon SmartClean 电源过滤器</v>
      </c>
      <c r="E5624" s="1" t="str">
        <f>IFERROR(__xludf.DUMMYFUNCTION("CONCATENATE(GOOGLETRANSLATE(C5624, ""en"", ""ko""))"),"EcoRenew 필터 카트리지가 포함된 Aqueon SmartClean 파워 필터")</f>
        <v>EcoRenew 필터 카트리지가 포함된 Aqueon SmartClean 파워 필터</v>
      </c>
      <c r="F5624" s="1" t="str">
        <f>IFERROR(__xludf.DUMMYFUNCTION("CONCATENATE(GOOGLETRANSLATE(C5624, ""en"", ""ja""))"),"Aqueon SmartClean パワーフィルター、EcoRenew フィルターカートリッジ付き")</f>
        <v>Aqueon SmartClean パワーフィルター、EcoRenew フィルターカートリッジ付き</v>
      </c>
    </row>
    <row r="5625" ht="15.75" customHeight="1">
      <c r="A5625" s="1">
        <v>7786.0</v>
      </c>
      <c r="B5625" s="1" t="s">
        <v>15</v>
      </c>
      <c r="C5625" s="1" t="s">
        <v>4700</v>
      </c>
      <c r="D5625" s="1" t="str">
        <f>IFERROR(__xludf.DUMMYFUNCTION("CONCATENATE(GOOGLETRANSLATE(C5625, ""en"", ""zh-cn""))"),"Tetra 清洁细菌 8 盎司，用于清洁水族箱和健康水，PHL309494")</f>
        <v>Tetra 清洁细菌 8 盎司，用于清洁水族箱和健康水，PHL309494</v>
      </c>
      <c r="E5625" s="1" t="str">
        <f>IFERROR(__xludf.DUMMYFUNCTION("CONCATENATE(GOOGLETRANSLATE(C5625, ""en"", ""ko""))"),"깨끗한 수족관과 건강한 물을 위한 테트라 세척 박테리아 8온스, PHL309494")</f>
        <v>깨끗한 수족관과 건강한 물을 위한 테트라 세척 박테리아 8온스, PHL309494</v>
      </c>
      <c r="F5625" s="1" t="str">
        <f>IFERROR(__xludf.DUMMYFUNCTION("CONCATENATE(GOOGLETRANSLATE(C5625, ""en"", ""ja""))"),"Tetra クリーニング バクテリア 8 オンス、きれいな水族館と健康的な水のために、PHL309494")</f>
        <v>Tetra クリーニング バクテリア 8 オンス、きれいな水族館と健康的な水のために、PHL309494</v>
      </c>
    </row>
    <row r="5626" ht="15.75" customHeight="1">
      <c r="A5626" s="1">
        <v>7795.0</v>
      </c>
      <c r="B5626" s="1" t="s">
        <v>15</v>
      </c>
      <c r="C5626" s="1" t="s">
        <v>4701</v>
      </c>
      <c r="D5626" s="1" t="str">
        <f>IFERROR(__xludf.DUMMYFUNCTION("CONCATENATE(GOOGLETRANSLATE(C5626, ""en"", ""zh-cn""))"),"Tetra Whisper 易于使用的水族箱气泵（非 UL）")</f>
        <v>Tetra Whisper 易于使用的水族箱气泵（非 UL）</v>
      </c>
      <c r="E5626" s="1" t="str">
        <f>IFERROR(__xludf.DUMMYFUNCTION("CONCATENATE(GOOGLETRANSLATE(C5626, ""en"", ""ko""))"),"Tetra Whisper 사용하기 쉬운 수족관용 공기 펌프(비UL)")</f>
        <v>Tetra Whisper 사용하기 쉬운 수족관용 공기 펌프(비UL)</v>
      </c>
      <c r="F5626" s="1" t="str">
        <f>IFERROR(__xludf.DUMMYFUNCTION("CONCATENATE(GOOGLETRANSLATE(C5626, ""en"", ""ja""))"),"Tetra Whisper 水族館用の使いやすいエアポンプ (非UL)")</f>
        <v>Tetra Whisper 水族館用の使いやすいエアポンプ (非UL)</v>
      </c>
    </row>
    <row r="5627" ht="15.75" customHeight="1">
      <c r="A5627" s="1">
        <v>7799.0</v>
      </c>
      <c r="B5627" s="1" t="s">
        <v>15</v>
      </c>
      <c r="C5627" s="1" t="s">
        <v>4702</v>
      </c>
      <c r="D5627" s="1" t="str">
        <f>IFERROR(__xludf.DUMMYFUNCTION("CONCATENATE(GOOGLETRANSLATE(C5627, ""en"", ""zh-cn""))"),"Tetra Whisper IQ 电源过滤器 45 加仑，215 GPH，采用保持清洁技术")</f>
        <v>Tetra Whisper IQ 电源过滤器 45 加仑，215 GPH，采用保持清洁技术</v>
      </c>
      <c r="E5627" s="1" t="str">
        <f>IFERROR(__xludf.DUMMYFUNCTION("CONCATENATE(GOOGLETRANSLATE(C5627, ""en"", ""ko""))"),"Tetra Whisper IQ 전력 필터 45갤런, 215 GPH, Stay Clean 기술 포함")</f>
        <v>Tetra Whisper IQ 전력 필터 45갤런, 215 GPH, Stay Clean 기술 포함</v>
      </c>
      <c r="F5627" s="1" t="str">
        <f>IFERROR(__xludf.DUMMYFUNCTION("CONCATENATE(GOOGLETRANSLATE(C5627, ""en"", ""ja""))"),"Tetra Whisper IQ パワー フィルター 45 ガロン、215 GPH、Stay Clean テクノロジー搭載")</f>
        <v>Tetra Whisper IQ パワー フィルター 45 ガロン、215 GPH、Stay Clean テクノロジー搭載</v>
      </c>
    </row>
    <row r="5628" ht="15.75" customHeight="1">
      <c r="A5628" s="1">
        <v>7802.0</v>
      </c>
      <c r="B5628" s="1" t="s">
        <v>15</v>
      </c>
      <c r="C5628" s="1" t="s">
        <v>4703</v>
      </c>
      <c r="D5628" s="1" t="str">
        <f>IFERROR(__xludf.DUMMYFUNCTION("CONCATENATE(GOOGLETRANSLATE(C5628, ""en"", ""zh-cn""))"),"Tetra 26446 HT 潜水式水族箱加热器，带电子恒温器，100 瓦，多色，10-30 加仑")</f>
        <v>Tetra 26446 HT 潜水式水族箱加热器，带电子恒温器，100 瓦，多色，10-30 加仑</v>
      </c>
      <c r="E5628" s="1" t="str">
        <f>IFERROR(__xludf.DUMMYFUNCTION("CONCATENATE(GOOGLETRANSLATE(C5628, ""en"", ""ko""))"),"Tetra 26446 HT 전자 온도 조절 장치가 있는 수중 수족관 히터, 100와트, 다색, 10-30갤런")</f>
        <v>Tetra 26446 HT 전자 온도 조절 장치가 있는 수중 수족관 히터, 100와트, 다색, 10-30갤런</v>
      </c>
      <c r="F5628" s="1" t="str">
        <f>IFERROR(__xludf.DUMMYFUNCTION("CONCATENATE(GOOGLETRANSLATE(C5628, ""en"", ""ja""))"),"Tetra 26446 HT 水中水族館ヒーター 電子サーモスタット付き、100 ワット、マルチカラー、10-30 ガロン")</f>
        <v>Tetra 26446 HT 水中水族館ヒーター 電子サーモスタット付き、100 ワット、マルチカラー、10-30 ガロン</v>
      </c>
    </row>
    <row r="5629" ht="15.75" customHeight="1">
      <c r="A5629" s="1">
        <v>7803.0</v>
      </c>
      <c r="B5629" s="1" t="s">
        <v>15</v>
      </c>
      <c r="C5629" s="1" t="s">
        <v>4704</v>
      </c>
      <c r="D5629" s="1" t="str">
        <f>IFERROR(__xludf.DUMMYFUNCTION("CONCATENATE(GOOGLETRANSLATE(C5629, ""en"", ""zh-cn""))"),"TetraFauna ReptoFilter 滤芯，中号，滤芯补充装。 3 计数")</f>
        <v>TetraFauna ReptoFilter 滤芯，中号，滤芯补充装。 3 计数</v>
      </c>
      <c r="E5629" s="1" t="str">
        <f>IFERROR(__xludf.DUMMYFUNCTION("CONCATENATE(GOOGLETRANSLATE(C5629, ""en"", ""ko""))"),"TetraFauna ReptoFilter 필터 카트리지, 중간 크기, 필터 카트리지 리필. 3개 카운트")</f>
        <v>TetraFauna ReptoFilter 필터 카트리지, 중간 크기, 필터 카트리지 리필. 3개 카운트</v>
      </c>
      <c r="F5629" s="1" t="str">
        <f>IFERROR(__xludf.DUMMYFUNCTION("CONCATENATE(GOOGLETRANSLATE(C5629, ""en"", ""ja""))"),"TetraFauna ReptoFilter フィルター カートリッジ、サイズ M、フィルター カートリッジ詰め替え。 3カウント")</f>
        <v>TetraFauna ReptoFilter フィルター カートリッジ、サイズ M、フィルター カートリッジ詰め替え。 3カウント</v>
      </c>
    </row>
    <row r="5630" ht="15.75" customHeight="1">
      <c r="A5630" s="1">
        <v>7806.0</v>
      </c>
      <c r="B5630" s="1" t="s">
        <v>15</v>
      </c>
      <c r="C5630" s="1" t="s">
        <v>4705</v>
      </c>
      <c r="D5630" s="1" t="str">
        <f>IFERROR(__xludf.DUMMYFUNCTION("CONCATENATE(GOOGLETRANSLATE(C5630, ""en"", ""zh-cn""))"),"适用于水族箱的 Tetra Whisper 生物袋滤芯 - 即用型蓝色，大号，3 件（1 件装）")</f>
        <v>适用于水族箱的 Tetra Whisper 生物袋滤芯 - 即用型蓝色，大号，3 件（1 件装）</v>
      </c>
      <c r="E5630" s="1" t="str">
        <f>IFERROR(__xludf.DUMMYFUNCTION("CONCATENATE(GOOGLETRANSLATE(C5630, ""en"", ""ko""))"),"수족관용 Tetra Whisper 바이오백 필터 카트리지 - 즉시 사용 가능 파란색, 대형, 3개(1팩)")</f>
        <v>수족관용 Tetra Whisper 바이오백 필터 카트리지 - 즉시 사용 가능 파란색, 대형, 3개(1팩)</v>
      </c>
      <c r="F5630" s="1" t="str">
        <f>IFERROR(__xludf.DUMMYFUNCTION("CONCATENATE(GOOGLETRANSLATE(C5630, ""en"", ""ja""))"),"Tetra Whisper 水族館用バイオバッグ フィルター カートリッジ - すぐに使用できるブルー、ラージ、3 個 (1 個パック)")</f>
        <v>Tetra Whisper 水族館用バイオバッグ フィルター カートリッジ - すぐに使用できるブルー、ラージ、3 個 (1 個パック)</v>
      </c>
    </row>
    <row r="5631" ht="15.75" customHeight="1">
      <c r="A5631" s="1">
        <v>7820.0</v>
      </c>
      <c r="B5631" s="1" t="s">
        <v>15</v>
      </c>
      <c r="C5631" s="1" t="s">
        <v>4706</v>
      </c>
      <c r="D5631" s="1" t="str">
        <f>IFERROR(__xludf.DUMMYFUNCTION("CONCATENATE(GOOGLETRANSLATE(C5631, ""en"", ""zh-cn""))"),"湖岸砖砌活动表")</f>
        <v>湖岸砖砌活动表</v>
      </c>
      <c r="E5631" s="1" t="str">
        <f>IFERROR(__xludf.DUMMYFUNCTION("CONCATENATE(GOOGLETRANSLATE(C5631, ""en"", ""ko""))"),"호숫가 벽돌 쌓기 활동표")</f>
        <v>호숫가 벽돌 쌓기 활동표</v>
      </c>
      <c r="F5631" s="1" t="str">
        <f>IFERROR(__xludf.DUMMYFUNCTION("CONCATENATE(GOOGLETRANSLATE(C5631, ""en"", ""ja""))"),"湖岸レンガ建築活動表")</f>
        <v>湖岸レンガ建築活動表</v>
      </c>
    </row>
    <row r="5632" ht="15.75" customHeight="1">
      <c r="A5632" s="1">
        <v>7823.0</v>
      </c>
      <c r="B5632" s="1" t="s">
        <v>15</v>
      </c>
      <c r="C5632" s="1" t="s">
        <v>4707</v>
      </c>
      <c r="D5632" s="1" t="str">
        <f>IFERROR(__xludf.DUMMYFUNCTION("CONCATENATE(GOOGLETRANSLATE(C5632, ""en"", ""zh-cn""))"),"学前班活动表")</f>
        <v>学前班活动表</v>
      </c>
      <c r="E5632" s="1" t="str">
        <f>IFERROR(__xludf.DUMMYFUNCTION("CONCATENATE(GOOGLETRANSLATE(C5632, ""en"", ""ko""))"),"유치원 활동 표")</f>
        <v>유치원 활동 표</v>
      </c>
      <c r="F5632" s="1" t="str">
        <f>IFERROR(__xludf.DUMMYFUNCTION("CONCATENATE(GOOGLETRANSLATE(C5632, ""en"", ""ja""))"),"就学前の活動表")</f>
        <v>就学前の活動表</v>
      </c>
    </row>
    <row r="5633" ht="15.75" customHeight="1">
      <c r="A5633" s="1">
        <v>7825.0</v>
      </c>
      <c r="B5633" s="1" t="s">
        <v>15</v>
      </c>
      <c r="C5633" s="1" t="s">
        <v>4708</v>
      </c>
      <c r="D5633" s="1" t="str">
        <f>IFERROR(__xludf.DUMMYFUNCTION("CONCATENATE(GOOGLETRANSLATE(C5633, ""en"", ""zh-cn""))"),"和谐一体式活动桌")</f>
        <v>和谐一体式活动桌</v>
      </c>
      <c r="E5633" s="1" t="str">
        <f>IFERROR(__xludf.DUMMYFUNCTION("CONCATENATE(GOOGLETRANSLATE(C5633, ""en"", ""ko""))"),"하모니 올인원 활동표")</f>
        <v>하모니 올인원 활동표</v>
      </c>
      <c r="F5633" s="1" t="str">
        <f>IFERROR(__xludf.DUMMYFUNCTION("CONCATENATE(GOOGLETRANSLATE(C5633, ""en"", ""ja""))"),"Harmony オールインワン アクティビティ テーブル")</f>
        <v>Harmony オールインワン アクティビティ テーブル</v>
      </c>
    </row>
    <row r="5634" ht="15.75" customHeight="1">
      <c r="A5634" s="1">
        <v>7865.0</v>
      </c>
      <c r="B5634" s="1" t="s">
        <v>15</v>
      </c>
      <c r="C5634" s="1" t="s">
        <v>4709</v>
      </c>
      <c r="D5634" s="1" t="str">
        <f>IFERROR(__xludf.DUMMYFUNCTION("CONCATENATE(GOOGLETRANSLATE(C5634, ""en"", ""zh-cn""))"),"野营帐篷炉灶")</f>
        <v>野营帐篷炉灶</v>
      </c>
      <c r="E5634" s="1" t="str">
        <f>IFERROR(__xludf.DUMMYFUNCTION("CONCATENATE(GOOGLETRANSLATE(C5634, ""en"", ""ko""))"),"캠핑 텐트 스토브")</f>
        <v>캠핑 텐트 스토브</v>
      </c>
      <c r="F5634" s="1" t="str">
        <f>IFERROR(__xludf.DUMMYFUNCTION("CONCATENATE(GOOGLETRANSLATE(C5634, ""en"", ""ja""))"),"キャンプテントストーブ")</f>
        <v>キャンプテントストーブ</v>
      </c>
    </row>
    <row r="5635" ht="15.75" customHeight="1">
      <c r="A5635" s="1">
        <v>7874.0</v>
      </c>
      <c r="B5635" s="1" t="s">
        <v>15</v>
      </c>
      <c r="C5635" s="1" t="s">
        <v>4710</v>
      </c>
      <c r="D5635" s="1" t="str">
        <f>IFERROR(__xludf.DUMMYFUNCTION("CONCATENATE(GOOGLETRANSLATE(C5635, ""en"", ""zh-cn""))"),"23ZERO Walkabout 2.0 屋顶帐篷")</f>
        <v>23ZERO Walkabout 2.0 屋顶帐篷</v>
      </c>
      <c r="E5635" s="1" t="str">
        <f>IFERROR(__xludf.DUMMYFUNCTION("CONCATENATE(GOOGLETRANSLATE(C5635, ""en"", ""ko""))"),"23ZERO 워크어바웃 2.0 루프탑텐트")</f>
        <v>23ZERO 워크어바웃 2.0 루프탑텐트</v>
      </c>
      <c r="F5635" s="1" t="str">
        <f>IFERROR(__xludf.DUMMYFUNCTION("CONCATENATE(GOOGLETRANSLATE(C5635, ""en"", ""ja""))"),"23ZERO ウォークアバウト 2.0 ルーフトップテント")</f>
        <v>23ZERO ウォークアバウト 2.0 ルーフトップテント</v>
      </c>
    </row>
    <row r="5636" ht="15.75" customHeight="1">
      <c r="A5636" s="1">
        <v>7878.0</v>
      </c>
      <c r="B5636" s="1" t="s">
        <v>15</v>
      </c>
      <c r="C5636" s="1" t="s">
        <v>4711</v>
      </c>
      <c r="D5636" s="1" t="str">
        <f>IFERROR(__xludf.DUMMYFUNCTION("CONCATENATE(GOOGLETRANSLATE(C5636, ""en"", ""zh-cn""))"),"L.L.Bean 阿卡迪亚 8 人小屋帐篷")</f>
        <v>L.L.Bean 阿卡迪亚 8 人小屋帐篷</v>
      </c>
      <c r="E5636" s="1" t="str">
        <f>IFERROR(__xludf.DUMMYFUNCTION("CONCATENATE(GOOGLETRANSLATE(C5636, ""en"", ""ko""))"),"L.L.Bean 아카디아 8인용 캐빈 텐트")</f>
        <v>L.L.Bean 아카디아 8인용 캐빈 텐트</v>
      </c>
      <c r="F5636" s="1" t="str">
        <f>IFERROR(__xludf.DUMMYFUNCTION("CONCATENATE(GOOGLETRANSLATE(C5636, ""en"", ""ja""))"),"L.L.Bean アカディア 8人用キャビンテント")</f>
        <v>L.L.Bean アカディア 8人用キャビンテント</v>
      </c>
    </row>
    <row r="5637" ht="15.75" customHeight="1">
      <c r="A5637" s="1">
        <v>7901.0</v>
      </c>
      <c r="B5637" s="1" t="s">
        <v>15</v>
      </c>
      <c r="C5637" s="1" t="s">
        <v>4712</v>
      </c>
      <c r="D5637" s="1" t="str">
        <f>IFERROR(__xludf.DUMMYFUNCTION("CONCATENATE(GOOGLETRANSLATE(C5637, ""en"", ""zh-cn""))"),"Ozark Trail 20 人 4 室小屋帐篷，设有 3 个独立的露营入口，")</f>
        <v>Ozark Trail 20 人 4 室小屋帐篷，设有 3 个独立的露营入口，</v>
      </c>
      <c r="E5637" s="1" t="str">
        <f>IFERROR(__xludf.DUMMYFUNCTION("CONCATENATE(GOOGLETRANSLATE(C5637, ""en"", ""ko""))"),"Ozark Trail 20인용 4룸 캐빈 텐트, 캠핑용 별도 출입구 3개,")</f>
        <v>Ozark Trail 20인용 4룸 캐빈 텐트, 캠핑용 별도 출입구 3개,</v>
      </c>
      <c r="F5637" s="1" t="str">
        <f>IFERROR(__xludf.DUMMYFUNCTION("CONCATENATE(GOOGLETRANSLATE(C5637, ""en"", ""ja""))"),"オザーク トレイル 20 人用 4 ルーム キャビン テント、キャンプ用の 3 つの独立した入り口付き、")</f>
        <v>オザーク トレイル 20 人用 4 ルーム キャビン テント、キャンプ用の 3 つの独立した入り口付き、</v>
      </c>
    </row>
    <row r="5638" ht="15.75" customHeight="1">
      <c r="A5638" s="1">
        <v>7910.0</v>
      </c>
      <c r="B5638" s="1" t="s">
        <v>15</v>
      </c>
      <c r="C5638" s="1" t="s">
        <v>4713</v>
      </c>
      <c r="D5638" s="1" t="str">
        <f>IFERROR(__xludf.DUMMYFUNCTION("CONCATENATE(GOOGLETRANSLATE(C5638, ""en"", ""zh-cn""))"),"奥扎克步道 4 人圆顶帐篷")</f>
        <v>奥扎克步道 4 人圆顶帐篷</v>
      </c>
      <c r="E5638" s="1" t="str">
        <f>IFERROR(__xludf.DUMMYFUNCTION("CONCATENATE(GOOGLETRANSLATE(C5638, ""en"", ""ko""))"),"오자크 트레일 4인용 돔 텐트")</f>
        <v>오자크 트레일 4인용 돔 텐트</v>
      </c>
      <c r="F5638" s="1" t="str">
        <f>IFERROR(__xludf.DUMMYFUNCTION("CONCATENATE(GOOGLETRANSLATE(C5638, ""en"", ""ja""))"),"オザーク トレイル 4 人用ドーム テント")</f>
        <v>オザーク トレイル 4 人用ドーム テント</v>
      </c>
    </row>
    <row r="5639" ht="15.75" customHeight="1">
      <c r="A5639" s="1">
        <v>7914.0</v>
      </c>
      <c r="B5639" s="1" t="s">
        <v>15</v>
      </c>
      <c r="C5639" s="1" t="s">
        <v>4714</v>
      </c>
      <c r="D5639" s="1" t="str">
        <f>IFERROR(__xludf.DUMMYFUNCTION("CONCATENATE(GOOGLETRANSLATE(C5639, ""en"", ""zh-cn""))"),"Ozark Trail 22 件套露营帐篷组合")</f>
        <v>Ozark Trail 22 件套露营帐篷组合</v>
      </c>
      <c r="E5639" s="1" t="str">
        <f>IFERROR(__xludf.DUMMYFUNCTION("CONCATENATE(GOOGLETRANSLATE(C5639, ""en"", ""ko""))"),"Ozark Trail 22피스 캠핑 텐트 콤보")</f>
        <v>Ozark Trail 22피스 캠핑 텐트 콤보</v>
      </c>
      <c r="F5639" s="1" t="str">
        <f>IFERROR(__xludf.DUMMYFUNCTION("CONCATENATE(GOOGLETRANSLATE(C5639, ""en"", ""ja""))"),"オザーク トレイル 22 ピース キャンプ テント コンボ")</f>
        <v>オザーク トレイル 22 ピース キャンプ テント コンボ</v>
      </c>
    </row>
    <row r="5640" ht="15.75" customHeight="1">
      <c r="A5640" s="1">
        <v>7924.0</v>
      </c>
      <c r="B5640" s="1" t="s">
        <v>15</v>
      </c>
      <c r="C5640" s="1" t="s">
        <v>4715</v>
      </c>
      <c r="D5640" s="1" t="str">
        <f>IFERROR(__xludf.DUMMYFUNCTION("CONCATENATE(GOOGLETRANSLATE(C5640, ""en"", ""zh-cn""))"),"Ozark Trail 10 人小屋帐篷，带 LED 灯杆")</f>
        <v>Ozark Trail 10 人小屋帐篷，带 LED 灯杆</v>
      </c>
      <c r="E5640" s="1" t="str">
        <f>IFERROR(__xludf.DUMMYFUNCTION("CONCATENATE(GOOGLETRANSLATE(C5640, ""en"", ""ko""))"),"LED 조명 기둥을 갖춘 오자크 트레일 10인용 캐빈 텐트")</f>
        <v>LED 조명 기둥을 갖춘 오자크 트레일 10인용 캐빈 텐트</v>
      </c>
      <c r="F5640" s="1" t="str">
        <f>IFERROR(__xludf.DUMMYFUNCTION("CONCATENATE(GOOGLETRANSLATE(C5640, ""en"", ""ja""))"),"オザーク トレイル 10 人用キャビン テント LED ライト付きポール付き")</f>
        <v>オザーク トレイル 10 人用キャビン テント LED ライト付きポール付き</v>
      </c>
    </row>
    <row r="5641" ht="15.75" customHeight="1">
      <c r="A5641" s="1">
        <v>7933.0</v>
      </c>
      <c r="B5641" s="1" t="s">
        <v>15</v>
      </c>
      <c r="C5641" s="1" t="s">
        <v>4716</v>
      </c>
      <c r="D5641" s="1" t="str">
        <f>IFERROR(__xludf.DUMMYFUNCTION("CONCATENATE(GOOGLETRANSLATE(C5641, ""en"", ""zh-cn""))"),"Auto Drive Ergo Comfort 方向盘套")</f>
        <v>Auto Drive Ergo Comfort 方向盘套</v>
      </c>
      <c r="E5641" s="1" t="str">
        <f>IFERROR(__xludf.DUMMYFUNCTION("CONCATENATE(GOOGLETRANSLATE(C5641, ""en"", ""ko""))"),"자동 드라이브 Ergo Comfort 스티어링 휠 커버")</f>
        <v>자동 드라이브 Ergo Comfort 스티어링 휠 커버</v>
      </c>
      <c r="F5641" s="1" t="str">
        <f>IFERROR(__xludf.DUMMYFUNCTION("CONCATENATE(GOOGLETRANSLATE(C5641, ""en"", ""ja""))"),"オートドライブ エルゴ コンフォート ステアリング ホイール カバー")</f>
        <v>オートドライブ エルゴ コンフォート ステアリング ホイール カバー</v>
      </c>
    </row>
    <row r="5642" ht="15.75" customHeight="1">
      <c r="A5642" s="1">
        <v>7939.0</v>
      </c>
      <c r="B5642" s="1" t="s">
        <v>15</v>
      </c>
      <c r="C5642" s="1" t="s">
        <v>4717</v>
      </c>
      <c r="D5642" s="1" t="str">
        <f>IFERROR(__xludf.DUMMYFUNCTION("CONCATENATE(GOOGLETRANSLATE(C5642, ""en"", ""zh-cn""))"),"Auto Drive 5 件套座套和汽车方向盘套件")</f>
        <v>Auto Drive 5 件套座套和汽车方向盘套件</v>
      </c>
      <c r="E5642" s="1" t="str">
        <f>IFERROR(__xludf.DUMMYFUNCTION("CONCATENATE(GOOGLETRANSLATE(C5642, ""en"", ""ko""))"),"자동 구동 5피스 시트 커버 및 자동차 핸들 키트")</f>
        <v>자동 구동 5피스 시트 커버 및 자동차 핸들 키트</v>
      </c>
      <c r="F5642" s="1" t="str">
        <f>IFERROR(__xludf.DUMMYFUNCTION("CONCATENATE(GOOGLETRANSLATE(C5642, ""en"", ""ja""))"),"Auto Drive 5 ピース シート カバーと車のステアリング ホイール キット")</f>
        <v>Auto Drive 5 ピース シート カバーと車のステアリング ホイール キット</v>
      </c>
    </row>
    <row r="5643" ht="15.75" customHeight="1">
      <c r="A5643" s="1">
        <v>7946.0</v>
      </c>
      <c r="B5643" s="1" t="s">
        <v>15</v>
      </c>
      <c r="C5643" s="1" t="s">
        <v>4718</v>
      </c>
      <c r="D5643" s="1" t="str">
        <f>IFERROR(__xludf.DUMMYFUNCTION("CONCATENATE(GOOGLETRANSLATE(C5643, ""en"", ""zh-cn""))"),"汽车和驾驶员蓝牙 FM 发射器通风口安装座")</f>
        <v>汽车和驾驶员蓝牙 FM 发射器通风口安装座</v>
      </c>
      <c r="E5643" s="1" t="str">
        <f>IFERROR(__xludf.DUMMYFUNCTION("CONCATENATE(GOOGLETRANSLATE(C5643, ""en"", ""ko""))"),"자동차 및 운전자 Bluetooth FM 송신기 벤트 마운트")</f>
        <v>자동차 및 운전자 Bluetooth FM 송신기 벤트 마운트</v>
      </c>
      <c r="F5643" s="1" t="str">
        <f>IFERROR(__xludf.DUMMYFUNCTION("CONCATENATE(GOOGLETRANSLATE(C5643, ""en"", ""ja""))"),"車とドライバーの Bluetooth FM トランスミッター ベント マウント")</f>
        <v>車とドライバーの Bluetooth FM トランスミッター ベント マウント</v>
      </c>
    </row>
    <row r="5644" ht="15.75" customHeight="1">
      <c r="A5644" s="1">
        <v>7952.0</v>
      </c>
      <c r="B5644" s="1" t="s">
        <v>15</v>
      </c>
      <c r="C5644" s="1" t="s">
        <v>4719</v>
      </c>
      <c r="D5644" s="1" t="str">
        <f>IFERROR(__xludf.DUMMYFUNCTION("CONCATENATE(GOOGLETRANSLATE(C5644, ""en"", ""zh-cn""))"),"自动驾驶旋转平板电脑支架")</f>
        <v>自动驾驶旋转平板电脑支架</v>
      </c>
      <c r="E5644" s="1" t="str">
        <f>IFERROR(__xludf.DUMMYFUNCTION("CONCATENATE(GOOGLETRANSLATE(C5644, ""en"", ""ko""))"),"자동 드라이브 피벗 태블릿 홀더")</f>
        <v>자동 드라이브 피벗 태블릿 홀더</v>
      </c>
      <c r="F5644" s="1" t="str">
        <f>IFERROR(__xludf.DUMMYFUNCTION("CONCATENATE(GOOGLETRANSLATE(C5644, ""en"", ""ja""))"),"オートドライブピボットタブレットホルダー")</f>
        <v>オートドライブピボットタブレットホルダー</v>
      </c>
    </row>
    <row r="5645" ht="15.75" customHeight="1">
      <c r="A5645" s="1">
        <v>7961.0</v>
      </c>
      <c r="B5645" s="1" t="s">
        <v>15</v>
      </c>
      <c r="C5645" s="1" t="s">
        <v>4720</v>
      </c>
      <c r="D5645" s="1" t="str">
        <f>IFERROR(__xludf.DUMMYFUNCTION("CONCATENATE(GOOGLETRANSLATE(C5645, ""en"", ""zh-cn""))"),"自动效果多功能汽车托盘")</f>
        <v>自动效果多功能汽车托盘</v>
      </c>
      <c r="E5645" s="1" t="str">
        <f>IFERROR(__xludf.DUMMYFUNCTION("CONCATENATE(GOOGLETRANSLATE(C5645, ""en"", ""ko""))"),"자동 효과 다기능 자동차 트레이")</f>
        <v>자동 효과 다기능 자동차 트레이</v>
      </c>
      <c r="F5645" s="1" t="str">
        <f>IFERROR(__xludf.DUMMYFUNCTION("CONCATENATE(GOOGLETRANSLATE(C5645, ""en"", ""ja""))"),"オートエフェクト多機能カートレイ")</f>
        <v>オートエフェクト多機能カートレイ</v>
      </c>
    </row>
    <row r="5646" ht="15.75" customHeight="1">
      <c r="A5646" s="1">
        <v>7974.0</v>
      </c>
      <c r="B5646" s="1" t="s">
        <v>15</v>
      </c>
      <c r="C5646" s="1" t="s">
        <v>4721</v>
      </c>
      <c r="D5646" s="1" t="str">
        <f>IFERROR(__xludf.DUMMYFUNCTION("CONCATENATE(GOOGLETRANSLATE(C5646, ""en"", ""zh-cn""))"),"Armor All Ultra Shine 全面车辆细节设计")</f>
        <v>Armor All Ultra Shine 全面车辆细节设计</v>
      </c>
      <c r="E5646" s="1" t="str">
        <f>IFERROR(__xludf.DUMMYFUNCTION("CONCATENATE(GOOGLETRANSLATE(C5646, ""en"", ""ko""))"),"Armor All Ultra Shine 토탈 차량 디테일러")</f>
        <v>Armor All Ultra Shine 토탈 차량 디테일러</v>
      </c>
      <c r="F5646" s="1" t="str">
        <f>IFERROR(__xludf.DUMMYFUNCTION("CONCATENATE(GOOGLETRANSLATE(C5646, ""en"", ""ja""))"),"アーマーオールウルトラシャイントータルビークルディテイラー")</f>
        <v>アーマーオールウルトラシャイントータルビークルディテイラー</v>
      </c>
    </row>
    <row r="5647" ht="15.75" customHeight="1">
      <c r="A5647" s="1">
        <v>7992.0</v>
      </c>
      <c r="B5647" s="1" t="s">
        <v>15</v>
      </c>
      <c r="C5647" s="1" t="s">
        <v>4722</v>
      </c>
      <c r="D5647" s="1" t="str">
        <f>IFERROR(__xludf.DUMMYFUNCTION("CONCATENATE(GOOGLETRANSLATE(C5647, ""en"", ""zh-cn""))"),"Armor All Extreme 清洁剂车轮和轮胎")</f>
        <v>Armor All Extreme 清洁剂车轮和轮胎</v>
      </c>
      <c r="E5647" s="1" t="str">
        <f>IFERROR(__xludf.DUMMYFUNCTION("CONCATENATE(GOOGLETRANSLATE(C5647, ""en"", ""ko""))"),"Armor All Extreme Cleaner 휠 및 타이어")</f>
        <v>Armor All Extreme Cleaner 휠 및 타이어</v>
      </c>
      <c r="F5647" s="1" t="str">
        <f>IFERROR(__xludf.DUMMYFUNCTION("CONCATENATE(GOOGLETRANSLATE(C5647, ""en"", ""ja""))"),"アーマー オール エクストリーム クリーナー ホイール &amp; タイヤ")</f>
        <v>アーマー オール エクストリーム クリーナー ホイール &amp; タイヤ</v>
      </c>
    </row>
    <row r="5648" ht="15.75" customHeight="1">
      <c r="A5648" s="1">
        <v>7993.0</v>
      </c>
      <c r="B5648" s="1" t="s">
        <v>15</v>
      </c>
      <c r="C5648" s="1" t="s">
        <v>4723</v>
      </c>
      <c r="D5648" s="1" t="str">
        <f>IFERROR(__xludf.DUMMYFUNCTION("CONCATENATE(GOOGLETRANSLATE(C5648, ""en"", ""zh-cn""))"),"Armor All 空气清新剂通风夹 Midnight Air")</f>
        <v>Armor All 空气清新剂通风夹 Midnight Air</v>
      </c>
      <c r="E5648" s="1" t="str">
        <f>IFERROR(__xludf.DUMMYFUNCTION("CONCATENATE(GOOGLETRANSLATE(C5648, ""en"", ""ko""))"),"Armor 모든 공기 청정제 벤트 클립 Midnight Air")</f>
        <v>Armor 모든 공기 청정제 벤트 클립 Midnight Air</v>
      </c>
      <c r="F5648" s="1" t="str">
        <f>IFERROR(__xludf.DUMMYFUNCTION("CONCATENATE(GOOGLETRANSLATE(C5648, ""en"", ""ja""))"),"アーマー オール エアフレッシュナー ベント クリップ ミッドナイト エア")</f>
        <v>アーマー オール エアフレッシュナー ベント クリップ ミッドナイト エア</v>
      </c>
    </row>
    <row r="5649" ht="15.75" customHeight="1">
      <c r="A5649" s="1">
        <v>8003.0</v>
      </c>
      <c r="B5649" s="1" t="s">
        <v>15</v>
      </c>
      <c r="C5649" s="1" t="s">
        <v>4724</v>
      </c>
      <c r="D5649" s="1" t="str">
        <f>IFERROR(__xludf.DUMMYFUNCTION("CONCATENATE(GOOGLETRANSLATE(C5649, ""en"", ""zh-cn""))"),"Armour 所有汽车护理清洁和清洗套件")</f>
        <v>Armour 所有汽车护理清洁和清洗套件</v>
      </c>
      <c r="E5649" s="1" t="str">
        <f>IFERROR(__xludf.DUMMYFUNCTION("CONCATENATE(GOOGLETRANSLATE(C5649, ""en"", ""ko""))"),"Armor 모든 자동차 관리 청소 및 세척 키트")</f>
        <v>Armor 모든 자동차 관리 청소 및 세척 키트</v>
      </c>
      <c r="F5649" s="1" t="str">
        <f>IFERROR(__xludf.DUMMYFUNCTION("CONCATENATE(GOOGLETRANSLATE(C5649, ""en"", ""ja""))"),"Armor All カーケア クリーニングおよび洗浄キット")</f>
        <v>Armor All カーケア クリーニングおよび洗浄キット</v>
      </c>
    </row>
    <row r="5650" ht="15.75" customHeight="1">
      <c r="A5650" s="1">
        <v>8010.0</v>
      </c>
      <c r="B5650" s="1" t="s">
        <v>15</v>
      </c>
      <c r="C5650" s="1" t="s">
        <v>4725</v>
      </c>
      <c r="D5650" s="1" t="str">
        <f>IFERROR(__xludf.DUMMYFUNCTION("CONCATENATE(GOOGLETRANSLATE(C5650, ""en"", ""zh-cn""))"),"佳得乐清凉蓝色解渴剂 28 液量盎司")</f>
        <v>佳得乐清凉蓝色解渴剂 28 液量盎司</v>
      </c>
      <c r="E5650" s="1" t="str">
        <f>IFERROR(__xludf.DUMMYFUNCTION("CONCATENATE(GOOGLETRANSLATE(C5650, ""en"", ""ko""))"),"게토레이 쿨 블루 갈증 해소제 28 fl oz")</f>
        <v>게토레이 쿨 블루 갈증 해소제 28 fl oz</v>
      </c>
      <c r="F5650" s="1" t="str">
        <f>IFERROR(__xludf.DUMMYFUNCTION("CONCATENATE(GOOGLETRANSLATE(C5650, ""en"", ""ja""))"),"ゲータレード クール ブルー サースト クエンチャー 28 液量オンス")</f>
        <v>ゲータレード クール ブルー サースト クエンチャー 28 液量オンス</v>
      </c>
    </row>
    <row r="5651" ht="15.75" customHeight="1">
      <c r="A5651" s="1">
        <v>8013.0</v>
      </c>
      <c r="B5651" s="1" t="s">
        <v>15</v>
      </c>
      <c r="C5651" s="1" t="s">
        <v>4726</v>
      </c>
      <c r="D5651" s="1" t="str">
        <f>IFERROR(__xludf.DUMMYFUNCTION("CONCATENATE(GOOGLETRANSLATE(C5651, ""en"", ""zh-cn""))"),"佳得乐烈性蓝樱桃解渴剂")</f>
        <v>佳得乐烈性蓝樱桃解渴剂</v>
      </c>
      <c r="E5651" s="1" t="str">
        <f>IFERROR(__xludf.DUMMYFUNCTION("CONCATENATE(GOOGLETRANSLATE(C5651, ""en"", ""ko""))"),"게토레이 피어스 블루 체리 갈증 해소제")</f>
        <v>게토레이 피어스 블루 체리 갈증 해소제</v>
      </c>
      <c r="F5651" s="1" t="str">
        <f>IFERROR(__xludf.DUMMYFUNCTION("CONCATENATE(GOOGLETRANSLATE(C5651, ""en"", ""ja""))"),"ゲータレード フィアース ブルーチェリー サースト クエンチャー")</f>
        <v>ゲータレード フィアース ブルーチェリー サースト クエンチャー</v>
      </c>
    </row>
    <row r="5652" ht="15.75" customHeight="1">
      <c r="A5652" s="1">
        <v>8018.0</v>
      </c>
      <c r="B5652" s="1" t="s">
        <v>15</v>
      </c>
      <c r="C5652" s="1" t="s">
        <v>4727</v>
      </c>
      <c r="D5652" s="1" t="str">
        <f>IFERROR(__xludf.DUMMYFUNCTION("CONCATENATE(GOOGLETRANSLATE(C5652, ""en"", ""zh-cn""))"),"Gatorlyte电解质饮料快速补水")</f>
        <v>Gatorlyte电解质饮料快速补水</v>
      </c>
      <c r="E5652" s="1" t="str">
        <f>IFERROR(__xludf.DUMMYFUNCTION("CONCATENATE(GOOGLETRANSLATE(C5652, ""en"", ""ko""))"),"Gatorlyte 전해질 음료 신속한 재수화")</f>
        <v>Gatorlyte 전해질 음료 신속한 재수화</v>
      </c>
      <c r="F5652" s="1" t="str">
        <f>IFERROR(__xludf.DUMMYFUNCTION("CONCATENATE(GOOGLETRANSLATE(C5652, ""en"", ""ja""))"),"Gatorlyte 電解質飲料急速水分補給")</f>
        <v>Gatorlyte 電解質飲料急速水分補給</v>
      </c>
    </row>
    <row r="5653" ht="15.75" customHeight="1">
      <c r="A5653" s="1">
        <v>8028.0</v>
      </c>
      <c r="B5653" s="1" t="s">
        <v>15</v>
      </c>
      <c r="C5653" s="1" t="s">
        <v>4728</v>
      </c>
      <c r="D5653" s="1" t="str">
        <f>IFERROR(__xludf.DUMMYFUNCTION("CONCATENATE(GOOGLETRANSLATE(C5653, ""en"", ""zh-cn""))"),"佳得乐")</f>
        <v>佳得乐</v>
      </c>
      <c r="E5653" s="1" t="str">
        <f>IFERROR(__xludf.DUMMYFUNCTION("CONCATENATE(GOOGLETRANSLATE(C5653, ""en"", ""ko""))"),"게토레이")</f>
        <v>게토레이</v>
      </c>
      <c r="F5653" s="1" t="str">
        <f>IFERROR(__xludf.DUMMYFUNCTION("CONCATENATE(GOOGLETRANSLATE(C5653, ""en"", ""ja""))"),"ゲータレード")</f>
        <v>ゲータレード</v>
      </c>
    </row>
    <row r="5654" ht="15.75" customHeight="1">
      <c r="A5654" s="1">
        <v>8043.0</v>
      </c>
      <c r="B5654" s="1" t="s">
        <v>15</v>
      </c>
      <c r="C5654" s="1" t="s">
        <v>4729</v>
      </c>
      <c r="D5654" s="1" t="str">
        <f>IFERROR(__xludf.DUMMYFUNCTION("CONCATENATE(GOOGLETRANSLATE(C5654, ""en"", ""zh-cn""))"),"佳得乐解渴水爆运动饮料")</f>
        <v>佳得乐解渴水爆运动饮料</v>
      </c>
      <c r="E5654" s="1" t="str">
        <f>IFERROR(__xludf.DUMMYFUNCTION("CONCATENATE(GOOGLETRANSLATE(C5654, ""en"", ""ko""))"),"게토레이 갈증 해소 아쿠아 블래스트 스포츠 음료")</f>
        <v>게토레이 갈증 해소 아쿠아 블래스트 스포츠 음료</v>
      </c>
      <c r="F5654" s="1" t="str">
        <f>IFERROR(__xludf.DUMMYFUNCTION("CONCATENATE(GOOGLETRANSLATE(C5654, ""en"", ""ja""))"),"ゲータレード サースト クエンチャー アクア ブラスト スポーツドリンク")</f>
        <v>ゲータレード サースト クエンチャー アクア ブラスト スポーツドリンク</v>
      </c>
    </row>
    <row r="5655" ht="15.75" customHeight="1">
      <c r="A5655" s="1">
        <v>8059.0</v>
      </c>
      <c r="B5655" s="1" t="s">
        <v>15</v>
      </c>
      <c r="C5655" s="1" t="s">
        <v>4730</v>
      </c>
      <c r="D5655" s="1" t="str">
        <f>IFERROR(__xludf.DUMMYFUNCTION("CONCATENATE(GOOGLETRANSLATE(C5655, ""en"", ""zh-cn""))"),"宴会鸡块超值装 48 盎司")</f>
        <v>宴会鸡块超值装 48 盎司</v>
      </c>
      <c r="E5655" s="1" t="str">
        <f>IFERROR(__xludf.DUMMYFUNCTION("CONCATENATE(GOOGLETRANSLATE(C5655, ""en"", ""ko""))"),"연회용 치킨 너겟 밸류 팩 48온스")</f>
        <v>연회용 치킨 너겟 밸류 팩 48온스</v>
      </c>
      <c r="F5655" s="1" t="str">
        <f>IFERROR(__xludf.DUMMYFUNCTION("CONCATENATE(GOOGLETRANSLATE(C5655, ""en"", ""ja""))"),"バンケットチキンナゲット バリューパック 48オンス")</f>
        <v>バンケットチキンナゲット バリューパック 48オンス</v>
      </c>
    </row>
    <row r="5656" ht="15.75" customHeight="1">
      <c r="A5656" s="1">
        <v>8067.0</v>
      </c>
      <c r="B5656" s="1" t="s">
        <v>15</v>
      </c>
      <c r="C5656" s="1" t="s">
        <v>4731</v>
      </c>
      <c r="D5656" s="1" t="str">
        <f>IFERROR(__xludf.DUMMYFUNCTION("CONCATENATE(GOOGLETRANSLATE(C5656, ""en"", ""zh-cn""))"),"宴会鸡 炸鸡餐")</f>
        <v>宴会鸡 炸鸡餐</v>
      </c>
      <c r="E5656" s="1" t="str">
        <f>IFERROR(__xludf.DUMMYFUNCTION("CONCATENATE(GOOGLETRANSLATE(C5656, ""en"", ""ko""))"),"연회치킨 후라이드치킨 정식")</f>
        <v>연회치킨 후라이드치킨 정식</v>
      </c>
      <c r="F5656" s="1" t="str">
        <f>IFERROR(__xludf.DUMMYFUNCTION("CONCATENATE(GOOGLETRANSLATE(C5656, ""en"", ""ja""))"),"宴会鶏唐揚げ定食")</f>
        <v>宴会鶏唐揚げ定食</v>
      </c>
    </row>
    <row r="5657" ht="15.75" customHeight="1">
      <c r="A5657" s="1">
        <v>8069.0</v>
      </c>
      <c r="B5657" s="1" t="s">
        <v>15</v>
      </c>
      <c r="C5657" s="1" t="s">
        <v>4732</v>
      </c>
      <c r="D5657" s="1" t="str">
        <f>IFERROR(__xludf.DUMMYFUNCTION("CONCATENATE(GOOGLETRANSLATE(C5657, ""en"", ""zh-cn""))"),"宴会西兰花鸡肉饭配奶油酱")</f>
        <v>宴会西兰花鸡肉饭配奶油酱</v>
      </c>
      <c r="E5657" s="1" t="str">
        <f>IFERROR(__xludf.DUMMYFUNCTION("CONCATENATE(GOOGLETRANSLATE(C5657, ""en"", ""ko""))"),"연회 브로콜리 &amp; 크리미 소스 치킨 덮밥")</f>
        <v>연회 브로콜리 &amp; 크리미 소스 치킨 덮밥</v>
      </c>
      <c r="F5657" s="1" t="str">
        <f>IFERROR(__xludf.DUMMYFUNCTION("CONCATENATE(GOOGLETRANSLATE(C5657, ""en"", ""ja""))"),"宴会ブロッコリーとチキンのクリーミーソースかけご飯")</f>
        <v>宴会ブロッコリーとチキンのクリーミーソースかけご飯</v>
      </c>
    </row>
    <row r="5658" ht="15.75" customHeight="1">
      <c r="A5658" s="1">
        <v>8076.0</v>
      </c>
      <c r="B5658" s="1" t="s">
        <v>15</v>
      </c>
      <c r="C5658" s="1" t="s">
        <v>4733</v>
      </c>
      <c r="D5658" s="1" t="str">
        <f>IFERROR(__xludf.DUMMYFUNCTION("CONCATENATE(GOOGLETRANSLATE(C5658, ""en"", ""zh-cn""))"),"宴会大餐无骨炸鸡")</f>
        <v>宴会大餐无骨炸鸡</v>
      </c>
      <c r="E5658" s="1" t="str">
        <f>IFERROR(__xludf.DUMMYFUNCTION("CONCATENATE(GOOGLETRANSLATE(C5658, ""en"", ""ko""))"),"연회 메가한식 순살후라이드치킨")</f>
        <v>연회 메가한식 순살후라이드치킨</v>
      </c>
      <c r="F5658" s="1" t="str">
        <f>IFERROR(__xludf.DUMMYFUNCTION("CONCATENATE(GOOGLETRANSLATE(C5658, ""en"", ""ja""))"),"宴会メガミール 骨なしフライドチキン")</f>
        <v>宴会メガミール 骨なしフライドチキン</v>
      </c>
    </row>
    <row r="5659" ht="15.75" customHeight="1">
      <c r="A5659" s="1">
        <v>8087.0</v>
      </c>
      <c r="B5659" s="1" t="s">
        <v>15</v>
      </c>
      <c r="C5659" s="1" t="s">
        <v>4734</v>
      </c>
      <c r="D5659" s="1" t="str">
        <f>IFERROR(__xludf.DUMMYFUNCTION("CONCATENATE(GOOGLETRANSLATE(C5659, ""en"", ""zh-cn""))"),"野生海鲜拼盘盒")</f>
        <v>野生海鲜拼盘盒</v>
      </c>
      <c r="E5659" s="1" t="str">
        <f>IFERROR(__xludf.DUMMYFUNCTION("CONCATENATE(GOOGLETRANSLATE(C5659, ""en"", ""ko""))"),"야생 콤보 해산물 상자")</f>
        <v>야생 콤보 해산물 상자</v>
      </c>
      <c r="F5659" s="1" t="str">
        <f>IFERROR(__xludf.DUMMYFUNCTION("CONCATENATE(GOOGLETRANSLATE(C5659, ""en"", ""ja""))"),"ワイルドコンボシーフードボックス")</f>
        <v>ワイルドコンボシーフードボックス</v>
      </c>
    </row>
    <row r="5660" ht="15.75" customHeight="1">
      <c r="A5660" s="1">
        <v>8104.0</v>
      </c>
      <c r="B5660" s="1" t="s">
        <v>15</v>
      </c>
      <c r="C5660" s="1" t="s">
        <v>4735</v>
      </c>
      <c r="D5660" s="1" t="str">
        <f>IFERROR(__xludf.DUMMYFUNCTION("CONCATENATE(GOOGLETRANSLATE(C5660, ""en"", ""zh-cn""))"),"宴会家常肉汁和切片白肉火鸡")</f>
        <v>宴会家常肉汁和切片白肉火鸡</v>
      </c>
      <c r="E5660" s="1" t="str">
        <f>IFERROR(__xludf.DUMMYFUNCTION("CONCATENATE(GOOGLETRANSLATE(C5660, ""en"", ""ko""))"),"연회 홈스타일 그레이비 &amp; 얇게 썬 흰 고기 칠면조")</f>
        <v>연회 홈스타일 그레이비 &amp; 얇게 썬 흰 고기 칠면조</v>
      </c>
      <c r="F5660" s="1" t="str">
        <f>IFERROR(__xludf.DUMMYFUNCTION("CONCATENATE(GOOGLETRANSLATE(C5660, ""en"", ""ja""))"),"バンケット ホームスタイル グレービーソースとスライスした白身肉の七面鳥")</f>
        <v>バンケット ホームスタイル グレービーソースとスライスした白身肉の七面鳥</v>
      </c>
    </row>
    <row r="5661" ht="15.75" customHeight="1">
      <c r="A5661" s="1">
        <v>8106.0</v>
      </c>
      <c r="B5661" s="1" t="s">
        <v>15</v>
      </c>
      <c r="C5661" s="1" t="s">
        <v>4736</v>
      </c>
      <c r="D5661" s="1" t="str">
        <f>IFERROR(__xludf.DUMMYFUNCTION("CONCATENATE(GOOGLETRANSLATE(C5661, ""en"", ""zh-cn""))"),"奥马哈牛排海鲜最爱拼盘")</f>
        <v>奥马哈牛排海鲜最爱拼盘</v>
      </c>
      <c r="E5661" s="1" t="str">
        <f>IFERROR(__xludf.DUMMYFUNCTION("CONCATENATE(GOOGLETRANSLATE(C5661, ""en"", ""ko""))"),"오마하 스테이크 해산물 인기 메뉴 모음")</f>
        <v>오마하 스테이크 해산물 인기 메뉴 모음</v>
      </c>
      <c r="F5661" s="1" t="str">
        <f>IFERROR(__xludf.DUMMYFUNCTION("CONCATENATE(GOOGLETRANSLATE(C5661, ""en"", ""ja""))"),"オマハ ステーキ シーフードのお気に入りの詰め合わせ")</f>
        <v>オマハ ステーキ シーフードのお気に入りの詰め合わせ</v>
      </c>
    </row>
    <row r="5662" ht="15.75" customHeight="1">
      <c r="A5662" s="1">
        <v>8107.0</v>
      </c>
      <c r="B5662" s="1" t="s">
        <v>15</v>
      </c>
      <c r="C5662" s="1" t="s">
        <v>4737</v>
      </c>
      <c r="D5662" s="1" t="str">
        <f>IFERROR(__xludf.DUMMYFUNCTION("CONCATENATE(GOOGLETRANSLATE(C5662, ""en"", ""zh-cn""))"),"肉类套餐#2：牛排和香肠盛宴")</f>
        <v>肉类套餐#2：牛排和香肠盛宴</v>
      </c>
      <c r="E5662" s="1" t="str">
        <f>IFERROR(__xludf.DUMMYFUNCTION("CONCATENATE(GOOGLETRANSLATE(C5662, ""en"", ""ko""))"),"고기 패키지 #2: 스테이크와 소시지의 장관")</f>
        <v>고기 패키지 #2: 스테이크와 소시지의 장관</v>
      </c>
      <c r="F5662" s="1" t="str">
        <f>IFERROR(__xludf.DUMMYFUNCTION("CONCATENATE(GOOGLETRANSLATE(C5662, ""en"", ""ja""))"),"肉パッケージ #2​​: ステーキとソーセージのスペクタキュラー")</f>
        <v>肉パッケージ #2​​: ステーキとソーセージのスペクタキュラー</v>
      </c>
    </row>
    <row r="5663" ht="15.75" customHeight="1">
      <c r="A5663" s="1">
        <v>8109.0</v>
      </c>
      <c r="B5663" s="1" t="s">
        <v>15</v>
      </c>
      <c r="C5663" s="1" t="s">
        <v>4738</v>
      </c>
      <c r="D5663" s="1" t="str">
        <f>IFERROR(__xludf.DUMMYFUNCTION("CONCATENATE(GOOGLETRANSLATE(C5663, ""en"", ""zh-cn""))"),"Grumpy Butcher 优质预制餐烟熏牛胸肉和鱼种土豆 6 包")</f>
        <v>Grumpy Butcher 优质预制餐烟熏牛胸肉和鱼种土豆 6 包</v>
      </c>
      <c r="E5663" s="1" t="str">
        <f>IFERROR(__xludf.DUMMYFUNCTION("CONCATENATE(GOOGLETRANSLATE(C5663, ""en"", ""ko""))"),"Grumpy Butcher 프리미엄 준비된 식사 훈제 쇠고기 양지머리 &amp; 핑거링 감자 6팩")</f>
        <v>Grumpy Butcher 프리미엄 준비된 식사 훈제 쇠고기 양지머리 &amp; 핑거링 감자 6팩</v>
      </c>
      <c r="F5663" s="1" t="str">
        <f>IFERROR(__xludf.DUMMYFUNCTION("CONCATENATE(GOOGLETRANSLATE(C5663, ""en"", ""ja""))"),"Grumpy Butcher プレミアム調理済み食事 スモークビーフブリスケット &amp; フィンガーリングポテト 6 パック")</f>
        <v>Grumpy Butcher プレミアム調理済み食事 スモークビーフブリスケット &amp; フィンガーリングポテト 6 パック</v>
      </c>
    </row>
    <row r="5664" ht="15.75" customHeight="1">
      <c r="A5664" s="1">
        <v>8111.0</v>
      </c>
      <c r="B5664" s="1" t="s">
        <v>15</v>
      </c>
      <c r="C5664" s="1" t="s">
        <v>4739</v>
      </c>
      <c r="D5664" s="1" t="str">
        <f>IFERROR(__xludf.DUMMYFUNCTION("CONCATENATE(GOOGLETRANSLATE(C5664, ""en"", ""zh-cn""))"),"太平洋野生海鲜套餐|时令餐桌套餐 - 10 磅当季野生海鲜")</f>
        <v>太平洋野生海鲜套餐|时令餐桌套餐 - 10 磅当季野生海鲜</v>
      </c>
      <c r="E5664" s="1" t="str">
        <f>IFERROR(__xludf.DUMMYFUNCTION("CONCATENATE(GOOGLETRANSLATE(C5664, ""en"", ""ko""))"),"태평양 야생 해산물 패키지 | To-Table 계절 패키지 - 제철 야생 해산물 10파운드")</f>
        <v>태평양 야생 해산물 패키지 | To-Table 계절 패키지 - 제철 야생 해산물 10파운드</v>
      </c>
      <c r="F5664" s="1" t="str">
        <f>IFERROR(__xludf.DUMMYFUNCTION("CONCATENATE(GOOGLETRANSLATE(C5664, ""en"", ""ja""))"),"パシフィックワイルドシーフードパッケージ | To-Table 季節パッケージ - 旬の天然魚介類 10 ポンド")</f>
        <v>パシフィックワイルドシーフードパッケージ | To-Table 季節パッケージ - 旬の天然魚介類 10 ポンド</v>
      </c>
    </row>
    <row r="5665" ht="15.75" customHeight="1">
      <c r="A5665" s="1">
        <v>8119.0</v>
      </c>
      <c r="B5665" s="1" t="s">
        <v>15</v>
      </c>
      <c r="C5665" s="1" t="s">
        <v>4740</v>
      </c>
      <c r="D5665" s="1" t="str">
        <f>IFERROR(__xludf.DUMMYFUNCTION("CONCATENATE(GOOGLETRANSLATE(C5665, ""en"", ""zh-cn""))"),"野猪头 Ovengold 烤火鸡胸肉")</f>
        <v>野猪头 Ovengold 烤火鸡胸肉</v>
      </c>
      <c r="E5665" s="1" t="str">
        <f>IFERROR(__xludf.DUMMYFUNCTION("CONCATENATE(GOOGLETRANSLATE(C5665, ""en"", ""ko""))"),"멧돼지 머리 오븐골드 구운 칠면조 가슴살")</f>
        <v>멧돼지 머리 오븐골드 구운 칠면조 가슴살</v>
      </c>
      <c r="F5665" s="1" t="str">
        <f>IFERROR(__xludf.DUMMYFUNCTION("CONCATENATE(GOOGLETRANSLATE(C5665, ""en"", ""ja""))"),"イノシシの頭のオーブンゴールド七面鳥の胸肉のロースト")</f>
        <v>イノシシの頭のオーブンゴールド七面鳥の胸肉のロースト</v>
      </c>
    </row>
    <row r="5666" ht="15.75" customHeight="1">
      <c r="A5666" s="1">
        <v>8132.0</v>
      </c>
      <c r="B5666" s="1" t="s">
        <v>15</v>
      </c>
      <c r="C5666" s="1" t="s">
        <v>4741</v>
      </c>
      <c r="D5666" s="1" t="str">
        <f>IFERROR(__xludf.DUMMYFUNCTION("CONCATENATE(GOOGLETRANSLATE(C5666, ""en"", ""zh-cn""))"),"（6 件装）超值优质去皮去骨粉红三文鱼，2.5 盎司")</f>
        <v>（6 件装）超值优质去皮去骨粉红三文鱼，2.5 盎司</v>
      </c>
      <c r="E5666" s="1" t="str">
        <f>IFERROR(__xludf.DUMMYFUNCTION("CONCATENATE(GOOGLETRANSLATE(C5666, ""en"", ""ko""))"),"(6팩) 훌륭한 가치의 프리미엄 껍질과 뼈 없는 핑크 연어, 2.5온스")</f>
        <v>(6팩) 훌륭한 가치의 프리미엄 껍질과 뼈 없는 핑크 연어, 2.5온스</v>
      </c>
      <c r="F5666" s="1" t="str">
        <f>IFERROR(__xludf.DUMMYFUNCTION("CONCATENATE(GOOGLETRANSLATE(C5666, ""en"", ""ja""))"),"(6 パック) お買い得なプレミアム スキンレス &amp; ボーンレス ピンク サーモン、2.5 オンス")</f>
        <v>(6 パック) お買い得なプレミアム スキンレス &amp; ボーンレス ピンク サーモン、2.5 オンス</v>
      </c>
    </row>
    <row r="5667" ht="15.75" customHeight="1">
      <c r="A5667" s="1">
        <v>8153.0</v>
      </c>
      <c r="B5667" s="1" t="s">
        <v>15</v>
      </c>
      <c r="C5667" s="1" t="s">
        <v>4742</v>
      </c>
      <c r="D5667" s="1" t="str">
        <f>IFERROR(__xludf.DUMMYFUNCTION("CONCATENATE(GOOGLETRANSLATE(C5667, ""en"", ""zh-cn""))"),"新鲜帝王蟹 - 4.5 磅 ~ 5.5 磅")</f>
        <v>新鲜帝王蟹 - 4.5 磅 ~ 5.5 磅</v>
      </c>
      <c r="E5667" s="1" t="str">
        <f>IFERROR(__xludf.DUMMYFUNCTION("CONCATENATE(GOOGLETRANSLATE(C5667, ""en"", ""ko""))"),"신선한 킹크랩 - 4.5 lb ~ 5.5 lb")</f>
        <v>신선한 킹크랩 - 4.5 lb ~ 5.5 lb</v>
      </c>
      <c r="F5667" s="1" t="str">
        <f>IFERROR(__xludf.DUMMYFUNCTION("CONCATENATE(GOOGLETRANSLATE(C5667, ""en"", ""ja""))"),"新鮮タラバガニ - 4.5ポンド～5.5ポンド")</f>
        <v>新鮮タラバガニ - 4.5ポンド～5.5ポンド</v>
      </c>
    </row>
    <row r="5668" ht="15.75" customHeight="1">
      <c r="A5668" s="1">
        <v>8154.0</v>
      </c>
      <c r="B5668" s="1" t="s">
        <v>15</v>
      </c>
      <c r="C5668" s="1" t="s">
        <v>4743</v>
      </c>
      <c r="D5668" s="1" t="str">
        <f>IFERROR(__xludf.DUMMYFUNCTION("CONCATENATE(GOOGLETRANSLATE(C5668, ""en"", ""zh-cn""))"),"海鲜混合 5 磅。")</f>
        <v>海鲜混合 5 磅。</v>
      </c>
      <c r="E5668" s="1" t="str">
        <f>IFERROR(__xludf.DUMMYFUNCTION("CONCATENATE(GOOGLETRANSLATE(C5668, ""en"", ""ko""))"),"해산물 믹스 5 Lb.")</f>
        <v>해산물 믹스 5 Lb.</v>
      </c>
      <c r="F5668" s="1" t="str">
        <f>IFERROR(__xludf.DUMMYFUNCTION("CONCATENATE(GOOGLETRANSLATE(C5668, ""en"", ""ja""))"),"シーフードミックス 5ポンド")</f>
        <v>シーフードミックス 5ポンド</v>
      </c>
    </row>
    <row r="5669" ht="15.75" customHeight="1">
      <c r="A5669" s="1">
        <v>8157.0</v>
      </c>
      <c r="B5669" s="1" t="s">
        <v>15</v>
      </c>
      <c r="C5669" s="1" t="s">
        <v>4744</v>
      </c>
      <c r="D5669" s="1" t="str">
        <f>IFERROR(__xludf.DUMMYFUNCTION("CONCATENATE(GOOGLETRANSLATE(C5669, ""en"", ""zh-cn""))"),"克里奥尔食品路易斯安那州小龙虾尾肉")</f>
        <v>克里奥尔食品路易斯安那州小龙虾尾肉</v>
      </c>
      <c r="E5669" s="1" t="str">
        <f>IFERROR(__xludf.DUMMYFUNCTION("CONCATENATE(GOOGLETRANSLATE(C5669, ""en"", ""ko""))"),"크리올 식품 루이지애나 가재 꼬리 고기")</f>
        <v>크리올 식품 루이지애나 가재 꼬리 고기</v>
      </c>
      <c r="F5669" s="1" t="str">
        <f>IFERROR(__xludf.DUMMYFUNCTION("CONCATENATE(GOOGLETRANSLATE(C5669, ""en"", ""ja""))"),"Creole Foods ルイジアナ州ザリガニ尾肉")</f>
        <v>Creole Foods ルイジアナ州ザリガニ尾肉</v>
      </c>
    </row>
    <row r="5670" ht="15.75" customHeight="1">
      <c r="A5670" s="1">
        <v>8158.0</v>
      </c>
      <c r="B5670" s="1" t="s">
        <v>15</v>
      </c>
      <c r="C5670" s="1" t="s">
        <v>4745</v>
      </c>
      <c r="D5670" s="1" t="str">
        <f>IFERROR(__xludf.DUMMYFUNCTION("CONCATENATE(GOOGLETRANSLATE(C5670, ""en"", ""zh-cn""))"),"大城市新鲜碎牛肉 8 盎司 24 每箱")</f>
        <v>大城市新鲜碎牛肉 8 盎司 24 每箱</v>
      </c>
      <c r="E5670" s="1" t="str">
        <f>IFERROR(__xludf.DUMMYFUNCTION("CONCATENATE(GOOGLETRANSLATE(C5670, ""en"", ""ko""))"),"대도시 신선한 다진 소고기 8온스 케이스당 24개")</f>
        <v>대도시 신선한 다진 소고기 8온스 케이스당 24개</v>
      </c>
      <c r="F5670" s="1" t="str">
        <f>IFERROR(__xludf.DUMMYFUNCTION("CONCATENATE(GOOGLETRANSLATE(C5670, ""en"", ""ja""))"),"ビッグシティ フレッシュグラウンドビーフ 8オンス 24個/ケース")</f>
        <v>ビッグシティ フレッシュグラウンドビーフ 8オンス 24個/ケース</v>
      </c>
    </row>
    <row r="5671" ht="15.75" customHeight="1">
      <c r="A5671" s="1">
        <v>8178.0</v>
      </c>
      <c r="B5671" s="1" t="s">
        <v>15</v>
      </c>
      <c r="C5671" s="1" t="s">
        <v>4746</v>
      </c>
      <c r="D5671" s="1" t="str">
        <f>IFERROR(__xludf.DUMMYFUNCTION("CONCATENATE(GOOGLETRANSLATE(C5671, ""en"", ""zh-cn""))"),"Dowinx 游戏椅面料，带袋装弹簧垫，高背人体工学电脑椅，带脚凳，适合成人，按摩腰部支撑旋转")</f>
        <v>Dowinx 游戏椅面料，带袋装弹簧垫，高背人体工学电脑椅，带脚凳，适合成人，按摩腰部支撑旋转</v>
      </c>
      <c r="E5671" s="1" t="str">
        <f>IFERROR(__xludf.DUMMYFUNCTION("CONCATENATE(GOOGLETRANSLATE(C5671, ""en"", ""ko""))"),"포켓 스프링 쿠션이 있는 Dowinx 게이밍 의자 패브릭, 성인용 발판이 있는 하이 백 인체공학적 컴퓨터 의자, 마사지 요추 지지대 회전")</f>
        <v>포켓 스프링 쿠션이 있는 Dowinx 게이밍 의자 패브릭, 성인용 발판이 있는 하이 백 인체공학적 컴퓨터 의자, 마사지 요추 지지대 회전</v>
      </c>
      <c r="F5671" s="1" t="str">
        <f>IFERROR(__xludf.DUMMYFUNCTION("CONCATENATE(GOOGLETRANSLATE(C5671, ""en"", ""ja""))"),"Dowinx ゲーミングチェア生地、ポケットスプリングクッション付き、大人用フットレスト付きハイバック人間工学に基づいたコンピュータチェア、マッサージランバーサポートスイベル")</f>
        <v>Dowinx ゲーミングチェア生地、ポケットスプリングクッション付き、大人用フットレスト付きハイバック人間工学に基づいたコンピュータチェア、マッサージランバーサポートスイベル</v>
      </c>
    </row>
    <row r="5672" ht="15.75" customHeight="1">
      <c r="A5672" s="1">
        <v>8194.0</v>
      </c>
      <c r="B5672" s="1" t="s">
        <v>15</v>
      </c>
      <c r="C5672" s="1" t="s">
        <v>4747</v>
      </c>
      <c r="D5672" s="1" t="str">
        <f>IFERROR(__xludf.DUMMYFUNCTION("CONCATENATE(GOOGLETRANSLATE(C5672, ""en"", ""zh-cn""))"),"Dowinx 游戏椅带脚凳、符合人体工程学的成人按摩游戏椅、带按摩腰部支撑的重型 PC 电脑椅、可调节靠背")</f>
        <v>Dowinx 游戏椅带脚凳、符合人体工程学的成人按摩游戏椅、带按摩腰部支撑的重型 PC 电脑椅、可调节靠背</v>
      </c>
      <c r="E5672" s="1" t="str">
        <f>IFERROR(__xludf.DUMMYFUNCTION("CONCATENATE(GOOGLETRANSLATE(C5672, ""en"", ""ko""))"),"발판이 있는 Dowinx 게임 의자, 성인용 인체 공학적 마사지 게임 의자, 마사지 요추 지지대가 있는 견고한 PC 컴퓨터 의자, 조정 가능한 Recli")</f>
        <v>발판이 있는 Dowinx 게임 의자, 성인용 인체 공학적 마사지 게임 의자, 마사지 요추 지지대가 있는 견고한 PC 컴퓨터 의자, 조정 가능한 Recli</v>
      </c>
      <c r="F5672" s="1" t="str">
        <f>IFERROR(__xludf.DUMMYFUNCTION("CONCATENATE(GOOGLETRANSLATE(C5672, ""en"", ""ja""))"),"Dowinx フットレスト付きゲーミングチェア、大人用人間工学に基づいたマッサージゲームチェア、マッサージランバーサポート付き高耐久PCコンピュータチェア、調節可能なリクライニング")</f>
        <v>Dowinx フットレスト付きゲーミングチェア、大人用人間工学に基づいたマッサージゲームチェア、マッサージランバーサポート付き高耐久PCコンピュータチェア、調節可能なリクライニング</v>
      </c>
    </row>
    <row r="5673" ht="15.75" customHeight="1">
      <c r="A5673" s="1">
        <v>8200.0</v>
      </c>
      <c r="B5673" s="1" t="s">
        <v>15</v>
      </c>
      <c r="C5673" s="1" t="s">
        <v>4748</v>
      </c>
      <c r="D5673" s="1" t="str">
        <f>IFERROR(__xludf.DUMMYFUNCTION("CONCATENATE(GOOGLETRANSLATE(C5673, ""en"", ""zh-cn""))"),"Dowinx 游戏椅，带袋装弹簧垫，符合人体工程学的电脑椅，带脚踏和腰部支撑，适用于办公室或游戏，黑色和白色")</f>
        <v>Dowinx 游戏椅，带袋装弹簧垫，符合人体工程学的电脑椅，带脚踏和腰部支撑，适用于办公室或游戏，黑色和白色</v>
      </c>
      <c r="E5673" s="1" t="str">
        <f>IFERROR(__xludf.DUMMYFUNCTION("CONCATENATE(GOOGLETRANSLATE(C5673, ""en"", ""ko""))"),"포켓 스프링 쿠션이 포함된 Dowinx 게임용 의자, 사무실 또는 게임용 발판 및 요추 지지대가 있는 인체공학적 컴퓨터 의자, 흑백")</f>
        <v>포켓 스프링 쿠션이 포함된 Dowinx 게임용 의자, 사무실 또는 게임용 발판 및 요추 지지대가 있는 인체공학적 컴퓨터 의자, 흑백</v>
      </c>
      <c r="F5673" s="1" t="str">
        <f>IFERROR(__xludf.DUMMYFUNCTION("CONCATENATE(GOOGLETRANSLATE(C5673, ""en"", ""ja""))"),"Dowinx ゲーミングチェア ポケットスプリングクッション付き 人間工学に基づいたコンピュータチェア フットレストとランバーサポート付き オフィスやゲーム用 ブラック＆ホワイト")</f>
        <v>Dowinx ゲーミングチェア ポケットスプリングクッション付き 人間工学に基づいたコンピュータチェア フットレストとランバーサポート付き オフィスやゲーム用 ブラック＆ホワイト</v>
      </c>
    </row>
    <row r="5674" ht="15.75" customHeight="1">
      <c r="A5674" s="1">
        <v>8209.0</v>
      </c>
      <c r="B5674" s="1" t="s">
        <v>15</v>
      </c>
      <c r="C5674" s="1" t="s">
        <v>4749</v>
      </c>
      <c r="D5674" s="1" t="str">
        <f>IFERROR(__xludf.DUMMYFUNCTION("CONCATENATE(GOOGLETRANSLATE(C5674, ""en"", ""zh-cn""))"),"PRX 折叠式 ONE 机架")</f>
        <v>PRX 折叠式 ONE 机架</v>
      </c>
      <c r="E5674" s="1" t="str">
        <f>IFERROR(__xludf.DUMMYFUNCTION("CONCATENATE(GOOGLETRANSLATE(C5674, ""en"", ""ko""))"),"PRX 접이식 1개 랙")</f>
        <v>PRX 접이식 1개 랙</v>
      </c>
      <c r="F5674" s="1" t="str">
        <f>IFERROR(__xludf.DUMMYFUNCTION("CONCATENATE(GOOGLETRANSLATE(C5674, ""en"", ""ja""))"),"PRX 折りたたみ式 ONE ラック")</f>
        <v>PRX 折りたたみ式 ONE ラック</v>
      </c>
    </row>
    <row r="5675" ht="15.75" customHeight="1">
      <c r="A5675" s="1">
        <v>8211.0</v>
      </c>
      <c r="B5675" s="1" t="s">
        <v>15</v>
      </c>
      <c r="C5675" s="1" t="s">
        <v>4750</v>
      </c>
      <c r="D5675" s="1" t="str">
        <f>IFERROR(__xludf.DUMMYFUNCTION("CONCATENATE(GOOGLETRANSLATE(C5675, ""en"", ""zh-cn""))"),"FitterFirst Pro Fitter 3D 交叉训练机")</f>
        <v>FitterFirst Pro Fitter 3D 交叉训练机</v>
      </c>
      <c r="E5675" s="1" t="str">
        <f>IFERROR(__xludf.DUMMYFUNCTION("CONCATENATE(GOOGLETRANSLATE(C5675, ""en"", ""ko""))"),"FitterFirst Pro Fitter 3D 크로스 트레이너")</f>
        <v>FitterFirst Pro Fitter 3D 크로스 트레이너</v>
      </c>
      <c r="F5675" s="1" t="str">
        <f>IFERROR(__xludf.DUMMYFUNCTION("CONCATENATE(GOOGLETRANSLATE(C5675, ""en"", ""ja""))"),"FitterFirst プロフィッター 3D クロストレーナー")</f>
        <v>FitterFirst プロフィッター 3D クロストレーナー</v>
      </c>
    </row>
    <row r="5676" ht="15.75" customHeight="1">
      <c r="A5676" s="1">
        <v>8218.0</v>
      </c>
      <c r="B5676" s="1" t="s">
        <v>15</v>
      </c>
      <c r="C5676" s="1" t="s">
        <v>4751</v>
      </c>
      <c r="D5676" s="1" t="str">
        <f>IFERROR(__xludf.DUMMYFUNCTION("CONCATENATE(GOOGLETRANSLATE(C5676, ""en"", ""zh-cn""))"),"Titan 健身壁挂式和机架式滑轮塔")</f>
        <v>Titan 健身壁挂式和机架式滑轮塔</v>
      </c>
      <c r="E5676" s="1" t="str">
        <f>IFERROR(__xludf.DUMMYFUNCTION("CONCATENATE(GOOGLETRANSLATE(C5676, ""en"", ""ko""))"),"Titan Fitness 벽걸이형 및 랙 장착형 도르래 타워")</f>
        <v>Titan Fitness 벽걸이형 및 랙 장착형 도르래 타워</v>
      </c>
      <c r="F5676" s="1" t="str">
        <f>IFERROR(__xludf.DUMMYFUNCTION("CONCATENATE(GOOGLETRANSLATE(C5676, ""en"", ""ja""))"),"Titan Fitness 壁およびラックマウントプーリータワー")</f>
        <v>Titan Fitness 壁およびラックマウントプーリータワー</v>
      </c>
    </row>
    <row r="5677" ht="15.75" customHeight="1">
      <c r="A5677" s="1">
        <v>8221.0</v>
      </c>
      <c r="B5677" s="1" t="s">
        <v>15</v>
      </c>
      <c r="C5677" s="1" t="s">
        <v>4752</v>
      </c>
      <c r="D5677" s="1" t="str">
        <f>IFERROR(__xludf.DUMMYFUNCTION("CONCATENATE(GOOGLETRANSLATE(C5677, ""en"", ""zh-cn""))"),"PRX 性能家庭健身器材套装 Indy Prime 套装")</f>
        <v>PRX 性能家庭健身器材套装 Indy Prime 套装</v>
      </c>
      <c r="E5677" s="1" t="str">
        <f>IFERROR(__xludf.DUMMYFUNCTION("CONCATENATE(GOOGLETRANSLATE(C5677, ""en"", ""ko""))"),"PRX Performance 홈 체육관 장비 세트 Indy Prime 패키지")</f>
        <v>PRX Performance 홈 체육관 장비 세트 Indy Prime 패키지</v>
      </c>
      <c r="F5677" s="1" t="str">
        <f>IFERROR(__xludf.DUMMYFUNCTION("CONCATENATE(GOOGLETRANSLATE(C5677, ""en"", ""ja""))"),"PRX パフォーマンス ホームジム機器セット Indy Prime パッケージ")</f>
        <v>PRX パフォーマンス ホームジム機器セット Indy Prime パッケージ</v>
      </c>
    </row>
    <row r="5678" ht="15.75" customHeight="1">
      <c r="A5678" s="1">
        <v>8225.0</v>
      </c>
      <c r="B5678" s="1" t="s">
        <v>15</v>
      </c>
      <c r="C5678" s="1" t="s">
        <v>4753</v>
      </c>
      <c r="D5678" s="1" t="str">
        <f>IFERROR(__xludf.DUMMYFUNCTION("CONCATENATE(GOOGLETRANSLATE(C5678, ""en"", ""zh-cn""))"),"Titan Fitness 3 合 1 重型泡沫增强式训练盒")</f>
        <v>Titan Fitness 3 合 1 重型泡沫增强式训练盒</v>
      </c>
      <c r="E5678" s="1" t="str">
        <f>IFERROR(__xludf.DUMMYFUNCTION("CONCATENATE(GOOGLETRANSLATE(C5678, ""en"", ""ko""))"),"Titan Fitness 3-In-1 헤비 폼 ​​플라이오메트릭 박스")</f>
        <v>Titan Fitness 3-In-1 헤비 폼 ​​플라이오메트릭 박스</v>
      </c>
      <c r="F5678" s="1" t="str">
        <f>IFERROR(__xludf.DUMMYFUNCTION("CONCATENATE(GOOGLETRANSLATE(C5678, ""en"", ""ja""))"),"Titan Fitness 3-In-1 ヘビーフォームプライオメトリックボックス")</f>
        <v>Titan Fitness 3-In-1 ヘビーフォームプライオメトリックボックス</v>
      </c>
    </row>
    <row r="5679" ht="15.75" customHeight="1">
      <c r="A5679" s="1">
        <v>8226.0</v>
      </c>
      <c r="B5679" s="1" t="s">
        <v>15</v>
      </c>
      <c r="C5679" s="1" t="s">
        <v>4754</v>
      </c>
      <c r="D5679" s="1" t="str">
        <f>IFERROR(__xludf.DUMMYFUNCTION("CONCATENATE(GOOGLETRANSLATE(C5679, ""en"", ""zh-cn""))"),"PRX Performance 情侣精英套餐家庭健身器材套装")</f>
        <v>PRX Performance 情侣精英套餐家庭健身器材套装</v>
      </c>
      <c r="E5679" s="1" t="str">
        <f>IFERROR(__xludf.DUMMYFUNCTION("CONCATENATE(GOOGLETRANSLATE(C5679, ""en"", ""ko""))"),"PRX 퍼포먼스 커플의 엘리트 패키지 홈 체육관 장비 세트")</f>
        <v>PRX 퍼포먼스 커플의 엘리트 패키지 홈 체육관 장비 세트</v>
      </c>
      <c r="F5679" s="1" t="str">
        <f>IFERROR(__xludf.DUMMYFUNCTION("CONCATENATE(GOOGLETRANSLATE(C5679, ""en"", ""ja""))"),"PRX パフォーマンス カップル エリート パッケージ ホームジム機器セット")</f>
        <v>PRX パフォーマンス カップル エリート パッケージ ホームジム機器セット</v>
      </c>
    </row>
    <row r="5680" ht="15.75" customHeight="1">
      <c r="A5680" s="1">
        <v>8230.0</v>
      </c>
      <c r="B5680" s="1" t="s">
        <v>15</v>
      </c>
      <c r="C5680" s="1" t="s">
        <v>4755</v>
      </c>
      <c r="D5680" s="1" t="str">
        <f>IFERROR(__xludf.DUMMYFUNCTION("CONCATENATE(GOOGLETRANSLATE(C5680, ""en"", ""zh-cn""))"),"FITT Curve 多合一充气健身系统")</f>
        <v>FITT Curve 多合一充气健身系统</v>
      </c>
      <c r="E5680" s="1" t="str">
        <f>IFERROR(__xludf.DUMMYFUNCTION("CONCATENATE(GOOGLETRANSLATE(C5680, ""en"", ""ko""))"),"FITT Curve 올인원 팽창식 운동 시스템")</f>
        <v>FITT Curve 올인원 팽창식 운동 시스템</v>
      </c>
      <c r="F5680" s="1" t="str">
        <f>IFERROR(__xludf.DUMMYFUNCTION("CONCATENATE(GOOGLETRANSLATE(C5680, ""en"", ""ja""))"),"FITT Curve オールインワン インフレータブル ワークアウト システム")</f>
        <v>FITT Curve オールインワン インフレータブル ワークアウト システム</v>
      </c>
    </row>
    <row r="5681" ht="15.75" customHeight="1">
      <c r="A5681" s="1">
        <v>8240.0</v>
      </c>
      <c r="B5681" s="1" t="s">
        <v>15</v>
      </c>
      <c r="C5681" s="1" t="s">
        <v>4756</v>
      </c>
      <c r="D5681" s="1" t="str">
        <f>IFERROR(__xludf.DUMMYFUNCTION("CONCATENATE(GOOGLETRANSLATE(C5681, ""en"", ""zh-cn""))"),"新形象中性 FITT Cube 全身锻炼 HIIT 机")</f>
        <v>新形象中性 FITT Cube 全身锻炼 HIIT 机</v>
      </c>
      <c r="E5681" s="1" t="str">
        <f>IFERROR(__xludf.DUMMYFUNCTION("CONCATENATE(GOOGLETRANSLATE(C5681, ""en"", ""ko""))"),"새로운 이미지 남여공용 FITT 큐브 전신 운동 HIIT 머신")</f>
        <v>새로운 이미지 남여공용 FITT 큐브 전신 운동 HIIT 머신</v>
      </c>
      <c r="F5681" s="1" t="str">
        <f>IFERROR(__xludf.DUMMYFUNCTION("CONCATENATE(GOOGLETRANSLATE(C5681, ""en"", ""ja""))"),"新しい画像 ユニセックス FITT Cube トータル ボディ トレーニング HIIT マシン")</f>
        <v>新しい画像 ユニセックス FITT Cube トータル ボディ トレーニング HIIT マシン</v>
      </c>
    </row>
    <row r="5682" ht="15.75" customHeight="1">
      <c r="A5682" s="1">
        <v>8257.0</v>
      </c>
      <c r="B5682" s="1" t="s">
        <v>15</v>
      </c>
      <c r="C5682" s="1" t="s">
        <v>4757</v>
      </c>
      <c r="D5682" s="1" t="str">
        <f>IFERROR(__xludf.DUMMYFUNCTION("CONCATENATE(GOOGLETRANSLATE(C5682, ""en"", ""zh-cn""))"),"Fitvids LX770 多功能全套家用健身系统锻炼站")</f>
        <v>Fitvids LX770 多功能全套家用健身系统锻炼站</v>
      </c>
      <c r="E5682" s="1" t="str">
        <f>IFERROR(__xludf.DUMMYFUNCTION("CONCATENATE(GOOGLETRANSLATE(C5682, ""en"", ""ko""))"),"Fitvids LX770 다기능 풀 홈 체육관 시스템 운동 스테이션")</f>
        <v>Fitvids LX770 다기능 풀 홈 체육관 시스템 운동 스테이션</v>
      </c>
      <c r="F5682" s="1" t="str">
        <f>IFERROR(__xludf.DUMMYFUNCTION("CONCATENATE(GOOGLETRANSLATE(C5682, ""en"", ""ja""))"),"Fitvids LX770 多機能フルホームジムシステムワークアウトステーション")</f>
        <v>Fitvids LX770 多機能フルホームジムシステムワークアウトステーション</v>
      </c>
    </row>
    <row r="5683" ht="15.75" customHeight="1">
      <c r="A5683" s="1">
        <v>8261.0</v>
      </c>
      <c r="B5683" s="1" t="s">
        <v>15</v>
      </c>
      <c r="C5683" s="1" t="s">
        <v>4758</v>
      </c>
      <c r="D5683" s="1" t="str">
        <f>IFERROR(__xludf.DUMMYFUNCTION("CONCATENATE(GOOGLETRANSLATE(C5683, ""en"", ""zh-cn""))"),"Total Gym Fit Signature 系列增强版")</f>
        <v>Total Gym Fit Signature 系列增强版</v>
      </c>
      <c r="E5683" s="1" t="str">
        <f>IFERROR(__xludf.DUMMYFUNCTION("CONCATENATE(GOOGLETRANSLATE(C5683, ""en"", ""ko""))"),"토탈 짐 핏 시그니처 시리즈 플러스")</f>
        <v>토탈 짐 핏 시그니처 시리즈 플러스</v>
      </c>
      <c r="F5683" s="1" t="str">
        <f>IFERROR(__xludf.DUMMYFUNCTION("CONCATENATE(GOOGLETRANSLATE(C5683, ""en"", ""ja""))"),"トータルジムフィット シグネチャー シリーズ プラス")</f>
        <v>トータルジムフィット シグネチャー シリーズ プラス</v>
      </c>
    </row>
    <row r="5684" ht="15.75" customHeight="1">
      <c r="A5684" s="1">
        <v>8271.0</v>
      </c>
      <c r="B5684" s="1" t="s">
        <v>15</v>
      </c>
      <c r="C5684" s="1" t="s">
        <v>4759</v>
      </c>
      <c r="D5684" s="1" t="str">
        <f>IFERROR(__xludf.DUMMYFUNCTION("CONCATENATE(GOOGLETRANSLATE(C5684, ""en"", ""zh-cn""))"),"Fitvids 重型可调节和可折叠实用举重凳")</f>
        <v>Fitvids 重型可调节和可折叠实用举重凳</v>
      </c>
      <c r="E5684" s="1" t="str">
        <f>IFERROR(__xludf.DUMMYFUNCTION("CONCATENATE(GOOGLETRANSLATE(C5684, ""en"", ""ko""))"),"Fitvids 헤비듀티 조절 및 접이식 유틸리티 웨이트 벤치")</f>
        <v>Fitvids 헤비듀티 조절 및 접이식 유틸리티 웨이트 벤치</v>
      </c>
      <c r="F5684" s="1" t="str">
        <f>IFERROR(__xludf.DUMMYFUNCTION("CONCATENATE(GOOGLETRANSLATE(C5684, ""en"", ""ja""))"),"Fitvids 高耐久の調節可能で折りたたみ可能なユーティリティ ウェイト ベンチ")</f>
        <v>Fitvids 高耐久の調節可能で折りたたみ可能なユーティリティ ウェイト ベンチ</v>
      </c>
    </row>
    <row r="5685" ht="15.75" customHeight="1">
      <c r="A5685" s="1">
        <v>8289.0</v>
      </c>
      <c r="B5685" s="1" t="s">
        <v>15</v>
      </c>
      <c r="C5685" s="1" t="s">
        <v>4760</v>
      </c>
      <c r="D5685" s="1" t="str">
        <f>IFERROR(__xludf.DUMMYFUNCTION("CONCATENATE(GOOGLETRANSLATE(C5685, ""en"", ""zh-cn""))"),"彩虹桉树种子")</f>
        <v>彩虹桉树种子</v>
      </c>
      <c r="E5685" s="1" t="str">
        <f>IFERROR(__xludf.DUMMYFUNCTION("CONCATENATE(GOOGLETRANSLATE(C5685, ""en"", ""ko""))"),"무지개 유칼립투스 나무 씨앗")</f>
        <v>무지개 유칼립투스 나무 씨앗</v>
      </c>
      <c r="F5685" s="1" t="str">
        <f>IFERROR(__xludf.DUMMYFUNCTION("CONCATENATE(GOOGLETRANSLATE(C5685, ""en"", ""ja""))"),"レインボーユーカリの木の種")</f>
        <v>レインボーユーカリの木の種</v>
      </c>
    </row>
    <row r="5686" ht="15.75" customHeight="1">
      <c r="A5686" s="1">
        <v>8303.0</v>
      </c>
      <c r="B5686" s="1" t="s">
        <v>15</v>
      </c>
      <c r="C5686" s="1" t="s">
        <v>4761</v>
      </c>
      <c r="D5686" s="1" t="str">
        <f>IFERROR(__xludf.DUMMYFUNCTION("CONCATENATE(GOOGLETRANSLATE(C5686, ""en"", ""zh-cn""))"),"金雨树绽放更灿烂")</f>
        <v>金雨树绽放更灿烂</v>
      </c>
      <c r="E5686" s="1" t="str">
        <f>IFERROR(__xludf.DUMMYFUNCTION("CONCATENATE(GOOGLETRANSLATE(C5686, ""en"", ""ko""))"),"더 밝게 피어나는 황금빛 레인트리")</f>
        <v>더 밝게 피어나는 황금빛 레인트리</v>
      </c>
      <c r="F5686" s="1" t="str">
        <f>IFERROR(__xludf.DUMMYFUNCTION("CONCATENATE(GOOGLETRANSLATE(C5686, ""en"", ""ja""))"),"より明るく咲くゴールデンレインツリー")</f>
        <v>より明るく咲くゴールデンレインツリー</v>
      </c>
    </row>
    <row r="5687" ht="15.75" customHeight="1">
      <c r="A5687" s="1">
        <v>8307.0</v>
      </c>
      <c r="B5687" s="1" t="s">
        <v>15</v>
      </c>
      <c r="C5687" s="1" t="s">
        <v>4762</v>
      </c>
      <c r="D5687" s="1" t="str">
        <f>IFERROR(__xludf.DUMMYFUNCTION("CONCATENATE(GOOGLETRANSLATE(C5687, ""en"", ""zh-cn""))"),"CZ Grain 40 悦榕庄植物种子")</f>
        <v>CZ Grain 40 悦榕庄植物种子</v>
      </c>
      <c r="E5687" s="1" t="str">
        <f>IFERROR(__xludf.DUMMYFUNCTION("CONCATENATE(GOOGLETRANSLATE(C5687, ""en"", ""ko""))"),"CZ 곡물 40 반얀나무 식물 씨앗")</f>
        <v>CZ 곡물 40 반얀나무 식물 씨앗</v>
      </c>
      <c r="F5687" s="1" t="str">
        <f>IFERROR(__xludf.DUMMYFUNCTION("CONCATENATE(GOOGLETRANSLATE(C5687, ""en"", ""ja""))"),"CZ グレイン 40 ガジュマルの木の種子")</f>
        <v>CZ グレイン 40 ガジュマルの木の種子</v>
      </c>
    </row>
    <row r="5688" ht="15.75" customHeight="1">
      <c r="A5688" s="1">
        <v>8313.0</v>
      </c>
      <c r="B5688" s="1" t="s">
        <v>15</v>
      </c>
      <c r="C5688" s="1" t="s">
        <v>4763</v>
      </c>
      <c r="D5688" s="1" t="str">
        <f>IFERROR(__xludf.DUMMYFUNCTION("CONCATENATE(GOOGLETRANSLATE(C5688, ""en"", ""zh-cn""))"),"加拿大铁杉树绽放更明亮")</f>
        <v>加拿大铁杉树绽放更明亮</v>
      </c>
      <c r="E5688" s="1" t="str">
        <f>IFERROR(__xludf.DUMMYFUNCTION("CONCATENATE(GOOGLETRANSLATE(C5688, ""en"", ""ko""))"),"더 밝은 꽃이 핀 캐나다 헴록 나무")</f>
        <v>더 밝은 꽃이 핀 캐나다 헴록 나무</v>
      </c>
      <c r="F5688" s="1" t="str">
        <f>IFERROR(__xludf.DUMMYFUNCTION("CONCATENATE(GOOGLETRANSLATE(C5688, ""en"", ""ja""))"),"より明るく咲くカナダツガの木")</f>
        <v>より明るく咲くカナダツガの木</v>
      </c>
    </row>
    <row r="5689" ht="15.75" customHeight="1">
      <c r="A5689" s="1">
        <v>8318.0</v>
      </c>
      <c r="B5689" s="1" t="s">
        <v>15</v>
      </c>
      <c r="C5689" s="1" t="s">
        <v>4764</v>
      </c>
      <c r="D5689" s="1" t="str">
        <f>IFERROR(__xludf.DUMMYFUNCTION("CONCATENATE(GOOGLETRANSLATE(C5689, ""en"", ""zh-cn""))"),"护理套件 Growscripts 果园树护理套件")</f>
        <v>护理套件 Growscripts 果园树护理套件</v>
      </c>
      <c r="E5689" s="1" t="str">
        <f>IFERROR(__xludf.DUMMYFUNCTION("CONCATENATE(GOOGLETRANSLATE(C5689, ""en"", ""ko""))"),"케어 키트 Growscripts 과수원 케어 키트")</f>
        <v>케어 키트 Growscripts 과수원 케어 키트</v>
      </c>
      <c r="F5689" s="1" t="str">
        <f>IFERROR(__xludf.DUMMYFUNCTION("CONCATENATE(GOOGLETRANSLATE(C5689, ""en"", ""ja""))"),"ケア キット Growscripts オーチャード ツリー ケア キット")</f>
        <v>ケア キット Growscripts オーチャード ツリー ケア キット</v>
      </c>
    </row>
    <row r="5690" ht="15.75" customHeight="1">
      <c r="A5690" s="1">
        <v>8319.0</v>
      </c>
      <c r="B5690" s="1" t="s">
        <v>15</v>
      </c>
      <c r="C5690" s="1" t="s">
        <v>4765</v>
      </c>
      <c r="D5690" s="1" t="str">
        <f>IFERROR(__xludf.DUMMYFUNCTION("CONCATENATE(GOOGLETRANSLATE(C5690, ""en"", ""zh-cn""))"),"苏铁树种子")</f>
        <v>苏铁树种子</v>
      </c>
      <c r="E5690" s="1" t="str">
        <f>IFERROR(__xludf.DUMMYFUNCTION("CONCATENATE(GOOGLETRANSLATE(C5690, ""en"", ""ko""))"),"소철나무 씨앗")</f>
        <v>소철나무 씨앗</v>
      </c>
      <c r="F5690" s="1" t="str">
        <f>IFERROR(__xludf.DUMMYFUNCTION("CONCATENATE(GOOGLETRANSLATE(C5690, ""en"", ""ja""))"),"ソテツの木の種")</f>
        <v>ソテツの木の種</v>
      </c>
    </row>
    <row r="5691" ht="15.75" customHeight="1">
      <c r="A5691" s="1">
        <v>3159.0</v>
      </c>
      <c r="B5691" s="1" t="s">
        <v>381</v>
      </c>
      <c r="C5691" s="1" t="s">
        <v>4766</v>
      </c>
      <c r="D5691" s="1" t="str">
        <f>IFERROR(__xludf.DUMMYFUNCTION("CONCATENATE(GOOGLETRANSLATE(C5691, ""en"", ""zh-cn""))"),"DIY物理实验科技套件马格德堡半球大气压演示测试学生学习玩具")</f>
        <v>DIY物理实验科技套件马格德堡半球大气压演示测试学生学习玩具</v>
      </c>
      <c r="E5691" s="1" t="str">
        <f>IFERROR(__xludf.DUMMYFUNCTION("CONCATENATE(GOOGLETRANSLATE(C5691, ""en"", ""ko""))"),"DIY 물리적 실험 기술 키트 Magdeburg 반구 대기압 데모 테스트 학생 학습 장난감")</f>
        <v>DIY 물리적 실험 기술 키트 Magdeburg 반구 대기압 데모 테스트 학생 학습 장난감</v>
      </c>
      <c r="F5691" s="1" t="str">
        <f>IFERROR(__xludf.DUMMYFUNCTION("CONCATENATE(GOOGLETRANSLATE(C5691, ""en"", ""ja""))"),"DIY 物理実験技術キットマクデブルク半球大気圧デモンストレーションテスト学生学習おもちゃ")</f>
        <v>DIY 物理実験技術キットマクデブルク半球大気圧デモンストレーションテスト学生学習おもちゃ</v>
      </c>
    </row>
    <row r="5692" ht="15.75" customHeight="1">
      <c r="A5692" s="1">
        <v>3195.0</v>
      </c>
      <c r="B5692" s="1" t="s">
        <v>15</v>
      </c>
      <c r="C5692" s="1" t="s">
        <v>4767</v>
      </c>
      <c r="D5692" s="1" t="str">
        <f>IFERROR(__xludf.DUMMYFUNCTION("CONCATENATE(GOOGLETRANSLATE(C5692, ""en"", ""zh-cn""))"),"JURA GIGA 6 自动咖啡机，银色和玻璃牛奶容器套装（2 件）")</f>
        <v>JURA GIGA 6 自动咖啡机，银色和玻璃牛奶容器套装（2 件）</v>
      </c>
      <c r="E5692" s="1" t="str">
        <f>IFERROR(__xludf.DUMMYFUNCTION("CONCATENATE(GOOGLETRANSLATE(C5692, ""en"", ""ko""))"),"JURA GIGA 6 자동 커피 머신, 은색 및 유리 우유 용기 번들(2개 품목)")</f>
        <v>JURA GIGA 6 자동 커피 머신, 은색 및 유리 우유 용기 번들(2개 품목)</v>
      </c>
      <c r="F5692" s="1" t="str">
        <f>IFERROR(__xludf.DUMMYFUNCTION("CONCATENATE(GOOGLETRANSLATE(C5692, ""en"", ""ja""))"),"JURA GIGA 6 自動コーヒーマシン、シルバーとガラスのミルクコンテナバンドル (2 アイテム)")</f>
        <v>JURA GIGA 6 自動コーヒーマシン、シルバーとガラスのミルクコンテナバンドル (2 アイテム)</v>
      </c>
    </row>
    <row r="5693" ht="15.75" customHeight="1">
      <c r="A5693" s="1">
        <v>3197.0</v>
      </c>
      <c r="B5693" s="1" t="s">
        <v>15</v>
      </c>
      <c r="C5693" s="1" t="s">
        <v>4768</v>
      </c>
      <c r="D5693" s="1" t="str">
        <f>IFERROR(__xludf.DUMMYFUNCTION("CONCATENATE(GOOGLETRANSLATE(C5693, ""en"", ""zh-cn""))"),"Belffin 组合式大组合沙发带储物座椅超大 U 形沙发带双面躺椅组合式沙发套装带奥斯曼天鹅绒蓝色")</f>
        <v>Belffin 组合式大组合沙发带储物座椅超大 U 形沙发带双面躺椅组合式沙发套装带奥斯曼天鹅绒蓝色</v>
      </c>
      <c r="E5693" s="1" t="str">
        <f>IFERROR(__xludf.DUMMYFUNCTION("CONCATENATE(GOOGLETRANSLATE(C5693, ""en"", ""ko""))"),"수납 시트가 있는 Belffin 모듈식 대형 단면 소파 양면 긴 의자가 있는 대형 U자형 소파 오토만 벨벳 블루가 포함된 모듈형 소파 세트")</f>
        <v>수납 시트가 있는 Belffin 모듈식 대형 단면 소파 양면 긴 의자가 있는 대형 U자형 소파 오토만 벨벳 블루가 포함된 모듈형 소파 세트</v>
      </c>
      <c r="F5693" s="1" t="str">
        <f>IFERROR(__xludf.DUMMYFUNCTION("CONCATENATE(GOOGLETRANSLATE(C5693, ""en"", ""ja""))"),"Belffin モジュラー大型セクショナルソファ 収納シート付き 特大U字型ソファ リバーシブル長椅子付き モジュラーソファセット オットマン付き ベルベットブルー")</f>
        <v>Belffin モジュラー大型セクショナルソファ 収納シート付き 特大U字型ソファ リバーシブル長椅子付き モジュラーソファセット オットマン付き ベルベットブルー</v>
      </c>
    </row>
    <row r="5694" ht="15.75" customHeight="1">
      <c r="A5694" s="1">
        <v>3200.0</v>
      </c>
      <c r="B5694" s="1" t="s">
        <v>15</v>
      </c>
      <c r="C5694" s="1" t="s">
        <v>4769</v>
      </c>
      <c r="D5694" s="1" t="str">
        <f>IFERROR(__xludf.DUMMYFUNCTION("CONCATENATE(GOOGLETRANSLATE(C5694, ""en"", ""zh-cn""))"),"Jura Z10 全自动咖啡机钻石黑带玻璃牛奶容器，16.9 盎司")</f>
        <v>Jura Z10 全自动咖啡机钻石黑带玻璃牛奶容器，16.9 盎司</v>
      </c>
      <c r="E5694" s="1" t="str">
        <f>IFERROR(__xludf.DUMMYFUNCTION("CONCATENATE(GOOGLETRANSLATE(C5694, ""en"", ""ko""))"),"Jura Z10 완전 자동 커피 머신 다이아몬드 블랙 유리 우유 용기 포함, 16.9온스")</f>
        <v>Jura Z10 완전 자동 커피 머신 다이아몬드 블랙 유리 우유 용기 포함, 16.9온스</v>
      </c>
      <c r="F5694" s="1" t="str">
        <f>IFERROR(__xludf.DUMMYFUNCTION("CONCATENATE(GOOGLETRANSLATE(C5694, ""en"", ""ja""))"),"Jura Z10 全自動コーヒーマシン ダイヤモンドブラック ガラスミルク容器付き、16.9オンス")</f>
        <v>Jura Z10 全自動コーヒーマシン ダイヤモンドブラック ガラスミルク容器付き、16.9オンス</v>
      </c>
    </row>
    <row r="5695" ht="15.75" customHeight="1">
      <c r="A5695" s="1">
        <v>3205.0</v>
      </c>
      <c r="B5695" s="1" t="s">
        <v>15</v>
      </c>
      <c r="C5695" s="1" t="s">
        <v>4770</v>
      </c>
      <c r="D5695" s="1" t="str">
        <f>IFERROR(__xludf.DUMMYFUNCTION("CONCATENATE(GOOGLETRANSLATE(C5695, ""en"", ""zh-cn""))"),"Jura X8 15177 自动咖啡机带 PEP 64 盎司容量可编程")</f>
        <v>Jura X8 15177 自动咖啡机带 PEP 64 盎司容量可编程</v>
      </c>
      <c r="E5695" s="1" t="str">
        <f>IFERROR(__xludf.DUMMYFUNCTION("CONCATENATE(GOOGLETRANSLATE(C5695, ""en"", ""ko""))"),"Jura X8 15177 자동 커피 머신(PEP 64온스 용량 프로그래밍 가능)")</f>
        <v>Jura X8 15177 자동 커피 머신(PEP 64온스 용량 프로그래밍 가능)</v>
      </c>
      <c r="F5695" s="1" t="str">
        <f>IFERROR(__xludf.DUMMYFUNCTION("CONCATENATE(GOOGLETRANSLATE(C5695, ""en"", ""ja""))"),"Jura X8 15177 自動コーヒーマシン、PEP 64オンス容量プログラム可能")</f>
        <v>Jura X8 15177 自動コーヒーマシン、PEP 64オンス容量プログラム可能</v>
      </c>
    </row>
    <row r="5696" ht="15.75" customHeight="1">
      <c r="A5696" s="1">
        <v>3212.0</v>
      </c>
      <c r="B5696" s="1" t="s">
        <v>15</v>
      </c>
      <c r="C5696" s="1" t="s">
        <v>4771</v>
      </c>
      <c r="D5696" s="1" t="str">
        <f>IFERROR(__xludf.DUMMYFUNCTION("CONCATENATE(GOOGLETRANSLATE(C5696, ""en"", ""zh-cn""))"),"Jura S8 自动咖啡和浓缩咖啡机（钢琴黑）带清洁片（6 片）和 2 个智能滤芯套装（4 件）")</f>
        <v>Jura S8 自动咖啡和浓缩咖啡机（钢琴黑）带清洁片（6 片）和 2 个智能滤芯套装（4 件）</v>
      </c>
      <c r="E5696" s="1" t="str">
        <f>IFERROR(__xludf.DUMMYFUNCTION("CONCATENATE(GOOGLETRANSLATE(C5696, ""en"", ""ko""))"),"Jura S8 자동 커피 및 에스프레소 머신(피아노 블랙), 청소용 정제(6개입) 및 스마트 필터 카트리지 2개 번들(4개 품목) 포함")</f>
        <v>Jura S8 자동 커피 및 에스프레소 머신(피아노 블랙), 청소용 정제(6개입) 및 스마트 필터 카트리지 2개 번들(4개 품목) 포함</v>
      </c>
      <c r="F5696" s="1" t="str">
        <f>IFERROR(__xludf.DUMMYFUNCTION("CONCATENATE(GOOGLETRANSLATE(C5696, ""en"", ""ja""))"),"Jura S8 自動コーヒーおよびエスプレッソ マシン (ピアノ ブラック) クリーニング タブレット (6 カウント) および 2 つのスマート フィルター カートリッジ バンドル (4 アイテム) 付き")</f>
        <v>Jura S8 自動コーヒーおよびエスプレッソ マシン (ピアノ ブラック) クリーニング タブレット (6 カウント) および 2 つのスマート フィルター カートリッジ バンドル (4 アイテム) 付き</v>
      </c>
    </row>
    <row r="5697" ht="15.75" customHeight="1">
      <c r="A5697" s="1">
        <v>3217.0</v>
      </c>
      <c r="B5697" s="1" t="s">
        <v>15</v>
      </c>
      <c r="C5697" s="1" t="s">
        <v>3194</v>
      </c>
      <c r="D5697" s="1" t="str">
        <f>IFERROR(__xludf.DUMMYFUNCTION("CONCATENATE(GOOGLETRANSLATE(C5697, ""en"", ""zh-cn""))"),"ACME 自助餐，樱桃")</f>
        <v>ACME 自助餐，樱桃</v>
      </c>
      <c r="E5697" s="1" t="str">
        <f>IFERROR(__xludf.DUMMYFUNCTION("CONCATENATE(GOOGLETRANSLATE(C5697, ""en"", ""ko""))"),"ACME 허치 앤 뷔페, 체리")</f>
        <v>ACME 허치 앤 뷔페, 체리</v>
      </c>
      <c r="F5697" s="1" t="str">
        <f>IFERROR(__xludf.DUMMYFUNCTION("CONCATENATE(GOOGLETRANSLATE(C5697, ""en"", ""ja""))"),"ACME ハッチ＆ビュッフェ、チェリー")</f>
        <v>ACME ハッチ＆ビュッフェ、チェリー</v>
      </c>
    </row>
    <row r="5698" ht="15.75" customHeight="1">
      <c r="A5698" s="1">
        <v>3248.0</v>
      </c>
      <c r="B5698" s="1" t="s">
        <v>15</v>
      </c>
      <c r="C5698" s="1" t="s">
        <v>4772</v>
      </c>
      <c r="D5698" s="1" t="str">
        <f>IFERROR(__xludf.DUMMYFUNCTION("CONCATENATE(GOOGLETRANSLATE(C5698, ""en"", ""zh-cn""))"),"Jura WE6 专业浓缩咖啡和咖啡中心")</f>
        <v>Jura WE6 专业浓缩咖啡和咖啡中心</v>
      </c>
      <c r="E5698" s="1" t="str">
        <f>IFERROR(__xludf.DUMMYFUNCTION("CONCATENATE(GOOGLETRANSLATE(C5698, ""en"", ""ko""))"),"Jura WE6 프로페셔널 에스프레소 및 커피 센터")</f>
        <v>Jura WE6 프로페셔널 에스프레소 및 커피 센터</v>
      </c>
      <c r="F5698" s="1" t="str">
        <f>IFERROR(__xludf.DUMMYFUNCTION("CONCATENATE(GOOGLETRANSLATE(C5698, ""en"", ""ja""))"),"Jura WE6 プロフェッショナル エスプレッソ アンド コーヒー センター")</f>
        <v>Jura WE6 プロフェッショナル エスプレッソ アンド コーヒー センター</v>
      </c>
    </row>
    <row r="5699" ht="15.75" customHeight="1">
      <c r="A5699" s="1">
        <v>3259.0</v>
      </c>
      <c r="B5699" s="1" t="s">
        <v>15</v>
      </c>
      <c r="C5699" s="1" t="s">
        <v>4773</v>
      </c>
      <c r="D5699" s="1" t="str">
        <f>IFERROR(__xludf.DUMMYFUNCTION("CONCATENATE(GOOGLETRANSLATE(C5699, ""en"", ""zh-cn""))"),"Acme 5 件套卧室套装床、梳妆台、衣柜和 2 个床头柜（白色，大号床）")</f>
        <v>Acme 5 件套卧室套装床、梳妆台、衣柜和 2 个床头柜（白色，大号床）</v>
      </c>
      <c r="E5699" s="1" t="str">
        <f>IFERROR(__xludf.DUMMYFUNCTION("CONCATENATE(GOOGLETRANSLATE(C5699, ""en"", ""ko""))"),"Acme 5피스 침실 세트 침대, 옷장, 서랍장 및 침대 옆 탁자 2개(흰색, 퀸)")</f>
        <v>Acme 5피스 침실 세트 침대, 옷장, 서랍장 및 침대 옆 탁자 2개(흰색, 퀸)</v>
      </c>
      <c r="F5699" s="1" t="str">
        <f>IFERROR(__xludf.DUMMYFUNCTION("CONCATENATE(GOOGLETRANSLATE(C5699, ""en"", ""ja""))"),"Acme ベッドルーム 5 点セット ベッド、ドレッサー、チェスト、ナイトスタンド 2 個 (ホワイト、クイーン)")</f>
        <v>Acme ベッドルーム 5 点セット ベッド、ドレッサー、チェスト、ナイトスタンド 2 個 (ホワイト、クイーン)</v>
      </c>
    </row>
    <row r="5700" ht="15.75" customHeight="1">
      <c r="A5700" s="1">
        <v>3261.0</v>
      </c>
      <c r="B5700" s="1" t="s">
        <v>15</v>
      </c>
      <c r="C5700" s="1" t="s">
        <v>4774</v>
      </c>
      <c r="D5700" s="1" t="str">
        <f>IFERROR(__xludf.DUMMYFUNCTION("CONCATENATE(GOOGLETRANSLATE(C5700, ""en"", ""zh-cn""))"),"kevinplus 101'' Boucle 弧形沙发客厅沙发，现代中世纪云形软垫沙发现代客厅沙发家庭公寓办公室工作室，4 个枕头，米色")</f>
        <v>kevinplus 101'' Boucle 弧形沙发客厅沙发，现代中世纪云形软垫沙发现代客厅沙发家庭公寓办公室工作室，4 个枕头，米色</v>
      </c>
      <c r="E5700" s="1" t="str">
        <f>IFERROR(__xludf.DUMMYFUNCTION("CONCATENATE(GOOGLETRANSLATE(C5700, ""en"", ""ko""))"),"kevinplus 101'' 거실용 부클 곡선 소파 소파, 모던한 세기 중반 클라우드 덮개를 씌운 소파 홈 아파트용 현대 거실 소파 사무실 스튜디오, 베개 4개, 베이지")</f>
        <v>kevinplus 101'' 거실용 부클 곡선 소파 소파, 모던한 세기 중반 클라우드 덮개를 씌운 소파 홈 아파트용 현대 거실 소파 사무실 스튜디오, 베개 4개, 베이지</v>
      </c>
      <c r="F5700" s="1" t="str">
        <f>IFERROR(__xludf.DUMMYFUNCTION("CONCATENATE(GOOGLETRANSLATE(C5700, ""en"", ""ja""))"),"kevinplus 101インチ ブークレカーブソファソファ リビングルーム用 モダンミッドセンチュリークラウド布張りソファ 現代的なリビングルームソファ 自宅アパートオフィススタジオ用 枕4個 ベージュ")</f>
        <v>kevinplus 101インチ ブークレカーブソファソファ リビングルーム用 モダンミッドセンチュリークラウド布張りソファ 現代的なリビングルームソファ 自宅アパートオフィススタジオ用 枕4個 ベージュ</v>
      </c>
    </row>
    <row r="5701" ht="15.75" customHeight="1">
      <c r="A5701" s="1">
        <v>3277.0</v>
      </c>
      <c r="B5701" s="1" t="s">
        <v>15</v>
      </c>
      <c r="C5701" s="1" t="s">
        <v>4775</v>
      </c>
      <c r="D5701" s="1" t="str">
        <f>IFERROR(__xludf.DUMMYFUNCTION("CONCATENATE(GOOGLETRANSLATE(C5701, ""en"", ""zh-cn""))"),"Jura Impressa C9 一键式 64OZ。钢琴黑浓缩咖啡机 13422（更新）")</f>
        <v>Jura Impressa C9 一键式 64OZ。钢琴黑浓缩咖啡机 13422（更新）</v>
      </c>
      <c r="E5701" s="1" t="str">
        <f>IFERROR(__xludf.DUMMYFUNCTION("CONCATENATE(GOOGLETRANSLATE(C5701, ""en"", ""ko""))"),"쥐라 임프레사 C9 원터치 64OZ. 피아노 블랙 에스프레소 머신 13422(리뉴얼)")</f>
        <v>쥐라 임프레사 C9 원터치 64OZ. 피아노 블랙 에스프레소 머신 13422(리뉴얼)</v>
      </c>
      <c r="F5701" s="1" t="str">
        <f>IFERROR(__xludf.DUMMYFUNCTION("CONCATENATE(GOOGLETRANSLATE(C5701, ""en"", ""ja""))"),"ジュラ インプレッサ C9 ワンタッチ 64オンス。エスプレッソマシン ピアノブラック 13422 (リニューアル)")</f>
        <v>ジュラ インプレッサ C9 ワンタッチ 64オンス。エスプレッソマシン ピアノブラック 13422 (リニューアル)</v>
      </c>
    </row>
    <row r="5702" ht="15.75" customHeight="1">
      <c r="A5702" s="1">
        <v>3279.0</v>
      </c>
      <c r="B5702" s="1" t="s">
        <v>15</v>
      </c>
      <c r="C5702" s="1" t="s">
        <v>4776</v>
      </c>
      <c r="D5702" s="1" t="str">
        <f>IFERROR(__xludf.DUMMYFUNCTION("CONCATENATE(GOOGLETRANSLATE(C5702, ""en"", ""zh-cn""))"),"Acme Furniture 长方形木咖啡桌，仿古白色")</f>
        <v>Acme Furniture 长方形木咖啡桌，仿古白色</v>
      </c>
      <c r="E5702" s="1" t="str">
        <f>IFERROR(__xludf.DUMMYFUNCTION("CONCATENATE(GOOGLETRANSLATE(C5702, ""en"", ""ko""))"),"Acme 가구 직사각형 목재 커피 테이블, 골동품 흰색")</f>
        <v>Acme 가구 직사각형 목재 커피 테이블, 골동품 흰색</v>
      </c>
      <c r="F5702" s="1" t="str">
        <f>IFERROR(__xludf.DUMMYFUNCTION("CONCATENATE(GOOGLETRANSLATE(C5702, ""en"", ""ja""))"),"Acme Furniture 長方形木製コーヒーテーブル、アンティークホワイト")</f>
        <v>Acme Furniture 長方形木製コーヒーテーブル、アンティークホワイト</v>
      </c>
    </row>
    <row r="5703" ht="15.75" customHeight="1">
      <c r="A5703" s="1">
        <v>3285.0</v>
      </c>
      <c r="B5703" s="1" t="s">
        <v>15</v>
      </c>
      <c r="C5703" s="1" t="s">
        <v>4777</v>
      </c>
      <c r="D5703" s="1" t="str">
        <f>IFERROR(__xludf.DUMMYFUNCTION("CONCATENATE(GOOGLETRANSLATE(C5703, ""en"", ""zh-cn""))"),"阿拉伯 U 形沙发套装，阿拉伯落地座椅，阿拉伯落地沙发，阿拉伯议会沙发，阿拉伯沙发，落地沙发 MA 36")</f>
        <v>阿拉伯 U 形沙发套装，阿拉伯落地座椅，阿拉伯落地沙发，阿拉伯议会沙发，阿拉伯沙发，落地沙发 MA 36</v>
      </c>
      <c r="E5703" s="1" t="str">
        <f>IFERROR(__xludf.DUMMYFUNCTION("CONCATENATE(GOOGLETRANSLATE(C5703, ""en"", ""ko""))"),"아랍어 U 자형 소파 세트, 아랍어 바닥 좌석, 아랍어 바닥 소파, 아랍어 Majlis 소파, 아랍어 소파, 바닥 좌석 소파 MA 36")</f>
        <v>아랍어 U 자형 소파 세트, 아랍어 바닥 좌석, 아랍어 바닥 소파, 아랍어 Majlis 소파, 아랍어 소파, 바닥 좌석 소파 MA 36</v>
      </c>
      <c r="F5703" s="1" t="str">
        <f>IFERROR(__xludf.DUMMYFUNCTION("CONCATENATE(GOOGLETRANSLATE(C5703, ""en"", ""ja""))"),"アラビア U 字型ソファ セット、アラビア フロアシート、アラビア フロア ソファ、アラビア マジュリス ソファ、アラビア ソファ、フロア シート ソファ MA 36")</f>
        <v>アラビア U 字型ソファ セット、アラビア フロアシート、アラビア フロア ソファ、アラビア マジュリス ソファ、アラビア ソファ、フロア シート ソファ MA 36</v>
      </c>
    </row>
    <row r="5704" ht="15.75" customHeight="1">
      <c r="A5704" s="1">
        <v>3287.0</v>
      </c>
      <c r="B5704" s="1" t="s">
        <v>15</v>
      </c>
      <c r="C5704" s="1" t="s">
        <v>4778</v>
      </c>
      <c r="D5704" s="1" t="str">
        <f>IFERROR(__xludf.DUMMYFUNCTION("CONCATENATE(GOOGLETRANSLATE(C5704, ""en"", ""zh-cn""))"),"Acanva 豪华中世纪现代纯素皮革单垫客厅沙发， 87 沙发，摩卡咖啡浓汤")</f>
        <v>Acanva 豪华中世纪现代纯素皮革单垫客厅沙发， 87 沙发，摩卡咖啡浓汤</v>
      </c>
      <c r="E5704" s="1" t="str">
        <f>IFERROR(__xludf.DUMMYFUNCTION("CONCATENATE(GOOGLETRANSLATE(C5704, ""en"", ""ko""))"),"Acanva 럭셔리 미드센츄리 모던 비건 가죽 싱글 쿠션 거실 소파, 87 소파, 모카 비스크")</f>
        <v>Acanva 럭셔리 미드센츄리 모던 비건 가죽 싱글 쿠션 거실 소파, 87 소파, 모카 비스크</v>
      </c>
      <c r="F5704" s="1" t="str">
        <f>IFERROR(__xludf.DUMMYFUNCTION("CONCATENATE(GOOGLETRANSLATE(C5704, ""en"", ""ja""))"),"Acanva 高級ミッドセンチュリーモダンビーガンレザーシングルクッションリビングルームソファ、87 ソファ、モカビスク")</f>
        <v>Acanva 高級ミッドセンチュリーモダンビーガンレザーシングルクッションリビングルームソファ、87 ソファ、モカビスク</v>
      </c>
    </row>
    <row r="5705" ht="15.75" customHeight="1">
      <c r="A5705" s="1">
        <v>3292.0</v>
      </c>
      <c r="B5705" s="1" t="s">
        <v>15</v>
      </c>
      <c r="C5705" s="1" t="s">
        <v>4779</v>
      </c>
      <c r="D5705" s="1" t="str">
        <f>IFERROR(__xludf.DUMMYFUNCTION("CONCATENATE(GOOGLETRANSLATE(C5705, ""en"", ""zh-cn""))"),"Acme 家具圆形餐桌，带单底座，古董铂金")</f>
        <v>Acme 家具圆形餐桌，带单底座，古董铂金</v>
      </c>
      <c r="E5705" s="1" t="str">
        <f>IFERROR(__xludf.DUMMYFUNCTION("CONCATENATE(GOOGLETRANSLATE(C5705, ""en"", ""ko""))"),"단일 받침대가 있는 Acme 가구 원형 식탁, 앤티크 플래티넘")</f>
        <v>단일 받침대가 있는 Acme 가구 원형 식탁, 앤티크 플래티넘</v>
      </c>
      <c r="F5705" s="1" t="str">
        <f>IFERROR(__xludf.DUMMYFUNCTION("CONCATENATE(GOOGLETRANSLATE(C5705, ""en"", ""ja""))"),"Acme Furniture ラウンド ダイニング テーブル 1 台座付き、アンティーク プラチナ")</f>
        <v>Acme Furniture ラウンド ダイニング テーブル 1 台座付き、アンティーク プラチナ</v>
      </c>
    </row>
    <row r="5706" ht="15.75" customHeight="1">
      <c r="A5706" s="1">
        <v>3306.0</v>
      </c>
      <c r="B5706" s="1" t="s">
        <v>15</v>
      </c>
      <c r="C5706" s="1" t="s">
        <v>4780</v>
      </c>
      <c r="D5706" s="1" t="str">
        <f>IFERROR(__xludf.DUMMYFUNCTION("CONCATENATE(GOOGLETRANSLATE(C5706, ""en"", ""zh-cn""))"),"HONBAY 可转换组合沙发 组合组合沙发 5 座 L 型客厅沙发带储物座椅，水蓝色")</f>
        <v>HONBAY 可转换组合沙发 组合组合沙发 5 座 L 型客厅沙发带储物座椅，水蓝色</v>
      </c>
      <c r="E5706" s="1" t="str">
        <f>IFERROR(__xludf.DUMMYFUNCTION("CONCATENATE(GOOGLETRANSLATE(C5706, ""en"", ""ko""))"),"HONBAY 컨버터블 단면 소파 모듈형 단면 소파 5인용 L자형 소파(거실용 수납 시트 포함), 아쿠아 블루")</f>
        <v>HONBAY 컨버터블 단면 소파 모듈형 단면 소파 5인용 L자형 소파(거실용 수납 시트 포함), 아쿠아 블루</v>
      </c>
      <c r="F5706" s="1" t="str">
        <f>IFERROR(__xludf.DUMMYFUNCTION("CONCATENATE(GOOGLETRANSLATE(C5706, ""en"", ""ja""))"),"HONBAY コンバーチブルセクショナルソファ モジュール式セクショナルソファ 5人掛け L字型ソファ 収納シート付き リビングルーム用 アクアブルー")</f>
        <v>HONBAY コンバーチブルセクショナルソファ モジュール式セクショナルソファ 5人掛け L字型ソファ 収納シート付き リビングルーム用 アクアブルー</v>
      </c>
    </row>
    <row r="5707" ht="15.75" customHeight="1">
      <c r="A5707" s="1">
        <v>3309.0</v>
      </c>
      <c r="B5707" s="1" t="s">
        <v>15</v>
      </c>
      <c r="C5707" s="1" t="s">
        <v>4781</v>
      </c>
      <c r="D5707" s="1" t="str">
        <f>IFERROR(__xludf.DUMMYFUNCTION("CONCATENATE(GOOGLETRANSLATE(C5707, ""en"", ""zh-cn""))"),"亚马逊品牌 – Stone &amp; Beam Rustin 现代深座沙发，89W，奶油色")</f>
        <v>亚马逊品牌 – Stone &amp; Beam Rustin 现代深座沙发，89W，奶油色</v>
      </c>
      <c r="E5707" s="1" t="str">
        <f>IFERROR(__xludf.DUMMYFUNCTION("CONCATENATE(GOOGLETRANSLATE(C5707, ""en"", ""ko""))"),"아마존 브랜드 – Stone &amp; Beam Rustin 컨템포러리 깊은 좌석 소파 소파, 89W, 크림")</f>
        <v>아마존 브랜드 – Stone &amp; Beam Rustin 컨템포러리 깊은 좌석 소파 소파, 89W, 크림</v>
      </c>
      <c r="F5707" s="1" t="str">
        <f>IFERROR(__xludf.DUMMYFUNCTION("CONCATENATE(GOOGLETRANSLATE(C5707, ""en"", ""ja""))"),"Amazon ブランド – Stone &amp; Beam Rustin コンテンポラリー ディープシーテッド ソファ カウチ、89W、クリーム")</f>
        <v>Amazon ブランド – Stone &amp; Beam Rustin コンテンポラリー ディープシーテッド ソファ カウチ、89W、クリーム</v>
      </c>
    </row>
    <row r="5708" ht="15.75" customHeight="1">
      <c r="A5708" s="1">
        <v>3323.0</v>
      </c>
      <c r="B5708" s="1" t="s">
        <v>15</v>
      </c>
      <c r="C5708" s="1" t="s">
        <v>4782</v>
      </c>
      <c r="D5708" s="1" t="str">
        <f>IFERROR(__xludf.DUMMYFUNCTION("CONCATENATE(GOOGLETRANSLATE(C5708, ""en"", ""zh-cn""))"),"ACME 12145 德累斯顿梳妆台，樱桃橡木饰面")</f>
        <v>ACME 12145 德累斯顿梳妆台，樱桃橡木饰面</v>
      </c>
      <c r="E5708" s="1" t="str">
        <f>IFERROR(__xludf.DUMMYFUNCTION("CONCATENATE(GOOGLETRANSLATE(C5708, ""en"", ""ko""))"),"ACME 12145 드레스덴 드레서, 체리 오크 마감")</f>
        <v>ACME 12145 드레스덴 드레서, 체리 오크 마감</v>
      </c>
      <c r="F5708" s="1" t="str">
        <f>IFERROR(__xludf.DUMMYFUNCTION("CONCATENATE(GOOGLETRANSLATE(C5708, ""en"", ""ja""))"),"ACME 12145 ドレスデン ドレッサー、チェリーオーク仕上げ")</f>
        <v>ACME 12145 ドレスデン ドレッサー、チェリーオーク仕上げ</v>
      </c>
    </row>
    <row r="5709" ht="15.75" customHeight="1">
      <c r="A5709" s="1">
        <v>3328.0</v>
      </c>
      <c r="B5709" s="1" t="s">
        <v>15</v>
      </c>
      <c r="C5709" s="1" t="s">
        <v>4783</v>
      </c>
      <c r="D5709" s="1" t="str">
        <f>IFERROR(__xludf.DUMMYFUNCTION("CONCATENATE(GOOGLETRANSLATE(C5709, ""en"", ""zh-cn""))"),"Jura ENA 4 Metropolitan Black 浓缩咖啡机套装，含三相清洁片和 Clearyl 智能滤水器滤芯（4 件）")</f>
        <v>Jura ENA 4 Metropolitan Black 浓缩咖啡机套装，含三相清洁片和 Clearyl 智能滤水器滤芯（4 件）</v>
      </c>
      <c r="E5709" s="1" t="str">
        <f>IFERROR(__xludf.DUMMYFUNCTION("CONCATENATE(GOOGLETRANSLATE(C5709, ""en"", ""ko""))"),"Jura ENA 4 메트로폴리탄 블랙 에스프레소 머신 번들, 3단계 세척 정제 및 Clearyl 스마트 정수 필터 카트리지 포함(4개 항목)")</f>
        <v>Jura ENA 4 메트로폴리탄 블랙 에스프레소 머신 번들, 3단계 세척 정제 및 Clearyl 스마트 정수 필터 카트리지 포함(4개 항목)</v>
      </c>
      <c r="F5709" s="1" t="str">
        <f>IFERROR(__xludf.DUMMYFUNCTION("CONCATENATE(GOOGLETRANSLATE(C5709, ""en"", ""ja""))"),"Jura ENA 4 メトロポリタン ブラック エスプレッソ マシン バンドル、3 フェーズ クリーニング タブレット、Clearyl スマート ウォーター フィルター カートリッジ (4 アイテム)")</f>
        <v>Jura ENA 4 メトロポリタン ブラック エスプレッソ マシン バンドル、3 フェーズ クリーニング タブレット、Clearyl スマート ウォーター フィルター カートリッジ (4 アイテム)</v>
      </c>
    </row>
    <row r="5710" ht="15.75" customHeight="1">
      <c r="A5710" s="1">
        <v>3340.0</v>
      </c>
      <c r="B5710" s="1" t="s">
        <v>15</v>
      </c>
      <c r="C5710" s="1" t="s">
        <v>4784</v>
      </c>
      <c r="D5710" s="1" t="str">
        <f>IFERROR(__xludf.DUMMYFUNCTION("CONCATENATE(GOOGLETRANSLATE(C5710, ""en"", ""zh-cn""))"),"SIENWIEY 组合沙发套装，L 形仿皮沙发客厅沙发套装带贵妃椅，客厅家具用储物脚凳（左贵妃椅，姜黄色）")</f>
        <v>SIENWIEY 组合沙发套装，L 形仿皮沙发客厅沙发套装带贵妃椅，客厅家具用储物脚凳（左贵妃椅，姜黄色）</v>
      </c>
      <c r="E5710" s="1" t="str">
        <f>IFERROR(__xludf.DUMMYFUNCTION("CONCATENATE(GOOGLETRANSLATE(C5710, ""en"", ""ko""))"),"SIENWIEY 단면 소파 세트, 긴 의자가 포함된 L자형 인조 가죽 소파 거실 소파 세트, 거실 가구에 사용하는 수납 오토만(왼쪽 긴 의자, 생강)")</f>
        <v>SIENWIEY 단면 소파 세트, 긴 의자가 포함된 L자형 인조 가죽 소파 거실 소파 세트, 거실 가구에 사용하는 수납 오토만(왼쪽 긴 의자, 생강)</v>
      </c>
      <c r="F5710" s="1" t="str">
        <f>IFERROR(__xludf.DUMMYFUNCTION("CONCATENATE(GOOGLETRANSLATE(C5710, ""en"", ""ja""))"),"SIENWIEY セクショナルソファセット、L字型フェイクレザーソファリビングルームソファセット、寝椅子付き、収納オットマン、リビングルームの家具に使用(左寝椅子、ジンジャー)")</f>
        <v>SIENWIEY セクショナルソファセット、L字型フェイクレザーソファリビングルームソファセット、寝椅子付き、収納オットマン、リビングルームの家具に使用(左寝椅子、ジンジャー)</v>
      </c>
    </row>
    <row r="5711" ht="15.75" customHeight="1">
      <c r="A5711" s="1">
        <v>3344.0</v>
      </c>
      <c r="B5711" s="1" t="s">
        <v>15</v>
      </c>
      <c r="C5711" s="1" t="s">
        <v>4785</v>
      </c>
      <c r="D5711" s="1" t="str">
        <f>IFERROR(__xludf.DUMMYFUNCTION("CONCATENATE(GOOGLETRANSLATE(C5711, ""en"", ""zh-cn""))"),"Zulay Magia 超级自动咖啡浓缩咖啡机 - 带研磨机的耐用自动浓缩咖啡机 - 浓缩咖啡机，配有易于使用的 7 英寸触摸屏，20 种咖啡配方，10 个用户配置文件")</f>
        <v>Zulay Magia 超级自动咖啡浓缩咖啡机 - 带研磨机的耐用自动浓缩咖啡机 - 浓缩咖啡机，配有易于使用的 7 英寸触摸屏，20 种咖啡配方，10 个用户配置文件</v>
      </c>
      <c r="E5711" s="1" t="str">
        <f>IFERROR(__xludf.DUMMYFUNCTION("CONCATENATE(GOOGLETRANSLATE(C5711, ""en"", ""ko""))"),"Zulay Magia 초자동 커피 에스프레소 머신 - 그라인더가 포함된 내구성이 뛰어난 자동 에스프레소 머신 - 사용하기 쉬운 7인치 터치스크린, 20가지 커피 레시피, 10가지 사용자 프로필을 갖춘 에스프레소 커피 메이커")</f>
        <v>Zulay Magia 초자동 커피 에스프레소 머신 - 그라인더가 포함된 내구성이 뛰어난 자동 에스프레소 머신 - 사용하기 쉬운 7인치 터치스크린, 20가지 커피 레시피, 10가지 사용자 프로필을 갖춘 에스프레소 커피 메이커</v>
      </c>
      <c r="F5711" s="1" t="str">
        <f>IFERROR(__xludf.DUMMYFUNCTION("CONCATENATE(GOOGLETRANSLATE(C5711, ""en"", ""ja""))"),"Zulay Magia 超自動コーヒーエスプレッソマシン - グラインダー付き耐久性のある自動エスプレッソマシン - 使いやすい7インチタッチスクリーン付きエスプレッソコーヒーメーカー、20のコーヒーレシピ、10のユーザープロフィール")</f>
        <v>Zulay Magia 超自動コーヒーエスプレッソマシン - グラインダー付き耐久性のある自動エスプレッソマシン - 使いやすい7インチタッチスクリーン付きエスプレッソコーヒーメーカー、20のコーヒーレシピ、10のユーザープロフィール</v>
      </c>
    </row>
    <row r="5712" ht="15.75" customHeight="1">
      <c r="A5712" s="1">
        <v>3350.0</v>
      </c>
      <c r="B5712" s="1" t="s">
        <v>15</v>
      </c>
      <c r="C5712" s="1" t="s">
        <v>4786</v>
      </c>
      <c r="D5712" s="1" t="str">
        <f>IFERROR(__xludf.DUMMYFUNCTION("CONCATENATE(GOOGLETRANSLATE(C5712, ""en"", ""zh-cn""))"),"Ashley Jesolo 标志性设计现代人造皮革手动拉片双人斜倚沙发，深棕色")</f>
        <v>Ashley Jesolo 标志性设计现代人造皮革手动拉片双人斜倚沙发，深棕色</v>
      </c>
      <c r="E5712" s="1" t="str">
        <f>IFERROR(__xludf.DUMMYFUNCTION("CONCATENATE(GOOGLETRANSLATE(C5712, ""en"", ""ko""))"),"Ashley Jesolo의 시그니처 디자인 모던 인조 가죽 수동 풀탭 더블 리클라이닝 소파, 다크 브라운")</f>
        <v>Ashley Jesolo의 시그니처 디자인 모던 인조 가죽 수동 풀탭 더블 리클라이닝 소파, 다크 브라운</v>
      </c>
      <c r="F5712" s="1" t="str">
        <f>IFERROR(__xludf.DUMMYFUNCTION("CONCATENATE(GOOGLETRANSLATE(C5712, ""en"", ""ja""))"),"アシュリー・ジェソロによる署名デザイン モダンフェイクレザー 手動プルタブ ダブルリクライニングソファ ダークブラウン")</f>
        <v>アシュリー・ジェソロによる署名デザイン モダンフェイクレザー 手動プルタブ ダブルリクライニングソファ ダークブラウン</v>
      </c>
    </row>
    <row r="5713" ht="15.75" customHeight="1">
      <c r="A5713" s="1">
        <v>3359.0</v>
      </c>
      <c r="B5713" s="1" t="s">
        <v>15</v>
      </c>
      <c r="C5713" s="1" t="s">
        <v>4787</v>
      </c>
      <c r="D5713" s="1" t="str">
        <f>IFERROR(__xludf.DUMMYFUNCTION("CONCATENATE(GOOGLETRANSLATE(C5713, ""en"", ""zh-cn""))"),"生活方式解决方案 Serta Honor 敞篷沙发沙发床，海军蓝")</f>
        <v>生活方式解决方案 Serta Honor 敞篷沙发沙发床，海军蓝</v>
      </c>
      <c r="E5713" s="1" t="str">
        <f>IFERROR(__xludf.DUMMYFUNCTION("CONCATENATE(GOOGLETRANSLATE(C5713, ""en"", ""ko""))"),"라이프스타일 솔루션 Serta Honor 컨버터블 소파 소파베드, 네이비 블루")</f>
        <v>라이프스타일 솔루션 Serta Honor 컨버터블 소파 소파베드, 네이비 블루</v>
      </c>
      <c r="F5713" s="1" t="str">
        <f>IFERROR(__xludf.DUMMYFUNCTION("CONCATENATE(GOOGLETRANSLATE(C5713, ""en"", ""ja""))"),"ライフスタイル ソリューション Serta Honor コンバーチブル ソファ ソファベッド、ネイビー ブルー")</f>
        <v>ライフスタイル ソリューション Serta Honor コンバーチブル ソファ ソファベッド、ネイビー ブルー</v>
      </c>
    </row>
    <row r="5714" ht="15.75" customHeight="1">
      <c r="A5714" s="1">
        <v>3369.0</v>
      </c>
      <c r="B5714" s="1" t="s">
        <v>15</v>
      </c>
      <c r="C5714" s="1" t="s">
        <v>4788</v>
      </c>
      <c r="D5714" s="1" t="str">
        <f>IFERROR(__xludf.DUMMYFUNCTION("CONCATENATE(GOOGLETRANSLATE(C5714, ""en"", ""zh-cn""))"),"OSP Home Furnishings Russell 双面组合沙发带 2 个枕头和咖啡色成品腿，海军蓝")</f>
        <v>OSP Home Furnishings Russell 双面组合沙发带 2 个枕头和咖啡色成品腿，海军蓝</v>
      </c>
      <c r="E5714" s="1" t="str">
        <f>IFERROR(__xludf.DUMMYFUNCTION("CONCATENATE(GOOGLETRANSLATE(C5714, ""en"", ""ko""))"),"OSP 가정용 가구 러셀 양면 단면 소파, 베개 2개 및 커피 마감 다리, 네이비")</f>
        <v>OSP 가정용 가구 러셀 양면 단면 소파, 베개 2개 및 커피 마감 다리, 네이비</v>
      </c>
      <c r="F5714" s="1" t="str">
        <f>IFERROR(__xludf.DUMMYFUNCTION("CONCATENATE(GOOGLETRANSLATE(C5714, ""en"", ""ja""))"),"OSP ホームファニシング ラッセル リバーシブル セクショナル ソファ 枕 2 個とコーヒー仕上げの脚付き、ネイビー")</f>
        <v>OSP ホームファニシング ラッセル リバーシブル セクショナル ソファ 枕 2 個とコーヒー仕上げの脚付き、ネイビー</v>
      </c>
    </row>
    <row r="5715" ht="15.75" customHeight="1">
      <c r="A5715" s="1">
        <v>3371.0</v>
      </c>
      <c r="B5715" s="1" t="s">
        <v>15</v>
      </c>
      <c r="C5715" s="1" t="s">
        <v>4789</v>
      </c>
      <c r="D5715" s="1" t="str">
        <f>IFERROR(__xludf.DUMMYFUNCTION("CONCATENATE(GOOGLETRANSLATE(C5715, ""en"", ""zh-cn""))"),"亚马逊品牌 – Rivet Bigelow 现代沙发木底座，89.4W，浅灰色/金色")</f>
        <v>亚马逊品牌 – Rivet Bigelow 现代沙发木底座，89.4W，浅灰色/金色</v>
      </c>
      <c r="E5715" s="1" t="str">
        <f>IFERROR(__xludf.DUMMYFUNCTION("CONCATENATE(GOOGLETRANSLATE(C5715, ""en"", ""ko""))"),"Amazon 브랜드 – 목재 베이스의 Rivet Bigelow 모던 소파 소파, 89.4W, 밝은 회색/금색")</f>
        <v>Amazon 브랜드 – 목재 베이스의 Rivet Bigelow 모던 소파 소파, 89.4W, 밝은 회색/금색</v>
      </c>
      <c r="F5715" s="1" t="str">
        <f>IFERROR(__xludf.DUMMYFUNCTION("CONCATENATE(GOOGLETRANSLATE(C5715, ""en"", ""ja""))"),"Amazon ブランド – Rivet Bigelow モダン ソファ カウチ ウッドベース、89.4W、ライトグレー / ブロンド")</f>
        <v>Amazon ブランド – Rivet Bigelow モダン ソファ カウチ ウッドベース、89.4W、ライトグレー / ブロンド</v>
      </c>
    </row>
    <row r="5716" ht="15.75" customHeight="1">
      <c r="A5716" s="1">
        <v>3375.0</v>
      </c>
      <c r="B5716" s="1" t="s">
        <v>15</v>
      </c>
      <c r="C5716" s="1" t="s">
        <v>4790</v>
      </c>
      <c r="D5716" s="1" t="str">
        <f>IFERROR(__xludf.DUMMYFUNCTION("CONCATENATE(GOOGLETRANSLATE(C5716, ""en"", ""zh-cn""))"),"亚马逊品牌 – Stone &amp; Beam Lessing 簇绒软垫滑翔机，32.7W，Cadet Blue")</f>
        <v>亚马逊品牌 – Stone &amp; Beam Lessing 簇绒软垫滑翔机，32.7W，Cadet Blue</v>
      </c>
      <c r="E5716" s="1" t="str">
        <f>IFERROR(__xludf.DUMMYFUNCTION("CONCATENATE(GOOGLETRANSLATE(C5716, ""en"", ""ko""))"),"아마존 브랜드 – Stone &amp; Beam Lessing Tufted Upholstered 글라이더, 32.7W, Cadet Blue")</f>
        <v>아마존 브랜드 – Stone &amp; Beam Lessing Tufted Upholstered 글라이더, 32.7W, Cadet Blue</v>
      </c>
      <c r="F5716" s="1" t="str">
        <f>IFERROR(__xludf.DUMMYFUNCTION("CONCATENATE(GOOGLETRANSLATE(C5716, ""en"", ""ja""))"),"Amazon ブランド – Stone &amp; Beam Lessing タフテッド布張りグライダー、32.7W、カデットブルー")</f>
        <v>Amazon ブランド – Stone &amp; Beam Lessing タフテッド布張りグライダー、32.7W、カデットブルー</v>
      </c>
    </row>
    <row r="5717" ht="15.75" customHeight="1">
      <c r="A5717" s="1">
        <v>3377.0</v>
      </c>
      <c r="B5717" s="1" t="s">
        <v>15</v>
      </c>
      <c r="C5717" s="1" t="s">
        <v>4791</v>
      </c>
      <c r="D5717" s="1" t="str">
        <f>IFERROR(__xludf.DUMMYFUNCTION("CONCATENATE(GOOGLETRANSLATE(C5717, ""en"", ""zh-cn""))"),"DKLGG 客厅组合沙发带储物脚凳，现代 PU 皮革 L 形沙发沙发套装，棕色组合沙发组合带杯架，公寓客厅家具套装，小空间")</f>
        <v>DKLGG 客厅组合沙发带储物脚凳，现代 PU 皮革 L 形沙发沙发套装，棕色组合沙发组合带杯架，公寓客厅家具套装，小空间</v>
      </c>
      <c r="E5717" s="1" t="str">
        <f>IFERROR(__xludf.DUMMYFUNCTION("CONCATENATE(GOOGLETRANSLATE(C5717, ""en"", ""ko""))"),"DKLGG 거실용 단면 소파(수납용 오토만 포함), 현대적인 PU 가죽 L자형 소파 소파 세트, 갈색 모듈식 소파 단면(컵 홀더 포함), 아파트용 거실 가구 세트, 작은 공간")</f>
        <v>DKLGG 거실용 단면 소파(수납용 오토만 포함), 현대적인 PU 가죽 L자형 소파 소파 세트, 갈색 모듈식 소파 단면(컵 홀더 포함), 아파트용 거실 가구 세트, 작은 공간</v>
      </c>
      <c r="F5717" s="1" t="str">
        <f>IFERROR(__xludf.DUMMYFUNCTION("CONCATENATE(GOOGLETRANSLATE(C5717, ""en"", ""ja""))"),"DKLGG リビングルームセクショナルソファ 収納オットマン付き、モダンなPUレザーL字型ソファカウチセット、カップホルダー付きブラウンモジュラーソファセクショナルソファ、アパート用リビングルーム家具セット、狭いスペース")</f>
        <v>DKLGG リビングルームセクショナルソファ 収納オットマン付き、モダンなPUレザーL字型ソファカウチセット、カップホルダー付きブラウンモジュラーソファセクショナルソファ、アパート用リビングルーム家具セット、狭いスペース</v>
      </c>
    </row>
    <row r="5718" ht="15.75" customHeight="1">
      <c r="A5718" s="1">
        <v>3392.0</v>
      </c>
      <c r="B5718" s="1" t="s">
        <v>15</v>
      </c>
      <c r="C5718" s="1" t="s">
        <v>3616</v>
      </c>
      <c r="D5718" s="1" t="str">
        <f>IFERROR(__xludf.DUMMYFUNCTION("CONCATENATE(GOOGLETRANSLATE(C5718, ""en"", ""zh-cn""))"),"SZUBEE 8888 L 形组合沙发客厅家具深扣簇绒天鹅绒软垫卷臂经典切斯特菲尔德 含 3 个枕头，灰色")</f>
        <v>SZUBEE 8888 L 形组合沙发客厅家具深扣簇绒天鹅绒软垫卷臂经典切斯特菲尔德 含 3 个枕头，灰色</v>
      </c>
      <c r="E5718" s="1" t="str">
        <f>IFERROR(__xludf.DUMMYFUNCTION("CONCATENATE(GOOGLETRANSLATE(C5718, ""en"", ""ko""))"),"SZUBEE 8888 L 모양의 단면 소파 거실 가구 깊은 단추 술을 단 벨벳 덮개를 씌운 압연 팔 클래식 체스터필드 베개 3개 포함, 회색")</f>
        <v>SZUBEE 8888 L 모양의 단면 소파 거실 가구 깊은 단추 술을 단 벨벳 덮개를 씌운 압연 팔 클래식 체스터필드 베개 3개 포함, 회색</v>
      </c>
      <c r="F5718" s="1" t="str">
        <f>IFERROR(__xludf.DUMMYFUNCTION("CONCATENATE(GOOGLETRANSLATE(C5718, ""en"", ""ja""))"),"SZUBEE 8888 L字型セクショナルソファ リビングルーム家具 ディープボタン 房状ベルベット布張り ロールアーム クラシックチェスターフィールド 枕3個付き グレー")</f>
        <v>SZUBEE 8888 L字型セクショナルソファ リビングルーム家具 ディープボタン 房状ベルベット布張り ロールアーム クラシックチェスターフィールド 枕3個付き グレー</v>
      </c>
    </row>
    <row r="5719" ht="15.75" customHeight="1">
      <c r="A5719" s="1">
        <v>3393.0</v>
      </c>
      <c r="B5719" s="1" t="s">
        <v>15</v>
      </c>
      <c r="C5719" s="1" t="s">
        <v>4076</v>
      </c>
      <c r="D5719" s="1" t="str">
        <f>IFERROR(__xludf.DUMMYFUNCTION("CONCATENATE(GOOGLETRANSLATE(C5719, ""en"", ""zh-cn""))"),"Best Choice Products 簇绒人造皮革 3 座 L 形组合沙发沙发套装带躺椅，奥斯曼咖啡桌长凳，黑色")</f>
        <v>Best Choice Products 簇绒人造皮革 3 座 L 形组合沙发沙发套装带躺椅，奥斯曼咖啡桌长凳，黑色</v>
      </c>
      <c r="E5719" s="1" t="str">
        <f>IFERROR(__xludf.DUMMYFUNCTION("CONCATENATE(GOOGLETRANSLATE(C5719, ""en"", ""ko""))"),"최고의 선택 제품 터프티드 인조 가죽 3인용 L자형 단면 소파 소파 세트, 긴 의자 라운지, 오토만 커피 테이블 벤치, 블랙")</f>
        <v>최고의 선택 제품 터프티드 인조 가죽 3인용 L자형 단면 소파 소파 세트, 긴 의자 라운지, 오토만 커피 테이블 벤치, 블랙</v>
      </c>
      <c r="F5719" s="1" t="str">
        <f>IFERROR(__xludf.DUMMYFUNCTION("CONCATENATE(GOOGLETRANSLATE(C5719, ""en"", ""ja""))"),"Best Choice Products タフトフェイクレザー 3 人掛け L 字型セクショナルソファ カウチセット、長椅子付き、オットマン コーヒーテーブル ベンチ、ブラック")</f>
        <v>Best Choice Products タフトフェイクレザー 3 人掛け L 字型セクショナルソファ カウチセット、長椅子付き、オットマン コーヒーテーブル ベンチ、ブラック</v>
      </c>
    </row>
    <row r="5720" ht="15.75" customHeight="1">
      <c r="A5720" s="1">
        <v>3404.0</v>
      </c>
      <c r="B5720" s="1" t="s">
        <v>15</v>
      </c>
      <c r="C5720" s="1" t="s">
        <v>4077</v>
      </c>
      <c r="D5720" s="1" t="str">
        <f>IFERROR(__xludf.DUMMYFUNCTION("CONCATENATE(GOOGLETRANSLATE(C5720, ""en"", ""zh-cn""))"),"Akrenar 82 现代超大沙发，带两个枕头的沙发，客厅、卧室沙发，米色")</f>
        <v>Akrenar 82 现代超大沙发，带两个枕头的沙发，客厅、卧室沙发，米色</v>
      </c>
      <c r="E5720" s="1" t="str">
        <f>IFERROR(__xludf.DUMMYFUNCTION("CONCATENATE(GOOGLETRANSLATE(C5720, ""en"", ""ko""))"),"Akrenar 82 현대식 대형 소파, 베개 2개가 있는 소파, 거실용 소파, 침실, 베이지")</f>
        <v>Akrenar 82 현대식 대형 소파, 베개 2개가 있는 소파, 거실용 소파, 침실, 베이지</v>
      </c>
      <c r="F5720" s="1" t="str">
        <f>IFERROR(__xludf.DUMMYFUNCTION("CONCATENATE(GOOGLETRANSLATE(C5720, ""en"", ""ja""))"),"Akrenar 82 モダンな特大ソファ、枕 2 つ付きソファ、リビングルーム、ベッドルーム用ソファ、ベージュ")</f>
        <v>Akrenar 82 モダンな特大ソファ、枕 2 つ付きソファ、リビングルーム、ベッドルーム用ソファ、ベージュ</v>
      </c>
    </row>
    <row r="5721" ht="15.75" customHeight="1">
      <c r="A5721" s="1">
        <v>3416.0</v>
      </c>
      <c r="B5721" s="1" t="s">
        <v>15</v>
      </c>
      <c r="C5721" s="1" t="s">
        <v>2280</v>
      </c>
      <c r="D5721" s="1" t="str">
        <f>IFERROR(__xludf.DUMMYFUNCTION("CONCATENATE(GOOGLETRANSLATE(C5721, ""en"", ""zh-cn""))"),"Ashley Arroyo 签名设计的中世纪现代人造皮革沙发，焦糖棕色")</f>
        <v>Ashley Arroyo 签名设计的中世纪现代人造皮革沙发，焦糖棕色</v>
      </c>
      <c r="E5721" s="1" t="str">
        <f>IFERROR(__xludf.DUMMYFUNCTION("CONCATENATE(GOOGLETRANSLATE(C5721, ""en"", ""ko""))"),"Ashley Arroyo의 시그니처 디자인 Mid Century Modern 인조 가죽 소파, 캐러멜 브라운")</f>
        <v>Ashley Arroyo의 시그니처 디자인 Mid Century Modern 인조 가죽 소파, 캐러멜 브라운</v>
      </c>
      <c r="F5721" s="1" t="str">
        <f>IFERROR(__xludf.DUMMYFUNCTION("CONCATENATE(GOOGLETRANSLATE(C5721, ""en"", ""ja""))"),"アシュリー・アロヨによるシグネチャーデザイン ミッドセンチュリーモダンフェイクレザーソファ、キャラメルブラウン")</f>
        <v>アシュリー・アロヨによるシグネチャーデザイン ミッドセンチュリーモダンフェイクレザーソファ、キャラメルブラウン</v>
      </c>
    </row>
    <row r="5722" ht="15.75" customHeight="1">
      <c r="A5722" s="1">
        <v>3420.0</v>
      </c>
      <c r="B5722" s="1" t="s">
        <v>15</v>
      </c>
      <c r="C5722" s="1" t="s">
        <v>3618</v>
      </c>
      <c r="D5722" s="1" t="str">
        <f>IFERROR(__xludf.DUMMYFUNCTION("CONCATENATE(GOOGLETRANSLATE(C5722, ""en"", ""zh-cn""))"),"LEISLAND 79 现代客厅组合沙发，小空间小沙发，实木框架雪尼尔 L 形沙发，可拆卸套罩，附扶手，易于安装（金色）")</f>
        <v>LEISLAND 79 现代客厅组合沙发，小空间小沙发，实木框架雪尼尔 L 形沙发，可拆卸套罩，附扶手，易于安装（金色）</v>
      </c>
      <c r="E5722" s="1" t="str">
        <f>IFERROR(__xludf.DUMMYFUNCTION("CONCATENATE(GOOGLETRANSLATE(C5722, ""en"", ""ko""))"),"LEISLAND 79 거실용 현대식 단면 소파 소파, 작은 공간을 위한 소형 소파, 원목 프레임이 있는 셔닐 L형 소파, 분리형 커버, 부착형 팔걸이, 설치가 용이함(골든)")</f>
        <v>LEISLAND 79 거실용 현대식 단면 소파 소파, 작은 공간을 위한 소형 소파, 원목 프레임이 있는 셔닐 L형 소파, 분리형 커버, 부착형 팔걸이, 설치가 용이함(골든)</v>
      </c>
      <c r="F5722" s="1" t="str">
        <f>IFERROR(__xludf.DUMMYFUNCTION("CONCATENATE(GOOGLETRANSLATE(C5722, ""en"", ""ja""))"),"LEISLAND 79 リビングルーム用モダンなセクショナルソファカウチ、小さなスペース用の小さなカウチ、無垢材フレーム付きシェニール織L字型ソファ、取り外し可能なカバー、アームレスト付き、取り付け簡単(ゴールド)")</f>
        <v>LEISLAND 79 リビングルーム用モダンなセクショナルソファカウチ、小さなスペース用の小さなカウチ、無垢材フレーム付きシェニール織L字型ソファ、取り外し可能なカバー、アームレスト付き、取り付け簡単(ゴールド)</v>
      </c>
    </row>
    <row r="5723" ht="15.75" customHeight="1">
      <c r="A5723" s="1">
        <v>3422.0</v>
      </c>
      <c r="B5723" s="1" t="s">
        <v>15</v>
      </c>
      <c r="C5723" s="1" t="s">
        <v>3619</v>
      </c>
      <c r="D5723" s="1" t="str">
        <f>IFERROR(__xludf.DUMMYFUNCTION("CONCATENATE(GOOGLETRANSLATE(C5723, ""en"", ""zh-cn""))"),"Edenbrook Jensen 软垫沙发 - 客厅沙发 - 木炭软垫沙发 - 客厅家具 - 小沙发 - 三人座 - 勺臂现代沙发")</f>
        <v>Edenbrook Jensen 软垫沙发 - 客厅沙发 - 木炭软垫沙发 - 客厅家具 - 小沙发 - 三人座 - 勺臂现代沙发</v>
      </c>
      <c r="E5723" s="1" t="str">
        <f>IFERROR(__xludf.DUMMYFUNCTION("CONCATENATE(GOOGLETRANSLATE(C5723, ""en"", ""ko""))"),"Edenbrook Jensen 덮개를 씌운 소파 - 거실용 소파 - 차콜 덮개를 씌운 소파 - 거실 가구 - 소형 소파 - 3인용 - 스쿠프 암 모던 소파")</f>
        <v>Edenbrook Jensen 덮개를 씌운 소파 - 거실용 소파 - 차콜 덮개를 씌운 소파 - 거실 가구 - 소형 소파 - 3인용 - 스쿠프 암 모던 소파</v>
      </c>
      <c r="F5723" s="1" t="str">
        <f>IFERROR(__xludf.DUMMYFUNCTION("CONCATENATE(GOOGLETRANSLATE(C5723, ""en"", ""ja""))"),"エデンブルック ジェンセン 布張りソファ - リビングルーム用ソファ - チャコール布張りソファ - リビングルーム家具 - 小さなソファ - 3人掛け - スクープアームモダンソファ")</f>
        <v>エデンブルック ジェンセン 布張りソファ - リビングルーム用ソファ - チャコール布張りソファ - リビングルーム家具 - 小さなソファ - 3人掛け - スクープアームモダンソファ</v>
      </c>
    </row>
    <row r="5724" ht="15.75" customHeight="1">
      <c r="A5724" s="1">
        <v>3425.0</v>
      </c>
      <c r="B5724" s="1" t="s">
        <v>15</v>
      </c>
      <c r="C5724" s="1" t="s">
        <v>4792</v>
      </c>
      <c r="D5724" s="1" t="str">
        <f>IFERROR(__xludf.DUMMYFUNCTION("CONCATENATE(GOOGLETRANSLATE(C5724, ""en"", ""zh-cn""))"),"ZINUS Benton 沙发/网格簇绒靠垫/简单，免工具组装，深灰色")</f>
        <v>ZINUS Benton 沙发/网格簇绒靠垫/简单，免工具组装，深灰色</v>
      </c>
      <c r="E5724" s="1" t="str">
        <f>IFERROR(__xludf.DUMMYFUNCTION("CONCATENATE(GOOGLETRANSLATE(C5724, ""en"", ""ko""))"),"ZINUS Benton 소파 소파 / 그리드 터프트 쿠션 / 도구가 필요 없는 간편한 조립, 다크 그레이")</f>
        <v>ZINUS Benton 소파 소파 / 그리드 터프트 쿠션 / 도구가 필요 없는 간편한 조립, 다크 그레이</v>
      </c>
      <c r="F5724" s="1" t="str">
        <f>IFERROR(__xludf.DUMMYFUNCTION("CONCATENATE(GOOGLETRANSLATE(C5724, ""en"", ""ja""))"),"ZINUS ベントンソファ カウチ/グリッドタフトクッション/簡単、工具不要組み立て、ダークグレー")</f>
        <v>ZINUS ベントンソファ カウチ/グリッドタフトクッション/簡単、工具不要組み立て、ダークグレー</v>
      </c>
    </row>
    <row r="5725" ht="15.75" customHeight="1">
      <c r="A5725" s="1">
        <v>3447.0</v>
      </c>
      <c r="B5725" s="1" t="s">
        <v>15</v>
      </c>
      <c r="C5725" s="1" t="s">
        <v>2762</v>
      </c>
      <c r="D5725" s="1" t="str">
        <f>IFERROR(__xludf.DUMMYFUNCTION("CONCATENATE(GOOGLETRANSLATE(C5725, ""en"", ""zh-cn""))"),"NOSGA 现代切斯特菲尔德织物 3 座沙发家具，带卷臂的深纽扣簇绒切斯特菲尔德天鹅绒沙发，客厅软垫钉头装饰沙发沙发（灰色）")</f>
        <v>NOSGA 现代切斯特菲尔德织物 3 座沙发家具，带卷臂的深纽扣簇绒切斯特菲尔德天鹅绒沙发，客厅软垫钉头装饰沙发沙发（灰色）</v>
      </c>
      <c r="E5725" s="1" t="str">
        <f>IFERROR(__xludf.DUMMYFUNCTION("CONCATENATE(GOOGLETRANSLATE(C5725, ""en"", ""ko""))"),"NOSGA 모던 체스터필드 패브릭 3인용 소파 가구, 스크롤 암이 있는 깊은 버튼 터프트 체스터필드 벨벳 소파, 거실용 장식품 네일헤드 트림 소파 소파(회색)")</f>
        <v>NOSGA 모던 체스터필드 패브릭 3인용 소파 가구, 스크롤 암이 있는 깊은 버튼 터프트 체스터필드 벨벳 소파, 거실용 장식품 네일헤드 트림 소파 소파(회색)</v>
      </c>
      <c r="F5725" s="1" t="str">
        <f>IFERROR(__xludf.DUMMYFUNCTION("CONCATENATE(GOOGLETRANSLATE(C5725, ""en"", ""ja""))"),"NOSGA モダンなチェスターフィールドファブリック 3人掛けソファ家具、深いボタンタフテッドチェスターフィールドベルベットソファ、スクロールアーム付き、室内装飾ネイルヘッドトリムソファソファ、リビングルーム用(グレー)")</f>
        <v>NOSGA モダンなチェスターフィールドファブリック 3人掛けソファ家具、深いボタンタフテッドチェスターフィールドベルベットソファ、スクロールアーム付き、室内装飾ネイルヘッドトリムソファソファ、リビングルーム用(グレー)</v>
      </c>
    </row>
    <row r="5726" ht="15.75" customHeight="1">
      <c r="A5726" s="1">
        <v>3455.0</v>
      </c>
      <c r="B5726" s="1" t="s">
        <v>15</v>
      </c>
      <c r="C5726" s="1" t="s">
        <v>4793</v>
      </c>
      <c r="D5726" s="1" t="str">
        <f>IFERROR(__xludf.DUMMYFUNCTION("CONCATENATE(GOOGLETRANSLATE(C5726, ""en"", ""zh-cn""))"),"亚马逊品牌 – Stone &amp; Beam 5 层书柜，75H，风化橡木饰面")</f>
        <v>亚马逊品牌 – Stone &amp; Beam 5 层书柜，75H，风化橡木饰面</v>
      </c>
      <c r="E5726" s="1" t="str">
        <f>IFERROR(__xludf.DUMMYFUNCTION("CONCATENATE(GOOGLETRANSLATE(C5726, ""en"", ""ko""))"),"아마존 브랜드 – Stone &amp; Beam 5단 책장, 75H, 풍화 오크 마감")</f>
        <v>아마존 브랜드 – Stone &amp; Beam 5단 책장, 75H, 풍화 오크 마감</v>
      </c>
      <c r="F5726" s="1" t="str">
        <f>IFERROR(__xludf.DUMMYFUNCTION("CONCATENATE(GOOGLETRANSLATE(C5726, ""en"", ""ja""))"),"Amazon ブランド – Stone &amp; Beam 5 段本棚、75H、風化オーク仕上げ")</f>
        <v>Amazon ブランド – Stone &amp; Beam 5 段本棚、75H、風化オーク仕上げ</v>
      </c>
    </row>
    <row r="5727" ht="15.75" customHeight="1">
      <c r="A5727" s="1">
        <v>3461.0</v>
      </c>
      <c r="B5727" s="1" t="s">
        <v>15</v>
      </c>
      <c r="C5727" s="1" t="s">
        <v>2285</v>
      </c>
      <c r="D5727" s="1" t="str">
        <f>IFERROR(__xludf.DUMMYFUNCTION("CONCATENATE(GOOGLETRANSLATE(C5727, ""en"", ""zh-cn""))"),"Andeworld 现代簇绒沙发长沙发软垫沙发，适合餐厅客厅走廊或入口（钢灰色）")</f>
        <v>Andeworld 现代簇绒沙发长沙发软垫沙发，适合餐厅客厅走廊或入口（钢灰色）</v>
      </c>
      <c r="E5727" s="1" t="str">
        <f>IFERROR(__xludf.DUMMYFUNCTION("CONCATENATE(GOOGLETRANSLATE(C5727, ""en"", ""ko""))"),"Andeworld 모던 터프트 러브시트 긴 의자 소파 벤치 다이닝 거실 복도 또는 현관용 덮개를 씌운 소파(스틸 그레이)")</f>
        <v>Andeworld 모던 터프트 러브시트 긴 의자 소파 벤치 다이닝 거실 복도 또는 현관용 덮개를 씌운 소파(스틸 그레이)</v>
      </c>
      <c r="F5727" s="1" t="str">
        <f>IFERROR(__xludf.DUMMYFUNCTION("CONCATENATE(GOOGLETRANSLATE(C5727, ""en"", ""ja""))"),"Andeworld モダン タフテッド 二人掛け長椅子 ソファベンチ 布張りカウチ ダイニング リビングルーム 廊下や玄関用 (スチールグレー)")</f>
        <v>Andeworld モダン タフテッド 二人掛け長椅子 ソファベンチ 布張りカウチ ダイニング リビングルーム 廊下や玄関用 (スチールグレー)</v>
      </c>
    </row>
    <row r="5728" ht="15.75" customHeight="1">
      <c r="A5728" s="1">
        <v>3476.0</v>
      </c>
      <c r="B5728" s="1" t="s">
        <v>15</v>
      </c>
      <c r="C5728" s="1" t="s">
        <v>4794</v>
      </c>
      <c r="D5728" s="1" t="str">
        <f>IFERROR(__xludf.DUMMYFUNCTION("CONCATENATE(GOOGLETRANSLATE(C5728, ""en"", ""zh-cn""))"),"戴尔 XPS 17 9720 笔记本电脑17.0 英寸 UHD+ (3840 x 2400) 触摸屏显示器，英特尔酷睿 i9-12900HK，32GB 内存，1TB SSD，NVIDIA GeForce RTX 3060，英特尔 Killer Wi-Fi 6，Windows 11 Pro - 银色")</f>
        <v>戴尔 XPS 17 9720 笔记本电脑17.0 英寸 UHD+ (3840 x 2400) 触摸屏显示器，英特尔酷睿 i9-12900HK，32GB 内存，1TB SSD，NVIDIA GeForce RTX 3060，英特尔 Killer Wi-Fi 6，Windows 11 Pro - 银色</v>
      </c>
      <c r="E5728" s="1" t="str">
        <f>IFERROR(__xludf.DUMMYFUNCTION("CONCATENATE(GOOGLETRANSLATE(C5728, ""en"", ""ko""))"),"Dell XPS 17 9720 노트북17.0인치 UHD+(3840 x 2400) 터치스크린 디스플레이, Intel Core i9-12900HK, 32GB 메모리, 1TB SSD, NVIDIA GeForce RTX 3060, Intel Killer Wi-Fi 6, Windows 11 Pro - 실버")</f>
        <v>Dell XPS 17 9720 노트북17.0인치 UHD+(3840 x 2400) 터치스크린 디스플레이, Intel Core i9-12900HK, 32GB 메모리, 1TB SSD, NVIDIA GeForce RTX 3060, Intel Killer Wi-Fi 6, Windows 11 Pro - 실버</v>
      </c>
      <c r="F5728" s="1" t="str">
        <f>IFERROR(__xludf.DUMMYFUNCTION("CONCATENATE(GOOGLETRANSLATE(C5728, ""en"", ""ja""))"),"Dell XPS 17 9720 ラップトップ17.0 インチ UHD+ (3840 x 2400) タッチスクリーン ディスプレイ、Intel Core i9-12900HK、32GB メモリ、1TB SSD、NVIDIA GeForce RTX 3060、Intel Killer Wi-Fi 6、Windows 11 Pro - シルバー")</f>
        <v>Dell XPS 17 9720 ラップトップ17.0 インチ UHD+ (3840 x 2400) タッチスクリーン ディスプレイ、Intel Core i9-12900HK、32GB メモリ、1TB SSD、NVIDIA GeForce RTX 3060、Intel Killer Wi-Fi 6、Windows 11 Pro - シルバー</v>
      </c>
    </row>
    <row r="5729" ht="15.75" customHeight="1">
      <c r="A5729" s="1">
        <v>3484.0</v>
      </c>
      <c r="B5729" s="1" t="s">
        <v>15</v>
      </c>
      <c r="C5729" s="1" t="s">
        <v>4795</v>
      </c>
      <c r="D5729" s="1" t="str">
        <f>IFERROR(__xludf.DUMMYFUNCTION("CONCATENATE(GOOGLETRANSLATE(C5729, ""en"", ""zh-cn""))"),"Tripp Lite Smart SM2200RMDVTAA 2200VA 双电压 120V - 230V TAA/GSA UPS（黑色）")</f>
        <v>Tripp Lite Smart SM2200RMDVTAA 2200VA 双电压 120V - 230V TAA/GSA UPS（黑色）</v>
      </c>
      <c r="E5729" s="1" t="str">
        <f>IFERROR(__xludf.DUMMYFUNCTION("CONCATENATE(GOOGLETRANSLATE(C5729, ""en"", ""ko""))"),"Tripp Lite 스마트 SM2200RMDVTAA 2200VA 이중 전압 120V - 230V TAA/GSA UPS(검은색)")</f>
        <v>Tripp Lite 스마트 SM2200RMDVTAA 2200VA 이중 전압 120V - 230V TAA/GSA UPS(검은색)</v>
      </c>
      <c r="F5729" s="1" t="str">
        <f>IFERROR(__xludf.DUMMYFUNCTION("CONCATENATE(GOOGLETRANSLATE(C5729, ""en"", ""ja""))"),"Tripp Lite Smart SM2200RMDVTAA 2200VA デュアル電圧 120V - 230V TAA/GSA UPS (ブラック)")</f>
        <v>Tripp Lite Smart SM2200RMDVTAA 2200VA デュアル電圧 120V - 230V TAA/GSA UPS (ブラック)</v>
      </c>
    </row>
    <row r="5730" ht="15.75" customHeight="1">
      <c r="A5730" s="1">
        <v>3488.0</v>
      </c>
      <c r="B5730" s="1" t="s">
        <v>15</v>
      </c>
      <c r="C5730" s="1" t="s">
        <v>4796</v>
      </c>
      <c r="D5730" s="1" t="str">
        <f>IFERROR(__xludf.DUMMYFUNCTION("CONCATENATE(GOOGLETRANSLATE(C5730, ""en"", ""zh-cn""))"),"JWSIT 200 英寸带支架投影仪屏幕，升级版 3 层 PVC 16:9 大型户外投影仪屏幕，便携式户外电影屏幕，带手提包，适用于大型商业演出")</f>
        <v>JWSIT 200 英寸带支架投影仪屏幕，升级版 3 层 PVC 16:9 大型户外投影仪屏幕，便携式户外电影屏幕，带手提包，适用于大型商业演出</v>
      </c>
      <c r="E5730" s="1" t="str">
        <f>IFERROR(__xludf.DUMMYFUNCTION("CONCATENATE(GOOGLETRANSLATE(C5730, ""en"", ""ko""))"),"스탠드가 있는 JWSIT 200인치 프로젝터 스크린, 업그레이드된 3개 레이어 PVC 16:9 대형 야외 프로젝터 스크린, 대형 상업 성능을 위한 운반용 가방이 있는 휴대용 야외 영화 스크린")</f>
        <v>스탠드가 있는 JWSIT 200인치 프로젝터 스크린, 업그레이드된 3개 레이어 PVC 16:9 대형 야외 프로젝터 스크린, 대형 상업 성능을 위한 운반용 가방이 있는 휴대용 야외 영화 스크린</v>
      </c>
      <c r="F5730" s="1" t="str">
        <f>IFERROR(__xludf.DUMMYFUNCTION("CONCATENATE(GOOGLETRANSLATE(C5730, ""en"", ""ja""))"),"JWSIT スタンド付き 200 インチ プロジェクター スクリーン、アップグレードされた 3 層 PVC 16:9 大型屋外プロジェクター スクリーン、大規模な商業パフォーマンス用キャリングバッグ付きポータブル屋外ムービー スクリーン")</f>
        <v>JWSIT スタンド付き 200 インチ プロジェクター スクリーン、アップグレードされた 3 層 PVC 16:9 大型屋外プロジェクター スクリーン、大規模な商業パフォーマンス用キャリングバッグ付きポータブル屋外ムービー スクリーン</v>
      </c>
    </row>
    <row r="5731" ht="15.75" customHeight="1">
      <c r="A5731" s="1">
        <v>3490.0</v>
      </c>
      <c r="B5731" s="1" t="s">
        <v>15</v>
      </c>
      <c r="C5731" s="1" t="s">
        <v>4797</v>
      </c>
      <c r="D5731" s="1" t="str">
        <f>IFERROR(__xludf.DUMMYFUNCTION("CONCATENATE(GOOGLETRANSLATE(C5731, ""en"", ""zh-cn""))"),"Lenovo ThinkPad X1 Extreme Gen 3 15.6 FHD（英特尔 6 核 i7-10750H，32GB RAM，1TB PCIe SSD，GTX 1650 Ti）移动工作站笔记本电脑，2 x Thunderbolt 3，背光，指纹识别，IST HDMI，Win 10 Pro")</f>
        <v>Lenovo ThinkPad X1 Extreme Gen 3 15.6 FHD（英特尔 6 核 i7-10750H，32GB RAM，1TB PCIe SSD，GTX 1650 Ti）移动工作站笔记本电脑，2 x Thunderbolt 3，背光，指纹识别，IST HDMI，Win 10 Pro</v>
      </c>
      <c r="E5731" s="1" t="str">
        <f>IFERROR(__xludf.DUMMYFUNCTION("CONCATENATE(GOOGLETRANSLATE(C5731, ""en"", ""ko""))"),"Lenovo ThinkPad X1 Extreme Gen 3 15.6 FHD(Intel 6코어 i7-10750H, 32GB RAM, 1TB PCIe SSD, GTX 1650 Ti) 모바일 워크스테이션 노트북, Thunderbolt 3 2개, 백라이트, 지문 인식, IST HDMI, Win 10 Pro")</f>
        <v>Lenovo ThinkPad X1 Extreme Gen 3 15.6 FHD(Intel 6코어 i7-10750H, 32GB RAM, 1TB PCIe SSD, GTX 1650 Ti) 모바일 워크스테이션 노트북, Thunderbolt 3 2개, 백라이트, 지문 인식, IST HDMI, Win 10 Pro</v>
      </c>
      <c r="F5731" s="1" t="str">
        <f>IFERROR(__xludf.DUMMYFUNCTION("CONCATENATE(GOOGLETRANSLATE(C5731, ""en"", ""ja""))"),"Lenovo ThinkPad X1 Extreme Gen 3 15.6 FHD (Intel 6-Core i7-10750H、32GB RAM、1TB PCIe SSD、GTX 1650 Ti) モバイル ワークステーション ラップトップ、2 x Thunderbolt 3、バックライト付き、指紋認証、IST HDMI、Win 10 Pro")</f>
        <v>Lenovo ThinkPad X1 Extreme Gen 3 15.6 FHD (Intel 6-Core i7-10750H、32GB RAM、1TB PCIe SSD、GTX 1650 Ti) モバイル ワークステーション ラップトップ、2 x Thunderbolt 3、バックライト付き、指紋認証、IST HDMI、Win 10 Pro</v>
      </c>
    </row>
    <row r="5732" ht="15.75" customHeight="1">
      <c r="A5732" s="1">
        <v>3504.0</v>
      </c>
      <c r="B5732" s="1" t="s">
        <v>15</v>
      </c>
      <c r="C5732" s="1" t="s">
        <v>4798</v>
      </c>
      <c r="D5732" s="1" t="str">
        <f>IFERROR(__xludf.DUMMYFUNCTION("CONCATENATE(GOOGLETRANSLATE(C5732, ""en"", ""zh-cn""))"),"Apple 2021 款 12.9 英寸 iPad Pro 无线网络 + 蜂窝网络 512GB - 深空灰色")</f>
        <v>Apple 2021 款 12.9 英寸 iPad Pro 无线网络 + 蜂窝网络 512GB - 深空灰色</v>
      </c>
      <c r="E5732" s="1" t="str">
        <f>IFERROR(__xludf.DUMMYFUNCTION("CONCATENATE(GOOGLETRANSLATE(C5732, ""en"", ""ko""))"),"Apple 2021 12.9인치 iPad Pro Wi-Fi + Cellular 512GB - 스페이스 그레이")</f>
        <v>Apple 2021 12.9인치 iPad Pro Wi-Fi + Cellular 512GB - 스페이스 그레이</v>
      </c>
      <c r="F5732" s="1" t="str">
        <f>IFERROR(__xludf.DUMMYFUNCTION("CONCATENATE(GOOGLETRANSLATE(C5732, ""en"", ""ja""))"),"Apple 2021 12.9 インチ iPad Pro Wi‑Fi + Cellular 512GB - スペース グレイ")</f>
        <v>Apple 2021 12.9 インチ iPad Pro Wi‑Fi + Cellular 512GB - スペース グレイ</v>
      </c>
    </row>
    <row r="5733" ht="15.75" customHeight="1">
      <c r="A5733" s="1">
        <v>3525.0</v>
      </c>
      <c r="B5733" s="1" t="s">
        <v>15</v>
      </c>
      <c r="C5733" s="1" t="s">
        <v>4799</v>
      </c>
      <c r="D5733" s="1" t="str">
        <f>IFERROR(__xludf.DUMMYFUNCTION("CONCATENATE(GOOGLETRANSLATE(C5733, ""en"", ""zh-cn""))"),"戴尔 Inspiron 灵越 14 Plus 7420 笔记本电脑 - 14 英寸，2.2K 16:10，英特尔酷睿 i7-12700H，16GB DDR5 RAM，1TB 固态硬盘，英特尔 Iris Xe，2 年现场 + 防病毒，迁移，Windows 11 Pro + Office 365 - 大西洋蓝")</f>
        <v>戴尔 Inspiron 灵越 14 Plus 7420 笔记本电脑 - 14 英寸，2.2K 16:10，英特尔酷睿 i7-12700H，16GB DDR5 RAM，1TB 固态硬盘，英特尔 Iris Xe，2 年现场 + 防病毒，迁移，Windows 11 Pro + Office 365 - 大西洋蓝</v>
      </c>
      <c r="E5733" s="1" t="str">
        <f>IFERROR(__xludf.DUMMYFUNCTION("CONCATENATE(GOOGLETRANSLATE(C5733, ""en"", ""ko""))"),"Dell Inspiron 14 Plus 7420 노트북 - 14인치, 2.2K 16:10, Intel Core i7-12700H, 16GB DDR5 RAM, 1TB SSD, Intel Iris Xe, 2년 방문 서비스 + 안티바이러스, 마이그레이션, Windows 11 Pro + Office 365 - 대서양 블루")</f>
        <v>Dell Inspiron 14 Plus 7420 노트북 - 14인치, 2.2K 16:10, Intel Core i7-12700H, 16GB DDR5 RAM, 1TB SSD, Intel Iris Xe, 2년 방문 서비스 + 안티바이러스, 마이그레이션, Windows 11 Pro + Office 365 - 대서양 블루</v>
      </c>
      <c r="F5733" s="1" t="str">
        <f>IFERROR(__xludf.DUMMYFUNCTION("CONCATENATE(GOOGLETRANSLATE(C5733, ""en"", ""ja""))"),"Dell Inspiron 14 Plus 7420 ラップトップ - 14 インチ、2.2K 16:10、Intel Core i7-12700H、16GB DDR5 RAM、1TB SSD、Intel Iris Xe、2 年間オンサイト + アンチウイルス、移行、Windows 11 Pro + Office 365 - アトランティック ブルー")</f>
        <v>Dell Inspiron 14 Plus 7420 ラップトップ - 14 インチ、2.2K 16:10、Intel Core i7-12700H、16GB DDR5 RAM、1TB SSD、Intel Iris Xe、2 年間オンサイト + アンチウイルス、移行、Windows 11 Pro + Office 365 - アトランティック ブルー</v>
      </c>
    </row>
    <row r="5734" ht="15.75" customHeight="1">
      <c r="A5734" s="1">
        <v>3540.0</v>
      </c>
      <c r="B5734" s="1" t="s">
        <v>15</v>
      </c>
      <c r="C5734" s="1" t="s">
        <v>4800</v>
      </c>
      <c r="D5734" s="1" t="str">
        <f>IFERROR(__xludf.DUMMYFUNCTION("CONCATENATE(GOOGLETRANSLATE(C5734, ""en"", ""zh-cn""))"),"戴尔 XPS 13 9320 Plus 13.4 笔记本电脑 Intel Core i5-1240P（12 核）512GB PCIe SSD 16GB RAM 3.5K OLED (3456x2160) InfinityEdge Touch Win 11 PRO（续订）")</f>
        <v>戴尔 XPS 13 9320 Plus 13.4 笔记本电脑 Intel Core i5-1240P（12 核）512GB PCIe SSD 16GB RAM 3.5K OLED (3456x2160) InfinityEdge Touch Win 11 PRO（续订）</v>
      </c>
      <c r="E5734" s="1" t="str">
        <f>IFERROR(__xludf.DUMMYFUNCTION("CONCATENATE(GOOGLETRANSLATE(C5734, ""en"", ""ko""))"),"Dell XPS 13 9320 Plus 13.4 노트북 Intel Core i5-1240P(12코어) 512GB PCIe SSD 16GB RAM 3.5K OLED(3456x2160) InfinityEdge Touch Win 11 PRO(리뉴얼)")</f>
        <v>Dell XPS 13 9320 Plus 13.4 노트북 Intel Core i5-1240P(12코어) 512GB PCIe SSD 16GB RAM 3.5K OLED(3456x2160) InfinityEdge Touch Win 11 PRO(리뉴얼)</v>
      </c>
      <c r="F5734" s="1" t="str">
        <f>IFERROR(__xludf.DUMMYFUNCTION("CONCATENATE(GOOGLETRANSLATE(C5734, ""en"", ""ja""))"),"Dell XPS 13 9320 Plus 13.4 ラップトップ Intel Core i5-1240P (12 コア) 512GB PCIe SSD 16GB RAM 3.5K OLED (3456x2160) InfinityEdge Touch Win 11 PRO (リニューアル)")</f>
        <v>Dell XPS 13 9320 Plus 13.4 ラップトップ Intel Core i5-1240P (12 コア) 512GB PCIe SSD 16GB RAM 3.5K OLED (3456x2160) InfinityEdge Touch Win 11 PRO (リニューアル)</v>
      </c>
    </row>
    <row r="5735" ht="15.75" customHeight="1">
      <c r="A5735" s="1">
        <v>3545.0</v>
      </c>
      <c r="B5735" s="1" t="s">
        <v>15</v>
      </c>
      <c r="C5735" s="1" t="s">
        <v>4801</v>
      </c>
      <c r="D5735" s="1" t="str">
        <f>IFERROR(__xludf.DUMMYFUNCTION("CONCATENATE(GOOGLETRANSLATE(C5735, ""en"", ""zh-cn""))"),"Liebert PSI5锂离子UPS - 1500VA 1350W 120V，在线互动AVR迷你塔式正弦波UPS，0.9功率因数不间断电源（电池备份）带浪涌保护（PSI5-1500MT120LI）")</f>
        <v>Liebert PSI5锂离子UPS - 1500VA 1350W 120V，在线互动AVR迷你塔式正弦波UPS，0.9功率因数不间断电源（电池备份）带浪涌保护（PSI5-1500MT120LI）</v>
      </c>
      <c r="E5735" s="1" t="str">
        <f>IFERROR(__xludf.DUMMYFUNCTION("CONCATENATE(GOOGLETRANSLATE(C5735, ""en"", ""ko""))"),"Liebert PSI5 리튬 이온 UPS - 1500VA 1350W 120V, 라인 인터랙티브 AVR 미니 타워 사인파 UPS, 서지 보호 기능이 있는 0.9 역률 무정전 전원 공급 장치(배터리 백업)(PSI5-1500MT120LI)")</f>
        <v>Liebert PSI5 리튬 이온 UPS - 1500VA 1350W 120V, 라인 인터랙티브 AVR 미니 타워 사인파 UPS, 서지 보호 기능이 있는 0.9 역률 무정전 전원 공급 장치(배터리 백업)(PSI5-1500MT120LI)</v>
      </c>
      <c r="F5735" s="1" t="str">
        <f>IFERROR(__xludf.DUMMYFUNCTION("CONCATENATE(GOOGLETRANSLATE(C5735, ""en"", ""ja""))"),"Liebert PSI5 リチウムイオン UPS - 1500VA 1350W 120V、ラインインタラクティブ AVR ミニタワー正弦波 UPS、力率 0.9 サージ保護付き無停電電源装置 (バッテリーバックアップ) (PSI5-1500MT120LI)")</f>
        <v>Liebert PSI5 リチウムイオン UPS - 1500VA 1350W 120V、ラインインタラクティブ AVR ミニタワー正弦波 UPS、力率 0.9 サージ保護付き無停電電源装置 (バッテリーバックアップ) (PSI5-1500MT120LI)</v>
      </c>
    </row>
    <row r="5736" ht="15.75" customHeight="1">
      <c r="A5736" s="1">
        <v>3592.0</v>
      </c>
      <c r="B5736" s="1" t="s">
        <v>15</v>
      </c>
      <c r="C5736" s="1" t="s">
        <v>4802</v>
      </c>
      <c r="D5736" s="1" t="str">
        <f>IFERROR(__xludf.DUMMYFUNCTION("CONCATENATE(GOOGLETRANSLATE(C5736, ""en"", ""zh-cn""))"),"Lenovo ThinkPad T14 14 FHD（AMD 6 核 Ryzen 5 Pro 4650U（Beats i7-1165G7），16GB RAM，512GB SSD）商务笔记本电脑，IPS 防眩光，背光键盘，2 x Type-C，网络摄像头，Win 10 Pro / Win 11 Pro - 2022")</f>
        <v>Lenovo ThinkPad T14 14 FHD（AMD 6 核 Ryzen 5 Pro 4650U（Beats i7-1165G7），16GB RAM，512GB SSD）商务笔记本电脑，IPS 防眩光，背光键盘，2 x Type-C，网络摄像头，Win 10 Pro / Win 11 Pro - 2022</v>
      </c>
      <c r="E5736" s="1" t="str">
        <f>IFERROR(__xludf.DUMMYFUNCTION("CONCATENATE(GOOGLETRANSLATE(C5736, ""en"", ""ko""))"),"Lenovo ThinkPad T14 14 FHD (AMD 6코어 Ryzen 5 Pro 4650U (Beats i7-1165G7), 16GB RAM, 512GB SSD) 비즈니스 노트북, IPS 눈부심 방지, 백라이트 키보드, Type-C 2개, 웹캠, Win 10 Pro / Win 11 Pro - 2022")</f>
        <v>Lenovo ThinkPad T14 14 FHD (AMD 6코어 Ryzen 5 Pro 4650U (Beats i7-1165G7), 16GB RAM, 512GB SSD) 비즈니스 노트북, IPS 눈부심 방지, 백라이트 키보드, Type-C 2개, 웹캠, Win 10 Pro / Win 11 Pro - 2022</v>
      </c>
      <c r="F5736" s="1" t="str">
        <f>IFERROR(__xludf.DUMMYFUNCTION("CONCATENATE(GOOGLETRANSLATE(C5736, ""en"", ""ja""))"),"Lenovo ThinkPad T14 14 FHD (AMD 6 コア Ryzen 5 Pro 4650U (Beats i7-1165G7)、16GB RAM、512GB SSD) ビジネス ノートパソコン、IPS アンチグレア、バックライト付きキーボード、2 x Type-C、Web カメラ、Win 10 Pro / Win 11 Pro - 2022")</f>
        <v>Lenovo ThinkPad T14 14 FHD (AMD 6 コア Ryzen 5 Pro 4650U (Beats i7-1165G7)、16GB RAM、512GB SSD) ビジネス ノートパソコン、IPS アンチグレア、バックライト付きキーボード、2 x Type-C、Web カメラ、Win 10 Pro / Win 11 Pro - 2022</v>
      </c>
    </row>
    <row r="5737" ht="15.75" customHeight="1">
      <c r="A5737" s="1">
        <v>3595.0</v>
      </c>
      <c r="B5737" s="1" t="s">
        <v>15</v>
      </c>
      <c r="C5737" s="1" t="s">
        <v>4803</v>
      </c>
      <c r="D5737" s="1" t="str">
        <f>IFERROR(__xludf.DUMMYFUNCTION("CONCATENATE(GOOGLETRANSLATE(C5737, ""en"", ""zh-cn""))"),"HP LTO Ultrium-7 数据盒带，20 个 LTO Ultrium 7-6 TB / 15 TB - 条形码标签为 C7977AN")</f>
        <v>HP LTO Ultrium-7 数据盒带，20 个 LTO Ultrium 7-6 TB / 15 TB - 条形码标签为 C7977AN</v>
      </c>
      <c r="E5737" s="1" t="str">
        <f>IFERROR(__xludf.DUMMYFUNCTION("CONCATENATE(GOOGLETRANSLATE(C5737, ""en"", ""ko""))"),"HP LTO Ultrium-7 데이터 카트리지, LTO Ultrium 7-6TB/15TB 20개 - 바코드 라벨 C7977AN")</f>
        <v>HP LTO Ultrium-7 데이터 카트리지, LTO Ultrium 7-6TB/15TB 20개 - 바코드 라벨 C7977AN</v>
      </c>
      <c r="F5737" s="1" t="str">
        <f>IFERROR(__xludf.DUMMYFUNCTION("CONCATENATE(GOOGLETRANSLATE(C5737, ""en"", ""ja""))"),"HP LTO Ultrium-7 データ カートリッジ、20 x LTO Ultrium 7-6 TB / 15 TB - バーコード ラベル付き C7977AN")</f>
        <v>HP LTO Ultrium-7 データ カートリッジ、20 x LTO Ultrium 7-6 TB / 15 TB - バーコード ラベル付き C7977AN</v>
      </c>
    </row>
    <row r="5738" ht="15.75" customHeight="1">
      <c r="A5738" s="1">
        <v>3596.0</v>
      </c>
      <c r="B5738" s="1" t="s">
        <v>15</v>
      </c>
      <c r="C5738" s="1" t="s">
        <v>4804</v>
      </c>
      <c r="D5738" s="1" t="str">
        <f>IFERROR(__xludf.DUMMYFUNCTION("CONCATENATE(GOOGLETRANSLATE(C5738, ""en"", ""zh-cn""))"),"联想 ThinkPad E15 Gen 3 15.6 FHD + IPS 显示屏笔记本电脑（Ryzen 7 5825U 8 核，16GB RAM，512GB PCIe SSD，AMD Radeon，15.6 全高清 (1920x1080)，WiFi 6，BT 5.2，网络摄像头，USB 3.2，Win 10P）带集线器")</f>
        <v>联想 ThinkPad E15 Gen 3 15.6 FHD + IPS 显示屏笔记本电脑（Ryzen 7 5825U 8 核，16GB RAM，512GB PCIe SSD，AMD Radeon，15.6 全高清 (1920x1080)，WiFi 6，BT 5.2，网络摄像头，USB 3.2，Win 10P）带集线器</v>
      </c>
      <c r="E5738" s="1" t="str">
        <f>IFERROR(__xludf.DUMMYFUNCTION("CONCATENATE(GOOGLETRANSLATE(C5738, ""en"", ""ko""))"),"Lenovo ThinkPad E15 Gen 3 15.6 FHD + IPS 디스플레이 노트북(Ryzen 7 5825U 8코어, 16GB RAM, 512GB PCIe SSD, AMD Radeon, 15.6 풀 HD(1920x1080), WiFi 6, BT 5.2, 웹캠, USB 3.2, Win 10P) 허브 포함")</f>
        <v>Lenovo ThinkPad E15 Gen 3 15.6 FHD + IPS 디스플레이 노트북(Ryzen 7 5825U 8코어, 16GB RAM, 512GB PCIe SSD, AMD Radeon, 15.6 풀 HD(1920x1080), WiFi 6, BT 5.2, 웹캠, USB 3.2, Win 10P) 허브 포함</v>
      </c>
      <c r="F5738" s="1" t="str">
        <f>IFERROR(__xludf.DUMMYFUNCTION("CONCATENATE(GOOGLETRANSLATE(C5738, ""en"", ""ja""))"),"Lenovo ThinkPad E15 Gen 3 15.6 FHD + IPS ディスプレイ ラップトップ (Ryzen 7 5825U 8 コア、16GB RAM、512GB PCIe SSD、AMD Radeon、15.6 フル HD (1920x1080)、WiFi 6、BT 5.2、Web カメラ、USB 3.2、Win 10P) ハブ付き")</f>
        <v>Lenovo ThinkPad E15 Gen 3 15.6 FHD + IPS ディスプレイ ラップトップ (Ryzen 7 5825U 8 コア、16GB RAM、512GB PCIe SSD、AMD Radeon、15.6 フル HD (1920x1080)、WiFi 6、BT 5.2、Web カメラ、USB 3.2、Win 10P) ハブ付き</v>
      </c>
    </row>
    <row r="5739" ht="15.75" customHeight="1">
      <c r="A5739" s="1">
        <v>3598.0</v>
      </c>
      <c r="B5739" s="1" t="s">
        <v>15</v>
      </c>
      <c r="C5739" s="1" t="s">
        <v>4805</v>
      </c>
      <c r="D5739" s="1" t="str">
        <f>IFERROR(__xludf.DUMMYFUNCTION("CONCATENATE(GOOGLETRANSLATE(C5739, ""en"", ""zh-cn""))"),"Atomos Ninja V+ 5 8K HDMI H.265 原始录制监视器，带 WD Blue 500GB Sata SSD 必备套装 - 包括：2 节可充电锂离子电池 + 电池充电器 + 超细纤维清洁布")</f>
        <v>Atomos Ninja V+ 5 8K HDMI H.265 原始录制监视器，带 WD Blue 500GB Sata SSD 必备套装 - 包括：2 节可充电锂离子电池 + 电池充电器 + 超细纤维清洁布</v>
      </c>
      <c r="E5739" s="1" t="str">
        <f>IFERROR(__xludf.DUMMYFUNCTION("CONCATENATE(GOOGLETRANSLATE(C5739, ""en"", ""ko""))"),"Atomos Ninja V+ 5 8K HDMI H.265 Raw 녹화 모니터(WD Blue 500GB Sata SSD 필수 번들 포함) – 포함 사항: 충전식 리튬 이온 배터리 2개 + 배터리 충전기 + 극세사 청소용 천")</f>
        <v>Atomos Ninja V+ 5 8K HDMI H.265 Raw 녹화 모니터(WD Blue 500GB Sata SSD 필수 번들 포함) – 포함 사항: 충전식 리튬 이온 배터리 2개 + 배터리 충전기 + 극세사 청소용 천</v>
      </c>
      <c r="F5739" s="1" t="str">
        <f>IFERROR(__xludf.DUMMYFUNCTION("CONCATENATE(GOOGLETRANSLATE(C5739, ""en"", ""ja""))"),"ATOMOS Ninja V+ 5 8K HDMI H.265 Raw 録画モニター、WD Blue 500GB Sata SSD 必須バンドル付き – 内容: 2X 充電式リチウムイオンバッテリー + バッテリー充電器 + マイクロファイバークリーニングクロス")</f>
        <v>ATOMOS Ninja V+ 5 8K HDMI H.265 Raw 録画モニター、WD Blue 500GB Sata SSD 必須バンドル付き – 内容: 2X 充電式リチウムイオンバッテリー + バッテリー充電器 + マイクロファイバークリーニングクロス</v>
      </c>
    </row>
    <row r="5740" ht="15.75" customHeight="1">
      <c r="A5740" s="1">
        <v>3608.0</v>
      </c>
      <c r="B5740" s="1" t="s">
        <v>15</v>
      </c>
      <c r="C5740" s="1" t="s">
        <v>4806</v>
      </c>
      <c r="D5740" s="1" t="str">
        <f>IFERROR(__xludf.DUMMYFUNCTION("CONCATENATE(GOOGLETRANSLATE(C5740, ""en"", ""zh-cn""))"),"Lenovo ThinkPad E14 Gen 3 14 FHD IPS (AMD Ryzen 7 5700U，16GB RAM，512GB PCIe SSD，8 核 (Beat i7-1165G7)) 商务笔记本电脑，防眩光，Type-C（DP 和充电），网络摄像头，Win 10 Pro / 11 Pro")</f>
        <v>Lenovo ThinkPad E14 Gen 3 14 FHD IPS (AMD Ryzen 7 5700U，16GB RAM，512GB PCIe SSD，8 核 (Beat i7-1165G7)) 商务笔记本电脑，防眩光，Type-C（DP 和充电），网络摄像头，Win 10 Pro / 11 Pro</v>
      </c>
      <c r="E5740" s="1" t="str">
        <f>IFERROR(__xludf.DUMMYFUNCTION("CONCATENATE(GOOGLETRANSLATE(C5740, ""en"", ""ko""))"),"Lenovo ThinkPad E14 Gen 3 14 FHD IPS(AMD Ryzen 7 5700U, 16GB RAM, 512GB PCIe SSD, 8코어(Beat i7-1165G7)) 비즈니스 노트북, 눈부심 방지, Type-C(DP 및 충전), 웹캠, Win 10 Pro/11 Pro")</f>
        <v>Lenovo ThinkPad E14 Gen 3 14 FHD IPS(AMD Ryzen 7 5700U, 16GB RAM, 512GB PCIe SSD, 8코어(Beat i7-1165G7)) 비즈니스 노트북, 눈부심 방지, Type-C(DP 및 충전), 웹캠, Win 10 Pro/11 Pro</v>
      </c>
      <c r="F5740" s="1" t="str">
        <f>IFERROR(__xludf.DUMMYFUNCTION("CONCATENATE(GOOGLETRANSLATE(C5740, ""en"", ""ja""))"),"Lenovo ThinkPad E14 Gen 3 14 FHD IPS (AMD Ryzen 7 5700U、16GB RAM、512GB PCIe SSD、8コア (Beat i7-1165G7)) ビジネスノートパソコン、アンチグレア、Type-C (DP および充電)、Web カメラ、Win 10 Pro / 11 Pro")</f>
        <v>Lenovo ThinkPad E14 Gen 3 14 FHD IPS (AMD Ryzen 7 5700U、16GB RAM、512GB PCIe SSD、8コア (Beat i7-1165G7)) ビジネスノートパソコン、アンチグレア、Type-C (DP および充電)、Web カメラ、Win 10 Pro / 11 Pro</v>
      </c>
    </row>
    <row r="5741" ht="15.75" customHeight="1">
      <c r="A5741" s="1">
        <v>3610.0</v>
      </c>
      <c r="B5741" s="1" t="s">
        <v>15</v>
      </c>
      <c r="C5741" s="1" t="s">
        <v>4807</v>
      </c>
      <c r="D5741" s="1" t="str">
        <f>IFERROR(__xludf.DUMMYFUNCTION("CONCATENATE(GOOGLETRANSLATE(C5741, ""en"", ""zh-cn""))"),"华硕 TUF F15 游戏笔记本电脑 | 15.6 FHD 144Hz（自适应同步）|第 11 代英特尔 6 核 i5-11400H (&gt;i7-9750H) | 16GB DDR4 512GB 固态硬盘 | GeForce RTX 3050 4GB |背光 USB-C Win11 黑色 + 32GB MicroSD 卡")</f>
        <v>华硕 TUF F15 游戏笔记本电脑 | 15.6 FHD 144Hz（自适应同步）|第 11 代英特尔 6 核 i5-11400H (&gt;i7-9750H) | 16GB DDR4 512GB 固态硬盘 | GeForce RTX 3050 4GB |背光 USB-C Win11 黑色 + 32GB MicroSD 卡</v>
      </c>
      <c r="E5741" s="1" t="str">
        <f>IFERROR(__xludf.DUMMYFUNCTION("CONCATENATE(GOOGLETRANSLATE(C5741, ""en"", ""ko""))"),"ASUS TUF F15 게이밍 노트북 | 15.6 FHD 144Hz(적응형 동기화) | 11세대 Intel 6코어 i5-11400H(&gt;i7-9750H) | 16GB DDR4 512GB SSD | 지포스 RTX 3050 4GB | 백라이트 USB-C Win11 블랙 + 32GB MicroSD 카드")</f>
        <v>ASUS TUF F15 게이밍 노트북 | 15.6 FHD 144Hz(적응형 동기화) | 11세대 Intel 6코어 i5-11400H(&gt;i7-9750H) | 16GB DDR4 512GB SSD | 지포스 RTX 3050 4GB | 백라이트 USB-C Win11 블랙 + 32GB MicroSD 카드</v>
      </c>
      <c r="F5741" s="1" t="str">
        <f>IFERROR(__xludf.DUMMYFUNCTION("CONCATENATE(GOOGLETRANSLATE(C5741, ""en"", ""ja""))"),"ASUS TUF F15 ゲーミング ノートパソコン | 15.6 FHD 144Hz (アダプティブ同期) |第 11 世代インテル 6 コア i5-11400H (&gt;i7-9750H) | 16GB DDR4 512GB SSD | GeForce RTX 3050 4GB |バックライト付き USB-C Win11 ブラック + 32GB MicroSD カード")</f>
        <v>ASUS TUF F15 ゲーミング ノートパソコン | 15.6 FHD 144Hz (アダプティブ同期) |第 11 世代インテル 6 コア i5-11400H (&gt;i7-9750H) | 16GB DDR4 512GB SSD | GeForce RTX 3050 4GB |バックライト付き USB-C Win11 ブラック + 32GB MicroSD カード</v>
      </c>
    </row>
    <row r="5742" ht="15.75" customHeight="1">
      <c r="A5742" s="1">
        <v>3611.0</v>
      </c>
      <c r="B5742" s="1" t="s">
        <v>15</v>
      </c>
      <c r="C5742" s="1" t="s">
        <v>4808</v>
      </c>
      <c r="D5742" s="1" t="str">
        <f>IFERROR(__xludf.DUMMYFUNCTION("CONCATENATE(GOOGLETRANSLATE(C5742, ""en"", ""zh-cn""))"),"富士通 Fi-8170")</f>
        <v>富士通 Fi-8170</v>
      </c>
      <c r="E5742" s="1" t="str">
        <f>IFERROR(__xludf.DUMMYFUNCTION("CONCATENATE(GOOGLETRANSLATE(C5742, ""en"", ""ko""))"),"후지쯔 Fi-8170")</f>
        <v>후지쯔 Fi-8170</v>
      </c>
      <c r="F5742" s="1" t="str">
        <f>IFERROR(__xludf.DUMMYFUNCTION("CONCATENATE(GOOGLETRANSLATE(C5742, ""en"", ""ja""))"),"富士通 Fi-8170")</f>
        <v>富士通 Fi-8170</v>
      </c>
    </row>
    <row r="5743" ht="15.75" customHeight="1">
      <c r="A5743" s="1">
        <v>3614.0</v>
      </c>
      <c r="B5743" s="1" t="s">
        <v>15</v>
      </c>
      <c r="C5743" s="1" t="s">
        <v>4809</v>
      </c>
      <c r="D5743" s="1" t="str">
        <f>IFERROR(__xludf.DUMMYFUNCTION("CONCATENATE(GOOGLETRANSLATE(C5743, ""en"", ""zh-cn""))"),"当天送达 惠普 21.5 英寸全高清触摸屏 Ryzen-3 一体机新型号，内置网络摄像头 惠普学校/办公室使用 8GB RAM 480GB SSD Win 10 家用黑色 1 年保修，带键盘和鼠标")</f>
        <v>当天送达 惠普 21.5 英寸全高清触摸屏 Ryzen-3 一体机新型号，内置网络摄像头 惠普学校/办公室使用 8GB RAM 480GB SSD Win 10 家用黑色 1 年保修，带键盘和鼠标</v>
      </c>
      <c r="E5743" s="1" t="str">
        <f>IFERROR(__xludf.DUMMYFUNCTION("CONCATENATE(GOOGLETRANSLATE(C5743, ""en"", ""ko""))"),"당일 배송 HP 21.5"" FullHD 터치스크린 Ryzen-3 웹캠이 내장된 올인원 PC 새 모델 HP 학교/사무실용 8GB RAM 480GB SSD Win 10 홈 블랙 키보드 및 마우스 포함 1년 보증")</f>
        <v>당일 배송 HP 21.5" FullHD 터치스크린 Ryzen-3 웹캠이 내장된 올인원 PC 새 모델 HP 학교/사무실용 8GB RAM 480GB SSD Win 10 홈 블랙 키보드 및 마우스 포함 1년 보증</v>
      </c>
      <c r="F5743" s="1" t="str">
        <f>IFERROR(__xludf.DUMMYFUNCTION("CONCATENATE(GOOGLETRANSLATE(C5743, ""en"", ""ja""))"),"即日出荷 HP 21.5インチ FullHD タッチスクリーン Ryzen-3 オールインワン PC 新モデル Webカメラ内蔵 hp 学校/オフィス用 8GB RAM 480GB SSD Win 10 Home ブラック 1年保証 キーボード・マウス付")</f>
        <v>即日出荷 HP 21.5インチ FullHD タッチスクリーン Ryzen-3 オールインワン PC 新モデル Webカメラ内蔵 hp 学校/オフィス用 8GB RAM 480GB SSD Win 10 Home ブラック 1年保証 キーボード・マウス付</v>
      </c>
    </row>
    <row r="5744" ht="15.75" customHeight="1">
      <c r="A5744" s="1">
        <v>3624.0</v>
      </c>
      <c r="B5744" s="1" t="s">
        <v>15</v>
      </c>
      <c r="C5744" s="1" t="s">
        <v>4810</v>
      </c>
      <c r="D5744" s="1" t="str">
        <f>IFERROR(__xludf.DUMMYFUNCTION("CONCATENATE(GOOGLETRANSLATE(C5744, ""en"", ""zh-cn""))"),"联想 IdeaPad 3i 15.6 FHD 游戏笔记本电脑 2022，第 11 代 Intel i5-11300H（高达 4.4GHz），16GB RAM 1TB NVMe SSD，GeForce GTX 1650，USB-A&amp;C RJ45，Windows 11")</f>
        <v>联想 IdeaPad 3i 15.6 FHD 游戏笔记本电脑 2022，第 11 代 Intel i5-11300H（高达 4.4GHz），16GB RAM 1TB NVMe SSD，GeForce GTX 1650，USB-A&amp;C RJ45，Windows 11</v>
      </c>
      <c r="E5744" s="1" t="str">
        <f>IFERROR(__xludf.DUMMYFUNCTION("CONCATENATE(GOOGLETRANSLATE(C5744, ""en"", ""ko""))"),"Lenovo IdeaPad 3i 15.6 FHD 게이밍 노트북 2022, 11세대 Intel i5-11300H(최대 4.4GHz), 16GB RAM 1TB NVMe SSD, GeForce GTX 1650, USB-A&amp;C RJ45, Windows 11")</f>
        <v>Lenovo IdeaPad 3i 15.6 FHD 게이밍 노트북 2022, 11세대 Intel i5-11300H(최대 4.4GHz), 16GB RAM 1TB NVMe SSD, GeForce GTX 1650, USB-A&amp;C RJ45, Windows 11</v>
      </c>
      <c r="F5744" s="1" t="str">
        <f>IFERROR(__xludf.DUMMYFUNCTION("CONCATENATE(GOOGLETRANSLATE(C5744, ""en"", ""ja""))"),"Lenovo IdeaPad 3i 15.6 FHD ゲーミング ラップトップ 2022、第 11 世代 Intel i5-11300H(最大 4.4GHz)、16GB RAM 1TB NVMe SSD、GeForce GTX 1650、USB-A&amp;C RJ45、Windows 11")</f>
        <v>Lenovo IdeaPad 3i 15.6 FHD ゲーミング ラップトップ 2022、第 11 世代 Intel i5-11300H(最大 4.4GHz)、16GB RAM 1TB NVMe SSD、GeForce GTX 1650、USB-A&amp;C RJ45、Windows 11</v>
      </c>
    </row>
    <row r="5745" ht="15.75" customHeight="1">
      <c r="A5745" s="1">
        <v>3625.0</v>
      </c>
      <c r="B5745" s="1" t="s">
        <v>15</v>
      </c>
      <c r="C5745" s="1" t="s">
        <v>4811</v>
      </c>
      <c r="D5745" s="1" t="str">
        <f>IFERROR(__xludf.DUMMYFUNCTION("CONCATENATE(GOOGLETRANSLATE(C5745, ""en"", ""zh-cn""))"),"Dell Latitude 3410 3000 14 FHD (Intel 四核 i5-10210U (Beat i7-8565U)，16GB RAM，512GB PCIe SSD，全高清 IPS) 商务学生教育笔记本电脑，Type-C，RJ-45，HDMI，Win 10 Pro / Win 11 Pro")</f>
        <v>Dell Latitude 3410 3000 14 FHD (Intel 四核 i5-10210U (Beat i7-8565U)，16GB RAM，512GB PCIe SSD，全高清 IPS) 商务学生教育笔记本电脑，Type-C，RJ-45，HDMI，Win 10 Pro / Win 11 Pro</v>
      </c>
      <c r="E5745" s="1" t="str">
        <f>IFERROR(__xludf.DUMMYFUNCTION("CONCATENATE(GOOGLETRANSLATE(C5745, ""en"", ""ko""))"),"Dell Latitude 3410 3000 14 FHD(Intel 쿼드 코어 i5-10210U(Beat i7-8565U), 16GB RAM, 512GB PCIe SSD, 풀 HD IPS) 비즈니스 학생 교육용 노트북, Type-C, RJ-45, HDMI, Win 10 Pro/Win 11 Pro")</f>
        <v>Dell Latitude 3410 3000 14 FHD(Intel 쿼드 코어 i5-10210U(Beat i7-8565U), 16GB RAM, 512GB PCIe SSD, 풀 HD IPS) 비즈니스 학생 교육용 노트북, Type-C, RJ-45, HDMI, Win 10 Pro/Win 11 Pro</v>
      </c>
      <c r="F5745" s="1" t="str">
        <f>IFERROR(__xludf.DUMMYFUNCTION("CONCATENATE(GOOGLETRANSLATE(C5745, ""en"", ""ja""))"),"Dell Latitude 3410 3000 14 FHD (Intel クアッドコア i5-10210U (Beat i7-8565U)、16GB RAM、512GB PCIe SSD、フル HD IPS) ビジネス学生教育ノートパソコン、Type-C、RJ-45、HDMI、Win 10 Pro / Win 11 Pro")</f>
        <v>Dell Latitude 3410 3000 14 FHD (Intel クアッドコア i5-10210U (Beat i7-8565U)、16GB RAM、512GB PCIe SSD、フル HD IPS) ビジネス学生教育ノートパソコン、Type-C、RJ-45、HDMI、Win 10 Pro / Win 11 Pro</v>
      </c>
    </row>
    <row r="5746" ht="15.75" customHeight="1">
      <c r="A5746" s="1">
        <v>3630.0</v>
      </c>
      <c r="B5746" s="1" t="s">
        <v>15</v>
      </c>
      <c r="C5746" s="1" t="s">
        <v>4812</v>
      </c>
      <c r="D5746" s="1" t="str">
        <f>IFERROR(__xludf.DUMMYFUNCTION("CONCATENATE(GOOGLETRANSLATE(C5746, ""en"", ""zh-cn""))"),"Lenovo IdeaPad Gaming 3 - 2022 - 日常游戏笔记本电脑 - NVIDIA GeForce RTX 3050 显卡 - 15.6 FHD 显示屏 - 120 Hz - AMD Ryzen 5 6600H - 8GB DDR5 - 258GB SSD - Win 11 - 免费 3 个月 Xbox GamePass")</f>
        <v>Lenovo IdeaPad Gaming 3 - 2022 - 日常游戏笔记本电脑 - NVIDIA GeForce RTX 3050 显卡 - 15.6 FHD 显示屏 - 120 Hz - AMD Ryzen 5 6600H - 8GB DDR5 - 258GB SSD - Win 11 - 免费 3 个月 Xbox GamePass</v>
      </c>
      <c r="E5746" s="1" t="str">
        <f>IFERROR(__xludf.DUMMYFUNCTION("CONCATENATE(GOOGLETRANSLATE(C5746, ""en"", ""ko""))"),"Lenovo IdeaPad 게이밍 3 - 2022 - 일상용 게이밍 노트북 - NVIDIA GeForce RTX 3050 그래픽 - 15.6 FHD 디스플레이 - 120Hz - AMD Ryzen 5 6600H - 8GB DDR5 - 258GB SSD - Win 11 - 무료 3개월 Xbox GamePass")</f>
        <v>Lenovo IdeaPad 게이밍 3 - 2022 - 일상용 게이밍 노트북 - NVIDIA GeForce RTX 3050 그래픽 - 15.6 FHD 디스플레이 - 120Hz - AMD Ryzen 5 6600H - 8GB DDR5 - 258GB SSD - Win 11 - 무료 3개월 Xbox GamePass</v>
      </c>
      <c r="F5746" s="1" t="str">
        <f>IFERROR(__xludf.DUMMYFUNCTION("CONCATENATE(GOOGLETRANSLATE(C5746, ""en"", ""ja""))"),"Lenovo IdeaPad Gaming 3 - 2022 - 毎日のゲーミング ノートパソコン - NVIDIA GeForce RTX 3050 グラフィックス - 15.6 FHD ディスプレイ - 120 Hz - AMD Ryzen 5 6600H - 8GB DDR5 - 258GB SSD - Win 11 - 無料の 3 か月 Xbox GamePass")</f>
        <v>Lenovo IdeaPad Gaming 3 - 2022 - 毎日のゲーミング ノートパソコン - NVIDIA GeForce RTX 3050 グラフィックス - 15.6 FHD ディスプレイ - 120 Hz - AMD Ryzen 5 6600H - 8GB DDR5 - 258GB SSD - Win 11 - 無料の 3 か月 Xbox GamePass</v>
      </c>
    </row>
    <row r="5747" ht="15.75" customHeight="1">
      <c r="A5747" s="1">
        <v>3634.0</v>
      </c>
      <c r="B5747" s="1" t="s">
        <v>15</v>
      </c>
      <c r="C5747" s="1" t="s">
        <v>2789</v>
      </c>
      <c r="D5747" s="1" t="str">
        <f>IFERROR(__xludf.DUMMYFUNCTION("CONCATENATE(GOOGLETRANSLATE(C5747, ""en"", ""zh-cn""))"),"Apple iPad Pro 2018（11 英寸，Wi-Fi + 蜂窝网络，1TB）- 深空灰色 -（续订）")</f>
        <v>Apple iPad Pro 2018（11 英寸，Wi-Fi + 蜂窝网络，1TB）- 深空灰色 -（续订）</v>
      </c>
      <c r="E5747" s="1" t="str">
        <f>IFERROR(__xludf.DUMMYFUNCTION("CONCATENATE(GOOGLETRANSLATE(C5747, ""en"", ""ko""))"),"Apple iPad Pro 2018 (11인치, Wi-Fi + Cellular, 1TB) - 스페이스 그레이 - (리뉴얼)")</f>
        <v>Apple iPad Pro 2018 (11인치, Wi-Fi + Cellular, 1TB) - 스페이스 그레이 - (리뉴얼)</v>
      </c>
      <c r="F5747" s="1" t="str">
        <f>IFERROR(__xludf.DUMMYFUNCTION("CONCATENATE(GOOGLETRANSLATE(C5747, ""en"", ""ja""))"),"Apple iPad Pro 2018 (11インチ、Wi-Fi + Cellular、1TB) - スペースグレイ - (リニューアル)")</f>
        <v>Apple iPad Pro 2018 (11インチ、Wi-Fi + Cellular、1TB) - スペースグレイ - (リニューアル)</v>
      </c>
    </row>
    <row r="5748" ht="15.75" customHeight="1">
      <c r="A5748" s="1">
        <v>3636.0</v>
      </c>
      <c r="B5748" s="1" t="s">
        <v>15</v>
      </c>
      <c r="C5748" s="1" t="s">
        <v>3651</v>
      </c>
      <c r="D5748" s="1" t="str">
        <f>IFERROR(__xludf.DUMMYFUNCTION("CONCATENATE(GOOGLETRANSLATE(C5748, ""en"", ""zh-cn""))"),"PVC RV 橡胶屋顶套件 45 百万 | 9’6’’宽x 10’-40’长房车（露营车）屋顶维修（40’），白色，（RVK45PVCW95）")</f>
        <v>PVC RV 橡胶屋顶套件 45 百万 | 9’6’’宽x 10’-40’长房车（露营车）屋顶维修（40’），白色，（RVK45PVCW95）</v>
      </c>
      <c r="E5748" s="1" t="str">
        <f>IFERROR(__xludf.DUMMYFUNCTION("CONCATENATE(GOOGLETRANSLATE(C5748, ""en"", ""ko""))"),"PVC RV 고무 지붕 키트 45mil | 9'6'' 너비 x 10'-40' 길이 RV(캠퍼) 지붕 수리(40'), 흰색, (RVK45PVCW95)")</f>
        <v>PVC RV 고무 지붕 키트 45mil | 9'6'' 너비 x 10'-40' 길이 RV(캠퍼) 지붕 수리(40'), 흰색, (RVK45PVCW95)</v>
      </c>
      <c r="F5748" s="1" t="str">
        <f>IFERROR(__xludf.DUMMYFUNCTION("CONCATENATE(GOOGLETRANSLATE(C5748, ""en"", ""ja""))"),"PVC RV ラバー ルーフ キット 45 mil |幅9'6'' x 長さ10'-40' RV (キャンピングカー) 屋根修理 (40')、白、(RVK45PVCW95)")</f>
        <v>PVC RV ラバー ルーフ キット 45 mil |幅9'6'' x 長さ10'-40' RV (キャンピングカー) 屋根修理 (40')、白、(RVK45PVCW95)</v>
      </c>
    </row>
    <row r="5749" ht="15.75" customHeight="1">
      <c r="A5749" s="1">
        <v>3646.0</v>
      </c>
      <c r="B5749" s="1" t="s">
        <v>15</v>
      </c>
      <c r="C5749" s="1" t="s">
        <v>4813</v>
      </c>
      <c r="D5749" s="1" t="str">
        <f>IFERROR(__xludf.DUMMYFUNCTION("CONCATENATE(GOOGLETRANSLATE(C5749, ""en"", ""zh-cn""))"),"ZEN - 英特尔第 12 代多媒体台式电脑 - 非常适合学习和工作")</f>
        <v>ZEN - 英特尔第 12 代多媒体台式电脑 - 非常适合学习和工作</v>
      </c>
      <c r="E5749" s="1" t="str">
        <f>IFERROR(__xludf.DUMMYFUNCTION("CONCATENATE(GOOGLETRANSLATE(C5749, ""en"", ""ko""))"),"ZEN - 인텔 12세대 멀티미디어 데스크탑 PC - 학습 및 업무에 적합")</f>
        <v>ZEN - 인텔 12세대 멀티미디어 데스크탑 PC - 학습 및 업무에 적합</v>
      </c>
      <c r="F5749" s="1" t="str">
        <f>IFERROR(__xludf.DUMMYFUNCTION("CONCATENATE(GOOGLETRANSLATE(C5749, ""en"", ""ja""))"),"ZEN - インテル第 12 世代マルチメディア デスクトップ PC - 勉強や仕事に最適")</f>
        <v>ZEN - インテル第 12 世代マルチメディア デスクトップ PC - 勉強や仕事に最適</v>
      </c>
    </row>
    <row r="5750" ht="15.75" customHeight="1">
      <c r="A5750" s="1">
        <v>3648.0</v>
      </c>
      <c r="B5750" s="1" t="s">
        <v>15</v>
      </c>
      <c r="C5750" s="1" t="s">
        <v>4814</v>
      </c>
      <c r="D5750" s="1" t="str">
        <f>IFERROR(__xludf.DUMMYFUNCTION("CONCATENATE(GOOGLETRANSLATE(C5750, ""en"", ""zh-cn""))"),"2021 最新戴尔 OptiPlex 3080 微型商用台式机，英特尔酷睿 i5-10500T，16GB DDR4 RAM，512GB SSD，WiFi，HDMI，蓝牙，有线键盘和鼠标，Windows 10 Pro")</f>
        <v>2021 最新戴尔 OptiPlex 3080 微型商用台式机，英特尔酷睿 i5-10500T，16GB DDR4 RAM，512GB SSD，WiFi，HDMI，蓝牙，有线键盘和鼠标，Windows 10 Pro</v>
      </c>
      <c r="E5750" s="1" t="str">
        <f>IFERROR(__xludf.DUMMYFUNCTION("CONCATENATE(GOOGLETRANSLATE(C5750, ""en"", ""ko""))"),"2021 최신 Dell OptiPlex 3080 마이크로 폼 팩터 비즈니스 데스크탑, Intel Core i5-10500T, 16GB DDR4 RAM, 512GB SSD, WiFi, HDMI, Bluetooth, 유선 키보드 및 마우스, Windows 10 Pro")</f>
        <v>2021 최신 Dell OptiPlex 3080 마이크로 폼 팩터 비즈니스 데스크탑, Intel Core i5-10500T, 16GB DDR4 RAM, 512GB SSD, WiFi, HDMI, Bluetooth, 유선 키보드 및 마우스, Windows 10 Pro</v>
      </c>
      <c r="F5750" s="1" t="str">
        <f>IFERROR(__xludf.DUMMYFUNCTION("CONCATENATE(GOOGLETRANSLATE(C5750, ""en"", ""ja""))"),"2021 最新の Dell OptiPlex 3080 マイクロ フォーム ファクター ビジネス デスクトップ、Intel Core i5-10500T、16GB DDR4 RAM、512GB SSD、WiFi、HDMI、Bluetooth、有線キーボード&amp;マウス、Windows 10 Pro")</f>
        <v>2021 最新の Dell OptiPlex 3080 マイクロ フォーム ファクター ビジネス デスクトップ、Intel Core i5-10500T、16GB DDR4 RAM、512GB SSD、WiFi、HDMI、Bluetooth、有線キーボード&amp;マウス、Windows 10 Pro</v>
      </c>
    </row>
    <row r="5751" ht="15.75" customHeight="1">
      <c r="A5751" s="1">
        <v>3661.0</v>
      </c>
      <c r="B5751" s="1" t="s">
        <v>15</v>
      </c>
      <c r="C5751" s="1" t="s">
        <v>4815</v>
      </c>
      <c r="D5751" s="1" t="str">
        <f>IFERROR(__xludf.DUMMYFUNCTION("CONCATENATE(GOOGLETRANSLATE(C5751, ""en"", ""zh-cn""))"),"Talvania 33 英尺充气投影仪屏幕，适合户外和室内电视电影观看，巨大的屏幕，鼓风机，系紧装置，木桩，沙袋和储物袋，快速爆炸，巨型（33 英尺紫色）")</f>
        <v>Talvania 33 英尺充气投影仪屏幕，适合户外和室内电视电影观看，巨大的屏幕，鼓风机，系紧装置，木桩，沙袋和储物袋，快速爆炸，巨型（33 英尺紫色）</v>
      </c>
      <c r="E5751" s="1" t="str">
        <f>IFERROR(__xludf.DUMMYFUNCTION("CONCATENATE(GOOGLETRANSLATE(C5751, ""en"", ""ko""))"),"야외 및 실내 TV 영화 감상을 위한 탈바니아 33피트 풍선 프로젝터 스크린, 대형 스크린, 송풍기, 타이 다운, 스테이크, 샌드백 및 보관 가방, 퀵 블로우 업, 점보(33' 보라색)")</f>
        <v>야외 및 실내 TV 영화 감상을 위한 탈바니아 33피트 풍선 프로젝터 스크린, 대형 스크린, 송풍기, 타이 다운, 스테이크, 샌드백 및 보관 가방, 퀵 블로우 업, 점보(33' 보라색)</v>
      </c>
      <c r="F5751" s="1" t="str">
        <f>IFERROR(__xludf.DUMMYFUNCTION("CONCATENATE(GOOGLETRANSLATE(C5751, ""en"", ""ja""))"),"Talvonia 33 フィート インフレータブル プロジェクター スクリーン 屋外および屋内でのテレビ映画鑑賞用、巨大スクリーン、送風機、タイダウン、杭、土嚢、収納バッグ、クイックブローアップ、ジャンボ (33 フィート パープル)")</f>
        <v>Talvonia 33 フィート インフレータブル プロジェクター スクリーン 屋外および屋内でのテレビ映画鑑賞用、巨大スクリーン、送風機、タイダウン、杭、土嚢、収納バッグ、クイックブローアップ、ジャンボ (33 フィート パープル)</v>
      </c>
    </row>
    <row r="5752" ht="15.75" customHeight="1">
      <c r="A5752" s="1">
        <v>3668.0</v>
      </c>
      <c r="B5752" s="1" t="s">
        <v>15</v>
      </c>
      <c r="C5752" s="1" t="s">
        <v>2321</v>
      </c>
      <c r="D5752" s="1" t="str">
        <f>IFERROR(__xludf.DUMMYFUNCTION("CONCATENATE(GOOGLETRANSLATE(C5752, ""en"", ""zh-cn""))"),"Apple iPad Pro 2 12.9 英寸 (2017) 256GB，Wi-Fi - 深空灰色（更新版）")</f>
        <v>Apple iPad Pro 2 12.9 英寸 (2017) 256GB，Wi-Fi - 深空灰色（更新版）</v>
      </c>
      <c r="E5752" s="1" t="str">
        <f>IFERROR(__xludf.DUMMYFUNCTION("CONCATENATE(GOOGLETRANSLATE(C5752, ""en"", ""ko""))"),"애플 아이패드 프로 2 12.9인치(2017) 256GB, Wi-Fi - 스페이스 그레이(리뉴얼)")</f>
        <v>애플 아이패드 프로 2 12.9인치(2017) 256GB, Wi-Fi - 스페이스 그레이(리뉴얼)</v>
      </c>
      <c r="F5752" s="1" t="str">
        <f>IFERROR(__xludf.DUMMYFUNCTION("CONCATENATE(GOOGLETRANSLATE(C5752, ""en"", ""ja""))"),"Apple iPad Pro 2 12.9インチ (2017) 256GB、Wi-Fi - スペースグレイ (リニューアル)")</f>
        <v>Apple iPad Pro 2 12.9インチ (2017) 256GB、Wi-Fi - スペースグレイ (リニューアル)</v>
      </c>
    </row>
    <row r="5753" ht="15.75" customHeight="1">
      <c r="A5753" s="1">
        <v>3672.0</v>
      </c>
      <c r="B5753" s="1" t="s">
        <v>15</v>
      </c>
      <c r="C5753" s="1" t="s">
        <v>4816</v>
      </c>
      <c r="D5753" s="1" t="str">
        <f>IFERROR(__xludf.DUMMYFUNCTION("CONCATENATE(GOOGLETRANSLATE(C5753, ""en"", ""zh-cn""))"),"垂直电缆门禁电缆静压室：22AWG/3 对屏蔽 + 18AWG/4 导线 + 22AWG/4 导线 + 22AWG/2 导线，多股裸铜导线，500 英尺线轴，黄色")</f>
        <v>垂直电缆门禁电缆静压室：22AWG/3 对屏蔽 + 18AWG/4 导线 + 22AWG/4 导线 + 22AWG/2 导线，多股裸铜导线，500 英尺线轴，黄色</v>
      </c>
      <c r="E5753" s="1" t="str">
        <f>IFERROR(__xludf.DUMMYFUNCTION("CONCATENATE(GOOGLETRANSLATE(C5753, ""en"", ""ko""))"),"수직 케이블 액세스 제어 케이블 플레넘: 22AWG/3쌍 차폐 + 18AWG/4 도체 + 22AWG/4 도체 + 22AWG/2 도체, 연선 구리 도체, 500피트 스풀, 노란색")</f>
        <v>수직 케이블 액세스 제어 케이블 플레넘: 22AWG/3쌍 차폐 + 18AWG/4 도체 + 22AWG/4 도체 + 22AWG/2 도체, 연선 구리 도체, 500피트 스풀, 노란색</v>
      </c>
      <c r="F5753" s="1" t="str">
        <f>IFERROR(__xludf.DUMMYFUNCTION("CONCATENATE(GOOGLETRANSLATE(C5753, ""en"", ""ja""))"),"垂直ケーブルアクセス制御ケーブルプレナム: 22AWG/3 ペアシールド + 18AWG/4 導体 + 22AWG/4 導体 + 22AWG/2 導体、撚り線裸銅導体、500 フィートスプール、黄色")</f>
        <v>垂直ケーブルアクセス制御ケーブルプレナム: 22AWG/3 ペアシールド + 18AWG/4 導体 + 22AWG/4 導体 + 22AWG/2 導体、撚り線裸銅導体、500 フィートスプール、黄色</v>
      </c>
    </row>
    <row r="5754" ht="15.75" customHeight="1">
      <c r="A5754" s="1">
        <v>3689.0</v>
      </c>
      <c r="B5754" s="1" t="s">
        <v>15</v>
      </c>
      <c r="C5754" s="1" t="s">
        <v>4817</v>
      </c>
      <c r="D5754" s="1" t="str">
        <f>IFERROR(__xludf.DUMMYFUNCTION("CONCATENATE(GOOGLETRANSLATE(C5754, ""en"", ""zh-cn""))"),"Apple iPad Pro 12.9 英寸 512GB MPKY2LL/A（第 2 代，仅 Wi-Fi，深空灰色）2017 年中（续订）")</f>
        <v>Apple iPad Pro 12.9 英寸 512GB MPKY2LL/A（第 2 代，仅 Wi-Fi，深空灰色）2017 年中（续订）</v>
      </c>
      <c r="E5754" s="1" t="str">
        <f>IFERROR(__xludf.DUMMYFUNCTION("CONCATENATE(GOOGLETRANSLATE(C5754, ""en"", ""ko""))"),"Apple iPad Pro 12.9인치 512GB MPKY2LL/A(2세대, Wi-Fi 전용, 스페이스 그레이) 2017년 중반(리뉴얼)")</f>
        <v>Apple iPad Pro 12.9인치 512GB MPKY2LL/A(2세대, Wi-Fi 전용, 스페이스 그레이) 2017년 중반(리뉴얼)</v>
      </c>
      <c r="F5754" s="1" t="str">
        <f>IFERROR(__xludf.DUMMYFUNCTION("CONCATENATE(GOOGLETRANSLATE(C5754, ""en"", ""ja""))"),"Apple iPad Pro 12.9 インチ 512GB MPKY2LL/A (第 2 世代、Wi-Fi のみ、スペースグレイ) 2017 年中期 (リニューアル)")</f>
        <v>Apple iPad Pro 12.9 インチ 512GB MPKY2LL/A (第 2 世代、Wi-Fi のみ、スペースグレイ) 2017 年中期 (リニューアル)</v>
      </c>
    </row>
    <row r="5755" ht="15.75" customHeight="1">
      <c r="A5755" s="1">
        <v>3695.0</v>
      </c>
      <c r="B5755" s="1" t="s">
        <v>15</v>
      </c>
      <c r="C5755" s="1" t="s">
        <v>4818</v>
      </c>
      <c r="D5755" s="1" t="str">
        <f>IFERROR(__xludf.DUMMYFUNCTION("CONCATENATE(GOOGLETRANSLATE(C5755, ""en"", ""zh-cn""))"),"三星 Freestyle 550 流明全高清 HDR 智能投影仪大屏幕体验，带优质 360 度音效 (SP-LSP3BLAXZA) + HDMI 电缆 + 电缆扎带 + 清洁套件 + 更多")</f>
        <v>三星 Freestyle 550 流明全高清 HDR 智能投影仪大屏幕体验，带优质 360 度音效 (SP-LSP3BLAXZA) + HDMI 电缆 + 电缆扎带 + 清洁套件 + 更多</v>
      </c>
      <c r="E5755" s="1" t="str">
        <f>IFERROR(__xludf.DUMMYFUNCTION("CONCATENATE(GOOGLETRANSLATE(C5755, ""en"", ""ko""))"),"Samsung 프리스타일 550루멘 풀 HD HDR 스마트 프로젝터 대형 화면 경험 및 프리미엄 360 사운드(SP-LSP3BLAXZA) + HDMI 케이블 + 케이블 스트랩 + 클리닝 키트 등")</f>
        <v>Samsung 프리스타일 550루멘 풀 HD HDR 스마트 프로젝터 대형 화면 경험 및 프리미엄 360 사운드(SP-LSP3BLAXZA) + HDMI 케이블 + 케이블 스트랩 + 클리닝 키트 등</v>
      </c>
      <c r="F5755" s="1" t="str">
        <f>IFERROR(__xludf.DUMMYFUNCTION("CONCATENATE(GOOGLETRANSLATE(C5755, ""en"", ""ja""))"),"Samsung フリースタイル 550 ルーメン フル HD HDR スマート プロジェクター 大画面体験、プレミアム 360 サウンド (SP-LSP3BLAXZA) + HDMI ケーブル + ケーブル ストラップ + クリーニング キットなど")</f>
        <v>Samsung フリースタイル 550 ルーメン フル HD HDR スマート プロジェクター 大画面体験、プレミアム 360 サウンド (SP-LSP3BLAXZA) + HDMI ケーブル + ケーブル ストラップ + クリーニング キットなど</v>
      </c>
    </row>
    <row r="5756" ht="15.75" customHeight="1">
      <c r="A5756" s="1">
        <v>3696.0</v>
      </c>
      <c r="B5756" s="1" t="s">
        <v>15</v>
      </c>
      <c r="C5756" s="1" t="s">
        <v>4819</v>
      </c>
      <c r="D5756" s="1" t="str">
        <f>IFERROR(__xludf.DUMMYFUNCTION("CONCATENATE(GOOGLETRANSLATE(C5756, ""en"", ""zh-cn""))"),"联想 Ideapad 15.6 FHD 笔记本电脑，适合大学和商务，AMD Ryzen 5 5625U(&gt; i5-11320H)，16GB DDR4 RAM，512GB NVMe SSD，指纹识别，背光键盘，WiFi 6，网络摄像头，HDMI，Win 11，CUE 配件")</f>
        <v>联想 Ideapad 15.6 FHD 笔记本电脑，适合大学和商务，AMD Ryzen 5 5625U(&gt; i5-11320H)，16GB DDR4 RAM，512GB NVMe SSD，指纹识别，背光键盘，WiFi 6，网络摄像头，HDMI，Win 11，CUE 配件</v>
      </c>
      <c r="E5756" s="1" t="str">
        <f>IFERROR(__xludf.DUMMYFUNCTION("CONCATENATE(GOOGLETRANSLATE(C5756, ""en"", ""ko""))"),"Lenovo Ideapad 15.6 FHD 노트북, 대학 및 기업용, AMD Ryzen 5 5625U(&gt; i5-11320H), 16GB DDR4 RAM, 512GB NVMe SSD, 지문 인식, 백라이트 키보드, WiFi 6, 웹캠, HDMI, Win 11, CUE 액세서리")</f>
        <v>Lenovo Ideapad 15.6 FHD 노트북, 대학 및 기업용, AMD Ryzen 5 5625U(&gt; i5-11320H), 16GB DDR4 RAM, 512GB NVMe SSD, 지문 인식, 백라이트 키보드, WiFi 6, 웹캠, HDMI, Win 11, CUE 액세서리</v>
      </c>
      <c r="F5756" s="1" t="str">
        <f>IFERROR(__xludf.DUMMYFUNCTION("CONCATENATE(GOOGLETRANSLATE(C5756, ""en"", ""ja""))"),"Lenovo Ideapad 15.6 FHD ラップトップ、大学およびビジネス向け、AMD Ryzen 5 5625U(&gt; i5-11320H)、16GB DDR4 RAM、512GB NVMe SSD、指紋認証、バックライト付きキーボード、WiFi 6、Web カメラ、HDMI、Win 11、CUE アクセサリ")</f>
        <v>Lenovo Ideapad 15.6 FHD ラップトップ、大学およびビジネス向け、AMD Ryzen 5 5625U(&gt; i5-11320H)、16GB DDR4 RAM、512GB NVMe SSD、指紋認証、バックライト付きキーボード、WiFi 6、Web カメラ、HDMI、Win 11、CUE アクセサリ</v>
      </c>
    </row>
    <row r="5757" ht="15.75" customHeight="1">
      <c r="A5757" s="1">
        <v>3705.0</v>
      </c>
      <c r="B5757" s="1" t="s">
        <v>15</v>
      </c>
      <c r="C5757" s="1" t="s">
        <v>4820</v>
      </c>
      <c r="D5757" s="1" t="str">
        <f>IFERROR(__xludf.DUMMYFUNCTION("CONCATENATE(GOOGLETRANSLATE(C5757, ""en"", ""zh-cn""))"),"HP Pavilion 游戏台式电脑 - AMD 6 核 Ryzen 5 5600G 处理器，AMD Radeon RX5500，8GB RAM，256GB PCIe NVMe SSD，Win 10 Home")</f>
        <v>HP Pavilion 游戏台式电脑 - AMD 6 核 Ryzen 5 5600G 处理器，AMD Radeon RX5500，8GB RAM，256GB PCIe NVMe SSD，Win 10 Home</v>
      </c>
      <c r="E5757" s="1" t="str">
        <f>IFERROR(__xludf.DUMMYFUNCTION("CONCATENATE(GOOGLETRANSLATE(C5757, ""en"", ""ko""))"),"HP Pavilion 게이밍 데스크탑 PC - AMD 6코어 Ryzen 5 5600G 프로세서, AMD Radeon RX5500, 8GB RAM, 256GB PCIe NVMe SSD, Win 10 홈")</f>
        <v>HP Pavilion 게이밍 데스크탑 PC - AMD 6코어 Ryzen 5 5600G 프로세서, AMD Radeon RX5500, 8GB RAM, 256GB PCIe NVMe SSD, Win 10 홈</v>
      </c>
      <c r="F5757" s="1" t="str">
        <f>IFERROR(__xludf.DUMMYFUNCTION("CONCATENATE(GOOGLETRANSLATE(C5757, ""en"", ""ja""))"),"HP Pavilion ゲーミング デスクトップ PC - AMD 6 コア Ryzen 5 5600G プロセッサー、AMD Radeon RX5500、8GB RAM、256GB PCIe NVMe SSD、Win 10 Home")</f>
        <v>HP Pavilion ゲーミング デスクトップ PC - AMD 6 コア Ryzen 5 5600G プロセッサー、AMD Radeon RX5500、8GB RAM、256GB PCIe NVMe SSD、Win 10 Home</v>
      </c>
    </row>
    <row r="5758" ht="15.75" customHeight="1">
      <c r="A5758" s="1">
        <v>3712.0</v>
      </c>
      <c r="B5758" s="1" t="s">
        <v>15</v>
      </c>
      <c r="C5758" s="1" t="s">
        <v>4821</v>
      </c>
      <c r="D5758" s="1" t="str">
        <f>IFERROR(__xludf.DUMMYFUNCTION("CONCATENATE(GOOGLETRANSLATE(C5758, ""en"", ""zh-cn""))"),"2022 Apple iPad Air（10.9 英寸，Wi-Fi + 蜂窝网络，64GB）蓝色（续订）")</f>
        <v>2022 Apple iPad Air（10.9 英寸，Wi-Fi + 蜂窝网络，64GB）蓝色（续订）</v>
      </c>
      <c r="E5758" s="1" t="str">
        <f>IFERROR(__xludf.DUMMYFUNCTION("CONCATENATE(GOOGLETRANSLATE(C5758, ""en"", ""ko""))"),"2022 애플 아이패드 에어(10.9인치, Wi-Fi + 셀룰러, 64GB) 블루(리뉴얼)")</f>
        <v>2022 애플 아이패드 에어(10.9인치, Wi-Fi + 셀룰러, 64GB) 블루(리뉴얼)</v>
      </c>
      <c r="F5758" s="1" t="str">
        <f>IFERROR(__xludf.DUMMYFUNCTION("CONCATENATE(GOOGLETRANSLATE(C5758, ""en"", ""ja""))"),"2022 Apple iPad Air (10.9 インチ、Wi-Fi + Cellular、64GB) ブルー (リニューアル)")</f>
        <v>2022 Apple iPad Air (10.9 インチ、Wi-Fi + Cellular、64GB) ブルー (リニューアル)</v>
      </c>
    </row>
    <row r="5759" ht="15.75" customHeight="1">
      <c r="A5759" s="1">
        <v>3717.0</v>
      </c>
      <c r="B5759" s="1" t="s">
        <v>15</v>
      </c>
      <c r="C5759" s="1" t="s">
        <v>4822</v>
      </c>
      <c r="D5759" s="1" t="str">
        <f>IFERROR(__xludf.DUMMYFUNCTION("CONCATENATE(GOOGLETRANSLATE(C5759, ""en"", ""zh-cn""))"),"HP [Windows 11 Pro] 15.6 英寸高清触摸屏商务笔记本电脑，第 11 代英特尔酷睿 i3-1115G4 处理器，12GB RAM，256GB SSD，HDMI，WiFi，Type-C，长电池寿命，银色，PC")</f>
        <v>HP [Windows 11 Pro] 15.6 英寸高清触摸屏商务笔记本电脑，第 11 代英特尔酷睿 i3-1115G4 处理器，12GB RAM，256GB SSD，HDMI，WiFi，Type-C，长电池寿命，银色，PC</v>
      </c>
      <c r="E5759" s="1" t="str">
        <f>IFERROR(__xludf.DUMMYFUNCTION("CONCATENATE(GOOGLETRANSLATE(C5759, ""en"", ""ko""))"),"HP [Windows 11 Pro] 15.6 HD 터치스크린 비즈니스 노트북, 11세대 Intel Core i3-1115G4 프로세서, 12GB RAM, 256GB SSD, HDMI, WiFi, Type-C, 긴 배터리 수명, 실버, PCS")</f>
        <v>HP [Windows 11 Pro] 15.6 HD 터치스크린 비즈니스 노트북, 11세대 Intel Core i3-1115G4 프로세서, 12GB RAM, 256GB SSD, HDMI, WiFi, Type-C, 긴 배터리 수명, 실버, PCS</v>
      </c>
      <c r="F5759" s="1" t="str">
        <f>IFERROR(__xludf.DUMMYFUNCTION("CONCATENATE(GOOGLETRANSLATE(C5759, ""en"", ""ja""))"),"HP [Windows 11 Pro] 15.6 HD タッチスクリーン ビジネス ノートパソコン、第 11 世代インテル Core i3-1115G4 プロセッサー、12GB RAM、256GB SSD、HDMI、WiFi、Type-C、長いバッテリー寿命、シルバー、PCS")</f>
        <v>HP [Windows 11 Pro] 15.6 HD タッチスクリーン ビジネス ノートパソコン、第 11 世代インテル Core i3-1115G4 プロセッサー、12GB RAM、256GB SSD、HDMI、WiFi、Type-C、長いバッテリー寿命、シルバー、PCS</v>
      </c>
    </row>
    <row r="5760" ht="15.75" customHeight="1">
      <c r="A5760" s="1">
        <v>3724.0</v>
      </c>
      <c r="B5760" s="1" t="s">
        <v>15</v>
      </c>
      <c r="C5760" s="1" t="s">
        <v>4823</v>
      </c>
      <c r="D5760" s="1" t="str">
        <f>IFERROR(__xludf.DUMMYFUNCTION("CONCATENATE(GOOGLETRANSLATE(C5760, ""en"", ""zh-cn""))"),"ViewSonic ID2456 24 英寸触摸屏平板电脑，带主动式手写笔、先进的人体工程学设计和 USB C，适用于数字书写、图形绘制、远程教学、远程学习")</f>
        <v>ViewSonic ID2456 24 英寸触摸屏平板电脑，带主动式手写笔、先进的人体工程学设计和 USB C，适用于数字书写、图形绘制、远程教学、远程学习</v>
      </c>
      <c r="E5760" s="1" t="str">
        <f>IFERROR(__xludf.DUMMYFUNCTION("CONCATENATE(GOOGLETRANSLATE(C5760, ""en"", ""ko""))"),"ViewSonic ID2456 액티브 스타일러스, 고급 인체공학 및 디지털 쓰기, 그래픽 드로잉, 원격 교육, 원격 학습을 위한 USB C를 갖춘 24인치 터치 디스플레이 태블릿")</f>
        <v>ViewSonic ID2456 액티브 스타일러스, 고급 인체공학 및 디지털 쓰기, 그래픽 드로잉, 원격 교육, 원격 학습을 위한 USB C를 갖춘 24인치 터치 디스플레이 태블릿</v>
      </c>
      <c r="F5760" s="1" t="str">
        <f>IFERROR(__xludf.DUMMYFUNCTION("CONCATENATE(GOOGLETRANSLATE(C5760, ""en"", ""ja""))"),"ViewSonic ID2456 24 インチ タッチ ディスプレイ タブレット、アクティブ スタイラス、高度な人間工学、デジタル書き込み、グラフィック描画、リモート教育、遠隔学習用の USB C を搭載")</f>
        <v>ViewSonic ID2456 24 インチ タッチ ディスプレイ タブレット、アクティブ スタイラス、高度な人間工学、デジタル書き込み、グラフィック描画、リモート教育、遠隔学習用の USB C を搭載</v>
      </c>
    </row>
    <row r="5761" ht="15.75" customHeight="1">
      <c r="A5761" s="1">
        <v>3740.0</v>
      </c>
      <c r="B5761" s="1" t="s">
        <v>15</v>
      </c>
      <c r="C5761" s="1" t="s">
        <v>4824</v>
      </c>
      <c r="D5761" s="1" t="str">
        <f>IFERROR(__xludf.DUMMYFUNCTION("CONCATENATE(GOOGLETRANSLATE(C5761, ""en"", ""zh-cn""))"),"WEMAX PSA01 UST 投影仪屏幕，100 英寸环境光抑制 ALR 投影仪超短焦投影仪屏幕，Nova 固定框架屏幕支持其他品牌 UST 投影仪")</f>
        <v>WEMAX PSA01 UST 投影仪屏幕，100 英寸环境光抑制 ALR 投影仪超短焦投影仪屏幕，Nova 固定框架屏幕支持其他品牌 UST 投影仪</v>
      </c>
      <c r="E5761" s="1" t="str">
        <f>IFERROR(__xludf.DUMMYFUNCTION("CONCATENATE(GOOGLETRANSLATE(C5761, ""en"", ""ko""))"),"WEMAX PSA01 UST 프로젝터 스크린, 초단초점 프로젝션을 위한 100인치 주변광 차단 ALR 프로젝션 스크린, Nova 지원용 고정 프레임 스크린 기타 브랜드 UST 프로젝터")</f>
        <v>WEMAX PSA01 UST 프로젝터 스크린, 초단초점 프로젝션을 위한 100인치 주변광 차단 ALR 프로젝션 스크린, Nova 지원용 고정 프레임 스크린 기타 브랜드 UST 프로젝터</v>
      </c>
      <c r="F5761" s="1" t="str">
        <f>IFERROR(__xludf.DUMMYFUNCTION("CONCATENATE(GOOGLETRANSLATE(C5761, ""en"", ""ja""))"),"WEMAX PSA01 UST プロジェクター スクリーン、超短焦点投影用 100 インチ周囲光除去 ALR 投影スクリーン、Nova 用固定フレーム スクリーン サポート他ブランド UST プロジェクター")</f>
        <v>WEMAX PSA01 UST プロジェクター スクリーン、超短焦点投影用 100 インチ周囲光除去 ALR 投影スクリーン、Nova 用固定フレーム スクリーン サポート他ブランド UST プロジェクター</v>
      </c>
    </row>
    <row r="5762" ht="15.75" customHeight="1">
      <c r="A5762" s="1">
        <v>3746.0</v>
      </c>
      <c r="B5762" s="1" t="s">
        <v>15</v>
      </c>
      <c r="C5762" s="1" t="s">
        <v>4825</v>
      </c>
      <c r="D5762" s="1" t="str">
        <f>IFERROR(__xludf.DUMMYFUNCTION("CONCATENATE(GOOGLETRANSLATE(C5762, ""en"", ""zh-cn""))"),"OUVISLITE 4 Bay NAS 16TB 个人云存储设备，配备 Intel N4500 处理器 4GB DDR4 256GB SSD，最高支持 4TB SSD × 4，iOS/Android 用于数据和媒体文件（无盘）")</f>
        <v>OUVISLITE 4 Bay NAS 16TB 个人云存储设备，配备 Intel N4500 处理器 4GB DDR4 256GB SSD，最高支持 4TB SSD × 4，iOS/Android 用于数据和媒体文件（无盘）</v>
      </c>
      <c r="E5762" s="1" t="str">
        <f>IFERROR(__xludf.DUMMYFUNCTION("CONCATENATE(GOOGLETRANSLATE(C5762, ""en"", ""ko""))"),"OUVISLITE 4 베이 NAS 16TB 개인 클라우드 스토리지 장치(Intel N4500 프로세서 포함) 4GB DDR4 256GB SSD 포함, 최대 4TB SSD 지원 × 4, 데이터 및 미디어 파일용 iOS/Android(디스크 없음)")</f>
        <v>OUVISLITE 4 베이 NAS 16TB 개인 클라우드 스토리지 장치(Intel N4500 프로세서 포함) 4GB DDR4 256GB SSD 포함, 최대 4TB SSD 지원 × 4, 데이터 및 미디어 파일용 iOS/Android(디스크 없음)</v>
      </c>
      <c r="F5762" s="1" t="str">
        <f>IFERROR(__xludf.DUMMYFUNCTION("CONCATENATE(GOOGLETRANSLATE(C5762, ""en"", ""ja""))"),"OUVISLITE 4 ベイ NAS 16TB パーソナル クラウド ストレージ デバイス、インテル N4500 プロセッサー搭載 4GB DDR4 256GB SSD 付属、最大 4TB SSD × 4 をサポート、データおよびメディア ファイル用の iOS/Android (ディスクレス)")</f>
        <v>OUVISLITE 4 ベイ NAS 16TB パーソナル クラウド ストレージ デバイス、インテル N4500 プロセッサー搭載 4GB DDR4 256GB SSD 付属、最大 4TB SSD × 4 をサポート、データおよびメディア ファイル用の iOS/Android (ディスクレス)</v>
      </c>
    </row>
    <row r="5763" ht="15.75" customHeight="1">
      <c r="A5763" s="1">
        <v>3772.0</v>
      </c>
      <c r="B5763" s="1" t="s">
        <v>15</v>
      </c>
      <c r="C5763" s="1" t="s">
        <v>4826</v>
      </c>
      <c r="D5763" s="1" t="str">
        <f>IFERROR(__xludf.DUMMYFUNCTION("CONCATENATE(GOOGLETRANSLATE(C5763, ""en"", ""zh-cn""))"),"HP 15.6 对角线全高清 (1920 x 1080) 笔记本电脑，第 11 代英特尔酷睿 i5-1135G7 处理器，8GB DDR4 RAM，256GB SSD，802.11ac，蓝牙，HDMI，Windows 11")</f>
        <v>HP 15.6 对角线全高清 (1920 x 1080) 笔记本电脑，第 11 代英特尔酷睿 i5-1135G7 处理器，8GB DDR4 RAM，256GB SSD，802.11ac，蓝牙，HDMI，Windows 11</v>
      </c>
      <c r="E5763" s="1" t="str">
        <f>IFERROR(__xludf.DUMMYFUNCTION("CONCATENATE(GOOGLETRANSLATE(C5763, ""en"", ""ko""))"),"HP 15.6 대각선 풀 HD(1920 x 1080) 노트북, 11세대 Intel Core i5-1135G7 프로세서, 8GB DDR4 RAM, 256GB SSD, 802.11ac, Bluetooth, HDMI, Windows 11")</f>
        <v>HP 15.6 대각선 풀 HD(1920 x 1080) 노트북, 11세대 Intel Core i5-1135G7 프로세서, 8GB DDR4 RAM, 256GB SSD, 802.11ac, Bluetooth, HDMI, Windows 11</v>
      </c>
      <c r="F5763" s="1" t="str">
        <f>IFERROR(__xludf.DUMMYFUNCTION("CONCATENATE(GOOGLETRANSLATE(C5763, ""en"", ""ja""))"),"HP 15.6 対角フル HD (1920 x 1080) ラップトップ、第 11 世代インテル Core i5-1135G7 プロセッサー、8GB DDR4 RAM、256GB SSD、802.11ac、Bluetooth、HDMI、Windows 11")</f>
        <v>HP 15.6 対角フル HD (1920 x 1080) ラップトップ、第 11 世代インテル Core i5-1135G7 プロセッサー、8GB DDR4 RAM、256GB SSD、802.11ac、Bluetooth、HDMI、Windows 11</v>
      </c>
    </row>
    <row r="5764" ht="15.75" customHeight="1">
      <c r="A5764" s="1">
        <v>3782.0</v>
      </c>
      <c r="B5764" s="1" t="s">
        <v>15</v>
      </c>
      <c r="C5764" s="1" t="s">
        <v>4827</v>
      </c>
      <c r="D5764" s="1" t="str">
        <f>IFERROR(__xludf.DUMMYFUNCTION("CONCATENATE(GOOGLETRANSLATE(C5764, ""en"", ""zh-cn""))"),"4 件装（黑+中+年+米）215A | W2310A W2311A W2312A W2313A 碳粉盒更换件适用于 HP Color Laserjet Pro MFP M182nw(7KW55A) M182n(7KW54A) M183fw(7KW56A) M155 M182 打印机墨盒")</f>
        <v>4 件装（黑+中+年+米）215A | W2310A W2311A W2312A W2313A 碳粉盒更换件适用于 HP Color Laserjet Pro MFP M182nw(7KW55A) M182n(7KW54A) M183fw(7KW56A) M155 M182 打印机墨盒</v>
      </c>
      <c r="E5764" s="1" t="str">
        <f>IFERROR(__xludf.DUMMYFUNCTION("CONCATENATE(GOOGLETRANSLATE(C5764, ""en"", ""ko""))"),"4팩(BK+C+Y+M) 215A | W2310A W2311A W2312A W2313A HP 컬러 레이저젯 프로 MFP M182nw(7KW55A) M182n(7KW54A) M183fw(7KW56A) M155 M182 프린터 잉크 카트리지용 토너 카트리지 교체")</f>
        <v>4팩(BK+C+Y+M) 215A | W2310A W2311A W2312A W2313A HP 컬러 레이저젯 프로 MFP M182nw(7KW55A) M182n(7KW54A) M183fw(7KW56A) M155 M182 프린터 잉크 카트리지용 토너 카트리지 교체</v>
      </c>
      <c r="F5764" s="1" t="str">
        <f>IFERROR(__xludf.DUMMYFUNCTION("CONCATENATE(GOOGLETRANSLATE(C5764, ""en"", ""ja""))"),"4 パック (BK+C+Y+M) 215A | W2310A W2311A W2312A W2313A トナー カートリッジ交換用 HP Color Laserjet Pro MFP M182nw(7KW55A) M182n(7KW54A) M183fw(7KW56A) M155 M182 プリンタ インク カートリッジ")</f>
        <v>4 パック (BK+C+Y+M) 215A | W2310A W2311A W2312A W2313A トナー カートリッジ交換用 HP Color Laserjet Pro MFP M182nw(7KW55A) M182n(7KW54A) M183fw(7KW56A) M155 M182 プリンタ インク カートリッジ</v>
      </c>
    </row>
    <row r="5765" ht="15.75" customHeight="1">
      <c r="A5765" s="1">
        <v>3785.0</v>
      </c>
      <c r="B5765" s="1" t="s">
        <v>15</v>
      </c>
      <c r="C5765" s="1" t="s">
        <v>4828</v>
      </c>
      <c r="D5765" s="1" t="str">
        <f>IFERROR(__xludf.DUMMYFUNCTION("CONCATENATE(GOOGLETRANSLATE(C5765, ""en"", ""zh-cn""))"),"2020 戴尔 Inspiron 14 笔记本电脑 第 10 代 Intel i3 1005G1 高达 3.4GHz 4GB DDR4 RAM 128GB PCIe SSD Untel UHD 显卡 HDMI 802.11ac WiFi 蓝牙 4.1 Windows 10")</f>
        <v>2020 戴尔 Inspiron 14 笔记本电脑 第 10 代 Intel i3 1005G1 高达 3.4GHz 4GB DDR4 RAM 128GB PCIe SSD Untel UHD 显卡 HDMI 802.11ac WiFi 蓝牙 4.1 Windows 10</v>
      </c>
      <c r="E5765" s="1" t="str">
        <f>IFERROR(__xludf.DUMMYFUNCTION("CONCATENATE(GOOGLETRANSLATE(C5765, ""en"", ""ko""))"),"2020 Dell Inspiron 14 노트북 컴퓨터 10세대 Intel i3 1005G1 최대 3.4GHz 4GB DDR4 RAM 128GB PCIe SSD Untel UHD 그래픽 HDMI 802.11ac WiFi Bluetooth 4.1 Windows 10")</f>
        <v>2020 Dell Inspiron 14 노트북 컴퓨터 10세대 Intel i3 1005G1 최대 3.4GHz 4GB DDR4 RAM 128GB PCIe SSD Untel UHD 그래픽 HDMI 802.11ac WiFi Bluetooth 4.1 Windows 10</v>
      </c>
      <c r="F5765" s="1" t="str">
        <f>IFERROR(__xludf.DUMMYFUNCTION("CONCATENATE(GOOGLETRANSLATE(C5765, ""en"", ""ja""))"),"2020 Dell Inspiron 14 ラップトップ コンピューター 第 10 世代 Intel i3 1005G1 最大 3.4GHz 4GB DDR4 RAM 128GB PCIe SSD Untel UHD グラフィックス HDMI 802.11ac WiFi Bluetooth 4.1 Windows 10")</f>
        <v>2020 Dell Inspiron 14 ラップトップ コンピューター 第 10 世代 Intel i3 1005G1 最大 3.4GHz 4GB DDR4 RAM 128GB PCIe SSD Untel UHD グラフィックス HDMI 802.11ac WiFi Bluetooth 4.1 Windows 10</v>
      </c>
    </row>
    <row r="5766" ht="15.75" customHeight="1">
      <c r="A5766" s="1">
        <v>3788.0</v>
      </c>
      <c r="B5766" s="1" t="s">
        <v>15</v>
      </c>
      <c r="C5766" s="1" t="s">
        <v>4829</v>
      </c>
      <c r="D5766" s="1" t="str">
        <f>IFERROR(__xludf.DUMMYFUNCTION("CONCATENATE(GOOGLETRANSLATE(C5766, ""en"", ""zh-cn""))"),"Sysracks - 壁挂式服务器机架 - 锁定网络机柜 - AV 外壳 - 通风音频机架 - 网络外壳 24 英寸深度 IT 计算机机柜 - 脚轮 - PDU - 架子（18U（24w x24d x35h））")</f>
        <v>Sysracks - 壁挂式服务器机架 - 锁定网络机柜 - AV 外壳 - 通风音频机架 - 网络外壳 24 英寸深度 IT 计算机机柜 - 脚轮 - PDU - 架子（18U（24w x24d x35h））</v>
      </c>
      <c r="E5766" s="1" t="str">
        <f>IFERROR(__xludf.DUMMYFUNCTION("CONCATENATE(GOOGLETRANSLATE(C5766, ""en"", ""ko""))"),"Sysracks - 벽 장착형 서버 랙 - 잠금 네트워크 캐비닛 - AV 인클로저 - 통풍이 되는 오디오 랙 - 네트워킹 인클로저 24인치 깊이 IT 컴퓨터 캐비닛 - 캐스터 - PDU - 선반(18U(24w x24d x35h))")</f>
        <v>Sysracks - 벽 장착형 서버 랙 - 잠금 네트워크 캐비닛 - AV 인클로저 - 통풍이 되는 오디오 랙 - 네트워킹 인클로저 24인치 깊이 IT 컴퓨터 캐비닛 - 캐스터 - PDU - 선반(18U(24w x24d x35h))</v>
      </c>
      <c r="F5766" s="1" t="str">
        <f>IFERROR(__xludf.DUMMYFUNCTION("CONCATENATE(GOOGLETRANSLATE(C5766, ""en"", ""ja""))"),"Sysracks - ウォールマウントサーバーラック - ロックネットワークキャビネット - AV エンクロージャ - VENTED オーディオラック - ネットワークエンクロージャ 奥行き 24 インチ IT コンピュータキャビネット - キャスター - PDU - シェルフ (18U (24w x24d x35h))")</f>
        <v>Sysracks - ウォールマウントサーバーラック - ロックネットワークキャビネット - AV エンクロージャ - VENTED オーディオラック - ネットワークエンクロージャ 奥行き 24 インチ IT コンピュータキャビネット - キャスター - PDU - シェルフ (18U (24w x24d x35h))</v>
      </c>
    </row>
    <row r="5767" ht="15.75" customHeight="1">
      <c r="A5767" s="1">
        <v>3789.0</v>
      </c>
      <c r="B5767" s="1" t="s">
        <v>15</v>
      </c>
      <c r="C5767" s="1" t="s">
        <v>4830</v>
      </c>
      <c r="D5767" s="1" t="str">
        <f>IFERROR(__xludf.DUMMYFUNCTION("CONCATENATE(GOOGLETRANSLATE(C5767, ""en"", ""zh-cn""))"),"REOLINK 智能 5MP 8 路家庭安全摄像头系统，4 台有线 5MP PoE IP 摄像机户外带人员车辆检测，4K 8 路 NVR，带 2TB 硬盘，可进行 24-7 小时录像，RLK8-520D4-5MP")</f>
        <v>REOLINK 智能 5MP 8 路家庭安全摄像头系统，4 台有线 5MP PoE IP 摄像机户外带人员车辆检测，4K 8 路 NVR，带 2TB 硬盘，可进行 24-7 小时录像，RLK8-520D4-5MP</v>
      </c>
      <c r="E5767" s="1" t="str">
        <f>IFERROR(__xludf.DUMMYFUNCTION("CONCATENATE(GOOGLETRANSLATE(C5767, ""en"", ""ko""))"),"REOLINK 스마트 5MP 8CH 홈 보안 카메라 시스템, 사람 차량 감지 기능이 있는 실외 유선 5MP PoE IP 카메라 4개, 24-7 녹화용 2TB HDD가 장착된 4K 8CH NVR, RLK8-520D4-5MP")</f>
        <v>REOLINK 스마트 5MP 8CH 홈 보안 카메라 시스템, 사람 차량 감지 기능이 있는 실외 유선 5MP PoE IP 카메라 4개, 24-7 녹화용 2TB HDD가 장착된 4K 8CH NVR, RLK8-520D4-5MP</v>
      </c>
      <c r="F5767" s="1" t="str">
        <f>IFERROR(__xludf.DUMMYFUNCTION("CONCATENATE(GOOGLETRANSLATE(C5767, ""en"", ""ja""))"),"REOLINK スマート 5MP 8CH ホームセキュリティカメラシステム、屋外用有線 5MP PoE IP カメラ 4 台、人車両検出機能付き、24 時間 365 日録画用 2TB HDD 付き 4K 8CH NVR、RLK8-520D4-5MP")</f>
        <v>REOLINK スマート 5MP 8CH ホームセキュリティカメラシステム、屋外用有線 5MP PoE IP カメラ 4 台、人車両検出機能付き、24 時間 365 日録画用 2TB HDD 付き 4K 8CH NVR、RLK8-520D4-5MP</v>
      </c>
    </row>
    <row r="5768" ht="15.75" customHeight="1">
      <c r="A5768" s="1">
        <v>3809.0</v>
      </c>
      <c r="B5768" s="1" t="s">
        <v>15</v>
      </c>
      <c r="C5768" s="1" t="s">
        <v>4831</v>
      </c>
      <c r="D5768" s="1" t="str">
        <f>IFERROR(__xludf.DUMMYFUNCTION("CONCATENATE(GOOGLETRANSLATE(C5768, ""en"", ""zh-cn""))"),"DS18 ZR1600.4D 汽车放大器 D 类 4 通道立体声全频放大器 7200 瓦峰值功率 - 可调节频率高/低通设置 - 保证为您的汽车音响音响系统增压")</f>
        <v>DS18 ZR1600.4D 汽车放大器 D 类 4 通道立体声全频放大器 7200 瓦峰值功率 - 可调节频率高/低通设置 - 保证为您的汽车音响音响系统增压</v>
      </c>
      <c r="E5768" s="1" t="str">
        <f>IFERROR(__xludf.DUMMYFUNCTION("CONCATENATE(GOOGLETRANSLATE(C5768, ""en"", ""ko""))"),"DS18 ZR1600.4D 차량용 앰프 클래스 D 4채널 스테레오 풀레인지 앰프 7200와트 피크 전력 - 조정 가능한 주파수 하이/로우 패스 설정 - 자동차 오디오 사운드 시스템의 강력한 충전 보장")</f>
        <v>DS18 ZR1600.4D 차량용 앰프 클래스 D 4채널 스테레오 풀레인지 앰프 7200와트 피크 전력 - 조정 가능한 주파수 하이/로우 패스 설정 - 자동차 오디오 사운드 시스템의 강력한 충전 보장</v>
      </c>
      <c r="F5768" s="1" t="str">
        <f>IFERROR(__xludf.DUMMYFUNCTION("CONCATENATE(GOOGLETRANSLATE(C5768, ""en"", ""ja""))"),"DS18 ZR1600.4D カーアンプ クラス D 4 チャンネル ステレオ フルレンジ アンプ 7200 ワット ピークパワー - 調整可能な周波数ハイ/ローパス設定 - カーオーディオ サウンド システムを強化することを保証")</f>
        <v>DS18 ZR1600.4D カーアンプ クラス D 4 チャンネル ステレオ フルレンジ アンプ 7200 ワット ピークパワー - 調整可能な周波数ハイ/ローパス設定 - カーオーディオ サウンド システムを強化することを保証</v>
      </c>
    </row>
    <row r="5769" ht="15.75" customHeight="1">
      <c r="A5769" s="1">
        <v>3813.0</v>
      </c>
      <c r="B5769" s="1" t="s">
        <v>15</v>
      </c>
      <c r="C5769" s="1" t="s">
        <v>4832</v>
      </c>
      <c r="D5769" s="1" t="str">
        <f>IFERROR(__xludf.DUMMYFUNCTION("CONCATENATE(GOOGLETRANSLATE(C5769, ""en"", ""zh-cn""))"),"Apple iPad Pro 10.5 英寸（Wi-Fi + 蜂窝网络）- 64GB，深空灰色（续订）")</f>
        <v>Apple iPad Pro 10.5 英寸（Wi-Fi + 蜂窝网络）- 64GB，深空灰色（续订）</v>
      </c>
      <c r="E5769" s="1" t="str">
        <f>IFERROR(__xludf.DUMMYFUNCTION("CONCATENATE(GOOGLETRANSLATE(C5769, ""en"", ""ko""))"),"애플 아이패드 프로 10.5인치(Wi-Fi + 셀룰러) - 64GB, 스페이스 그레이(리뉴얼)")</f>
        <v>애플 아이패드 프로 10.5인치(Wi-Fi + 셀룰러) - 64GB, 스페이스 그레이(리뉴얼)</v>
      </c>
      <c r="F5769" s="1" t="str">
        <f>IFERROR(__xludf.DUMMYFUNCTION("CONCATENATE(GOOGLETRANSLATE(C5769, ""en"", ""ja""))"),"Apple iPad Pro 10.5インチ (Wi-Fi + Cellular) - 64GB、スペースグレイ (リニューアル)")</f>
        <v>Apple iPad Pro 10.5インチ (Wi-Fi + Cellular) - 64GB、スペースグレイ (リニューアル)</v>
      </c>
    </row>
    <row r="5770" ht="15.75" customHeight="1">
      <c r="A5770" s="1">
        <v>3886.0</v>
      </c>
      <c r="B5770" s="1" t="s">
        <v>15</v>
      </c>
      <c r="C5770" s="1" t="s">
        <v>2322</v>
      </c>
      <c r="D5770" s="1" t="str">
        <f>IFERROR(__xludf.DUMMYFUNCTION("CONCATENATE(GOOGLETRANSLATE(C5770, ""en"", ""zh-cn""))"),"Apple iPhone 13 Pro，256GB，Sierra Blue - AT&amp;T（续订）")</f>
        <v>Apple iPhone 13 Pro，256GB，Sierra Blue - AT&amp;T（续订）</v>
      </c>
      <c r="E5770" s="1" t="str">
        <f>IFERROR(__xludf.DUMMYFUNCTION("CONCATENATE(GOOGLETRANSLATE(C5770, ""en"", ""ko""))"),"Apple iPhone 13 Pro, 256GB, Sierra 블루 - AT&amp;T(리뉴얼)")</f>
        <v>Apple iPhone 13 Pro, 256GB, Sierra 블루 - AT&amp;T(리뉴얼)</v>
      </c>
      <c r="F5770" s="1" t="str">
        <f>IFERROR(__xludf.DUMMYFUNCTION("CONCATENATE(GOOGLETRANSLATE(C5770, ""en"", ""ja""))"),"Apple iPhone 13 Pro、256GB、シエラブルー - AT&amp;T (新品)")</f>
        <v>Apple iPhone 13 Pro、256GB、シエラブルー - AT&amp;T (新品)</v>
      </c>
    </row>
    <row r="5771" ht="15.75" customHeight="1">
      <c r="A5771" s="1">
        <v>3896.0</v>
      </c>
      <c r="B5771" s="1" t="s">
        <v>15</v>
      </c>
      <c r="C5771" s="1" t="s">
        <v>4833</v>
      </c>
      <c r="D5771" s="1" t="str">
        <f>IFERROR(__xludf.DUMMYFUNCTION("CONCATENATE(GOOGLETRANSLATE(C5771, ""en"", ""zh-cn""))"),"Apple iPhone 12 Pro Max，128GB，银色 - 无锁版（续订高级版）")</f>
        <v>Apple iPhone 12 Pro Max，128GB，银色 - 无锁版（续订高级版）</v>
      </c>
      <c r="E5771" s="1" t="str">
        <f>IFERROR(__xludf.DUMMYFUNCTION("CONCATENATE(GOOGLETRANSLATE(C5771, ""en"", ""ko""))"),"Apple iPhone 12 Pro Max, 128GB, 실버 - 공기계(리뉴얼 프리미엄)")</f>
        <v>Apple iPhone 12 Pro Max, 128GB, 실버 - 공기계(리뉴얼 프리미엄)</v>
      </c>
      <c r="F5771" s="1" t="str">
        <f>IFERROR(__xludf.DUMMYFUNCTION("CONCATENATE(GOOGLETRANSLATE(C5771, ""en"", ""ja""))"),"Apple iPhone 12 Pro Max、128GB、シルバー - ロック解除済み (更新プレミアム)")</f>
        <v>Apple iPhone 12 Pro Max、128GB、シルバー - ロック解除済み (更新プレミアム)</v>
      </c>
    </row>
    <row r="5772" ht="15.75" customHeight="1">
      <c r="A5772" s="1">
        <v>3902.0</v>
      </c>
      <c r="B5772" s="1" t="s">
        <v>15</v>
      </c>
      <c r="C5772" s="1" t="s">
        <v>4834</v>
      </c>
      <c r="D5772" s="1" t="str">
        <f>IFERROR(__xludf.DUMMYFUNCTION("CONCATENATE(GOOGLETRANSLATE(C5772, ""en"", ""zh-cn""))"),"Apple iPhone 14， 128GB，（产品）红色 - 已解锁（续订）")</f>
        <v>Apple iPhone 14， 128GB，（产品）红色 - 已解锁（续订）</v>
      </c>
      <c r="E5772" s="1" t="str">
        <f>IFERROR(__xludf.DUMMYFUNCTION("CONCATENATE(GOOGLETRANSLATE(C5772, ""en"", ""ko""))"),"Apple iPhone 14, 128GB, (제품) 레드 - 공기계 (리뉴얼)")</f>
        <v>Apple iPhone 14, 128GB, (제품) 레드 - 공기계 (리뉴얼)</v>
      </c>
      <c r="F5772" s="1" t="str">
        <f>IFERROR(__xludf.DUMMYFUNCTION("CONCATENATE(GOOGLETRANSLATE(C5772, ""en"", ""ja""))"),"Apple iPhone 14、128GB、(製品) レッド - ロック解除済み (更新済み)")</f>
        <v>Apple iPhone 14、128GB、(製品) レッド - ロック解除済み (更新済み)</v>
      </c>
    </row>
    <row r="5773" ht="15.75" customHeight="1">
      <c r="A5773" s="1">
        <v>3905.0</v>
      </c>
      <c r="B5773" s="1" t="s">
        <v>15</v>
      </c>
      <c r="C5773" s="1" t="s">
        <v>4835</v>
      </c>
      <c r="D5773" s="1" t="str">
        <f>IFERROR(__xludf.DUMMYFUNCTION("CONCATENATE(GOOGLETRANSLATE(C5773, ""en"", ""zh-cn""))"),"Apple iPhone 12 Pro，128GB，石墨色 - 无锁版（续订高级版）")</f>
        <v>Apple iPhone 12 Pro，128GB，石墨色 - 无锁版（续订高级版）</v>
      </c>
      <c r="E5773" s="1" t="str">
        <f>IFERROR(__xludf.DUMMYFUNCTION("CONCATENATE(GOOGLETRANSLATE(C5773, ""en"", ""ko""))"),"Apple iPhone 12 Pro, 128GB, 그래파이트 - 공기계(리뉴얼 프리미엄)")</f>
        <v>Apple iPhone 12 Pro, 128GB, 그래파이트 - 공기계(리뉴얼 프리미엄)</v>
      </c>
      <c r="F5773" s="1" t="str">
        <f>IFERROR(__xludf.DUMMYFUNCTION("CONCATENATE(GOOGLETRANSLATE(C5773, ""en"", ""ja""))"),"Apple iPhone 12 Pro、128GB、グラファイト - ロック解除済み (更新プレミアム)")</f>
        <v>Apple iPhone 12 Pro、128GB、グラファイト - ロック解除済み (更新プレミアム)</v>
      </c>
    </row>
    <row r="5774" ht="15.75" customHeight="1">
      <c r="A5774" s="1">
        <v>3916.0</v>
      </c>
      <c r="B5774" s="1" t="s">
        <v>15</v>
      </c>
      <c r="C5774" s="1" t="s">
        <v>4836</v>
      </c>
      <c r="D5774" s="1" t="str">
        <f>IFERROR(__xludf.DUMMYFUNCTION("CONCATENATE(GOOGLETRANSLATE(C5774, ""en"", ""zh-cn""))"),"三星 Galaxy A53 5G (128GB，6GB) 6.5 120Hz 全高清+，IP67 防水，双 SIM GSM 4G Volte 解锁（适用于美国 + 全球）国际型号 A536E/DS（25W 充电盒套装，令人惊叹的蓝色）")</f>
        <v>三星 Galaxy A53 5G (128GB，6GB) 6.5 120Hz 全高清+，IP67 防水，双 SIM GSM 4G Volte 解锁（适用于美国 + 全球）国际型号 A536E/DS（25W 充电盒套装，令人惊叹的蓝色）</v>
      </c>
      <c r="E5774" s="1" t="str">
        <f>IFERROR(__xludf.DUMMYFUNCTION("CONCATENATE(GOOGLETRANSLATE(C5774, ""en"", ""ko""))"),"삼성 갤럭시 A53 5G(128GB, 6GB) 6.5 120Hz 풀 HD+, IP67 방수, 듀얼 SIM GSM 4G 전압 잠금 해제(미국 + 글로벌) 국제 모델 A536E/DS(25W 충전 큐브 번들, 어썸 블루)")</f>
        <v>삼성 갤럭시 A53 5G(128GB, 6GB) 6.5 120Hz 풀 HD+, IP67 방수, 듀얼 SIM GSM 4G 전압 잠금 해제(미국 + 글로벌) 국제 모델 A536E/DS(25W 충전 큐브 번들, 어썸 블루)</v>
      </c>
      <c r="F5774" s="1" t="str">
        <f>IFERROR(__xludf.DUMMYFUNCTION("CONCATENATE(GOOGLETRANSLATE(C5774, ""en"", ""ja""))"),"Samsung Galaxy A53 5G (128GB、6GB) 6.5 120Hz フル HD+、IP67 防水、デュアル SIM GSM 4G Volte ロック解除済み (米国 + グローバル向け) インターナショナル モデル A536E/DS (25W 充電キューブ バンドル、オーサム ブルー)")</f>
        <v>Samsung Galaxy A53 5G (128GB、6GB) 6.5 120Hz フル HD+、IP67 防水、デュアル SIM GSM 4G Volte ロック解除済み (米国 + グローバル向け) インターナショナル モデル A536E/DS (25W 充電キューブ バンドル、オーサム ブルー)</v>
      </c>
    </row>
    <row r="5775" ht="15.75" customHeight="1">
      <c r="A5775" s="1">
        <v>3923.0</v>
      </c>
      <c r="B5775" s="1" t="s">
        <v>15</v>
      </c>
      <c r="C5775" s="1" t="s">
        <v>4837</v>
      </c>
      <c r="D5775" s="1" t="str">
        <f>IFERROR(__xludf.DUMMYFUNCTION("CONCATENATE(GOOGLETRANSLATE(C5775, ""en"", ""zh-cn""))"),"Apple iPhone XS Max，美国版，64GB，深空灰色 - 解锁（续订）")</f>
        <v>Apple iPhone XS Max，美国版，64GB，深空灰色 - 解锁（续订）</v>
      </c>
      <c r="E5775" s="1" t="str">
        <f>IFERROR(__xludf.DUMMYFUNCTION("CONCATENATE(GOOGLETRANSLATE(C5775, ""en"", ""ko""))"),"Apple iPhone XS Max, 미국 버전, 64GB, 스페이스 그레이 - 공기계(갱신)")</f>
        <v>Apple iPhone XS Max, 미국 버전, 64GB, 스페이스 그레이 - 공기계(갱신)</v>
      </c>
      <c r="F5775" s="1" t="str">
        <f>IFERROR(__xludf.DUMMYFUNCTION("CONCATENATE(GOOGLETRANSLATE(C5775, ""en"", ""ja""))"),"Apple iPhone XS Max、US バージョン、64GB、スペース グレイ - ロック解除済み (更新済み)")</f>
        <v>Apple iPhone XS Max、US バージョン、64GB、スペース グレイ - ロック解除済み (更新済み)</v>
      </c>
    </row>
    <row r="5776" ht="15.75" customHeight="1">
      <c r="A5776" s="1">
        <v>3929.0</v>
      </c>
      <c r="B5776" s="1" t="s">
        <v>15</v>
      </c>
      <c r="C5776" s="1" t="s">
        <v>4838</v>
      </c>
      <c r="D5776" s="1" t="str">
        <f>IFERROR(__xludf.DUMMYFUNCTION("CONCATENATE(GOOGLETRANSLATE(C5776, ""en"", ""zh-cn""))"),"三星 Galaxy S21 5G G991U 128GB 智能手机 - T-Mobile 已锁定 -（续订）")</f>
        <v>三星 Galaxy S21 5G G991U 128GB 智能手机 - T-Mobile 已锁定 -（续订）</v>
      </c>
      <c r="E5776" s="1" t="str">
        <f>IFERROR(__xludf.DUMMYFUNCTION("CONCATENATE(GOOGLETRANSLATE(C5776, ""en"", ""ko""))"),"삼성 갤럭시 S21 5G G991U 128GB 스마트폰 - T-Mobile 잠김 - (갱신)")</f>
        <v>삼성 갤럭시 S21 5G G991U 128GB 스마트폰 - T-Mobile 잠김 - (갱신)</v>
      </c>
      <c r="F5776" s="1" t="str">
        <f>IFERROR(__xludf.DUMMYFUNCTION("CONCATENATE(GOOGLETRANSLATE(C5776, ""en"", ""ja""))"),"Samsung Galaxy S21 5G G991U 128GB スマートフォン - T-Mobile ロック済み - (更新済み)")</f>
        <v>Samsung Galaxy S21 5G G991U 128GB スマートフォン - T-Mobile ロック済み - (更新済み)</v>
      </c>
    </row>
    <row r="5777" ht="15.75" customHeight="1">
      <c r="A5777" s="1">
        <v>3933.0</v>
      </c>
      <c r="B5777" s="1" t="s">
        <v>15</v>
      </c>
      <c r="C5777" s="1" t="s">
        <v>4839</v>
      </c>
      <c r="D5777" s="1" t="str">
        <f>IFERROR(__xludf.DUMMYFUNCTION("CONCATENATE(GOOGLETRANSLATE(C5777, ""en"", ""zh-cn""))"),"Apple iPhone XR，64GB，黑色 - 已解锁（续订）")</f>
        <v>Apple iPhone XR，64GB，黑色 - 已解锁（续订）</v>
      </c>
      <c r="E5777" s="1" t="str">
        <f>IFERROR(__xludf.DUMMYFUNCTION("CONCATENATE(GOOGLETRANSLATE(C5777, ""en"", ""ko""))"),"Apple iPhone XR, 64GB, 블랙 - 공기계 (리뉴얼)")</f>
        <v>Apple iPhone XR, 64GB, 블랙 - 공기계 (리뉴얼)</v>
      </c>
      <c r="F5777" s="1" t="str">
        <f>IFERROR(__xludf.DUMMYFUNCTION("CONCATENATE(GOOGLETRANSLATE(C5777, ""en"", ""ja""))"),"Apple iPhone XR、64GB、ブラック - ロック解除済み (更新済み)")</f>
        <v>Apple iPhone XR、64GB、ブラック - ロック解除済み (更新済み)</v>
      </c>
    </row>
    <row r="5778" ht="15.75" customHeight="1">
      <c r="A5778" s="1">
        <v>3935.0</v>
      </c>
      <c r="B5778" s="1" t="s">
        <v>15</v>
      </c>
      <c r="C5778" s="1" t="s">
        <v>4840</v>
      </c>
      <c r="D5778" s="1" t="str">
        <f>IFERROR(__xludf.DUMMYFUNCTION("CONCATENATE(GOOGLETRANSLATE(C5778, ""en"", ""zh-cn""))"),"Apple iPhone XS，美国版，64GB，深空灰色 - 无锁版（续订）")</f>
        <v>Apple iPhone XS，美国版，64GB，深空灰色 - 无锁版（续订）</v>
      </c>
      <c r="E5778" s="1" t="str">
        <f>IFERROR(__xludf.DUMMYFUNCTION("CONCATENATE(GOOGLETRANSLATE(C5778, ""en"", ""ko""))"),"Apple iPhone XS, 미국 버전, 64GB, 스페이스 그레이 - 공기계(리뉴얼)")</f>
        <v>Apple iPhone XS, 미국 버전, 64GB, 스페이스 그레이 - 공기계(리뉴얼)</v>
      </c>
      <c r="F5778" s="1" t="str">
        <f>IFERROR(__xludf.DUMMYFUNCTION("CONCATENATE(GOOGLETRANSLATE(C5778, ""en"", ""ja""))"),"Apple iPhone XS、US ​​バージョン、64GB、スペース グレイ - ロック解除済み (更新済み)")</f>
        <v>Apple iPhone XS、US ​​バージョン、64GB、スペース グレイ - ロック解除済み (更新済み)</v>
      </c>
    </row>
    <row r="5779" ht="15.75" customHeight="1">
      <c r="A5779" s="1">
        <v>3938.0</v>
      </c>
      <c r="B5779" s="1" t="s">
        <v>15</v>
      </c>
      <c r="C5779" s="1" t="s">
        <v>4841</v>
      </c>
      <c r="D5779" s="1" t="str">
        <f>IFERROR(__xludf.DUMMYFUNCTION("CONCATENATE(GOOGLETRANSLATE(C5779, ""en"", ""zh-cn""))"),"Apple iPhone X，美国版，64GB，银色 - 无锁版（续订）")</f>
        <v>Apple iPhone X，美国版，64GB，银色 - 无锁版（续订）</v>
      </c>
      <c r="E5779" s="1" t="str">
        <f>IFERROR(__xludf.DUMMYFUNCTION("CONCATENATE(GOOGLETRANSLATE(C5779, ""en"", ""ko""))"),"Apple iPhone X, 미국 버전, 64GB, 실버 - 공기계(갱신)")</f>
        <v>Apple iPhone X, 미국 버전, 64GB, 실버 - 공기계(갱신)</v>
      </c>
      <c r="F5779" s="1" t="str">
        <f>IFERROR(__xludf.DUMMYFUNCTION("CONCATENATE(GOOGLETRANSLATE(C5779, ""en"", ""ja""))"),"Apple iPhone X、US バージョン、64GB、シルバー - ロック解除済み (更新済み)")</f>
        <v>Apple iPhone X、US バージョン、64GB、シルバー - ロック解除済み (更新済み)</v>
      </c>
    </row>
    <row r="5780" ht="15.75" customHeight="1">
      <c r="A5780" s="1">
        <v>3940.0</v>
      </c>
      <c r="B5780" s="1" t="s">
        <v>15</v>
      </c>
      <c r="C5780" s="1" t="s">
        <v>4842</v>
      </c>
      <c r="D5780" s="1" t="str">
        <f>IFERROR(__xludf.DUMMYFUNCTION("CONCATENATE(GOOGLETRANSLATE(C5780, ""en"", ""zh-cn""))"),"Google Pixel 6 – 5G Android 手机 - 带广角和超广角镜头的解锁智能手机 - 128GB - 暴风雨黑（续订）")</f>
        <v>Google Pixel 6 – 5G Android 手机 - 带广角和超广角镜头的解锁智能手机 - 128GB - 暴风雨黑（续订）</v>
      </c>
      <c r="E5780" s="1" t="str">
        <f>IFERROR(__xludf.DUMMYFUNCTION("CONCATENATE(GOOGLETRANSLATE(C5780, ""en"", ""ko""))"),"Google Pixel 6 – 5G Android 휴대폰 - 광각 및 초광각 렌즈가 탑재된 공기계 스마트폰 - 128GB - 스토미 블랙(리뉴얼)")</f>
        <v>Google Pixel 6 – 5G Android 휴대폰 - 광각 및 초광각 렌즈가 탑재된 공기계 스마트폰 - 128GB - 스토미 블랙(리뉴얼)</v>
      </c>
      <c r="F5780" s="1" t="str">
        <f>IFERROR(__xludf.DUMMYFUNCTION("CONCATENATE(GOOGLETRANSLATE(C5780, ""en"", ""ja""))"),"Google Pixel 6 – 5G Android Phone - ワイドおよびウルトラワイド レンズ付きロック解除スマートフォン - 128GB - ストーミー ブラック (リニューアル)")</f>
        <v>Google Pixel 6 – 5G Android Phone - ワイドおよびウルトラワイド レンズ付きロック解除スマートフォン - 128GB - ストーミー ブラック (リニューアル)</v>
      </c>
    </row>
    <row r="5781" ht="15.75" customHeight="1">
      <c r="A5781" s="1">
        <v>3944.0</v>
      </c>
      <c r="B5781" s="1" t="s">
        <v>15</v>
      </c>
      <c r="C5781" s="1" t="s">
        <v>4843</v>
      </c>
      <c r="D5781" s="1" t="str">
        <f>IFERROR(__xludf.DUMMYFUNCTION("CONCATENATE(GOOGLETRANSLATE(C5781, ""en"", ""zh-cn""))"),"欧米茄超霸月球表 304.33.44.52.03.001")</f>
        <v>欧米茄超霸月球表 304.33.44.52.03.001</v>
      </c>
      <c r="E5781" s="1" t="str">
        <f>IFERROR(__xludf.DUMMYFUNCTION("CONCATENATE(GOOGLETRANSLATE(C5781, ""en"", ""ko""))"),"오메가 스피드마스터 문워치 304.33.44.52.03.001")</f>
        <v>오메가 스피드마스터 문워치 304.33.44.52.03.001</v>
      </c>
      <c r="F5781" s="1" t="str">
        <f>IFERROR(__xludf.DUMMYFUNCTION("CONCATENATE(GOOGLETRANSLATE(C5781, ""en"", ""ja""))"),"オメガ スピードマスター ムーンウォッチ 304.33.44.52.03.001")</f>
        <v>オメガ スピードマスター ムーンウォッチ 304.33.44.52.03.001</v>
      </c>
    </row>
    <row r="5782" ht="15.75" customHeight="1">
      <c r="A5782" s="1">
        <v>3947.0</v>
      </c>
      <c r="B5782" s="1" t="s">
        <v>15</v>
      </c>
      <c r="C5782" s="1" t="s">
        <v>4844</v>
      </c>
      <c r="D5782" s="1" t="str">
        <f>IFERROR(__xludf.DUMMYFUNCTION("CONCATENATE(GOOGLETRANSLATE(C5782, ""en"", ""zh-cn""))"),"欧米茄超霸赛车自动计时男式手表 329.32.44.51.01.001")</f>
        <v>欧米茄超霸赛车自动计时男式手表 329.32.44.51.01.001</v>
      </c>
      <c r="E5782" s="1" t="str">
        <f>IFERROR(__xludf.DUMMYFUNCTION("CONCATENATE(GOOGLETRANSLATE(C5782, ""en"", ""ko""))"),"오메가 스피드마스터 레이싱 오토매틱 크로노그래프 남성용 시계 329.32.44.51.01.001")</f>
        <v>오메가 스피드마스터 레이싱 오토매틱 크로노그래프 남성용 시계 329.32.44.51.01.001</v>
      </c>
      <c r="F5782" s="1" t="str">
        <f>IFERROR(__xludf.DUMMYFUNCTION("CONCATENATE(GOOGLETRANSLATE(C5782, ""en"", ""ja""))"),"オメガ スピードマスター レーシング オートマティック クロノグラフ メンズ腕時計 329.32.44.51.01.001")</f>
        <v>オメガ スピードマスター レーシング オートマティック クロノグラフ メンズ腕時計 329.32.44.51.01.001</v>
      </c>
    </row>
    <row r="5783" ht="15.75" customHeight="1">
      <c r="A5783" s="1">
        <v>3949.0</v>
      </c>
      <c r="B5783" s="1" t="s">
        <v>15</v>
      </c>
      <c r="C5783" s="1" t="s">
        <v>4845</v>
      </c>
      <c r="D5783" s="1" t="str">
        <f>IFERROR(__xludf.DUMMYFUNCTION("CONCATENATE(GOOGLETRANSLATE(C5783, ""en"", ""zh-cn""))"),"欧米茄男士超霸模拟显示机械手动上链银色手表 311.30.42.30.01.006")</f>
        <v>欧米茄男士超霸模拟显示机械手动上链银色手表 311.30.42.30.01.006</v>
      </c>
      <c r="E5783" s="1" t="str">
        <f>IFERROR(__xludf.DUMMYFUNCTION("CONCATENATE(GOOGLETRANSLATE(C5783, ""en"", ""ko""))"),"오메가 남성용 스피드마스터 아날로그 디스플레이 기계식 핸드 윈드 실버 시계 311.30.42.30.01.006")</f>
        <v>오메가 남성용 스피드마스터 아날로그 디스플레이 기계식 핸드 윈드 실버 시계 311.30.42.30.01.006</v>
      </c>
      <c r="F5783" s="1" t="str">
        <f>IFERROR(__xludf.DUMMYFUNCTION("CONCATENATE(GOOGLETRANSLATE(C5783, ""en"", ""ja""))"),"オメガ メンズ スピードマスター アナログ ディスプレイ 機械式手巻き シルバー ウォッチ 311.30.42.30.01.006")</f>
        <v>オメガ メンズ スピードマスター アナログ ディスプレイ 機械式手巻き シルバー ウォッチ 311.30.42.30.01.006</v>
      </c>
    </row>
    <row r="5784" ht="15.75" customHeight="1">
      <c r="A5784" s="1">
        <v>3962.0</v>
      </c>
      <c r="B5784" s="1" t="s">
        <v>15</v>
      </c>
      <c r="C5784" s="1" t="s">
        <v>4846</v>
      </c>
      <c r="D5784" s="1" t="str">
        <f>IFERROR(__xludf.DUMMYFUNCTION("CONCATENATE(GOOGLETRANSLATE(C5784, ""en"", ""zh-cn""))"),"欧米茄 326.30.40.50.11.001 超霸赛车男士计时腕表")</f>
        <v>欧米茄 326.30.40.50.11.001 超霸赛车男士计时腕表</v>
      </c>
      <c r="E5784" s="1" t="str">
        <f>IFERROR(__xludf.DUMMYFUNCTION("CONCATENATE(GOOGLETRANSLATE(C5784, ""en"", ""ko""))"),"오메가 326.30.40.50.11.001 스피드마스터 레이싱 남성용 크로노그래프 시계")</f>
        <v>오메가 326.30.40.50.11.001 스피드마스터 레이싱 남성용 크로노그래프 시계</v>
      </c>
      <c r="F5784" s="1" t="str">
        <f>IFERROR(__xludf.DUMMYFUNCTION("CONCATENATE(GOOGLETRANSLATE(C5784, ""en"", ""ja""))"),"オメガ 326.30.40.50.11.001 スピードマスター レーシング メンズ クロノグラフ ウォッチ")</f>
        <v>オメガ 326.30.40.50.11.001 スピードマスター レーシング メンズ クロノグラフ ウォッチ</v>
      </c>
    </row>
    <row r="5785" ht="15.75" customHeight="1">
      <c r="A5785" s="1">
        <v>3970.0</v>
      </c>
      <c r="B5785" s="1" t="s">
        <v>15</v>
      </c>
      <c r="C5785" s="1" t="s">
        <v>4847</v>
      </c>
      <c r="D5785" s="1" t="str">
        <f>IFERROR(__xludf.DUMMYFUNCTION("CONCATENATE(GOOGLETRANSLATE(C5785, ""en"", ""zh-cn""))"),"卡其航空 X-WIND DAY DATE 自动计时码表")</f>
        <v>卡其航空 X-WIND DAY DATE 自动计时码表</v>
      </c>
      <c r="E5785" s="1" t="str">
        <f>IFERROR(__xludf.DUMMYFUNCTION("CONCATENATE(GOOGLETRANSLATE(C5785, ""en"", ""ko""))"),"카키 에비에이션 X-WIND DAY DATE 오토 크로노")</f>
        <v>카키 에비에이션 X-WIND DAY DATE 오토 크로노</v>
      </c>
      <c r="F5785" s="1" t="str">
        <f>IFERROR(__xludf.DUMMYFUNCTION("CONCATENATE(GOOGLETRANSLATE(C5785, ""en"", ""ja""))"),"カーキ アビエーション X-WIND デイデイト オート クロノ")</f>
        <v>カーキ アビエーション X-WIND デイデイト オート クロノ</v>
      </c>
    </row>
    <row r="5786" ht="15.75" customHeight="1">
      <c r="A5786" s="1">
        <v>3972.0</v>
      </c>
      <c r="B5786" s="1" t="s">
        <v>15</v>
      </c>
      <c r="C5786" s="1" t="s">
        <v>4848</v>
      </c>
      <c r="D5786" s="1" t="str">
        <f>IFERROR(__xludf.DUMMYFUNCTION("CONCATENATE(GOOGLETRANSLATE(C5786, ""en"", ""zh-cn""))"),"欧米茄男士 326.30.40.50.06.001 Speed Master 赛车模拟显示瑞士自动银色手表")</f>
        <v>欧米茄男士 326.30.40.50.06.001 Speed Master 赛车模拟显示瑞士自动银色手表</v>
      </c>
      <c r="E5786" s="1" t="str">
        <f>IFERROR(__xludf.DUMMYFUNCTION("CONCATENATE(GOOGLETRANSLATE(C5786, ""en"", ""ko""))"),"오메가 남성용 326.30.40.50.06.001 스피드 마스터 레이싱 아날로그 디스플레이 스위스 오토매틱 실버 시계")</f>
        <v>오메가 남성용 326.30.40.50.06.001 스피드 마스터 레이싱 아날로그 디스플레이 스위스 오토매틱 실버 시계</v>
      </c>
      <c r="F5786" s="1" t="str">
        <f>IFERROR(__xludf.DUMMYFUNCTION("CONCATENATE(GOOGLETRANSLATE(C5786, ""en"", ""ja""))"),"オメガ メンズ 326.30.40.50.06.001 スピード マスター レーシング アナログ表示 スイス製自動巻き シルバー ウォッチ")</f>
        <v>オメガ メンズ 326.30.40.50.06.001 スピード マスター レーシング アナログ表示 スイス製自動巻き シルバー ウォッチ</v>
      </c>
    </row>
    <row r="5787" ht="15.75" customHeight="1">
      <c r="A5787" s="1">
        <v>3974.0</v>
      </c>
      <c r="B5787" s="1" t="s">
        <v>15</v>
      </c>
      <c r="C5787" s="1" t="s">
        <v>4849</v>
      </c>
      <c r="D5787" s="1" t="str">
        <f>IFERROR(__xludf.DUMMYFUNCTION("CONCATENATE(GOOGLETRANSLATE(C5787, ""en"", ""zh-cn""))"),"施华洛世奇 10x42 NL Pure 双筒望远镜")</f>
        <v>施华洛世奇 10x42 NL Pure 双筒望远镜</v>
      </c>
      <c r="E5787" s="1" t="str">
        <f>IFERROR(__xludf.DUMMYFUNCTION("CONCATENATE(GOOGLETRANSLATE(C5787, ""en"", ""ko""))"),"스와로브스키 10x42 NL 순수 쌍안경")</f>
        <v>스와로브스키 10x42 NL 순수 쌍안경</v>
      </c>
      <c r="F5787" s="1" t="str">
        <f>IFERROR(__xludf.DUMMYFUNCTION("CONCATENATE(GOOGLETRANSLATE(C5787, ""en"", ""ja""))"),"スワロフスキー 10x42 NL ピュア双眼鏡")</f>
        <v>スワロフスキー 10x42 NL ピュア双眼鏡</v>
      </c>
    </row>
    <row r="5788" ht="15.75" customHeight="1">
      <c r="A5788" s="1">
        <v>3977.0</v>
      </c>
      <c r="B5788" s="1" t="s">
        <v>15</v>
      </c>
      <c r="C5788" s="1" t="s">
        <v>4850</v>
      </c>
      <c r="D5788" s="1" t="str">
        <f>IFERROR(__xludf.DUMMYFUNCTION("CONCATENATE(GOOGLETRANSLATE(C5788, ""en"", ""zh-cn""))"),"欧米茄男士 42410372001001 模拟显示瑞士自动银色手表")</f>
        <v>欧米茄男士 42410372001001 模拟显示瑞士自动银色手表</v>
      </c>
      <c r="E5788" s="1" t="str">
        <f>IFERROR(__xludf.DUMMYFUNCTION("CONCATENATE(GOOGLETRANSLATE(C5788, ""en"", ""ko""))"),"오메가 남성용 42410372001001 아날로그 디스플레이 스위스 오토매틱 실버 시계")</f>
        <v>오메가 남성용 42410372001001 아날로그 디스플레이 스위스 오토매틱 실버 시계</v>
      </c>
      <c r="F5788" s="1" t="str">
        <f>IFERROR(__xludf.DUMMYFUNCTION("CONCATENATE(GOOGLETRANSLATE(C5788, ""en"", ""ja""))"),"オメガ メンズ 42410372001001 アナログ表示 スイス製自動巻き シルバー ウォッチ")</f>
        <v>オメガ メンズ 42410372001001 アナログ表示 スイス製自動巻き シルバー ウォッチ</v>
      </c>
    </row>
    <row r="5789" ht="15.75" customHeight="1">
      <c r="A5789" s="1">
        <v>3992.0</v>
      </c>
      <c r="B5789" s="1" t="s">
        <v>15</v>
      </c>
      <c r="C5789" s="1" t="s">
        <v>4851</v>
      </c>
      <c r="D5789" s="1" t="str">
        <f>IFERROR(__xludf.DUMMYFUNCTION("CONCATENATE(GOOGLETRANSLATE(C5789, ""en"", ""zh-cn""))"),"汉密尔顿男士 H77616533 卡其色；表盘颜色 - 黑色 X 计时腕表")</f>
        <v>汉密尔顿男士 H77616533 卡其色；表盘颜色 - 黑色 X 计时腕表</v>
      </c>
      <c r="E5789" s="1" t="str">
        <f>IFERROR(__xludf.DUMMYFUNCTION("CONCATENATE(GOOGLETRANSLATE(C5789, ""en"", ""ko""))"),"해밀턴 남성용 H77616533 카키 ; 다이얼 색상 - 블랙 X 크로노그래프 시계")</f>
        <v>해밀턴 남성용 H77616533 카키 ; 다이얼 색상 - 블랙 X 크로노그래프 시계</v>
      </c>
      <c r="F5789" s="1" t="str">
        <f>IFERROR(__xludf.DUMMYFUNCTION("CONCATENATE(GOOGLETRANSLATE(C5789, ""en"", ""ja""))"),"ハミルトン メンズ H77616533 カーキ ;文字盤の色 - ブラック X クロノグラフ ウォッチ")</f>
        <v>ハミルトン メンズ H77616533 カーキ ;文字盤の色 - ブラック X クロノグラフ ウォッチ</v>
      </c>
    </row>
    <row r="5790" ht="15.75" customHeight="1">
      <c r="A5790" s="1">
        <v>3999.0</v>
      </c>
      <c r="B5790" s="1" t="s">
        <v>15</v>
      </c>
      <c r="C5790" s="1" t="s">
        <v>4852</v>
      </c>
      <c r="D5790" s="1" t="str">
        <f>IFERROR(__xludf.DUMMYFUNCTION("CONCATENATE(GOOGLETRANSLATE(C5790, ""en"", ""zh-cn""))"),"汉密尔顿男士“爵士大师”瑞士自动不锈钢手表，颜色：银色（型号：H32596181）")</f>
        <v>汉密尔顿男士“爵士大师”瑞士自动不锈钢手表，颜色：银色（型号：H32596181）</v>
      </c>
      <c r="E5790" s="1" t="str">
        <f>IFERROR(__xludf.DUMMYFUNCTION("CONCATENATE(GOOGLETRANSLATE(C5790, ""en"", ""ko""))"),"해밀턴 남성용 '재즈마스터' 스위스 오토매틱 스테인레스 스틸 시계, 색상:실버 톤(모델: H32596181)")</f>
        <v>해밀턴 남성용 '재즈마스터' 스위스 오토매틱 스테인레스 스틸 시계, 색상:실버 톤(모델: H32596181)</v>
      </c>
      <c r="F5790" s="1" t="str">
        <f>IFERROR(__xludf.DUMMYFUNCTION("CONCATENATE(GOOGLETRANSLATE(C5790, ""en"", ""ja""))"),"ハミルトン メンズ 'ジャズマスター' スイス自動巻きステンレススチール時計、カラー: シルバートーン (モデル: H32596181)")</f>
        <v>ハミルトン メンズ 'ジャズマスター' スイス自動巻きステンレススチール時計、カラー: シルバートーン (モデル: H32596181)</v>
      </c>
    </row>
    <row r="5791" ht="15.75" customHeight="1">
      <c r="A5791" s="1">
        <v>4007.0</v>
      </c>
      <c r="B5791" s="1" t="s">
        <v>15</v>
      </c>
      <c r="C5791" s="1" t="s">
        <v>4853</v>
      </c>
      <c r="D5791" s="1" t="str">
        <f>IFERROR(__xludf.DUMMYFUNCTION("CONCATENATE(GOOGLETRANSLATE(C5791, ""en"", ""zh-cn""))"),"SEIKO PROSPEX SBDC141 [Diver Scuba 1965 机械潜水员现代设计男士尼龙表带]")</f>
        <v>SEIKO PROSPEX SBDC141 [Diver Scuba 1965 机械潜水员现代设计男士尼龙表带]</v>
      </c>
      <c r="E5791" s="1" t="str">
        <f>IFERROR(__xludf.DUMMYFUNCTION("CONCATENATE(GOOGLETRANSLATE(C5791, ""en"", ""ko""))"),"SEIKO PROSPEX SBDC141 [다이버 스쿠버 1965 기계식 다이버 모던 디자인 남성용 나일론 밴드]")</f>
        <v>SEIKO PROSPEX SBDC141 [다이버 스쿠버 1965 기계식 다이버 모던 디자인 남성용 나일론 밴드]</v>
      </c>
      <c r="F5791" s="1" t="str">
        <f>IFERROR(__xludf.DUMMYFUNCTION("CONCATENATE(GOOGLETRANSLATE(C5791, ""en"", ""ja""))"),"セイコー プロスペックス SBDC141 【ダイバースキューバ 1965 メカニカル ダイバーズ モダンデザイン メンズ ナイロンバンド】")</f>
        <v>セイコー プロスペックス SBDC141 【ダイバースキューバ 1965 メカニカル ダイバーズ モダンデザイン メンズ ナイロンバンド】</v>
      </c>
    </row>
    <row r="5792" ht="15.75" customHeight="1">
      <c r="A5792" s="1">
        <v>4023.0</v>
      </c>
      <c r="B5792" s="1" t="s">
        <v>15</v>
      </c>
      <c r="C5792" s="1" t="s">
        <v>4854</v>
      </c>
      <c r="D5792" s="1" t="str">
        <f>IFERROR(__xludf.DUMMYFUNCTION("CONCATENATE(GOOGLETRANSLATE(C5792, ""en"", ""zh-cn""))"),"卡西欧男士 G-SHOCK GMW-B5000G-1JF 电波太阳能手表（日本国内正品）")</f>
        <v>卡西欧男士 G-SHOCK GMW-B5000G-1JF 电波太阳能手表（日本国内正品）</v>
      </c>
      <c r="E5792" s="1" t="str">
        <f>IFERROR(__xludf.DUMMYFUNCTION("CONCATENATE(GOOGLETRANSLATE(C5792, ""en"", ""ko""))"),"카시오 Men G-SHOCK GMW-B5000G-1JF Radio Solar 시계 (일본 국내 정품 제품)")</f>
        <v>카시오 Men G-SHOCK GMW-B5000G-1JF Radio Solar 시계 (일본 국내 정품 제품)</v>
      </c>
      <c r="F5792" s="1" t="str">
        <f>IFERROR(__xludf.DUMMYFUNCTION("CONCATENATE(GOOGLETRANSLATE(C5792, ""en"", ""ja""))"),"[カシオ] 電波ソーラー腕時計 G-SHOCK GMW-B5000G-1JF メンズ (日本国内正規品)")</f>
        <v>[カシオ] 電波ソーラー腕時計 G-SHOCK GMW-B5000G-1JF メンズ (日本国内正規品)</v>
      </c>
    </row>
    <row r="5793" ht="15.75" customHeight="1">
      <c r="A5793" s="1">
        <v>4028.0</v>
      </c>
      <c r="B5793" s="1" t="s">
        <v>15</v>
      </c>
      <c r="C5793" s="1" t="s">
        <v>4855</v>
      </c>
      <c r="D5793" s="1" t="str">
        <f>IFERROR(__xludf.DUMMYFUNCTION("CONCATENATE(GOOGLETRANSLATE(C5793, ""en"", ""zh-cn""))"),"Seiko Prospex 第三代相扑潜水员 200 米自动黑色表盘蓝宝石玻璃手表 SPB101J1")</f>
        <v>Seiko Prospex 第三代相扑潜水员 200 米自动黑色表盘蓝宝石玻璃手表 SPB101J1</v>
      </c>
      <c r="E5793" s="1" t="str">
        <f>IFERROR(__xludf.DUMMYFUNCTION("CONCATENATE(GOOGLETRANSLATE(C5793, ""en"", ""ko""))"),"세이코 프로스펙스 3세대 스모 다이버용 200m 오토매틱 블랙 다이얼 사파이어 글래스 시계 SPB101J1")</f>
        <v>세이코 프로스펙스 3세대 스모 다이버용 200m 오토매틱 블랙 다이얼 사파이어 글래스 시계 SPB101J1</v>
      </c>
      <c r="F5793" s="1" t="str">
        <f>IFERROR(__xludf.DUMMYFUNCTION("CONCATENATE(GOOGLETRANSLATE(C5793, ""en"", ""ja""))"),"セイコー プロスペックス 3rd GenSumo ダイバーズ 200m 自動巻き ブラック ダイヤル サファイアガラス ウォッチ SPB101J1")</f>
        <v>セイコー プロスペックス 3rd GenSumo ダイバーズ 200m 自動巻き ブラック ダイヤル サファイアガラス ウォッチ SPB101J1</v>
      </c>
    </row>
    <row r="5794" ht="15.75" customHeight="1">
      <c r="A5794" s="1">
        <v>4042.0</v>
      </c>
      <c r="B5794" s="1" t="s">
        <v>15</v>
      </c>
      <c r="C5794" s="1" t="s">
        <v>4856</v>
      </c>
      <c r="D5794" s="1" t="str">
        <f>IFERROR(__xludf.DUMMYFUNCTION("CONCATENATE(GOOGLETRANSLATE(C5794, ""en"", ""zh-cn""))"),"Hamilton H38455781 Intra-Matic 自动男士手表黑色皮革")</f>
        <v>Hamilton H38455781 Intra-Matic 自动男士手表黑色皮革</v>
      </c>
      <c r="E5794" s="1" t="str">
        <f>IFERROR(__xludf.DUMMYFUNCTION("CONCATENATE(GOOGLETRANSLATE(C5794, ""en"", ""ko""))"),"해밀턴 H38455781 Intra-Matic 자동 남성용 시계 블랙 가죽")</f>
        <v>해밀턴 H38455781 Intra-Matic 자동 남성용 시계 블랙 가죽</v>
      </c>
      <c r="F5794" s="1" t="str">
        <f>IFERROR(__xludf.DUMMYFUNCTION("CONCATENATE(GOOGLETRANSLATE(C5794, ""en"", ""ja""))"),"ハミルトン H38455781 イントラマティック 自動巻き メンズ 腕時計 ブラック レザー")</f>
        <v>ハミルトン H38455781 イントラマティック 自動巻き メンズ 腕時計 ブラック レザー</v>
      </c>
    </row>
    <row r="5795" ht="15.75" customHeight="1">
      <c r="A5795" s="1">
        <v>4045.0</v>
      </c>
      <c r="B5795" s="1" t="s">
        <v>15</v>
      </c>
      <c r="C5795" s="1" t="s">
        <v>4857</v>
      </c>
      <c r="D5795" s="1" t="str">
        <f>IFERROR(__xludf.DUMMYFUNCTION("CONCATENATE(GOOGLETRANSLATE(C5795, ""en"", ""zh-cn""))"),"汉密尔顿卡其海军自动机芯黑色表盘男士手表 H82335131")</f>
        <v>汉密尔顿卡其海军自动机芯黑色表盘男士手表 H82335131</v>
      </c>
      <c r="E5795" s="1" t="str">
        <f>IFERROR(__xludf.DUMMYFUNCTION("CONCATENATE(GOOGLETRANSLATE(C5795, ""en"", ""ko""))"),"해밀턴 카키 네이비 오토매틱 무브먼트 블랙 다이얼 남성용 시계 H82335131")</f>
        <v>해밀턴 카키 네이비 오토매틱 무브먼트 블랙 다이얼 남성용 시계 H82335131</v>
      </c>
      <c r="F5795" s="1" t="str">
        <f>IFERROR(__xludf.DUMMYFUNCTION("CONCATENATE(GOOGLETRANSLATE(C5795, ""en"", ""ja""))"),"ハミルトン カーキ ネイビー自動巻きムーブメント ブラック ダイヤル メンズ腕時計 H82335131")</f>
        <v>ハミルトン カーキ ネイビー自動巻きムーブメント ブラック ダイヤル メンズ腕時計 H82335131</v>
      </c>
    </row>
    <row r="5796" ht="15.75" customHeight="1">
      <c r="A5796" s="1">
        <v>4047.0</v>
      </c>
      <c r="B5796" s="1" t="s">
        <v>15</v>
      </c>
      <c r="C5796" s="1" t="s">
        <v>4858</v>
      </c>
      <c r="D5796" s="1" t="str">
        <f>IFERROR(__xludf.DUMMYFUNCTION("CONCATENATE(GOOGLETRANSLATE(C5796, ""en"", ""zh-cn""))"),"Luminox ICE-SAR Arctic XL.1203 男士手表 46 毫米 - 冒险手表黑色日期功能 200m 防水蓝宝石玻璃")</f>
        <v>Luminox ICE-SAR Arctic XL.1203 男士手表 46 毫米 - 冒险手表黑色日期功能 200m 防水蓝宝石玻璃</v>
      </c>
      <c r="E5796" s="1" t="str">
        <f>IFERROR(__xludf.DUMMYFUNCTION("CONCATENATE(GOOGLETRANSLATE(C5796, ""en"", ""ko""))"),"Luminox ICE-SAR Arctic XL.1203 남성용 시계 46mm - 블랙 날짜 기능 200m 방수 사파이어 글래스 어드벤처 시계")</f>
        <v>Luminox ICE-SAR Arctic XL.1203 남성용 시계 46mm - 블랙 날짜 기능 200m 방수 사파이어 글래스 어드벤처 시계</v>
      </c>
      <c r="F5796" s="1" t="str">
        <f>IFERROR(__xludf.DUMMYFUNCTION("CONCATENATE(GOOGLETRANSLATE(C5796, ""en"", ""ja""))"),"ルミノックス ICE-SAR アークティック XL.1203 メンズ ウォッチ 46mm - アドベンチャー ウォッチ ブラック 日付機能 200m 防水 サファイアガラス")</f>
        <v>ルミノックス ICE-SAR アークティック XL.1203 メンズ ウォッチ 46mm - アドベンチャー ウォッチ ブラック 日付機能 200m 防水 サファイアガラス</v>
      </c>
    </row>
    <row r="5797" ht="15.75" customHeight="1">
      <c r="A5797" s="1">
        <v>4049.0</v>
      </c>
      <c r="B5797" s="1" t="s">
        <v>15</v>
      </c>
      <c r="C5797" s="1" t="s">
        <v>4859</v>
      </c>
      <c r="D5797" s="1" t="str">
        <f>IFERROR(__xludf.DUMMYFUNCTION("CONCATENATE(GOOGLETRANSLATE(C5797, ""en"", ""zh-cn""))"),"卡西欧 G-Shock GST-B200X-1A9JF G-Steel 碳芯卫士太阳能男士手表（日本国内正品）")</f>
        <v>卡西欧 G-Shock GST-B200X-1A9JF G-Steel 碳芯卫士太阳能男士手表（日本国内正品）</v>
      </c>
      <c r="E5797" s="1" t="str">
        <f>IFERROR(__xludf.DUMMYFUNCTION("CONCATENATE(GOOGLETRANSLATE(C5797, ""en"", ""ko""))"),"카시오 G-Shock GST-B200X-1A9JF G-Steel Carbon Core Guard Solar 남성용 시계 (일본 국내 정품 제품)")</f>
        <v>카시오 G-Shock GST-B200X-1A9JF G-Steel Carbon Core Guard Solar 남성용 시계 (일본 국내 정품 제품)</v>
      </c>
      <c r="F5797" s="1" t="str">
        <f>IFERROR(__xludf.DUMMYFUNCTION("CONCATENATE(GOOGLETRANSLATE(C5797, ""en"", ""ja""))"),"[カシオ] Gショック GST-B200X-1A9JF Gスチール カーボンコアガード ソーラー メンズ 腕時計 (日本国内正規品)")</f>
        <v>[カシオ] Gショック GST-B200X-1A9JF Gスチール カーボンコアガード ソーラー メンズ 腕時計 (日本国内正規品)</v>
      </c>
    </row>
    <row r="5798" ht="15.75" customHeight="1">
      <c r="A5798" s="1">
        <v>4061.0</v>
      </c>
      <c r="B5798" s="1" t="s">
        <v>15</v>
      </c>
      <c r="C5798" s="1" t="s">
        <v>4860</v>
      </c>
      <c r="D5798" s="1" t="str">
        <f>IFERROR(__xludf.DUMMYFUNCTION("CONCATENATE(GOOGLETRANSLATE(C5798, ""en"", ""zh-cn""))"),"Luminox 男士海军海豹太平洋潜水员 3120 系列银色不锈钢牡蛎带黑色表盘石英模拟手表")</f>
        <v>Luminox 男士海军海豹太平洋潜水员 3120 系列银色不锈钢牡蛎带黑色表盘石英模拟手表</v>
      </c>
      <c r="E5798" s="1" t="str">
        <f>IFERROR(__xludf.DUMMYFUNCTION("CONCATENATE(GOOGLETRANSLATE(C5798, ""en"", ""ko""))"),"루미녹스 남성용 Navy Seal Pacific 다이버 3120 시리즈 실버 스테인레스 스틸 오이스터 밴드 블랙 다이얼 쿼츠 아날로그 시계")</f>
        <v>루미녹스 남성용 Navy Seal Pacific 다이버 3120 시리즈 실버 스테인레스 스틸 오이스터 밴드 블랙 다이얼 쿼츠 아날로그 시계</v>
      </c>
      <c r="F5798" s="1" t="str">
        <f>IFERROR(__xludf.DUMMYFUNCTION("CONCATENATE(GOOGLETRANSLATE(C5798, ""en"", ""ja""))"),"ルミノックス メンズ ネイビー シール パシフィック ダイバー 3120 シリーズ シルバー ステンレススチール オイスターバンド ブラック ダイヤル クォーツ アナログ時計")</f>
        <v>ルミノックス メンズ ネイビー シール パシフィック ダイバー 3120 シリーズ シルバー ステンレススチール オイスターバンド ブラック ダイヤル クォーツ アナログ時計</v>
      </c>
    </row>
    <row r="5799" ht="15.75" customHeight="1">
      <c r="A5799" s="1">
        <v>4072.0</v>
      </c>
      <c r="B5799" s="1" t="s">
        <v>15</v>
      </c>
      <c r="C5799" s="1" t="s">
        <v>4861</v>
      </c>
      <c r="D5799" s="1" t="str">
        <f>IFERROR(__xludf.DUMMYFUNCTION("CONCATENATE(GOOGLETRANSLATE(C5799, ""en"", ""zh-cn""))"),"Luminox Bear Grylls Air 系列 GMT XB.3761 瑞士制造黑色手表")</f>
        <v>Luminox Bear Grylls Air 系列 GMT XB.3761 瑞士制造黑色手表</v>
      </c>
      <c r="E5799" s="1" t="str">
        <f>IFERROR(__xludf.DUMMYFUNCTION("CONCATENATE(GOOGLETRANSLATE(C5799, ""en"", ""ko""))"),"Luminox Bear Grylls Air Series GMT XB.3761 스위스 메이드 블랙 시계")</f>
        <v>Luminox Bear Grylls Air Series GMT XB.3761 스위스 메이드 블랙 시계</v>
      </c>
      <c r="F5799" s="1" t="str">
        <f>IFERROR(__xludf.DUMMYFUNCTION("CONCATENATE(GOOGLETRANSLATE(C5799, ""en"", ""ja""))"),"ルミノックス ベア グリルス エア シリーズ GMT XB.3761 スイス製ブラック ウォッチ")</f>
        <v>ルミノックス ベア グリルス エア シリーズ GMT XB.3761 スイス製ブラック ウォッチ</v>
      </c>
    </row>
    <row r="5800" ht="15.75" customHeight="1">
      <c r="A5800" s="1">
        <v>4093.0</v>
      </c>
      <c r="B5800" s="1" t="s">
        <v>15</v>
      </c>
      <c r="C5800" s="1" t="s">
        <v>4862</v>
      </c>
      <c r="D5800" s="1" t="str">
        <f>IFERROR(__xludf.DUMMYFUNCTION("CONCATENATE(GOOGLETRANSLATE(C5800, ""en"", ""zh-cn""))"),"TSAR BOMBA 豪华男士自动机械手表 - 日本机芯蓝宝石玻璃 - 50M 防水男士手表 - 方形腕表硅胶表带夜光优雅男士礼物")</f>
        <v>TSAR BOMBA 豪华男士自动机械手表 - 日本机芯蓝宝石玻璃 - 50M 防水男士手表 - 方形腕表硅胶表带夜光优雅男士礼物</v>
      </c>
      <c r="E5800" s="1" t="str">
        <f>IFERROR(__xludf.DUMMYFUNCTION("CONCATENATE(GOOGLETRANSLATE(C5800, ""en"", ""ko""))"),"TSAR BOMBA 럭셔리 남성용 자동 기계식 시계 - 일본식 무브먼트 사파이어 유리 - 50M 방수 남성용 시계 - 사각 손목 시계 실리콘 밴드 남성용 빛나는 우아한 선물")</f>
        <v>TSAR BOMBA 럭셔리 남성용 자동 기계식 시계 - 일본식 무브먼트 사파이어 유리 - 50M 방수 남성용 시계 - 사각 손목 시계 실리콘 밴드 남성용 빛나는 우아한 선물</v>
      </c>
      <c r="F5800" s="1" t="str">
        <f>IFERROR(__xludf.DUMMYFUNCTION("CONCATENATE(GOOGLETRANSLATE(C5800, ""en"", ""ja""))"),"TSAR BOMBA 高級メンズ自動機械式時計 - 日本製ムーブメント サファイアガラス - 50M 防水メンズウォッチ - スクエア腕時計 シリコンバンド 発光エレガントな男性へのギフト")</f>
        <v>TSAR BOMBA 高級メンズ自動機械式時計 - 日本製ムーブメント サファイアガラス - 50M 防水メンズウォッチ - スクエア腕時計 シリコンバンド 発光エレガントな男性へのギフト</v>
      </c>
    </row>
    <row r="5801" ht="15.75" customHeight="1">
      <c r="A5801" s="1">
        <v>4097.0</v>
      </c>
      <c r="B5801" s="1" t="s">
        <v>15</v>
      </c>
      <c r="C5801" s="1" t="s">
        <v>4863</v>
      </c>
      <c r="D5801" s="1" t="str">
        <f>IFERROR(__xludf.DUMMYFUNCTION("CONCATENATE(GOOGLETRANSLATE(C5801, ""en"", ""zh-cn""))"),"KUOE Old Smith 90-002 无日期，自动 NH38 机芯，黑色，含替换皮带，35 毫米表壳")</f>
        <v>KUOE Old Smith 90-002 无日期，自动 NH38 机芯，黑色，含替换皮带，35 毫米表壳</v>
      </c>
      <c r="E5801" s="1" t="str">
        <f>IFERROR(__xludf.DUMMYFUNCTION("CONCATENATE(GOOGLETRANSLATE(C5801, ""en"", ""ko""))"),"KUOE Old Smith 90-002 날짜 없음, 자동 NH38 무브먼트, 블랙, 교체용 벨트 포함, 35mm 케이스")</f>
        <v>KUOE Old Smith 90-002 날짜 없음, 자동 NH38 무브먼트, 블랙, 교체용 벨트 포함, 35mm 케이스</v>
      </c>
      <c r="F5801" s="1" t="str">
        <f>IFERROR(__xludf.DUMMYFUNCTION("CONCATENATE(GOOGLETRANSLATE(C5801, ""en"", ""ja""))"),"KUOE オールドスミス 90-002 ノーデイト、自動巻きNH38ムーブメント、ブラック、替えベルト付属、35mmケース")</f>
        <v>KUOE オールドスミス 90-002 ノーデイト、自動巻きNH38ムーブメント、ブラック、替えベルト付属、35mmケース</v>
      </c>
    </row>
    <row r="5802" ht="15.75" customHeight="1">
      <c r="A5802" s="1">
        <v>4103.0</v>
      </c>
      <c r="B5802" s="1" t="s">
        <v>15</v>
      </c>
      <c r="C5802" s="1" t="s">
        <v>4864</v>
      </c>
      <c r="D5802" s="1" t="str">
        <f>IFERROR(__xludf.DUMMYFUNCTION("CONCATENATE(GOOGLETRANSLATE(C5802, ""en"", ""zh-cn""))"),"Kendra Scott 14k 金白色钻石心形耳钉，高级女士珠宝")</f>
        <v>Kendra Scott 14k 金白色钻石心形耳钉，高级女士珠宝</v>
      </c>
      <c r="E5802" s="1" t="str">
        <f>IFERROR(__xludf.DUMMYFUNCTION("CONCATENATE(GOOGLETRANSLATE(C5802, ""en"", ""ko""))"),"Kendra Scott 14k 골드 화이트 다이아몬드 하트 스터드 귀걸이, 여성용 고급 주얼리")</f>
        <v>Kendra Scott 14k 골드 화이트 다이아몬드 하트 스터드 귀걸이, 여성용 고급 주얼리</v>
      </c>
      <c r="F5802" s="1" t="str">
        <f>IFERROR(__xludf.DUMMYFUNCTION("CONCATENATE(GOOGLETRANSLATE(C5802, ""en"", ""ja""))"),"Kendra Scott ホワイト ダイヤモンド ハート スタッド ピアス 14K ゴールド、女性用ファインジュエリー")</f>
        <v>Kendra Scott ホワイト ダイヤモンド ハート スタッド ピアス 14K ゴールド、女性用ファインジュエリー</v>
      </c>
    </row>
    <row r="5803" ht="15.75" customHeight="1">
      <c r="A5803" s="1">
        <v>4107.0</v>
      </c>
      <c r="B5803" s="1" t="s">
        <v>15</v>
      </c>
      <c r="C5803" s="1" t="s">
        <v>4865</v>
      </c>
      <c r="D5803" s="1" t="str">
        <f>IFERROR(__xludf.DUMMYFUNCTION("CONCATENATE(GOOGLETRANSLATE(C5803, ""en"", ""zh-cn""))"),"Luminox 海军海豹计时码表 Blackout XS.3581.BO 男士手表 45 毫米 - 黑色军用手表日期功能计时码表 200m 防水")</f>
        <v>Luminox 海军海豹计时码表 Blackout XS.3581.BO 男士手表 45 毫米 - 黑色军用手表日期功能计时码表 200m 防水</v>
      </c>
      <c r="E5803" s="1" t="str">
        <f>IFERROR(__xludf.DUMMYFUNCTION("CONCATENATE(GOOGLETRANSLATE(C5803, ""en"", ""ko""))"),"Luminox Navy Seal 크로노그래프 블랙아웃 XS.3581.BO 남성용 시계 45mm - 블랙 날짜 기능 크로노그래프 200m 방수 군용 시계")</f>
        <v>Luminox Navy Seal 크로노그래프 블랙아웃 XS.3581.BO 남성용 시계 45mm - 블랙 날짜 기능 크로노그래프 200m 방수 군용 시계</v>
      </c>
      <c r="F5803" s="1" t="str">
        <f>IFERROR(__xludf.DUMMYFUNCTION("CONCATENATE(GOOGLETRANSLATE(C5803, ""en"", ""ja""))"),"ルミノックス ネイビー シール クロノグラフ ブラックアウト XS.3581.BO メンズ ウォッチ 45mm - ブラックのミリタリーウォッチ 日付機能 クロノグラフ 200m 防水")</f>
        <v>ルミノックス ネイビー シール クロノグラフ ブラックアウト XS.3581.BO メンズ ウォッチ 45mm - ブラックのミリタリーウォッチ 日付機能 クロノグラフ 200m 防水</v>
      </c>
    </row>
    <row r="5804" ht="15.75" customHeight="1">
      <c r="A5804" s="1">
        <v>4123.0</v>
      </c>
      <c r="B5804" s="1" t="s">
        <v>15</v>
      </c>
      <c r="C5804" s="1" t="s">
        <v>4866</v>
      </c>
      <c r="D5804" s="1" t="str">
        <f>IFERROR(__xludf.DUMMYFUNCTION("CONCATENATE(GOOGLETRANSLATE(C5804, ""en"", ""zh-cn""))"),"Luminox Atacama Adventurer Field XL.1762 男士手表 42 毫米 - 探险手表银色/黑色日期功能 200 米防水蓝宝石玻璃")</f>
        <v>Luminox Atacama Adventurer Field XL.1762 男士手表 42 毫米 - 探险手表银色/黑色日期功能 200 米防水蓝宝石玻璃</v>
      </c>
      <c r="E5804" s="1" t="str">
        <f>IFERROR(__xludf.DUMMYFUNCTION("CONCATENATE(GOOGLETRANSLATE(C5804, ""en"", ""ko""))"),"Luminox Atacama Adventurer Field XL.1762 남성용 시계 42mm - 실버/블랙 날짜 기능 200m 방수 사파이어 글래스 어드벤처 시계")</f>
        <v>Luminox Atacama Adventurer Field XL.1762 남성용 시계 42mm - 실버/블랙 날짜 기능 200m 방수 사파이어 글래스 어드벤처 시계</v>
      </c>
      <c r="F5804" s="1" t="str">
        <f>IFERROR(__xludf.DUMMYFUNCTION("CONCATENATE(GOOGLETRANSLATE(C5804, ""en"", ""ja""))"),"ルミノックス アタカマ アドベンチャラー フィールド XL.1762 メンズ ウォッチ 42mm - アドベンチャー ウォッチ シルバー/ブラック 日付機能 200m 防水 サファイアガラス")</f>
        <v>ルミノックス アタカマ アドベンチャラー フィールド XL.1762 メンズ ウォッチ 42mm - アドベンチャー ウォッチ シルバー/ブラック 日付機能 200m 防水 サファイアガラス</v>
      </c>
    </row>
    <row r="5805" ht="15.75" customHeight="1">
      <c r="A5805" s="1">
        <v>4140.0</v>
      </c>
      <c r="B5805" s="1" t="s">
        <v>15</v>
      </c>
      <c r="C5805" s="1" t="s">
        <v>4867</v>
      </c>
      <c r="D5805" s="1" t="str">
        <f>IFERROR(__xludf.DUMMYFUNCTION("CONCATENATE(GOOGLETRANSLATE(C5805, ""en"", ""zh-cn""))"),"SEIKO PROSPEX 太阳能潜水员蓝色表盘黑色橡胶手表 SNE593")</f>
        <v>SEIKO PROSPEX 太阳能潜水员蓝色表盘黑色橡胶手表 SNE593</v>
      </c>
      <c r="E5805" s="1" t="str">
        <f>IFERROR(__xludf.DUMMYFUNCTION("CONCATENATE(GOOGLETRANSLATE(C5805, ""en"", ""ko""))"),"SEIKO PROSPEX 솔라 다이버 블루 다이얼 블랙 러버 시계 SNE593")</f>
        <v>SEIKO PROSPEX 솔라 다이버 블루 다이얼 블랙 러버 시계 SNE593</v>
      </c>
      <c r="F5805" s="1" t="str">
        <f>IFERROR(__xludf.DUMMYFUNCTION("CONCATENATE(GOOGLETRANSLATE(C5805, ""en"", ""ja""))"),"セイコー プロスペックス ソーラーダイバーズ ブルーダイヤル ブラックラバーウォッチ SNE593")</f>
        <v>セイコー プロスペックス ソーラーダイバーズ ブルーダイヤル ブラックラバーウォッチ SNE593</v>
      </c>
    </row>
    <row r="5806" ht="15.75" customHeight="1">
      <c r="A5806" s="1">
        <v>4141.0</v>
      </c>
      <c r="B5806" s="1" t="s">
        <v>15</v>
      </c>
      <c r="C5806" s="1" t="s">
        <v>4868</v>
      </c>
      <c r="D5806" s="1" t="str">
        <f>IFERROR(__xludf.DUMMYFUNCTION("CONCATENATE(GOOGLETRANSLATE(C5806, ""en"", ""zh-cn""))"),"TSAR BOMBA 男士自动手表 - 日本机芯 - 蓝宝石玻璃 - 100m 防水 - 豪华氟橡胶表带 - 男士礼品")</f>
        <v>TSAR BOMBA 男士自动手表 - 日本机芯 - 蓝宝石玻璃 - 100m 防水 - 豪华氟橡胶表带 - 男士礼品</v>
      </c>
      <c r="E5806" s="1" t="str">
        <f>IFERROR(__xludf.DUMMYFUNCTION("CONCATENATE(GOOGLETRANSLATE(C5806, ""en"", ""ko""))"),"TSAR BOMBA 남성용 오토매틱 시계 - 일본식 무브먼트 - 사파이어 글래스 - 100m 방수 - 럭셔리 불소고무 스트랩 - 남성용 선물")</f>
        <v>TSAR BOMBA 남성용 오토매틱 시계 - 일본식 무브먼트 - 사파이어 글래스 - 100m 방수 - 럭셔리 불소고무 스트랩 - 남성용 선물</v>
      </c>
      <c r="F5806" s="1" t="str">
        <f>IFERROR(__xludf.DUMMYFUNCTION("CONCATENATE(GOOGLETRANSLATE(C5806, ""en"", ""ja""))"),"TSAR BOMBA メンズ自動巻き時計 - 日本製ムーブメント - サファイアガラス - 100m防水 - 高級フッ素ゴムストラップ - 男性へのギフト")</f>
        <v>TSAR BOMBA メンズ自動巻き時計 - 日本製ムーブメント - サファイアガラス - 100m防水 - 高級フッ素ゴムストラップ - 男性へのギフト</v>
      </c>
    </row>
    <row r="5807" ht="15.75" customHeight="1">
      <c r="A5807" s="1">
        <v>4142.0</v>
      </c>
      <c r="B5807" s="1" t="s">
        <v>15</v>
      </c>
      <c r="C5807" s="1" t="s">
        <v>4869</v>
      </c>
      <c r="D5807" s="1" t="str">
        <f>IFERROR(__xludf.DUMMYFUNCTION("CONCATENATE(GOOGLETRANSLATE(C5807, ""en"", ""zh-cn""))"),"Fossil Gen 6 44 毫米触摸屏智能手表，内置 Alexa，心率，血氧，活动跟踪，GPS，扬声器，智能手机通知")</f>
        <v>Fossil Gen 6 44 毫米触摸屏智能手表，内置 Alexa，心率，血氧，活动跟踪，GPS，扬声器，智能手机通知</v>
      </c>
      <c r="E5807" s="1" t="str">
        <f>IFERROR(__xludf.DUMMYFUNCTION("CONCATENATE(GOOGLETRANSLATE(C5807, ""en"", ""ko""))"),"Fossil Gen 6 44mm 터치스크린 스마트워치(알렉사 내장, 심박수, 혈중 산소, 활동 추적, GPS, 스피커, 스마트폰 알림)")</f>
        <v>Fossil Gen 6 44mm 터치스크린 스마트워치(알렉사 내장, 심박수, 혈중 산소, 활동 추적, GPS, 스피커, 스마트폰 알림)</v>
      </c>
      <c r="F5807" s="1" t="str">
        <f>IFERROR(__xludf.DUMMYFUNCTION("CONCATENATE(GOOGLETRANSLATE(C5807, ""en"", ""ja""))"),"Fossil Gen 6 44mm タッチスクリーン スマートウォッチ、Alexa 内蔵、心拍数、血中酸素、活動追跡、GPS、スピーカー、スマートフォン通知")</f>
        <v>Fossil Gen 6 44mm タッチスクリーン スマートウォッチ、Alexa 内蔵、心拍数、血中酸素、活動追跡、GPS、スピーカー、スマートフォン通知</v>
      </c>
    </row>
    <row r="5808" ht="15.75" customHeight="1">
      <c r="A5808" s="1">
        <v>4163.0</v>
      </c>
      <c r="B5808" s="1" t="s">
        <v>15</v>
      </c>
      <c r="C5808" s="1" t="s">
        <v>4870</v>
      </c>
      <c r="D5808" s="1" t="str">
        <f>IFERROR(__xludf.DUMMYFUNCTION("CONCATENATE(GOOGLETRANSLATE(C5808, ""en"", ""zh-cn""))"),"施华洛世奇朗讯耳环珠宝系列，铑色饰面，蓝水晶，粉水晶")</f>
        <v>施华洛世奇朗讯耳环珠宝系列，铑色饰面，蓝水晶，粉水晶</v>
      </c>
      <c r="E5808" s="1" t="str">
        <f>IFERROR(__xludf.DUMMYFUNCTION("CONCATENATE(GOOGLETRANSLATE(C5808, ""en"", ""ko""))"),"스와로브스키 루센트 이어링 주얼리 컬렉션, 로듐 톤 마감, 블루 크리스탈, 핑크 크리스탈")</f>
        <v>스와로브스키 루센트 이어링 주얼리 컬렉션, 로듐 톤 마감, 블루 크리스탈, 핑크 크리스탈</v>
      </c>
      <c r="F5808" s="1" t="str">
        <f>IFERROR(__xludf.DUMMYFUNCTION("CONCATENATE(GOOGLETRANSLATE(C5808, ""en"", ""ja""))"),"スワロフスキー ルーセント イヤリング ジュエリー コレクション、ロジウムトーン仕上げ、ブルー クリスタル、ピンク クリスタル")</f>
        <v>スワロフスキー ルーセント イヤリング ジュエリー コレクション、ロジウムトーン仕上げ、ブルー クリスタル、ピンク クリスタル</v>
      </c>
    </row>
    <row r="5809" ht="15.75" customHeight="1">
      <c r="A5809" s="1">
        <v>4179.0</v>
      </c>
      <c r="B5809" s="1" t="s">
        <v>15</v>
      </c>
      <c r="C5809" s="1" t="s">
        <v>4871</v>
      </c>
      <c r="D5809" s="1" t="str">
        <f>IFERROR(__xludf.DUMMYFUNCTION("CONCATENATE(GOOGLETRANSLATE(C5809, ""en"", ""zh-cn""))"),"Timex 40 毫米 Marlin 自动皮革表带手表")</f>
        <v>Timex 40 毫米 Marlin 自动皮革表带手表</v>
      </c>
      <c r="E5809" s="1" t="str">
        <f>IFERROR(__xludf.DUMMYFUNCTION("CONCATENATE(GOOGLETRANSLATE(C5809, ""en"", ""ko""))"),"타이멕스 40mm 말린 오토매틱 가죽 스트랩 시계")</f>
        <v>타이멕스 40mm 말린 오토매틱 가죽 스트랩 시계</v>
      </c>
      <c r="F5809" s="1" t="str">
        <f>IFERROR(__xludf.DUMMYFUNCTION("CONCATENATE(GOOGLETRANSLATE(C5809, ""en"", ""ja""))"),"タイメックス 40 mm マーリン オートマチック レザーストラップ ウォッチ")</f>
        <v>タイメックス 40 mm マーリン オートマチック レザーストラップ ウォッチ</v>
      </c>
    </row>
    <row r="5810" ht="15.75" customHeight="1">
      <c r="A5810" s="1">
        <v>4191.0</v>
      </c>
      <c r="B5810" s="1" t="s">
        <v>15</v>
      </c>
      <c r="C5810" s="1" t="s">
        <v>4872</v>
      </c>
      <c r="D5810" s="1" t="str">
        <f>IFERROR(__xludf.DUMMYFUNCTION("CONCATENATE(GOOGLETRANSLATE(C5810, ""en"", ""zh-cn""))"),"TRIWA Nikki 女士简约手表 – 女士时尚模拟腕表 36 毫米")</f>
        <v>TRIWA Nikki 女士简约手表 – 女士时尚模拟腕表 36 毫米</v>
      </c>
      <c r="E5810" s="1" t="str">
        <f>IFERROR(__xludf.DUMMYFUNCTION("CONCATENATE(GOOGLETRANSLATE(C5810, ""en"", ""ko""))"),"TRIWA Nikki 여성용 미니멀리스트 시계 – 여성 패션 아날로그 손목 시계 36mm")</f>
        <v>TRIWA Nikki 여성용 미니멀리스트 시계 – 여성 패션 아날로그 손목 시계 36mm</v>
      </c>
      <c r="F5810" s="1" t="str">
        <f>IFERROR(__xludf.DUMMYFUNCTION("CONCATENATE(GOOGLETRANSLATE(C5810, ""en"", ""ja""))"),"TRIWA Nikki ミニマリストウォッチ 女性用 – レディースファッションアナログ腕時計 36mm")</f>
        <v>TRIWA Nikki ミニマリストウォッチ 女性用 – レディースファッションアナログ腕時計 36mm</v>
      </c>
    </row>
    <row r="5811" ht="15.75" customHeight="1">
      <c r="A5811" s="1">
        <v>4201.0</v>
      </c>
      <c r="B5811" s="1" t="s">
        <v>15</v>
      </c>
      <c r="C5811" s="1" t="s">
        <v>4873</v>
      </c>
      <c r="D5811" s="1" t="str">
        <f>IFERROR(__xludf.DUMMYFUNCTION("CONCATENATE(GOOGLETRANSLATE(C5811, ""en"", ""zh-cn""))"),"施华洛世奇 Ortyx 手链， 三角施华洛世奇氧化锆")</f>
        <v>施华洛世奇 Ortyx 手链， 三角施华洛世奇氧化锆</v>
      </c>
      <c r="E5811" s="1" t="str">
        <f>IFERROR(__xludf.DUMMYFUNCTION("CONCATENATE(GOOGLETRANSLATE(C5811, ""en"", ""ko""))"),"스와로브스키 오틱스 팔찌, 트라이앵글 스와로브스키 지르코니아")</f>
        <v>스와로브스키 오틱스 팔찌, 트라이앵글 스와로브스키 지르코니아</v>
      </c>
      <c r="F5811" s="1" t="str">
        <f>IFERROR(__xludf.DUMMYFUNCTION("CONCATENATE(GOOGLETRANSLATE(C5811, ""en"", ""ja""))"),"スワロフスキー オルティクス ブレスレット、トライアングル スワロフスキー ジルコニア")</f>
        <v>スワロフスキー オルティクス ブレスレット、トライアングル スワロフスキー ジルコニア</v>
      </c>
    </row>
    <row r="5812" ht="15.75" customHeight="1">
      <c r="A5812" s="1">
        <v>4211.0</v>
      </c>
      <c r="B5812" s="1" t="s">
        <v>15</v>
      </c>
      <c r="C5812" s="1" t="s">
        <v>4874</v>
      </c>
      <c r="D5812" s="1" t="str">
        <f>IFERROR(__xludf.DUMMYFUNCTION("CONCATENATE(GOOGLETRANSLATE(C5812, ""en"", ""zh-cn""))"),"SEIKO SRPD77 5 运动男士手表绿色 42.5 毫米不锈钢")</f>
        <v>SEIKO SRPD77 5 运动男士手表绿色 42.5 毫米不锈钢</v>
      </c>
      <c r="E5812" s="1" t="str">
        <f>IFERROR(__xludf.DUMMYFUNCTION("CONCATENATE(GOOGLETRANSLATE(C5812, ""en"", ""ko""))"),"SEIKO SRPD77 5 스포츠 남성용 시계 그린 42.5mm 스테인리스 스틸")</f>
        <v>SEIKO SRPD77 5 스포츠 남성용 시계 그린 42.5mm 스테인리스 스틸</v>
      </c>
      <c r="F5812" s="1" t="str">
        <f>IFERROR(__xludf.DUMMYFUNCTION("CONCATENATE(GOOGLETRANSLATE(C5812, ""en"", ""ja""))"),"セイコー SRPD77 5 スポーツ メンズ 腕時計 グリーン 42.5mm ステンレススチール")</f>
        <v>セイコー SRPD77 5 スポーツ メンズ 腕時計 グリーン 42.5mm ステンレススチール</v>
      </c>
    </row>
    <row r="5813" ht="15.75" customHeight="1">
      <c r="A5813" s="1">
        <v>4214.0</v>
      </c>
      <c r="B5813" s="1" t="s">
        <v>15</v>
      </c>
      <c r="C5813" s="1" t="s">
        <v>4875</v>
      </c>
      <c r="D5813" s="1" t="str">
        <f>IFERROR(__xludf.DUMMYFUNCTION("CONCATENATE(GOOGLETRANSLATE(C5813, ""en"", ""zh-cn""))"),"SRPD79 Seiko Sports 5 男士手表黑色 42.5 毫米不锈钢")</f>
        <v>SRPD79 Seiko Sports 5 男士手表黑色 42.5 毫米不锈钢</v>
      </c>
      <c r="E5813" s="1" t="str">
        <f>IFERROR(__xludf.DUMMYFUNCTION("CONCATENATE(GOOGLETRANSLATE(C5813, ""en"", ""ko""))"),"SRPD79 세이코 스포츠 5 남성용 시계 블랙 42.5mm 스테인레스 스틸")</f>
        <v>SRPD79 세이코 스포츠 5 남성용 시계 블랙 42.5mm 스테인레스 스틸</v>
      </c>
      <c r="F5813" s="1" t="str">
        <f>IFERROR(__xludf.DUMMYFUNCTION("CONCATENATE(GOOGLETRANSLATE(C5813, ""en"", ""ja""))"),"SRPD79 セイコー スポーツ 5 メンズ 腕時計 ブラック 42.5mm ステンレススチール")</f>
        <v>SRPD79 セイコー スポーツ 5 メンズ 腕時計 ブラック 42.5mm ステンレススチール</v>
      </c>
    </row>
    <row r="5814" ht="15.75" customHeight="1">
      <c r="A5814" s="1">
        <v>4222.0</v>
      </c>
      <c r="B5814" s="1" t="s">
        <v>15</v>
      </c>
      <c r="C5814" s="1" t="s">
        <v>4876</v>
      </c>
      <c r="D5814" s="1" t="str">
        <f>IFERROR(__xludf.DUMMYFUNCTION("CONCATENATE(GOOGLETRANSLATE(C5814, ""en"", ""zh-cn""))"),"Stauer 1930 Dashtronic 手表 – 男士自动手表 – 科茨沃尔德正品男士手表皮革表带带不锈钢表壳 – 自动机芯和 3 ATM 防水手表 – 男士腕表")</f>
        <v>Stauer 1930 Dashtronic 手表 – 男士自动手表 – 科茨沃尔德正品男士手表皮革表带带不锈钢表壳 – 自动机芯和 3 ATM 防水手表 – 男士腕表</v>
      </c>
      <c r="E5814" s="1" t="str">
        <f>IFERROR(__xludf.DUMMYFUNCTION("CONCATENATE(GOOGLETRANSLATE(C5814, ""en"", ""ko""))"),"Stauer 1930 Dashtronic 시계 – 남성용 자동 시계 – 스테인레스 스틸 케이스가 포함된 Cotswold 정품 남성용 시계 가죽 밴드 – 자동 무브먼트 및 3-ATM 방수 시계 – 남성용 손목 시계")</f>
        <v>Stauer 1930 Dashtronic 시계 – 남성용 자동 시계 – 스테인레스 스틸 케이스가 포함된 Cotswold 정품 남성용 시계 가죽 밴드 – 자동 무브먼트 및 3-ATM 방수 시계 – 남성용 손목 시계</v>
      </c>
      <c r="F5814" s="1" t="str">
        <f>IFERROR(__xludf.DUMMYFUNCTION("CONCATENATE(GOOGLETRANSLATE(C5814, ""en"", ""ja""))"),"Stauer 1930 ダッシュトロニック ウォッチ – 男性用自動巻き時計 – コッツウォルズ純正メンズ腕時計 レザーバンド、ステンレススチールケース付き – 自動巻きムーブメント &amp; 3 ATM 防水時計 – メンズ腕時計")</f>
        <v>Stauer 1930 ダッシュトロニック ウォッチ – 男性用自動巻き時計 – コッツウォルズ純正メンズ腕時計 レザーバンド、ステンレススチールケース付き – 自動巻きムーブメント &amp; 3 ATM 防水時計 – メンズ腕時計</v>
      </c>
    </row>
    <row r="5815" ht="15.75" customHeight="1">
      <c r="A5815" s="1">
        <v>4228.0</v>
      </c>
      <c r="B5815" s="1" t="s">
        <v>15</v>
      </c>
      <c r="C5815" s="1" t="s">
        <v>4877</v>
      </c>
      <c r="D5815" s="1" t="str">
        <f>IFERROR(__xludf.DUMMYFUNCTION("CONCATENATE(GOOGLETRANSLATE(C5815, ""en"", ""zh-cn""))"),"卡西欧 G-Shock 数字表盘不锈钢石英男士手表 GD120TS-1")</f>
        <v>卡西欧 G-Shock 数字表盘不锈钢石英男士手表 GD120TS-1</v>
      </c>
      <c r="E5815" s="1" t="str">
        <f>IFERROR(__xludf.DUMMYFUNCTION("CONCATENATE(GOOGLETRANSLATE(C5815, ""en"", ""ko""))"),"카시오 G-Shock 디지털 다이얼 스테인레스 스틸 쿼츠 남성용 시계 GD120TS-1")</f>
        <v>카시오 G-Shock 디지털 다이얼 스테인레스 스틸 쿼츠 남성용 시계 GD120TS-1</v>
      </c>
      <c r="F5815" s="1" t="str">
        <f>IFERROR(__xludf.DUMMYFUNCTION("CONCATENATE(GOOGLETRANSLATE(C5815, ""en"", ""ja""))"),"カシオ G ショック デジタル ダイヤル ステンレススチール クォーツ メンズ 腕時計 GD120TS-1")</f>
        <v>カシオ G ショック デジタル ダイヤル ステンレススチール クォーツ メンズ 腕時計 GD120TS-1</v>
      </c>
    </row>
    <row r="5816" ht="15.75" customHeight="1">
      <c r="A5816" s="1">
        <v>4230.0</v>
      </c>
      <c r="B5816" s="1" t="s">
        <v>15</v>
      </c>
      <c r="C5816" s="1" t="s">
        <v>4878</v>
      </c>
      <c r="D5816" s="1" t="str">
        <f>IFERROR(__xludf.DUMMYFUNCTION("CONCATENATE(GOOGLETRANSLATE(C5816, ""en"", ""zh-cn""))"),"施华洛世奇网球豪华水晶手链和项链珠宝系列")</f>
        <v>施华洛世奇网球豪华水晶手链和项链珠宝系列</v>
      </c>
      <c r="E5816" s="1" t="str">
        <f>IFERROR(__xludf.DUMMYFUNCTION("CONCATENATE(GOOGLETRANSLATE(C5816, ""en"", ""ko""))"),"SWAROVSKI 테니스 디럭스 크리스탈 팔찌 및 목걸이 주얼리 컬렉션")</f>
        <v>SWAROVSKI 테니스 디럭스 크리스탈 팔찌 및 목걸이 주얼리 컬렉션</v>
      </c>
      <c r="F5816" s="1" t="str">
        <f>IFERROR(__xludf.DUMMYFUNCTION("CONCATENATE(GOOGLETRANSLATE(C5816, ""en"", ""ja""))"),"スワロフスキー テニス デラックス クリスタル ブレスレットとネックレス ジュエリー コレクション")</f>
        <v>スワロフスキー テニス デラックス クリスタル ブレスレットとネックレス ジュエリー コレクション</v>
      </c>
    </row>
    <row r="5817" ht="15.75" customHeight="1">
      <c r="A5817" s="1">
        <v>4232.0</v>
      </c>
      <c r="B5817" s="1" t="s">
        <v>15</v>
      </c>
      <c r="C5817" s="1" t="s">
        <v>4879</v>
      </c>
      <c r="D5817" s="1" t="str">
        <f>IFERROR(__xludf.DUMMYFUNCTION("CONCATENATE(GOOGLETRANSLATE(C5817, ""en"", ""zh-cn""))"),"西铁城男士运动休闲 Garrison 3 指针星期/日期生态驱动尼龙表带手表，阿拉伯标记，100 米防水，夜光指针和标记")</f>
        <v>西铁城男士运动休闲 Garrison 3 指针星期/日期生态驱动尼龙表带手表，阿拉伯标记，100 米防水，夜光指针和标记</v>
      </c>
      <c r="E5817" s="1" t="str">
        <f>IFERROR(__xludf.DUMMYFUNCTION("CONCATENATE(GOOGLETRANSLATE(C5817, ""en"", ""ko""))"),"Citizen 남성 스포츠 캐주얼 개리슨 3핸드 요일/날짜 에코드라이브 나일론 스트랩 시계, ​​아랍어 마커, 100미터 방수, 야광 시계 바늘 및 마커")</f>
        <v>Citizen 남성 스포츠 캐주얼 개리슨 3핸드 요일/날짜 에코드라이브 나일론 스트랩 시계, ​​아랍어 마커, 100미터 방수, 야광 시계 바늘 및 마커</v>
      </c>
      <c r="F5817" s="1" t="str">
        <f>IFERROR(__xludf.DUMMYFUNCTION("CONCATENATE(GOOGLETRANSLATE(C5817, ""en"", ""ja""))"),"シチズン メンズ スポーツ カジュアル ギャリソン 3 針デイ/デイト エコドライブ ナイロン ストラップ ウォッチ、アラビア語マーカー、100 メートル防水、夜光針とマーカー")</f>
        <v>シチズン メンズ スポーツ カジュアル ギャリソン 3 針デイ/デイト エコドライブ ナイロン ストラップ ウォッチ、アラビア語マーカー、100 メートル防水、夜光針とマーカー</v>
      </c>
    </row>
    <row r="5818" ht="15.75" customHeight="1">
      <c r="A5818" s="1">
        <v>4239.0</v>
      </c>
      <c r="B5818" s="1" t="s">
        <v>15</v>
      </c>
      <c r="C5818" s="1" t="s">
        <v>4880</v>
      </c>
      <c r="D5818" s="1" t="str">
        <f>IFERROR(__xludf.DUMMYFUNCTION("CONCATENATE(GOOGLETRANSLATE(C5818, ""en"", ""zh-cn""))"),"Mondaine Helvetica MH1.B3120.LB 男女手表 34 毫米 - 腕表黑色皮表带 30 m 防水蓝宝石水晶不锈钢表壳")</f>
        <v>Mondaine Helvetica MH1.B3120.LB 男女手表 34 毫米 - 腕表黑色皮表带 30 m 防水蓝宝石水晶不锈钢表壳</v>
      </c>
      <c r="E5818" s="1" t="str">
        <f>IFERROR(__xludf.DUMMYFUNCTION("CONCATENATE(GOOGLETRANSLATE(C5818, ""en"", ""ko""))"),"Mondaine Helvetica MH1.B3120.LB 남성용 및 여성용 시계 34mm - 손목 시계 블랙 가죽 스트랩 30m 방수 사파이어 크리스탈 스테인레스 스틸 케이스")</f>
        <v>Mondaine Helvetica MH1.B3120.LB 남성용 및 여성용 시계 34mm - 손목 시계 블랙 가죽 스트랩 30m 방수 사파이어 크리스탈 스테인레스 스틸 케이스</v>
      </c>
      <c r="F5818" s="1" t="str">
        <f>IFERROR(__xludf.DUMMYFUNCTION("CONCATENATE(GOOGLETRANSLATE(C5818, ""en"", ""ja""))"),"Mondaine Helvetica MH1.B3120.LB メンズおよびレディース ウォッチ 34mm - 腕時計 ブラック レザー ストラップ 30m 防水サファイア クリスタル ステンレス スチール ケース")</f>
        <v>Mondaine Helvetica MH1.B3120.LB メンズおよびレディース ウォッチ 34mm - 腕時計 ブラック レザー ストラップ 30m 防水サファイア クリスタル ステンレス スチール ケース</v>
      </c>
    </row>
    <row r="5819" ht="15.75" customHeight="1">
      <c r="A5819" s="1">
        <v>4247.0</v>
      </c>
      <c r="B5819" s="1" t="s">
        <v>15</v>
      </c>
      <c r="C5819" s="1" t="s">
        <v>4881</v>
      </c>
      <c r="D5819" s="1" t="str">
        <f>IFERROR(__xludf.DUMMYFUNCTION("CONCATENATE(GOOGLETRANSLATE(C5819, ""en"", ""zh-cn""))"),"SEIKO 男士 SNK809 5 自动不锈钢手表带黑色帆布表带")</f>
        <v>SEIKO 男士 SNK809 5 自动不锈钢手表带黑色帆布表带</v>
      </c>
      <c r="E5819" s="1" t="str">
        <f>IFERROR(__xludf.DUMMYFUNCTION("CONCATENATE(GOOGLETRANSLATE(C5819, ""en"", ""ko""))"),"세이코 남성용 SNK809 5 자동 스테인리스 스틸 시계(블랙 캔버스 스트랩 포함)")</f>
        <v>세이코 남성용 SNK809 5 자동 스테인리스 스틸 시계(블랙 캔버스 스트랩 포함)</v>
      </c>
      <c r="F5819" s="1" t="str">
        <f>IFERROR(__xludf.DUMMYFUNCTION("CONCATENATE(GOOGLETRANSLATE(C5819, ""en"", ""ja""))"),"セイコー メンズ SNK809 5 自動巻きステンレススチールウォッチ ブラックキャンバスストラップ付き")</f>
        <v>セイコー メンズ SNK809 5 自動巻きステンレススチールウォッチ ブラックキャンバスストラップ付き</v>
      </c>
    </row>
    <row r="5820" ht="15.75" customHeight="1">
      <c r="A5820" s="1">
        <v>4250.0</v>
      </c>
      <c r="B5820" s="1" t="s">
        <v>15</v>
      </c>
      <c r="C5820" s="1" t="s">
        <v>4882</v>
      </c>
      <c r="D5820" s="1" t="str">
        <f>IFERROR(__xludf.DUMMYFUNCTION("CONCATENATE(GOOGLETRANSLATE(C5820, ""en"", ""zh-cn""))"),"Timex 男士 Marlin 自动手表带不锈钢表带，金色，20（型号：TW2T34600）")</f>
        <v>Timex 男士 Marlin 自动手表带不锈钢表带，金色，20（型号：TW2T34600）</v>
      </c>
      <c r="E5820" s="1" t="str">
        <f>IFERROR(__xludf.DUMMYFUNCTION("CONCATENATE(GOOGLETRANSLATE(C5820, ""en"", ""ko""))"),"타이멕스 남성용 말린 오토매틱 시계, 스테인리스 스틸 스트랩, 골드, 20(모델: TW2T34600)")</f>
        <v>타이멕스 남성용 말린 오토매틱 시계, 스테인리스 스틸 스트랩, 골드, 20(모델: TW2T34600)</v>
      </c>
      <c r="F5820" s="1" t="str">
        <f>IFERROR(__xludf.DUMMYFUNCTION("CONCATENATE(GOOGLETRANSLATE(C5820, ""en"", ""ja""))"),"タイメックス メンズ マーリン 自動巻き時計 ステンレススチール ストラップ付き ゴールド 20 (モデル: TW2T34600)")</f>
        <v>タイメックス メンズ マーリン 自動巻き時計 ステンレススチール ストラップ付き ゴールド 20 (モデル: TW2T34600)</v>
      </c>
    </row>
    <row r="5821" ht="15.75" customHeight="1">
      <c r="A5821" s="1">
        <v>4272.0</v>
      </c>
      <c r="B5821" s="1" t="s">
        <v>15</v>
      </c>
      <c r="C5821" s="1" t="s">
        <v>4883</v>
      </c>
      <c r="D5821" s="1" t="str">
        <f>IFERROR(__xludf.DUMMYFUNCTION("CONCATENATE(GOOGLETRANSLATE(C5821, ""en"", ""zh-cn""))"),"NIXON Siren SS A1211-100m 防水女士数字运动手表（36 毫米表盘，18 毫米-16 毫米硅胶表带）")</f>
        <v>NIXON Siren SS A1211-100m 防水女士数字运动手表（36 毫米表盘，18 毫米-16 毫米硅胶表带）</v>
      </c>
      <c r="E5821" s="1" t="str">
        <f>IFERROR(__xludf.DUMMYFUNCTION("CONCATENATE(GOOGLETRANSLATE(C5821, ""en"", ""ko""))"),"NIXON Siren SS A1211-100m 방수 여성용 디지털 스포츠 시계(36mm 시계 화면, 18mm-16mm 실리콘 밴드)")</f>
        <v>NIXON Siren SS A1211-100m 방수 여성용 디지털 스포츠 시계(36mm 시계 화면, 18mm-16mm 실리콘 밴드)</v>
      </c>
      <c r="F5821" s="1" t="str">
        <f>IFERROR(__xludf.DUMMYFUNCTION("CONCATENATE(GOOGLETRANSLATE(C5821, ""en"", ""ja""))"),"NIXON サイレン SS A1211-100m 防水 レディース デジタル スポーツウォッチ (文字盤 36mm、シリコンバンド 18mm-16mm)")</f>
        <v>NIXON サイレン SS A1211-100m 防水 レディース デジタル スポーツウォッチ (文字盤 36mm、シリコンバンド 18mm-16mm)</v>
      </c>
    </row>
    <row r="5822" ht="15.75" customHeight="1">
      <c r="A5822" s="1">
        <v>4273.0</v>
      </c>
      <c r="B5822" s="1" t="s">
        <v>15</v>
      </c>
      <c r="C5822" s="1" t="s">
        <v>4884</v>
      </c>
      <c r="D5822" s="1" t="str">
        <f>IFERROR(__xludf.DUMMYFUNCTION("CONCATENATE(GOOGLETRANSLATE(C5822, ""en"", ""zh-cn""))"),"Moto 360 第三代 2020 - Wear OS by Google - 触摸屏 - 豪华不锈钢智能手表 - 真皮和高强度运动表带 - 香槟金")</f>
        <v>Moto 360 第三代 2020 - Wear OS by Google - 触摸屏 - 豪华不锈钢智能手表 - 真皮和高强度运动表带 - 香槟金</v>
      </c>
      <c r="E5822" s="1" t="str">
        <f>IFERROR(__xludf.DUMMYFUNCTION("CONCATENATE(GOOGLETRANSLATE(C5822, ""en"", ""ko""))"),"Moto 360 3세대 2020 - Wear OS by Google - 터치 스크린 - 럭셔리 스테인리스 스틸 스마트워치 - 천연 가죽 및 고강도 스포츠 밴드 - 샴페인 골드")</f>
        <v>Moto 360 3세대 2020 - Wear OS by Google - 터치 스크린 - 럭셔리 스테인리스 스틸 스마트워치 - 천연 가죽 및 고강도 스포츠 밴드 - 샴페인 골드</v>
      </c>
      <c r="F5822" s="1" t="str">
        <f>IFERROR(__xludf.DUMMYFUNCTION("CONCATENATE(GOOGLETRANSLATE(C5822, ""en"", ""ja""))"),"Moto 360 第 3 世代 2020 - Wear OS by Google - タッチ スクリーン - 高級ステンレススチール スマートウォッチ - 本革とインパクトのあるスポーツバンド - シャンパンゴールド")</f>
        <v>Moto 360 第 3 世代 2020 - Wear OS by Google - タッチ スクリーン - 高級ステンレススチール スマートウォッチ - 本革とインパクトのあるスポーツバンド - シャンパンゴールド</v>
      </c>
    </row>
    <row r="5823" ht="15.75" customHeight="1">
      <c r="A5823" s="1">
        <v>4304.0</v>
      </c>
      <c r="B5823" s="1" t="s">
        <v>15</v>
      </c>
      <c r="C5823" s="1" t="s">
        <v>4885</v>
      </c>
      <c r="D5823" s="1" t="str">
        <f>IFERROR(__xludf.DUMMYFUNCTION("CONCATENATE(GOOGLETRANSLATE(C5823, ""en"", ""zh-cn""))"),"DW-5600MW-7D 卡西欧 G-Shock 男士数字灰色运动石英卡西欧")</f>
        <v>DW-5600MW-7D 卡西欧 G-Shock 男士数字灰色运动石英卡西欧</v>
      </c>
      <c r="E5823" s="1" t="str">
        <f>IFERROR(__xludf.DUMMYFUNCTION("CONCATENATE(GOOGLETRANSLATE(C5823, ""en"", ""ko""))"),"DW-5600MW-7D Casio G-Shock 남성용 디지털 그레이 스포츠 쿼츠 Casio")</f>
        <v>DW-5600MW-7D Casio G-Shock 남성용 디지털 그레이 스포츠 쿼츠 Casio</v>
      </c>
      <c r="F5823" s="1" t="str">
        <f>IFERROR(__xludf.DUMMYFUNCTION("CONCATENATE(GOOGLETRANSLATE(C5823, ""en"", ""ja""))"),"DW-5600MW-7D カシオ G ショック メンズ デジタル グレー スポーツ クォーツ カシオ")</f>
        <v>DW-5600MW-7D カシオ G ショック メンズ デジタル グレー スポーツ クォーツ カシオ</v>
      </c>
    </row>
    <row r="5824" ht="15.75" customHeight="1">
      <c r="A5824" s="1">
        <v>4328.0</v>
      </c>
      <c r="B5824" s="1" t="s">
        <v>15</v>
      </c>
      <c r="C5824" s="1" t="s">
        <v>4886</v>
      </c>
      <c r="D5824" s="1" t="str">
        <f>IFERROR(__xludf.DUMMYFUNCTION("CONCATENATE(GOOGLETRANSLATE(C5824, ""en"", ""zh-cn""))"),"精工男士 SNKN37 不锈钢自动上链手表带棕色皮革表带")</f>
        <v>精工男士 SNKN37 不锈钢自动上链手表带棕色皮革表带</v>
      </c>
      <c r="E5824" s="1" t="str">
        <f>IFERROR(__xludf.DUMMYFUNCTION("CONCATENATE(GOOGLETRANSLATE(C5824, ""en"", ""ko""))"),"세이코 남성용 SNKN37 스테인리스 스틸 자동 자동 태엽 시계, 브라운 가죽 밴드 포함")</f>
        <v>세이코 남성용 SNKN37 스테인리스 스틸 자동 자동 태엽 시계, 브라운 가죽 밴드 포함</v>
      </c>
      <c r="F5824" s="1" t="str">
        <f>IFERROR(__xludf.DUMMYFUNCTION("CONCATENATE(GOOGLETRANSLATE(C5824, ""en"", ""ja""))"),"セイコー メンズ SNKN37 ステンレススチール 自動巻き時計 ブラウンレザーバンド付き")</f>
        <v>セイコー メンズ SNKN37 ステンレススチール 自動巻き時計 ブラウンレザーバンド付き</v>
      </c>
    </row>
    <row r="5825" ht="15.75" customHeight="1">
      <c r="A5825" s="1">
        <v>4331.0</v>
      </c>
      <c r="B5825" s="1" t="s">
        <v>15</v>
      </c>
      <c r="C5825" s="1" t="s">
        <v>4887</v>
      </c>
      <c r="D5825" s="1" t="str">
        <f>IFERROR(__xludf.DUMMYFUNCTION("CONCATENATE(GOOGLETRANSLATE(C5825, ""en"", ""zh-cn""))"),"施华洛世奇 Chroma 珠宝系列，镀铑饰面，粉色水晶，透明水晶")</f>
        <v>施华洛世奇 Chroma 珠宝系列，镀铑饰面，粉色水晶，透明水晶</v>
      </c>
      <c r="E5825" s="1" t="str">
        <f>IFERROR(__xludf.DUMMYFUNCTION("CONCATENATE(GOOGLETRANSLATE(C5825, ""en"", ""ko""))"),"스와로브스키 크로마 주얼리 컬렉션, 로듐 마감, 핑크 크리스탈, 클리어 크리스탈")</f>
        <v>스와로브스키 크로마 주얼리 컬렉션, 로듐 마감, 핑크 크리스탈, 클리어 크리스탈</v>
      </c>
      <c r="F5825" s="1" t="str">
        <f>IFERROR(__xludf.DUMMYFUNCTION("CONCATENATE(GOOGLETRANSLATE(C5825, ""en"", ""ja""))"),"スワロフスキー クロマ ジュエリー コレクション、ロジウム仕上げ、ピンク クリスタル、クリア クリスタル")</f>
        <v>スワロフスキー クロマ ジュエリー コレクション、ロジウム仕上げ、ピンク クリスタル、クリア クリスタル</v>
      </c>
    </row>
    <row r="5826" ht="15.75" customHeight="1">
      <c r="A5826" s="1">
        <v>4341.0</v>
      </c>
      <c r="B5826" s="1" t="s">
        <v>15</v>
      </c>
      <c r="C5826" s="1" t="s">
        <v>4888</v>
      </c>
      <c r="D5826" s="1" t="str">
        <f>IFERROR(__xludf.DUMMYFUNCTION("CONCATENATE(GOOGLETRANSLATE(C5826, ""en"", ""zh-cn""))"),"MVMT Field 男士模拟手表")</f>
        <v>MVMT Field 男士模拟手表</v>
      </c>
      <c r="E5826" s="1" t="str">
        <f>IFERROR(__xludf.DUMMYFUNCTION("CONCATENATE(GOOGLETRANSLATE(C5826, ""en"", ""ko""))"),"MVMT 필드 남성용 아날로그 시계")</f>
        <v>MVMT 필드 남성용 아날로그 시계</v>
      </c>
      <c r="F5826" s="1" t="str">
        <f>IFERROR(__xludf.DUMMYFUNCTION("CONCATENATE(GOOGLETRANSLATE(C5826, ""en"", ""ja""))"),"MVMT フィールド メンズ アナログ時計")</f>
        <v>MVMT フィールド メンズ アナログ時計</v>
      </c>
    </row>
    <row r="5827" ht="15.75" customHeight="1">
      <c r="A5827" s="1">
        <v>4360.0</v>
      </c>
      <c r="B5827" s="1" t="s">
        <v>15</v>
      </c>
      <c r="C5827" s="1" t="s">
        <v>3088</v>
      </c>
      <c r="D5827" s="1" t="str">
        <f>IFERROR(__xludf.DUMMYFUNCTION("CONCATENATE(GOOGLETRANSLATE(C5827, ""en"", ""zh-cn""))"),"LINSY HOME 拉出式沙发床，二合一可转换沙发床，带记忆海绵床垫，客厅两座双人沙发床，深灰色，全尺寸")</f>
        <v>LINSY HOME 拉出式沙发床，二合一可转换沙发床，带记忆海绵床垫，客厅两座双人沙发床，深灰色，全尺寸</v>
      </c>
      <c r="E5827" s="1" t="str">
        <f>IFERROR(__xludf.DUMMYFUNCTION("CONCATENATE(GOOGLETRANSLATE(C5827, ""en"", ""ko""))"),"LINSY 홈 풀아웃 소파 베드, 메모리 폼 매트리스가 포함된 2-in-1 컨버터블 슬리퍼 소파, 거실용 2인용 러브시트 슬리퍼 소파 베드, 다크 그레이, 풀 사이즈")</f>
        <v>LINSY 홈 풀아웃 소파 베드, 메모리 폼 매트리스가 포함된 2-in-1 컨버터블 슬리퍼 소파, 거실용 2인용 러브시트 슬리퍼 소파 베드, 다크 그레이, 풀 사이즈</v>
      </c>
      <c r="F5827" s="1" t="str">
        <f>IFERROR(__xludf.DUMMYFUNCTION("CONCATENATE(GOOGLETRANSLATE(C5827, ""en"", ""ja""))"),"LINSY HOME 引き出し式ソファベッド、2-in-1 コンバーチブルスリーパーソファ、低反発マットレス付き、2人掛け二人掛けスリーパーソファベッド、リビングルーム用、ダークグレー、フルサイズ")</f>
        <v>LINSY HOME 引き出し式ソファベッド、2-in-1 コンバーチブルスリーパーソファ、低反発マットレス付き、2人掛け二人掛けスリーパーソファベッド、リビングルーム用、ダークグレー、フルサイズ</v>
      </c>
    </row>
    <row r="5828" ht="15.75" customHeight="1">
      <c r="A5828" s="1">
        <v>4363.0</v>
      </c>
      <c r="B5828" s="1" t="s">
        <v>15</v>
      </c>
      <c r="C5828" s="1" t="s">
        <v>2179</v>
      </c>
      <c r="D5828" s="1" t="str">
        <f>IFERROR(__xludf.DUMMYFUNCTION("CONCATENATE(GOOGLETRANSLATE(C5828, ""en"", ""zh-cn""))"),"Melpomene 可转换模块化组合沙发，现代简约 94.5 DIY L 形双面夏尔巴布艺沙发，适用于客厅、公寓、办公室（橙色）")</f>
        <v>Melpomene 可转换模块化组合沙发，现代简约 94.5 DIY L 形双面夏尔巴布艺沙发，适用于客厅、公寓、办公室（橙色）</v>
      </c>
      <c r="E5828" s="1" t="str">
        <f>IFERROR(__xludf.DUMMYFUNCTION("CONCATENATE(GOOGLETRANSLATE(C5828, ""en"", ""ko""))"),"Melpomene 컨버터블 모듈식 단면 소파, 현대적인 미니멀리스트 94.5 DIY L 모양의 가역 셰르파 패브릭 소파 소파, 거실, 아파트, 사무실(오렌지)")</f>
        <v>Melpomene 컨버터블 모듈식 단면 소파, 현대적인 미니멀리스트 94.5 DIY L 모양의 가역 셰르파 패브릭 소파 소파, 거실, 아파트, 사무실(오렌지)</v>
      </c>
      <c r="F5828" s="1" t="str">
        <f>IFERROR(__xludf.DUMMYFUNCTION("CONCATENATE(GOOGLETRANSLATE(C5828, ""en"", ""ja""))"),"Melpomene コンバーチブルモジュール式セクショナルソファ、モダンなミニマリスト 94.5 DIY L 字型リバーシブルシェルパ生地ソファソファ、リビングルーム、アパート、オフィス用 (オレンジ)")</f>
        <v>Melpomene コンバーチブルモジュール式セクショナルソファ、モダンなミニマリスト 94.5 DIY L 字型リバーシブルシェルパ生地ソファソファ、リビングルーム、アパート、オフィス用 (オレンジ)</v>
      </c>
    </row>
    <row r="5829" ht="15.75" customHeight="1">
      <c r="A5829" s="1">
        <v>4367.0</v>
      </c>
      <c r="B5829" s="1" t="s">
        <v>15</v>
      </c>
      <c r="C5829" s="1" t="s">
        <v>3534</v>
      </c>
      <c r="D5829" s="1" t="str">
        <f>IFERROR(__xludf.DUMMYFUNCTION("CONCATENATE(GOOGLETRANSLATE(C5829, ""en"", ""zh-cn""))"),"亚马逊品牌 – Stone &amp; Beam Blaine 现代软垫客厅特色椅子，32.3W，海军蓝")</f>
        <v>亚马逊品牌 – Stone &amp; Beam Blaine 现代软垫客厅特色椅子，32.3W，海军蓝</v>
      </c>
      <c r="E5829" s="1" t="str">
        <f>IFERROR(__xludf.DUMMYFUNCTION("CONCATENATE(GOOGLETRANSLATE(C5829, ""en"", ""ko""))"),"Amazon 브랜드 – Stone &amp; Beam Blaine 모던한 덮개를 씌운 거실용 악센트 의자, 32.3W, 네이비 블루")</f>
        <v>Amazon 브랜드 – Stone &amp; Beam Blaine 모던한 덮개를 씌운 거실용 악센트 의자, 32.3W, 네이비 블루</v>
      </c>
      <c r="F5829" s="1" t="str">
        <f>IFERROR(__xludf.DUMMYFUNCTION("CONCATENATE(GOOGLETRANSLATE(C5829, ""en"", ""ja""))"),"Amazon ブランド – Stone &amp; Beam Blaine モダン布張りリビングルームアクセントチェア、32.3W、ネイビーブルー")</f>
        <v>Amazon ブランド – Stone &amp; Beam Blaine モダン布張りリビングルームアクセントチェア、32.3W、ネイビーブルー</v>
      </c>
    </row>
    <row r="5830" ht="15.75" customHeight="1">
      <c r="A5830" s="1">
        <v>4388.0</v>
      </c>
      <c r="B5830" s="1" t="s">
        <v>15</v>
      </c>
      <c r="C5830" s="1" t="s">
        <v>3092</v>
      </c>
      <c r="D5830" s="1" t="str">
        <f>IFERROR(__xludf.DUMMYFUNCTION("CONCATENATE(GOOGLETRANSLATE(C5830, ""en"", ""zh-cn""))"),"DM 家具 360° 旋转吧凳 4 件套亚麻布 27 柜台高度吧凳带靠背/木腿软垫凳子适合家庭/厨房岛/早餐吧，灰色")</f>
        <v>DM 家具 360° 旋转吧凳 4 件套亚麻布 27 柜台高度吧凳带靠背/木腿软垫凳子适合家庭/厨房岛/早餐吧，灰色</v>
      </c>
      <c r="E5830" s="1" t="str">
        <f>IFERROR(__xludf.DUMMYFUNCTION("CONCATENATE(GOOGLETRANSLATE(C5830, ""en"", ""ko""))"),"DM 가구 360°회전 바 스툴 4개 세트 리넨 패브릭 27 카운터 높이 바스툴(등받이/나무 다리 포함) 가정용/주방 아일랜드/아침 식사용 바용 천을 씌운 스툴 의자, 그레이")</f>
        <v>DM 가구 360°회전 바 스툴 4개 세트 리넨 패브릭 27 카운터 높이 바스툴(등받이/나무 다리 포함) 가정용/주방 아일랜드/아침 식사용 바용 천을 씌운 스툴 의자, 그레이</v>
      </c>
      <c r="F5830" s="1" t="str">
        <f>IFERROR(__xludf.DUMMYFUNCTION("CONCATENATE(GOOGLETRANSLATE(C5830, ""en"", ""ja""))"),"DM Furniture 360​​°回転バースツール 4 個セット リネン生地 27 カウンター高さのバースツール 背もたれ/木製脚付き 布張りスツールチェア 家庭/キッチンアイランド/朝食バー用 グレー")</f>
        <v>DM Furniture 360​​°回転バースツール 4 個セット リネン生地 27 カウンター高さのバースツール 背もたれ/木製脚付き 布張りスツールチェア 家庭/キッチンアイランド/朝食バー用 グレー</v>
      </c>
    </row>
    <row r="5831" ht="15.75" customHeight="1">
      <c r="A5831" s="1">
        <v>4415.0</v>
      </c>
      <c r="B5831" s="1" t="s">
        <v>15</v>
      </c>
      <c r="C5831" s="1" t="s">
        <v>4376</v>
      </c>
      <c r="D5831" s="1" t="str">
        <f>IFERROR(__xludf.DUMMYFUNCTION("CONCATENATE(GOOGLETRANSLATE(C5831, ""en"", ""zh-cn""))"),"JOMEED 敞篷组合沙发，现代超大天鹅绒面料 L 形沙发床，带可调节靠背，适合客厅、公寓")</f>
        <v>JOMEED 敞篷组合沙发，现代超大天鹅绒面料 L 形沙发床，带可调节靠背，适合客厅、公寓</v>
      </c>
      <c r="E5831" s="1" t="str">
        <f>IFERROR(__xludf.DUMMYFUNCTION("CONCATENATE(GOOGLETRANSLATE(C5831, ""en"", ""ko""))"),"JOMEED 컨버터블 단면 소파 소파, 거실용 조절 가능한 등받이가 있는 현대적인 대형 벨벳 패브릭 L자형 소파 소파 베드, 아파트")</f>
        <v>JOMEED 컨버터블 단면 소파 소파, 거실용 조절 가능한 등받이가 있는 현대적인 대형 벨벳 패브릭 L자형 소파 소파 베드, 아파트</v>
      </c>
      <c r="F5831" s="1" t="str">
        <f>IFERROR(__xludf.DUMMYFUNCTION("CONCATENATE(GOOGLETRANSLATE(C5831, ""en"", ""ja""))"),"JOMEED コンバーチブルセクショナルソファカウチ、モダンな特大ベルベット生地 L 字型カウチソファベッド、調節可能な背もたれ付き、リビングルーム、アパート用")</f>
        <v>JOMEED コンバーチブルセクショナルソファカウチ、モダンな特大ベルベット生地 L 字型カウチソファベッド、調節可能な背もたれ付き、リビングルーム、アパート用</v>
      </c>
    </row>
    <row r="5832" ht="15.75" customHeight="1">
      <c r="A5832" s="1">
        <v>4417.0</v>
      </c>
      <c r="B5832" s="1" t="s">
        <v>15</v>
      </c>
      <c r="C5832" s="1" t="s">
        <v>3098</v>
      </c>
      <c r="D5832" s="1" t="str">
        <f>IFERROR(__xludf.DUMMYFUNCTION("CONCATENATE(GOOGLETRANSLATE(C5832, ""en"", ""zh-cn""))"),"JULYFOX 黄色天鹅绒布艺沙发，70 英寸宽中世纪现代客厅沙发 700 磅重型")</f>
        <v>JULYFOX 黄色天鹅绒布艺沙发，70 英寸宽中世纪现代客厅沙发 700 磅重型</v>
      </c>
      <c r="E5832" s="1" t="str">
        <f>IFERROR(__xludf.DUMMYFUNCTION("CONCATENATE(GOOGLETRANSLATE(C5832, ""en"", ""ko""))"),"JULYFOX 노란색 벨벳 패브릭 소파 소파, 70인치 폭 미드 센츄리 모던 거실 소파 700파운드 내구성")</f>
        <v>JULYFOX 노란색 벨벳 패브릭 소파 소파, 70인치 폭 미드 센츄리 모던 거실 소파 700파운드 내구성</v>
      </c>
      <c r="F5832" s="1" t="str">
        <f>IFERROR(__xludf.DUMMYFUNCTION("CONCATENATE(GOOGLETRANSLATE(C5832, ""en"", ""ja""))"),"JULYFOX イエローベルベット生地ソファカウチ、幅70インチミッドセンチュリーモダンリビングルームソファ700ポンド高耐久")</f>
        <v>JULYFOX イエローベルベット生地ソファカウチ、幅70インチミッドセンチュリーモダンリビングルームソファ700ポンド高耐久</v>
      </c>
    </row>
    <row r="5833" ht="15.75" customHeight="1">
      <c r="A5833" s="1">
        <v>4421.0</v>
      </c>
      <c r="B5833" s="1" t="s">
        <v>15</v>
      </c>
      <c r="C5833" s="1" t="s">
        <v>2644</v>
      </c>
      <c r="D5833" s="1" t="str">
        <f>IFERROR(__xludf.DUMMYFUNCTION("CONCATENATE(GOOGLETRANSLATE(C5833, ""en"", ""zh-cn""))"),"Naomi Home Jenny 簇绒组合沙发床带储物躺椅，拉出式沙发带储物，组合沙发床，L 形双面沙发床带储物，空气皮革，灰色")</f>
        <v>Naomi Home Jenny 簇绒组合沙发床带储物躺椅，拉出式沙发带储物，组合沙发床，L 形双面沙发床带储物，空气皮革，灰色</v>
      </c>
      <c r="E5833" s="1" t="str">
        <f>IFERROR(__xludf.DUMMYFUNCTION("CONCATENATE(GOOGLETRANSLATE(C5833, ""en"", ""ko""))"),"나오미 홈 제니 터프트 단면 소파 슬리퍼(수납 의자 포함), 풀아웃 소파(수납 가능), 단면 소파 베드, L자형 양면 슬리퍼 소파(수납 포함), 에어 가죽, 그레이")</f>
        <v>나오미 홈 제니 터프트 단면 소파 슬리퍼(수납 의자 포함), 풀아웃 소파(수납 가능), 단면 소파 베드, L자형 양면 슬리퍼 소파(수납 포함), 에어 가죽, 그레이</v>
      </c>
      <c r="F5833" s="1" t="str">
        <f>IFERROR(__xludf.DUMMYFUNCTION("CONCATENATE(GOOGLETRANSLATE(C5833, ""en"", ""ja""))"),"ナオミ ホーム ジェニー タフテッド セクショナル ソファ スリーパー 収納長椅子付き、引き出し式ソファ 収納付き、セクショナル ソファベッド、L 字型リバーシブル スリーパー ソファ 収納付き、エア レザー、グレー")</f>
        <v>ナオミ ホーム ジェニー タフテッド セクショナル ソファ スリーパー 収納長椅子付き、引き出し式ソファ 収納付き、セクショナル ソファベッド、L 字型リバーシブル スリーパー ソファ 収納付き、エア レザー、グレー</v>
      </c>
    </row>
    <row r="5834" ht="15.75" customHeight="1">
      <c r="A5834" s="1">
        <v>4425.0</v>
      </c>
      <c r="B5834" s="1" t="s">
        <v>15</v>
      </c>
      <c r="C5834" s="1" t="s">
        <v>1685</v>
      </c>
      <c r="D5834" s="1" t="str">
        <f>IFERROR(__xludf.DUMMYFUNCTION("CONCATENATE(GOOGLETRANSLATE(C5834, ""en"", ""zh-cn""))"),"Lilola Home 亚麻双面组合沙发带储物躺椅，深灰色")</f>
        <v>Lilola Home 亚麻双面组合沙发带储物躺椅，深灰色</v>
      </c>
      <c r="E5834" s="1" t="str">
        <f>IFERROR(__xludf.DUMMYFUNCTION("CONCATENATE(GOOGLETRANSLATE(C5834, ""en"", ""ko""))"),"Lilola 홈 리넨 양면 슬리퍼 단면 소파(수납 의자 포함), 다크 그레이")</f>
        <v>Lilola 홈 리넨 양면 슬리퍼 단면 소파(수납 의자 포함), 다크 그레이</v>
      </c>
      <c r="F5834" s="1" t="str">
        <f>IFERROR(__xludf.DUMMYFUNCTION("CONCATENATE(GOOGLETRANSLATE(C5834, ""en"", ""ja""))"),"リロラ ホーム リネン リバーシブル スリーパー セクショナル ソファ 収納長椅子付き ダークグレー")</f>
        <v>リロラ ホーム リネン リバーシブル スリーパー セクショナル ソファ 収納長椅子付き ダークグレー</v>
      </c>
    </row>
    <row r="5835" ht="15.75" customHeight="1">
      <c r="A5835" s="1">
        <v>4430.0</v>
      </c>
      <c r="B5835" s="1" t="s">
        <v>15</v>
      </c>
      <c r="C5835" s="1" t="s">
        <v>4768</v>
      </c>
      <c r="D5835" s="1" t="str">
        <f>IFERROR(__xludf.DUMMYFUNCTION("CONCATENATE(GOOGLETRANSLATE(C5835, ""en"", ""zh-cn""))"),"Belffin 组合式大组合沙发带储物座椅超大 U 形沙发带双面躺椅组合式沙发套装带奥斯曼天鹅绒蓝色")</f>
        <v>Belffin 组合式大组合沙发带储物座椅超大 U 形沙发带双面躺椅组合式沙发套装带奥斯曼天鹅绒蓝色</v>
      </c>
      <c r="E5835" s="1" t="str">
        <f>IFERROR(__xludf.DUMMYFUNCTION("CONCATENATE(GOOGLETRANSLATE(C5835, ""en"", ""ko""))"),"수납 시트가 있는 Belffin 모듈식 대형 단면 소파 양면 긴 의자가 있는 대형 U자형 소파 오토만 벨벳 블루가 포함된 모듈형 소파 세트")</f>
        <v>수납 시트가 있는 Belffin 모듈식 대형 단면 소파 양면 긴 의자가 있는 대형 U자형 소파 오토만 벨벳 블루가 포함된 모듈형 소파 세트</v>
      </c>
      <c r="F5835" s="1" t="str">
        <f>IFERROR(__xludf.DUMMYFUNCTION("CONCATENATE(GOOGLETRANSLATE(C5835, ""en"", ""ja""))"),"Belffin モジュラー大型セクショナルソファ 収納シート付き 特大U字型ソファ リバーシブル長椅子付き モジュラーソファセット オットマン付き ベルベットブルー")</f>
        <v>Belffin モジュラー大型セクショナルソファ 収納シート付き 特大U字型ソファ リバーシブル長椅子付き モジュラーソファセット オットマン付き ベルベットブルー</v>
      </c>
    </row>
    <row r="5836" ht="15.75" customHeight="1">
      <c r="A5836" s="1">
        <v>4433.0</v>
      </c>
      <c r="B5836" s="1" t="s">
        <v>15</v>
      </c>
      <c r="C5836" s="1" t="s">
        <v>2609</v>
      </c>
      <c r="D5836" s="1" t="str">
        <f>IFERROR(__xludf.DUMMYFUNCTION("CONCATENATE(GOOGLETRANSLATE(C5836, ""en"", ""zh-cn""))"),"Acme Furniture 皮卡第 1 号娱乐中心，古董珍珠")</f>
        <v>Acme Furniture 皮卡第 1 号娱乐中心，古董珍珠</v>
      </c>
      <c r="E5836" s="1" t="str">
        <f>IFERROR(__xludf.DUMMYFUNCTION("CONCATENATE(GOOGLETRANSLATE(C5836, ""en"", ""ko""))"),"Acme Furniture Picardy 1 엔터테인먼트 센터, 골동품 진주")</f>
        <v>Acme Furniture Picardy 1 엔터테인먼트 센터, 골동품 진주</v>
      </c>
      <c r="F5836" s="1" t="str">
        <f>IFERROR(__xludf.DUMMYFUNCTION("CONCATENATE(GOOGLETRANSLATE(C5836, ""en"", ""ja""))"),"Acme Furniture Picardy 1 エンターテイメント センター、アンティーク パール")</f>
        <v>Acme Furniture Picardy 1 エンターテイメント センター、アンティーク パール</v>
      </c>
    </row>
    <row r="5837" ht="15.75" customHeight="1">
      <c r="A5837" s="1">
        <v>4458.0</v>
      </c>
      <c r="B5837" s="1" t="s">
        <v>15</v>
      </c>
      <c r="C5837" s="1" t="s">
        <v>4889</v>
      </c>
      <c r="D5837" s="1" t="str">
        <f>IFERROR(__xludf.DUMMYFUNCTION("CONCATENATE(GOOGLETRANSLATE(C5837, ""en"", ""zh-cn""))"),"香奈儿 SUBLIMAGE LE TEINT 终极亮泽粉底霜 # 30 米色")</f>
        <v>香奈儿 SUBLIMAGE LE TEINT 终极亮泽粉底霜 # 30 米色</v>
      </c>
      <c r="E5837" s="1" t="str">
        <f>IFERROR(__xludf.DUMMYFUNCTION("CONCATENATE(GOOGLETRANSLATE(C5837, ""en"", ""ko""))"),"샤넬 수블리마지 르 땡 얼티밋 래디언스-제너레이팅 크림 파운데이션 # 30 베이지")</f>
        <v>샤넬 수블리마지 르 땡 얼티밋 래디언스-제너레이팅 크림 파운데이션 # 30 베이지</v>
      </c>
      <c r="F5837" s="1" t="str">
        <f>IFERROR(__xludf.DUMMYFUNCTION("CONCATENATE(GOOGLETRANSLATE(C5837, ""en"", ""ja""))"),"シャネル サブリマージュ ル タン アルティメット ラディアンス ジェネレイティング クリーム ファンデーション # 30 ベージュ")</f>
        <v>シャネル サブリマージュ ル タン アルティメット ラディアンス ジェネレイティング クリーム ファンデーション # 30 ベージュ</v>
      </c>
    </row>
    <row r="5838" ht="15.75" customHeight="1">
      <c r="A5838" s="1">
        <v>4462.0</v>
      </c>
      <c r="B5838" s="1" t="s">
        <v>15</v>
      </c>
      <c r="C5838" s="1" t="s">
        <v>4890</v>
      </c>
      <c r="D5838" s="1" t="str">
        <f>IFERROR(__xludf.DUMMYFUNCTION("CONCATENATE(GOOGLETRANSLATE(C5838, ""en"", ""zh-cn""))"),"Chanel Sublimage Le Teint 终极光彩粉底霜 - # 30 米色女士粉底 1 盎司")</f>
        <v>Chanel Sublimage Le Teint 终极光彩粉底霜 - # 30 米色女士粉底 1 盎司</v>
      </c>
      <c r="E5838" s="1" t="str">
        <f>IFERROR(__xludf.DUMMYFUNCTION("CONCATENATE(GOOGLETRANSLATE(C5838, ""en"", ""ko""))"),"샤넬 수블리마지 르 떼 얼티밋 래디언스-제너레이팅 크림 파운데이션 - # 30 베이지 여성 파운데이션 1온스")</f>
        <v>샤넬 수블리마지 르 떼 얼티밋 래디언스-제너레이팅 크림 파운데이션 - # 30 베이지 여성 파운데이션 1온스</v>
      </c>
      <c r="F5838" s="1" t="str">
        <f>IFERROR(__xludf.DUMMYFUNCTION("CONCATENATE(GOOGLETRANSLATE(C5838, ""en"", ""ja""))"),"シャネル サブリマージュ ル タン アルティメット ラディアンス ジェネレーティング クリーム ファンデーション - # 30 ベージュ ウィメンズ ファンデーション 1 オンス")</f>
        <v>シャネル サブリマージュ ル タン アルティメット ラディアンス ジェネレーティング クリーム ファンデーション - # 30 ベージュ ウィメンズ ファンデーション 1 オンス</v>
      </c>
    </row>
    <row r="5839" ht="15.75" customHeight="1">
      <c r="A5839" s="1">
        <v>4472.0</v>
      </c>
      <c r="B5839" s="1" t="s">
        <v>15</v>
      </c>
      <c r="C5839" s="1" t="s">
        <v>4891</v>
      </c>
      <c r="D5839" s="1" t="str">
        <f>IFERROR(__xludf.DUMMYFUNCTION("CONCATENATE(GOOGLETRANSLATE(C5839, ""en"", ""zh-cn""))"),"BIOEFFECT EGF 日间精华液，含透明质酸和天然大麦生长因子，面部无油抗皱精华液，促进保湿，紧致，细致毛孔，平滑肌肤纹理，适合所有肤质")</f>
        <v>BIOEFFECT EGF 日间精华液，含透明质酸和天然大麦生长因子，面部无油抗皱精华液，促进保湿，紧致，细致毛孔，平滑肌肤纹理，适合所有肤质</v>
      </c>
      <c r="E5839" s="1" t="str">
        <f>IFERROR(__xludf.DUMMYFUNCTION("CONCATENATE(GOOGLETRANSLATE(C5839, ""en"", ""ko""))"),"히알루론산과 천연 보리 성장 인자가 함유된 바이오이펙트 EGF 데이 세럼, 얼굴용 오일 프리 링클 세럼, 수분 공급 강화, 퍼밍, 모공 개선, 모든 피부 타입의 피부 결을 부드럽게 해줍니다.")</f>
        <v>히알루론산과 천연 보리 성장 인자가 함유된 바이오이펙트 EGF 데이 세럼, 얼굴용 오일 프리 링클 세럼, 수분 공급 강화, 퍼밍, 모공 개선, 모든 피부 타입의 피부 결을 부드럽게 해줍니다.</v>
      </c>
      <c r="F5839" s="1" t="str">
        <f>IFERROR(__xludf.DUMMYFUNCTION("CONCATENATE(GOOGLETRANSLATE(C5839, ""en"", ""ja""))"),"ヒアルロン酸と天然大麦成長因子を配合したBIOEFFECT EGFデイセラム、顔用オイルフリーのシワセラム、水分補給を高め、引き締め、毛穴を引き締め、あらゆる肌タイプの肌の質感を滑らかにします")</f>
        <v>ヒアルロン酸と天然大麦成長因子を配合したBIOEFFECT EGFデイセラム、顔用オイルフリーのシワセラム、水分補給を高め、引き締め、毛穴を引き締め、あらゆる肌タイプの肌の質感を滑らかにします</v>
      </c>
    </row>
    <row r="5840" ht="15.75" customHeight="1">
      <c r="A5840" s="1">
        <v>4474.0</v>
      </c>
      <c r="B5840" s="1" t="s">
        <v>15</v>
      </c>
      <c r="C5840" s="1" t="s">
        <v>4892</v>
      </c>
      <c r="D5840" s="1" t="str">
        <f>IFERROR(__xludf.DUMMYFUNCTION("CONCATENATE(GOOGLETRANSLATE(C5840, ""en"", ""zh-cn""))"),"Sisley Sisley Sisleya Le Teint 抗衰老粉底 - #3r，桃色，30 毫升/1 盎司，1 盎司")</f>
        <v>Sisley Sisley Sisleya Le Teint 抗衰老粉底 - #3r，桃色，30 毫升/1 盎司，1 盎司</v>
      </c>
      <c r="E5840" s="1" t="str">
        <f>IFERROR(__xludf.DUMMYFUNCTION("CONCATENATE(GOOGLETRANSLATE(C5840, ""en"", ""ko""))"),"시슬리 시슬리 시슬리야 르 떼 안티 에이징 파운데이션 - #3r, 복숭아, 30 Ml/1 온스, 1 온스")</f>
        <v>시슬리 시슬리 시슬리야 르 떼 안티 에이징 파운데이션 - #3r, 복숭아, 30 Ml/1 온스, 1 온스</v>
      </c>
      <c r="F5840" s="1" t="str">
        <f>IFERROR(__xludf.DUMMYFUNCTION("CONCATENATE(GOOGLETRANSLATE(C5840, ""en"", ""ja""))"),"シスレー シスレー シスレーヤ ル タ​​ン アンチ エイジング ファンデーション - #3r、ピーチ、30 ml/1 オンス、1 オンス")</f>
        <v>シスレー シスレー シスレーヤ ル タ​​ン アンチ エイジング ファンデーション - #3r、ピーチ、30 ml/1 オンス、1 オンス</v>
      </c>
    </row>
    <row r="5841" ht="15.75" customHeight="1">
      <c r="A5841" s="1">
        <v>4477.0</v>
      </c>
      <c r="B5841" s="1" t="s">
        <v>15</v>
      </c>
      <c r="C5841" s="1" t="s">
        <v>4893</v>
      </c>
      <c r="D5841" s="1" t="str">
        <f>IFERROR(__xludf.DUMMYFUNCTION("CONCATENATE(GOOGLETRANSLATE(C5841, ""en"", ""zh-cn""))"),"香奈儿 Hydra Beauty 微量精华液，男女皆宜，1.7 液量盎司")</f>
        <v>香奈儿 Hydra Beauty 微量精华液，男女皆宜，1.7 液量盎司</v>
      </c>
      <c r="E5841" s="1" t="str">
        <f>IFERROR(__xludf.DUMMYFUNCTION("CONCATENATE(GOOGLETRANSLATE(C5841, ""en"", ""ko""))"),"CHANEL 이드라 뷰티 마이크로 세럼 인텐스 리플레니싱 하이드레이션 남녀공용, 1.7 Fl Oz")</f>
        <v>CHANEL 이드라 뷰티 마이크로 세럼 인텐스 리플레니싱 하이드레이션 남녀공용, 1.7 Fl Oz</v>
      </c>
      <c r="F5841" s="1" t="str">
        <f>IFERROR(__xludf.DUMMYFUNCTION("CONCATENATE(GOOGLETRANSLATE(C5841, ""en"", ""ja""))"),"シャネル イドラ ビューティ マイクロ セラム インテンス リプレニシング 水分補給 ユニセックス用、1.7 液量オンス")</f>
        <v>シャネル イドラ ビューティ マイクロ セラム インテンス リプレニシング 水分補給 ユニセックス用、1.7 液量オンス</v>
      </c>
    </row>
    <row r="5842" ht="15.75" customHeight="1">
      <c r="A5842" s="1">
        <v>4511.0</v>
      </c>
      <c r="B5842" s="1" t="s">
        <v>15</v>
      </c>
      <c r="C5842" s="1" t="s">
        <v>4894</v>
      </c>
      <c r="D5842" s="1" t="str">
        <f>IFERROR(__xludf.DUMMYFUNCTION("CONCATENATE(GOOGLETRANSLATE(C5842, ""en"", ""zh-cn""))"),"香奈儿 Sublimage .17 盎司/5 毫升终极肌肤再生质感至尊")</f>
        <v>香奈儿 Sublimage .17 盎司/5 毫升终极肌肤再生质感至尊</v>
      </c>
      <c r="E5842" s="1" t="str">
        <f>IFERROR(__xludf.DUMMYFUNCTION("CONCATENATE(GOOGLETRANSLATE(C5842, ""en"", ""ko""))"),"샤넬 수블리마지 .17온스 / 5ml 얼티밋 스킨 리제너레이팅 텍스쳐 슈프림")</f>
        <v>샤넬 수블리마지 .17온스 / 5ml 얼티밋 스킨 리제너레이팅 텍스쳐 슈프림</v>
      </c>
      <c r="F5842" s="1" t="str">
        <f>IFERROR(__xludf.DUMMYFUNCTION("CONCATENATE(GOOGLETRANSLATE(C5842, ""en"", ""ja""))"),"シャネル サブリマージュ .17 オンス / 5 ml アルティメット スキン リジェネレイティング テクスチャー シュプリーム")</f>
        <v>シャネル サブリマージュ .17 オンス / 5 ml アルティメット スキン リジェネレイティング テクスチャー シュプリーム</v>
      </c>
    </row>
    <row r="5843" ht="15.75" customHeight="1">
      <c r="A5843" s="1">
        <v>4551.0</v>
      </c>
      <c r="B5843" s="1" t="s">
        <v>15</v>
      </c>
      <c r="C5843" s="1" t="s">
        <v>4895</v>
      </c>
      <c r="D5843" s="1" t="str">
        <f>IFERROR(__xludf.DUMMYFUNCTION("CONCATENATE(GOOGLETRANSLATE(C5843, ""en"", ""zh-cn""))"),"Hanacure® 多效合一面部护理 - 入门级")</f>
        <v>Hanacure® 多效合一面部护理 - 入门级</v>
      </c>
      <c r="E5843" s="1" t="str">
        <f>IFERROR(__xludf.DUMMYFUNCTION("CONCATENATE(GOOGLETRANSLATE(C5843, ""en"", ""ko""))"),"Hanacure® 올인원 페이셜 - 스타터")</f>
        <v>Hanacure® 올인원 페이셜 - 스타터</v>
      </c>
      <c r="F5843" s="1" t="str">
        <f>IFERROR(__xludf.DUMMYFUNCTION("CONCATENATE(GOOGLETRANSLATE(C5843, ""en"", ""ja""))"),"ハナキュア® オールインワン フェイシャル - スターター")</f>
        <v>ハナキュア® オールインワン フェイシャル - スターター</v>
      </c>
    </row>
    <row r="5844" ht="15.75" customHeight="1">
      <c r="A5844" s="1">
        <v>4556.0</v>
      </c>
      <c r="B5844" s="1" t="s">
        <v>15</v>
      </c>
      <c r="C5844" s="1" t="s">
        <v>4896</v>
      </c>
      <c r="D5844" s="1" t="str">
        <f>IFERROR(__xludf.DUMMYFUNCTION("CONCATENATE(GOOGLETRANSLATE(C5844, ""en"", ""zh-cn""))"),"SIMPEXPE玉石面膜，100%天然石玉石睡眠面膜，抗衰老玉石眼膜美容按摩工具针对浮肿的眼睛黑眼圈")</f>
        <v>SIMPEXPE玉石面膜，100%天然石玉石睡眠面膜，抗衰老玉石眼膜美容按摩工具针对浮肿的眼睛黑眼圈</v>
      </c>
      <c r="E5844" s="1" t="str">
        <f>IFERROR(__xludf.DUMMYFUNCTION("CONCATENATE(GOOGLETRANSLATE(C5844, ""en"", ""ko""))"),"SIMPEXPE 제이드 페이셜 마스크, 100% 천연석 제이드 수면 마스크, 안티 에이징 제이드 아이 마스크 푹신한 눈 다크 서클을 위한 뷰티 마사지 도구")</f>
        <v>SIMPEXPE 제이드 페이셜 마스크, 100% 천연석 제이드 수면 마스크, 안티 에이징 제이드 아이 마스크 푹신한 눈 다크 서클을 위한 뷰티 마사지 도구</v>
      </c>
      <c r="F5844" s="1" t="str">
        <f>IFERROR(__xludf.DUMMYFUNCTION("CONCATENATE(GOOGLETRANSLATE(C5844, ""en"", ""ja""))"),"SIMPEXPE 翡翠フェイシャルマスク、100% 天然石翡翠スリープマスク、アンチエイジング翡翠アイマスクふくらみ目のくま用美容マッサージツール")</f>
        <v>SIMPEXPE 翡翠フェイシャルマスク、100% 天然石翡翠スリープマスク、アンチエイジング翡翠アイマスクふくらみ目のくま用美容マッサージツール</v>
      </c>
    </row>
    <row r="5845" ht="15.75" customHeight="1">
      <c r="A5845" s="1">
        <v>4563.0</v>
      </c>
      <c r="B5845" s="1" t="s">
        <v>15</v>
      </c>
      <c r="C5845" s="1" t="s">
        <v>4897</v>
      </c>
      <c r="D5845" s="1" t="str">
        <f>IFERROR(__xludf.DUMMYFUNCTION("CONCATENATE(GOOGLETRANSLATE(C5845, ""en"", ""zh-cn""))"),"Mediheal 20 组合装面膜 - N.M.F、茶树、W.H.P、胶原蛋白、Vita Lightbeam - 最佳面膜组合超值多款装 - 保湿日常护肤面膜")</f>
        <v>Mediheal 20 组合装面膜 - N.M.F、茶树、W.H.P、胶原蛋白、Vita Lightbeam - 最佳面膜组合超值多款装 - 保湿日常护肤面膜</v>
      </c>
      <c r="E5845" s="1" t="str">
        <f>IFERROR(__xludf.DUMMYFUNCTION("CONCATENATE(GOOGLETRANSLATE(C5845, ""en"", ""ko""))"),"메디힐 20 콤보 팩 페이셜 시트 마스크 - N.M.F, 티트리, W.H.P, 콜라겐, 비타 라이트빔 - 베스트 마스크 시트 콤보 밸류 버라이어티 팩 - 수분 공급 데일리 스킨케어 시트 페이스 시트 마스크")</f>
        <v>메디힐 20 콤보 팩 페이셜 시트 마스크 - N.M.F, 티트리, W.H.P, 콜라겐, 비타 라이트빔 - 베스트 마스크 시트 콤보 밸류 버라이어티 팩 - 수분 공급 데일리 스킨케어 시트 페이스 시트 마스크</v>
      </c>
      <c r="F5845" s="1" t="str">
        <f>IFERROR(__xludf.DUMMYFUNCTION("CONCATENATE(GOOGLETRANSLATE(C5845, ""en"", ""ja""))"),"メディヒール 20 コンボパック フェイシャル シート マスク - N.M.F、ティー ツリー、W.H.P、コラーゲン、ビタ ライトビーム - ベスト マスク シート コンボ バリュー バラエティ パック - 保湿デイリー スキンケア シート フェイス シート マスク")</f>
        <v>メディヒール 20 コンボパック フェイシャル シート マスク - N.M.F、ティー ツリー、W.H.P、コラーゲン、ビタ ライトビーム - ベスト マスク シート コンボ バリュー バラエティ パック - 保湿デイリー スキンケア シート フェイス シート マスク</v>
      </c>
    </row>
    <row r="5846" ht="15.75" customHeight="1">
      <c r="A5846" s="1">
        <v>4568.0</v>
      </c>
      <c r="B5846" s="1" t="s">
        <v>15</v>
      </c>
      <c r="C5846" s="1" t="s">
        <v>4898</v>
      </c>
      <c r="D5846" s="1" t="str">
        <f>IFERROR(__xludf.DUMMYFUNCTION("CONCATENATE(GOOGLETRANSLATE(C5846, ""en"", ""zh-cn""))"),"MaryRuth's 维生素酶面膜（植物性） - 74% 有机成分、维生素和乙醇酸温和去除死皮细胞，让新皮肤组织出现 4 盎司男女适用")</f>
        <v>MaryRuth's 维生素酶面膜（植物性） - 74% 有机成分、维生素和乙醇酸温和去除死皮细胞，让新皮肤组织出现 4 盎司男女适用</v>
      </c>
      <c r="E5846" s="1" t="str">
        <f>IFERROR(__xludf.DUMMYFUNCTION("CONCATENATE(GOOGLETRANSLATE(C5846, ""en"", ""ko""))"),"MaryRuth's의 비타민 효소 마스크(식물 기반) - 74% 유기농 성분, 비타민 및 글리콜산이 죽은 피부 세포를 부드럽게 제거하여 새로운 피부 조직이 나타나도록 합니다 4oz For Men &amp; Women")</f>
        <v>MaryRuth's의 비타민 효소 마스크(식물 기반) - 74% 유기농 성분, 비타민 및 글리콜산이 죽은 피부 세포를 부드럽게 제거하여 새로운 피부 조직이 나타나도록 합니다 4oz For Men &amp; Women</v>
      </c>
      <c r="F5846" s="1" t="str">
        <f>IFERROR(__xludf.DUMMYFUNCTION("CONCATENATE(GOOGLETRANSLATE(C5846, ""en"", ""ja""))"),"MaryRuth’s のビタミン酵素マスク (植物ベース) - 74% オーガニック成分、ビタミンとグリコール酸が死んだ皮膚細胞を優しく取り除き、新しい皮膚組織を出現させます 4オンス 男性 &amp; 女性用")</f>
        <v>MaryRuth’s のビタミン酵素マスク (植物ベース) - 74% オーガニック成分、ビタミンとグリコール酸が死んだ皮膚細胞を優しく取り除き、新しい皮膚組織を出現させます 4オンス 男性 &amp; 女性用</v>
      </c>
    </row>
    <row r="5847" ht="15.75" customHeight="1">
      <c r="A5847" s="1">
        <v>4653.0</v>
      </c>
      <c r="B5847" s="1" t="s">
        <v>15</v>
      </c>
      <c r="C5847" s="1" t="s">
        <v>2792</v>
      </c>
      <c r="D5847" s="1" t="str">
        <f>IFERROR(__xludf.DUMMYFUNCTION("CONCATENATE(GOOGLETRANSLATE(C5847, ""en"", ""zh-cn""))"),"Sidi 男士 Ergo 5 Carbon Scape 骑行鞋")</f>
        <v>Sidi 男士 Ergo 5 Carbon Scape 骑行鞋</v>
      </c>
      <c r="E5847" s="1" t="str">
        <f>IFERROR(__xludf.DUMMYFUNCTION("CONCATENATE(GOOGLETRANSLATE(C5847, ""en"", ""ko""))"),"Sidi 남성용 Ergo 5 카본 스케이프 사이클링")</f>
        <v>Sidi 남성용 Ergo 5 카본 스케이프 사이클링</v>
      </c>
      <c r="F5847" s="1" t="str">
        <f>IFERROR(__xludf.DUMMYFUNCTION("CONCATENATE(GOOGLETRANSLATE(C5847, ""en"", ""ja""))"),"シディ メンズ エルゴ 5 カーボン スケープ サイクリング")</f>
        <v>シディ メンズ エルゴ 5 カーボン スケープ サイクリング</v>
      </c>
    </row>
    <row r="5848" ht="15.75" customHeight="1">
      <c r="A5848" s="1">
        <v>4669.0</v>
      </c>
      <c r="B5848" s="1" t="s">
        <v>15</v>
      </c>
      <c r="C5848" s="1" t="s">
        <v>2377</v>
      </c>
      <c r="D5848" s="1" t="str">
        <f>IFERROR(__xludf.DUMMYFUNCTION("CONCATENATE(GOOGLETRANSLATE(C5848, ""en"", ""zh-cn""))"),"Fizik - Infinito R3，男女通用铁人三项鞋 - 成人")</f>
        <v>Fizik - Infinito R3，男女通用铁人三项鞋 - 成人</v>
      </c>
      <c r="E5848" s="1" t="str">
        <f>IFERROR(__xludf.DUMMYFUNCTION("CONCATENATE(GOOGLETRANSLATE(C5848, ""en"", ""ko""))"),"Fizik - Infinito R3, 남녀공용 트라이애슬론 신발 - 성인용")</f>
        <v>Fizik - Infinito R3, 남녀공용 트라이애슬론 신발 - 성인용</v>
      </c>
      <c r="F5848" s="1" t="str">
        <f>IFERROR(__xludf.DUMMYFUNCTION("CONCATENATE(GOOGLETRANSLATE(C5848, ""en"", ""ja""))"),"Fizik - Infinito R3、ユニセックス トライアスロン シューズ - 大人用")</f>
        <v>Fizik - Infinito R3、ユニセックス トライアスロン シューズ - 大人用</v>
      </c>
    </row>
    <row r="5849" ht="15.75" customHeight="1">
      <c r="A5849" s="1">
        <v>4676.0</v>
      </c>
      <c r="B5849" s="1" t="s">
        <v>15</v>
      </c>
      <c r="C5849" s="1" t="s">
        <v>1844</v>
      </c>
      <c r="D5849" s="1" t="str">
        <f>IFERROR(__xludf.DUMMYFUNCTION("CONCATENATE(GOOGLETRANSLATE(C5849, ""en"", ""zh-cn""))"),"Giro Aries 球形成人公路自行车头盔")</f>
        <v>Giro Aries 球形成人公路自行车头盔</v>
      </c>
      <c r="E5849" s="1" t="str">
        <f>IFERROR(__xludf.DUMMYFUNCTION("CONCATENATE(GOOGLETRANSLATE(C5849, ""en"", ""ko""))"),"Giro Aries 구형 성인용 로드 자전거 헬멧")</f>
        <v>Giro Aries 구형 성인용 로드 자전거 헬멧</v>
      </c>
      <c r="F5849" s="1" t="str">
        <f>IFERROR(__xludf.DUMMYFUNCTION("CONCATENATE(GOOGLETRANSLATE(C5849, ""en"", ""ja""))"),"Giro Aries 球状大人用ロードバイク ヘルメット")</f>
        <v>Giro Aries 球状大人用ロードバイク ヘルメット</v>
      </c>
    </row>
    <row r="5850" ht="15.75" customHeight="1">
      <c r="A5850" s="1">
        <v>4682.0</v>
      </c>
      <c r="B5850" s="1" t="s">
        <v>15</v>
      </c>
      <c r="C5850" s="1" t="s">
        <v>4140</v>
      </c>
      <c r="D5850" s="1" t="str">
        <f>IFERROR(__xludf.DUMMYFUNCTION("CONCATENATE(GOOGLETRANSLATE(C5850, ""en"", ""zh-cn""))"),"Altor SAF 锁 - 防角磨机自行车 U 型锁")</f>
        <v>Altor SAF 锁 - 防角磨机自行车 U 型锁</v>
      </c>
      <c r="E5850" s="1" t="str">
        <f>IFERROR(__xludf.DUMMYFUNCTION("CONCATENATE(GOOGLETRANSLATE(C5850, ""en"", ""ko""))"),"Altor SAF 잠금 장치 - 앵글 그라인더 방지 자전거 U 잠금 장치")</f>
        <v>Altor SAF 잠금 장치 - 앵글 그라인더 방지 자전거 U 잠금 장치</v>
      </c>
      <c r="F5850" s="1" t="str">
        <f>IFERROR(__xludf.DUMMYFUNCTION("CONCATENATE(GOOGLETRANSLATE(C5850, ""en"", ""ja""))"),"Altor SAF ロック - アングル グラインダー プルーフ自転車 U ロック")</f>
        <v>Altor SAF ロック - アングル グラインダー プルーフ自転車 U ロック</v>
      </c>
    </row>
    <row r="5851" ht="15.75" customHeight="1">
      <c r="A5851" s="1">
        <v>4706.0</v>
      </c>
      <c r="B5851" s="1" t="s">
        <v>15</v>
      </c>
      <c r="C5851" s="1" t="s">
        <v>1853</v>
      </c>
      <c r="D5851" s="1" t="str">
        <f>IFERROR(__xludf.DUMMYFUNCTION("CONCATENATE(GOOGLETRANSLATE(C5851, ""en"", ""zh-cn""))"),"带金属腿和盖子的拼图桌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5851" s="1" t="str">
        <f>IFERROR(__xludf.DUMMYFUNCTION("CONCATENATE(GOOGLETRANSLATE(C5851, ""en"", ""ko""))"),"금속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5851" s="1" t="str">
        <f>IFERROR(__xludf.DUMMYFUNCTION("CONCATENATE(GOOGLETRANSLATE(C5851, ""en"", ""ja""))"),"金属製の脚とカバー付きパズルテーブル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5852" ht="15.75" customHeight="1">
      <c r="A5852" s="1">
        <v>4713.0</v>
      </c>
      <c r="B5852" s="1" t="s">
        <v>15</v>
      </c>
      <c r="C5852" s="1" t="s">
        <v>1839</v>
      </c>
      <c r="D5852" s="1" t="str">
        <f>IFERROR(__xludf.DUMMYFUNCTION("CONCATENATE(GOOGLETRANSLATE(C5852, ""en"", ""zh-cn""))"),"GAN 13 磁悬浮 UV 涂层，磁性速度魔方 3x3 无贴纸 56 毫米磁铁魔方拼图玩具，GAN 2022 旗舰")</f>
        <v>GAN 13 磁悬浮 UV 涂层，磁性速度魔方 3x3 无贴纸 56 毫米磁铁魔方拼图玩具，GAN 2022 旗舰</v>
      </c>
      <c r="E5852" s="1" t="str">
        <f>IFERROR(__xludf.DUMMYFUNCTION("CONCATENATE(GOOGLETRANSLATE(C5852, ""en"", ""ko""))"),"GAN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5852" s="1" t="str">
        <f>IFERROR(__xludf.DUMMYFUNCTION("CONCATENATE(GOOGLETRANSLATE(C5852, ""en"", ""ja""))"),"GAN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5853" ht="15.75" customHeight="1">
      <c r="A5853" s="1">
        <v>4723.0</v>
      </c>
      <c r="B5853" s="1" t="s">
        <v>15</v>
      </c>
      <c r="C5853" s="1" t="s">
        <v>1648</v>
      </c>
      <c r="D5853" s="1" t="str">
        <f>IFERROR(__xludf.DUMMYFUNCTION("CONCATENATE(GOOGLETRANSLATE(C5853, ""en"", ""zh-cn""))"),"CuberShop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5853" s="1" t="str">
        <f>IFERROR(__xludf.DUMMYFUNCTION("CONCATENATE(GOOGLETRANSLATE(C5853, ""en"", ""ko""))"),"CuberShop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5853" s="1" t="str">
        <f>IFERROR(__xludf.DUMMYFUNCTION("CONCATENATE(GOOGLETRANSLATE(C5853, ""en"", ""ja""))"),"CuberShop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5854" ht="15.75" customHeight="1">
      <c r="A5854" s="1">
        <v>4724.0</v>
      </c>
      <c r="B5854" s="1" t="s">
        <v>15</v>
      </c>
      <c r="C5854" s="1" t="s">
        <v>1845</v>
      </c>
      <c r="D5854" s="1" t="str">
        <f>IFERROR(__xludf.DUMMYFUNCTION("CONCATENATE(GOOGLETRANSLATE(C5854, ""en"", ""zh-cn""))"),"LiangCuber GAN 13磁悬浮旗舰磁力3x3无贴纸GAN13 M速度魔方（磨砂版）")</f>
        <v>LiangCuber GAN 13磁悬浮旗舰磁力3x3无贴纸GAN13 M速度魔方（磨砂版）</v>
      </c>
      <c r="E5854" s="1" t="str">
        <f>IFERROR(__xludf.DUMMYFUNCTION("CONCATENATE(GOOGLETRANSLATE(C5854, ""en"", ""ko""))"),"LiangCuber GAN 13 자기 부상 플래그십 마그네틱 3x3 스티커 없는 GAN13 M 스피드 큐브(반투명 버전)")</f>
        <v>LiangCuber GAN 13 자기 부상 플래그십 마그네틱 3x3 스티커 없는 GAN13 M 스피드 큐브(반투명 버전)</v>
      </c>
      <c r="F5854" s="1" t="str">
        <f>IFERROR(__xludf.DUMMYFUNCTION("CONCATENATE(GOOGLETRANSLATE(C5854, ""en"", ""ja""))"),"LiangCuber GAN 13 マグレブ旗艦 磁気 3x3 ステッカーレス GAN13 M スピード キューブ (つや消しバージョン)")</f>
        <v>LiangCuber GAN 13 マグレブ旗艦 磁気 3x3 ステッカーレス GAN13 M スピード キューブ (つや消しバージョン)</v>
      </c>
    </row>
    <row r="5855" ht="15.75" customHeight="1">
      <c r="A5855" s="1">
        <v>4732.0</v>
      </c>
      <c r="B5855" s="1" t="s">
        <v>15</v>
      </c>
      <c r="C5855" s="1" t="s">
        <v>1843</v>
      </c>
      <c r="D5855" s="1" t="str">
        <f>IFERROR(__xludf.DUMMYFUNCTION("CONCATENATE(GOOGLETRANSLATE(C5855, ""en"", ""zh-cn""))"),"BroMocube 的 GAN 11M Pro 3x3 速度魔方 GAN 11 磁性拼图魔方 Gan11M 魔方（GAN 11 M Pro 磨砂无贴纸（黑色））")</f>
        <v>BroMocube 的 GAN 11M Pro 3x3 速度魔方 GAN 11 磁性拼图魔方 Gan11M 魔方（GAN 11 M Pro 磨砂无贴纸（黑色））</v>
      </c>
      <c r="E5855" s="1" t="str">
        <f>IFERROR(__xludf.DUMMYFUNCTION("CONCATENATE(GOOGLETRANSLATE(C5855, ""en"", ""ko""))"),"GAN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5855" s="1" t="str">
        <f>IFERROR(__xludf.DUMMYFUNCTION("CONCATENATE(GOOGLETRANSLATE(C5855, ""en"", ""ja""))"),"GAN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5856" ht="15.75" customHeight="1">
      <c r="A5856" s="1">
        <v>4733.0</v>
      </c>
      <c r="B5856" s="1" t="s">
        <v>15</v>
      </c>
      <c r="C5856" s="1" t="s">
        <v>2327</v>
      </c>
      <c r="D5856" s="1" t="str">
        <f>IFERROR(__xludf.DUMMYFUNCTION("CONCATENATE(GOOGLETRANSLATE(C5856, ""en"", ""zh-cn""))"),"GAN 356 i 3 无贴纸速度魔方，3x3 智能魔方 356 i3 甘斯磁力魔方智能跟踪计时运动步骤与 CubeStation 应用程序甘魔方拼图玩具（不含 GAN 机器人）")</f>
        <v>GAN 356 i 3 无贴纸速度魔方，3x3 智能魔方 356 i3 甘斯磁力魔方智能跟踪计时运动步骤与 CubeStation 应用程序甘魔方拼图玩具（不含 GAN 机器人）</v>
      </c>
      <c r="E5856" s="1" t="str">
        <f>IFERROR(__xludf.DUMMYFUNCTION("CONCATENATE(GOOGLETRANSLATE(C5856, ""en"", ""ko""))"),"GAN 356 i 3 스티커 없는 스피드 큐브, 3x3 스마트 큐브 356 i3 Gans 마그네틱 큐브 CubeStation 앱을 사용한 지능형 추적 타이밍 동작 단계 Gan 큐브 퍼즐 장난감(GAN 로봇은 포함되지 않음)")</f>
        <v>GAN 356 i 3 스티커 없는 스피드 큐브, 3x3 스마트 큐브 356 i3 Gans 마그네틱 큐브 CubeStation 앱을 사용한 지능형 추적 타이밍 동작 단계 Gan 큐브 퍼즐 장난감(GAN 로봇은 포함되지 않음)</v>
      </c>
      <c r="F5856" s="1" t="str">
        <f>IFERROR(__xludf.DUMMYFUNCTION("CONCATENATE(GOOGLETRANSLATE(C5856, ""en"", ""ja""))"),"GAN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f>
        <v>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v>
      </c>
    </row>
    <row r="5857" ht="15.75" customHeight="1">
      <c r="A5857" s="1">
        <v>4756.0</v>
      </c>
      <c r="B5857" s="1" t="s">
        <v>381</v>
      </c>
      <c r="C5857" s="1" t="s">
        <v>699</v>
      </c>
      <c r="D5857" s="1" t="str">
        <f>IFERROR(__xludf.DUMMYFUNCTION("CONCATENATE(GOOGLETRANSLATE(C5857, ""en"", ""zh-cn""))"),"男式色块拼布翻盖口袋正面纽扣夹克")</f>
        <v>男式色块拼布翻盖口袋正面纽扣夹克</v>
      </c>
      <c r="E5857" s="1" t="str">
        <f>IFERROR(__xludf.DUMMYFUNCTION("CONCATENATE(GOOGLETRANSLATE(C5857, ""en"", ""ko""))"),"남성용 컬러 블록 패치워크 플랩 포켓 버튼 프론트 재킷")</f>
        <v>남성용 컬러 블록 패치워크 플랩 포켓 버튼 프론트 재킷</v>
      </c>
      <c r="F5857" s="1" t="str">
        <f>IFERROR(__xludf.DUMMYFUNCTION("CONCATENATE(GOOGLETRANSLATE(C5857, ""en"", ""ja""))"),"メンズ カラーブロック パッチワーク フラップ ポケット ボタン フロント ジャケット")</f>
        <v>メンズ カラーブロック パッチワーク フラップ ポケット ボタン フロント ジャケット</v>
      </c>
    </row>
    <row r="5858" ht="15.75" customHeight="1">
      <c r="A5858" s="1">
        <v>4761.0</v>
      </c>
      <c r="B5858" s="1" t="s">
        <v>381</v>
      </c>
      <c r="C5858" s="1" t="s">
        <v>700</v>
      </c>
      <c r="D5858" s="1" t="str">
        <f>IFERROR(__xludf.DUMMYFUNCTION("CONCATENATE(GOOGLETRANSLATE(C5858, ""en"", ""zh-cn""))"),"男式民族几何印花拼接纽扣前连帽夹克")</f>
        <v>男式民族几何印花拼接纽扣前连帽夹克</v>
      </c>
      <c r="E5858" s="1" t="str">
        <f>IFERROR(__xludf.DUMMYFUNCTION("CONCATENATE(GOOGLETRANSLATE(C5858, ""en"", ""ko""))"),"남성용 에스닉 기하학 프린트 패치워크 버튼 프론트 후드 재킷")</f>
        <v>남성용 에스닉 기하학 프린트 패치워크 버튼 프론트 후드 재킷</v>
      </c>
      <c r="F5858" s="1" t="str">
        <f>IFERROR(__xludf.DUMMYFUNCTION("CONCATENATE(GOOGLETRANSLATE(C5858, ""en"", ""ja""))"),"メンズエスニック幾何学プリントパッチワークボタンフロントフード付きジャケット")</f>
        <v>メンズエスニック幾何学プリントパッチワークボタンフロントフード付きジャケット</v>
      </c>
    </row>
    <row r="5859" ht="15.75" customHeight="1">
      <c r="A5859" s="1">
        <v>4765.0</v>
      </c>
      <c r="B5859" s="1" t="s">
        <v>15</v>
      </c>
      <c r="C5859" s="1" t="s">
        <v>4421</v>
      </c>
      <c r="D5859" s="1" t="str">
        <f>IFERROR(__xludf.DUMMYFUNCTION("CONCATENATE(GOOGLETRANSLATE(C5859, ""en"", ""zh-cn""))"),"Apple iPhone 14 Pro，128GB，深紫色 - 无锁版（续订）")</f>
        <v>Apple iPhone 14 Pro，128GB，深紫色 - 无锁版（续订）</v>
      </c>
      <c r="E5859" s="1" t="str">
        <f>IFERROR(__xludf.DUMMYFUNCTION("CONCATENATE(GOOGLETRANSLATE(C5859, ""en"", ""ko""))"),"Apple iPhone 14 Pro, 128GB, 딥 퍼플 - 공기계(리뉴얼)")</f>
        <v>Apple iPhone 14 Pro, 128GB, 딥 퍼플 - 공기계(리뉴얼)</v>
      </c>
      <c r="F5859" s="1" t="str">
        <f>IFERROR(__xludf.DUMMYFUNCTION("CONCATENATE(GOOGLETRANSLATE(C5859, ""en"", ""ja""))"),"Apple iPhone 14 Pro、128GB、ディープパープル - ロック解除済み (更新済み)")</f>
        <v>Apple iPhone 14 Pro、128GB、ディープパープル - ロック解除済み (更新済み)</v>
      </c>
    </row>
    <row r="5860" ht="15.75" customHeight="1">
      <c r="A5860" s="1">
        <v>4770.0</v>
      </c>
      <c r="B5860" s="1" t="s">
        <v>15</v>
      </c>
      <c r="C5860" s="1" t="s">
        <v>2764</v>
      </c>
      <c r="D5860" s="1" t="str">
        <f>IFERROR(__xludf.DUMMYFUNCTION("CONCATENATE(GOOGLETRANSLATE(C5860, ""en"", ""zh-cn""))"),"香奈儿 Sublimage 基础精华 40 毫升")</f>
        <v>香奈儿 Sublimage 基础精华 40 毫升</v>
      </c>
      <c r="E5860" s="1" t="str">
        <f>IFERROR(__xludf.DUMMYFUNCTION("CONCATENATE(GOOGLETRANSLATE(C5860, ""en"", ""ko""))"),"샤넬 수블리마지 레상스 퐁다멘탈 40ml")</f>
        <v>샤넬 수블리마지 레상스 퐁다멘탈 40ml</v>
      </c>
      <c r="F5860" s="1" t="str">
        <f>IFERROR(__xludf.DUMMYFUNCTION("CONCATENATE(GOOGLETRANSLATE(C5860, ""en"", ""ja""))"),"シャネル サブリマージュ レサンス フォンダメンターレ 40ml")</f>
        <v>シャネル サブリマージュ レサンス フォンダメンターレ 40ml</v>
      </c>
    </row>
    <row r="5861" ht="15.75" customHeight="1">
      <c r="A5861" s="1">
        <v>4800.0</v>
      </c>
      <c r="B5861" s="1" t="s">
        <v>15</v>
      </c>
      <c r="C5861" s="1" t="s">
        <v>4899</v>
      </c>
      <c r="D5861" s="1" t="str">
        <f>IFERROR(__xludf.DUMMYFUNCTION("CONCATENATE(GOOGLETRANSLATE(C5861, ""en"", ""zh-cn""))"),"HP 17 笔记本电脑，17.3 英寸全高清，第 13 代英特尔 10 核 i5-1335U CPU (Beat i7-1270P)，64GB DDR4 RAM，4TB PCIe SSD，英特尔 Iris Xe 显卡，WiFi 6，BT 5.3，背光键盘，Windows 11 Pro，Tichang")</f>
        <v>HP 17 笔记本电脑，17.3 英寸全高清，第 13 代英特尔 10 核 i5-1335U CPU (Beat i7-1270P)，64GB DDR4 RAM，4TB PCIe SSD，英特尔 Iris Xe 显卡，WiFi 6，BT 5.3，背光键盘，Windows 11 Pro，Tichang</v>
      </c>
      <c r="E5861" s="1" t="str">
        <f>IFERROR(__xludf.DUMMYFUNCTION("CONCATENATE(GOOGLETRANSLATE(C5861, ""en"", ""ko""))"),"HP 17 노트북 컴퓨터, 17.3인치 FHD, 13세대 Intel 10코어 i5-1335U CPU(Beat i7-1270P), 64GB DDR4 RAM, 4TB PCIe SSD, Intel Iris Xe 그래픽, WiFi 6, BT 5.3, 백라이트 키보드, Windows 11 Pro, Tichang")</f>
        <v>HP 17 노트북 컴퓨터, 17.3인치 FHD, 13세대 Intel 10코어 i5-1335U CPU(Beat i7-1270P), 64GB DDR4 RAM, 4TB PCIe SSD, Intel Iris Xe 그래픽, WiFi 6, BT 5.3, 백라이트 키보드, Windows 11 Pro, Tichang</v>
      </c>
      <c r="F5861" s="1" t="str">
        <f>IFERROR(__xludf.DUMMYFUNCTION("CONCATENATE(GOOGLETRANSLATE(C5861, ""en"", ""ja""))"),"HP 17 ラップトップ コンピューター、17.3 インチ FHD、第 13 世代インテル 10 コア i5-1335U CPU (Beat i7-1270P)、64GB DDR4 RAM、4TB PCIe SSD、インテル Iris Xe グラフィックス、WiFi 6、BT 5.3、バックライト付きキーボード、Windows 11 Pro、Tichang")</f>
        <v>HP 17 ラップトップ コンピューター、17.3 インチ FHD、第 13 世代インテル 10 コア i5-1335U CPU (Beat i7-1270P)、64GB DDR4 RAM、4TB PCIe SSD、インテル Iris Xe グラフィックス、WiFi 6、BT 5.3、バックライト付きキーボード、Windows 11 Pro、Tichang</v>
      </c>
    </row>
    <row r="5862" ht="15.75" customHeight="1">
      <c r="A5862" s="1">
        <v>4816.0</v>
      </c>
      <c r="B5862" s="1" t="s">
        <v>15</v>
      </c>
      <c r="C5862" s="1" t="s">
        <v>4900</v>
      </c>
      <c r="D5862" s="1" t="str">
        <f>IFERROR(__xludf.DUMMYFUNCTION("CONCATENATE(GOOGLETRANSLATE(C5862, ""en"", ""zh-cn""))"),"Apple 2023 款 MacBook Pro 笔记本电脑 M3 芯片，配备 8 核 CPU、10 核 GPU：14.2 英寸 Liquid Retina XDR 显示屏、8GB 统一内存、512GB SSD 存储。适用于 iPhone/iPad；深空灰色")</f>
        <v>Apple 2023 款 MacBook Pro 笔记本电脑 M3 芯片，配备 8 核 CPU、10 核 GPU：14.2 英寸 Liquid Retina XDR 显示屏、8GB 统一内存、512GB SSD 存储。适用于 iPhone/iPad；深空灰色</v>
      </c>
      <c r="E5862" s="1" t="str">
        <f>IFERROR(__xludf.DUMMYFUNCTION("CONCATENATE(GOOGLETRANSLATE(C5862, ""en"", ""ko""))"),"8코어 CPU, 10코어 GPU를 탑재한 Apple 2023 MacBook Pro 노트북 M3 칩: 14.2인치 Liquid Retina XDR 디스플레이, 8GB 통합 메모리, 512GB SSD 스토리지. iPhone/iPad에서 작동합니다. 스페이스 그레이")</f>
        <v>8코어 CPU, 10코어 GPU를 탑재한 Apple 2023 MacBook Pro 노트북 M3 칩: 14.2인치 Liquid Retina XDR 디스플레이, 8GB 통합 메모리, 512GB SSD 스토리지. iPhone/iPad에서 작동합니다. 스페이스 그레이</v>
      </c>
      <c r="F5862" s="1" t="str">
        <f>IFERROR(__xludf.DUMMYFUNCTION("CONCATENATE(GOOGLETRANSLATE(C5862, ""en"", ""ja""))"),"8 コア CPU、10 コア GPU を搭載した Apple 2023 MacBook Pro ラップトップ M3 チップ: 14.2 インチ Liquid Retina XDR ディスプレイ、8 GB ユニファイド メモリ、512 GB SSD ストレージ。 iPhone/iPad で動作します。スペースグレイ")</f>
        <v>8 コア CPU、10 コア GPU を搭載した Apple 2023 MacBook Pro ラップトップ M3 チップ: 14.2 インチ Liquid Retina XDR ディスプレイ、8 GB ユニファイド メモリ、512 GB SSD ストレージ。 iPhone/iPad で動作します。スペースグレイ</v>
      </c>
    </row>
    <row r="5863" ht="15.75" customHeight="1">
      <c r="A5863" s="1">
        <v>4824.0</v>
      </c>
      <c r="B5863" s="1" t="s">
        <v>15</v>
      </c>
      <c r="C5863" s="1" t="s">
        <v>4901</v>
      </c>
      <c r="D5863" s="1" t="str">
        <f>IFERROR(__xludf.DUMMYFUNCTION("CONCATENATE(GOOGLETRANSLATE(C5863, ""en"", ""zh-cn""))"),"Apple 2024 MacBook Air 13 英寸笔记本电脑，配备 M3 芯片：13.6 英寸 Liquid Retina 显示屏、16GB 统一内存、512GB SSD 存储、背光键盘、1080p FaceTime 高清摄像头、Touch ID；深空灰色")</f>
        <v>Apple 2024 MacBook Air 13 英寸笔记本电脑，配备 M3 芯片：13.6 英寸 Liquid Retina 显示屏、16GB 统一内存、512GB SSD 存储、背光键盘、1080p FaceTime 高清摄像头、Touch ID；深空灰色</v>
      </c>
      <c r="E5863" s="1" t="str">
        <f>IFERROR(__xludf.DUMMYFUNCTION("CONCATENATE(GOOGLETRANSLATE(C5863, ""en"", ""ko""))"),"M3 칩을 탑재한 Apple 2024 MacBook Air 13인치 노트북: 13.6인치 Liquid Retina 디스플레이, 16GB 통합 메모리, 512GB SSD 스토리지, 백라이트 키보드, 1080p FaceTime HD 카메라, Touch ID; 스페이스 그레이")</f>
        <v>M3 칩을 탑재한 Apple 2024 MacBook Air 13인치 노트북: 13.6인치 Liquid Retina 디스플레이, 16GB 통합 메모리, 512GB SSD 스토리지, 백라이트 키보드, 1080p FaceTime HD 카메라, Touch ID; 스페이스 그레이</v>
      </c>
      <c r="F5863" s="1" t="str">
        <f>IFERROR(__xludf.DUMMYFUNCTION("CONCATENATE(GOOGLETRANSLATE(C5863, ""en"", ""ja""))"),"Apple 2024 MacBook Air 13 インチ ラップトップ (M3 チップ搭載): 13.6 インチ Liquid Retina ディスプレイ、16GB ユニファイド メモリ、512GB SSD ストレージ、バックライト付きキーボード、1080p FaceTime HD カメラ、Touch ID。スペースグレイ")</f>
        <v>Apple 2024 MacBook Air 13 インチ ラップトップ (M3 チップ搭載): 13.6 インチ Liquid Retina ディスプレイ、16GB ユニファイド メモリ、512GB SSD ストレージ、バックライト付きキーボード、1080p FaceTime HD カメラ、Touch ID。スペースグレイ</v>
      </c>
    </row>
    <row r="5864" ht="15.75" customHeight="1">
      <c r="A5864" s="1">
        <v>4838.0</v>
      </c>
      <c r="B5864" s="1" t="s">
        <v>15</v>
      </c>
      <c r="C5864" s="1" t="s">
        <v>4902</v>
      </c>
      <c r="D5864" s="1" t="str">
        <f>IFERROR(__xludf.DUMMYFUNCTION("CONCATENATE(GOOGLETRANSLATE(C5864, ""en"", ""zh-cn""))"),"戴尔 XPS 9710 笔记本电脑 (2021) | 17 英寸 FHD+ | 酷睿 i7-4TB SSD + 4TB SSD - 32GB RAM - RTX 3050 | 8 核 @ 4.6 GHz - 第 11 代 CPU Win 10 Home（更新）")</f>
        <v>戴尔 XPS 9710 笔记本电脑 (2021) | 17 英寸 FHD+ | 酷睿 i7-4TB SSD + 4TB SSD - 32GB RAM - RTX 3050 | 8 核 @ 4.6 GHz - 第 11 代 CPU Win 10 Home（更新）</v>
      </c>
      <c r="E5864" s="1" t="str">
        <f>IFERROR(__xludf.DUMMYFUNCTION("CONCATENATE(GOOGLETRANSLATE(C5864, ""en"", ""ko""))"),"Dell XPS 9710 노트북(2021) | 17인치 FHD+ | 코어 i7-4TB SSD + 4TB SSD - 32GB RAM - RTX 3050 | 8코어 @ 4.6GHz - 11세대 CPU Win 10 홈(리뉴얼)")</f>
        <v>Dell XPS 9710 노트북(2021) | 17인치 FHD+ | 코어 i7-4TB SSD + 4TB SSD - 32GB RAM - RTX 3050 | 8코어 @ 4.6GHz - 11세대 CPU Win 10 홈(리뉴얼)</v>
      </c>
      <c r="F5864" s="1" t="str">
        <f>IFERROR(__xludf.DUMMYFUNCTION("CONCATENATE(GOOGLETRANSLATE(C5864, ""en"", ""ja""))"),"Dell XPS 9710 ラップトップ (2021) | 17 インチ FHD+ | Core i7-4TB SSD + 4TB SSD - 32GB RAM - RTX 3050 | 8 コア @ 4.6 GHz - 第 11 世代 CPU Win 10 Home (リニューアル)")</f>
        <v>Dell XPS 9710 ラップトップ (2021) | 17 インチ FHD+ | Core i7-4TB SSD + 4TB SSD - 32GB RAM - RTX 3050 | 8 コア @ 4.6 GHz - 第 11 世代 CPU Win 10 Home (リニューアル)</v>
      </c>
    </row>
    <row r="5865" ht="15.75" customHeight="1">
      <c r="A5865" s="1">
        <v>4839.0</v>
      </c>
      <c r="B5865" s="1" t="s">
        <v>15</v>
      </c>
      <c r="C5865" s="1" t="s">
        <v>4903</v>
      </c>
      <c r="D5865" s="1" t="str">
        <f>IFERROR(__xludf.DUMMYFUNCTION("CONCATENATE(GOOGLETRANSLATE(C5865, ""en"", ""zh-cn""))"),"Apple 2023 款 MacBook Pro 笔记本电脑 M3 Max 芯片，配备 14 核 CPU、30 核 GPU：14.2 英寸 Liquid Retina XDR 显示屏、36GB 统一内存、1TB SSD 存储。适用于 iPhone/iPad；银")</f>
        <v>Apple 2023 款 MacBook Pro 笔记本电脑 M3 Max 芯片，配备 14 核 CPU、30 核 GPU：14.2 英寸 Liquid Retina XDR 显示屏、36GB 统一内存、1TB SSD 存储。适用于 iPhone/iPad；银</v>
      </c>
      <c r="E5865" s="1" t="str">
        <f>IFERROR(__xludf.DUMMYFUNCTION("CONCATENATE(GOOGLETRANSLATE(C5865, ""en"", ""ko""))"),"Apple 2023 MacBook Pro 노트북 M3 Max 칩, 14코어 CPU, 30코어 GPU: 14.2인치 Liquid Retina XDR 디스플레이, 36GB 통합 메모리, 1TB SSD 스토리지. iPhone/iPad에서 작동합니다. 은")</f>
        <v>Apple 2023 MacBook Pro 노트북 M3 Max 칩, 14코어 CPU, 30코어 GPU: 14.2인치 Liquid Retina XDR 디스플레이, 36GB 통합 메모리, 1TB SSD 스토리지. iPhone/iPad에서 작동합니다. 은</v>
      </c>
      <c r="F5865" s="1" t="str">
        <f>IFERROR(__xludf.DUMMYFUNCTION("CONCATENATE(GOOGLETRANSLATE(C5865, ""en"", ""ja""))"),"14 コア CPU、30 コア GPU を搭載した Apple 2023 MacBook Pro ラップトップ M3 Max チップ: 14.2 インチ Liquid Retina XDR ディスプレイ、36 GB ユニファイド メモリ、1 TB SSD ストレージ。 iPhone/iPad で動作します。銀")</f>
        <v>14 コア CPU、30 コア GPU を搭載した Apple 2023 MacBook Pro ラップトップ M3 Max チップ: 14.2 インチ Liquid Retina XDR ディスプレイ、36 GB ユニファイド メモリ、1 TB SSD ストレージ。 iPhone/iPad で動作します。銀</v>
      </c>
    </row>
    <row r="5866" ht="15.75" customHeight="1">
      <c r="A5866" s="1">
        <v>4844.0</v>
      </c>
      <c r="B5866" s="1" t="s">
        <v>15</v>
      </c>
      <c r="C5866" s="1" t="s">
        <v>4904</v>
      </c>
      <c r="D5866" s="1" t="str">
        <f>IFERROR(__xludf.DUMMYFUNCTION("CONCATENATE(GOOGLETRANSLATE(C5866, ""en"", ""zh-cn""))"),"戴尔 Alienware m18 游戏笔记本电脑 (2023) | 18 英寸 FHD+ | 酷睿 i9-2TB SSD + 2TB SSD - 64GB RAM - RTX 4070 | 24 核 @ 5.4 GHz - 第 13 代 CPU - 8GB GDDR6X Win 11 Pro（更新版）")</f>
        <v>戴尔 Alienware m18 游戏笔记本电脑 (2023) | 18 英寸 FHD+ | 酷睿 i9-2TB SSD + 2TB SSD - 64GB RAM - RTX 4070 | 24 核 @ 5.4 GHz - 第 13 代 CPU - 8GB GDDR6X Win 11 Pro（更新版）</v>
      </c>
      <c r="E5866" s="1" t="str">
        <f>IFERROR(__xludf.DUMMYFUNCTION("CONCATENATE(GOOGLETRANSLATE(C5866, ""en"", ""ko""))"),"Dell Alienware m18 게임용 노트북(2023) | 18인치 FHD+ | 코어 i9-2TB SSD + 2TB SSD - 64GB RAM - RTX 4070 | 24코어 @ 5.4GHz - 13세대 CPU - 8GB GDDR6X Win 11 Pro(리뉴얼)")</f>
        <v>Dell Alienware m18 게임용 노트북(2023) | 18인치 FHD+ | 코어 i9-2TB SSD + 2TB SSD - 64GB RAM - RTX 4070 | 24코어 @ 5.4GHz - 13세대 CPU - 8GB GDDR6X Win 11 Pro(리뉴얼)</v>
      </c>
      <c r="F5866" s="1" t="str">
        <f>IFERROR(__xludf.DUMMYFUNCTION("CONCATENATE(GOOGLETRANSLATE(C5866, ""en"", ""ja""))"),"Dell Alienware m18 ゲーミング ラップトップ (2023) | 18 インチ FHD+ | Core i9-2TB SSD + 2TB SSD - 64GB RAM - RTX 4070 | 24 コア @ 5.4 GHz - 第 13 世代 CPU - 8GB GDDR6X Win 11 Pro (リニューアル)")</f>
        <v>Dell Alienware m18 ゲーミング ラップトップ (2023) | 18 インチ FHD+ | Core i9-2TB SSD + 2TB SSD - 64GB RAM - RTX 4070 | 24 コア @ 5.4 GHz - 第 13 世代 CPU - 8GB GDDR6X Win 11 Pro (リニューアル)</v>
      </c>
    </row>
    <row r="5867" ht="15.75" customHeight="1">
      <c r="A5867" s="1">
        <v>5057.0</v>
      </c>
      <c r="B5867" s="1" t="s">
        <v>15</v>
      </c>
      <c r="C5867" s="1" t="s">
        <v>1826</v>
      </c>
      <c r="D5867" s="1" t="str">
        <f>IFERROR(__xludf.DUMMYFUNCTION("CONCATENATE(GOOGLETRANSLATE(C5867, ""en"", ""zh-cn""))"),"GAN 460 M 速度魔方， 4x4 磁性魔方 Gans 460M 拼图玩具（无贴纸）")</f>
        <v>GAN 460 M 速度魔方， 4x4 磁性魔方 Gans 460M 拼图玩具（无贴纸）</v>
      </c>
      <c r="E5867" s="1" t="str">
        <f>IFERROR(__xludf.DUMMYFUNCTION("CONCATENATE(GOOGLETRANSLATE(C5867, ""en"", ""ko""))"),"GAN 460 M 스피드 큐브, 4x4 마그네틱 마스터 큐브 Gans 460M 퍼즐 장난감(스티커 없음)")</f>
        <v>GAN 460 M 스피드 큐브, 4x4 마그네틱 마스터 큐브 Gans 460M 퍼즐 장난감(스티커 없음)</v>
      </c>
      <c r="F5867" s="1" t="str">
        <f>IFERROR(__xludf.DUMMYFUNCTION("CONCATENATE(GOOGLETRANSLATE(C5867, ""en"", ""ja""))"),"GAN 460 M スピード キューブ、4x4 磁気マスター キューブ Gans 460M パズルおもちゃ (ステッカーなし)")</f>
        <v>GAN 460 M スピード キューブ、4x4 磁気マスター キューブ Gans 460M パズルおもちゃ (ステッカーなし)</v>
      </c>
    </row>
    <row r="5868" ht="15.75" customHeight="1">
      <c r="A5868" s="1">
        <v>5059.0</v>
      </c>
      <c r="B5868" s="1" t="s">
        <v>381</v>
      </c>
      <c r="C5868" s="1" t="s">
        <v>698</v>
      </c>
      <c r="D5868" s="1" t="str">
        <f>IFERROR(__xludf.DUMMYFUNCTION("CONCATENATE(GOOGLETRANSLATE(C5868, ""en"", ""zh-cn""))"),"男式拼色刺绣前拉链灯芯绒夹克")</f>
        <v>男式拼色刺绣前拉链灯芯绒夹克</v>
      </c>
      <c r="E5868" s="1" t="str">
        <f>IFERROR(__xludf.DUMMYFUNCTION("CONCATENATE(GOOGLETRANSLATE(C5868, ""en"", ""ko""))"),"남성용 컬러 블록 패치워크 자수 지퍼 프론트 코듀로이 재킷")</f>
        <v>남성용 컬러 블록 패치워크 자수 지퍼 프론트 코듀로이 재킷</v>
      </c>
      <c r="F5868" s="1" t="str">
        <f>IFERROR(__xludf.DUMMYFUNCTION("CONCATENATE(GOOGLETRANSLATE(C5868, ""en"", ""ja""))"),"メンズ カラーブロック パッチワーク 刺繍 ジップ フロント コーデュロイ ジャケット")</f>
        <v>メンズ カラーブロック パッチワーク 刺繍 ジップ フロント コーデュロイ ジャケット</v>
      </c>
    </row>
    <row r="5869" ht="15.75" customHeight="1">
      <c r="A5869" s="1">
        <v>5062.0</v>
      </c>
      <c r="B5869" s="1" t="s">
        <v>381</v>
      </c>
      <c r="C5869" s="1" t="s">
        <v>688</v>
      </c>
      <c r="D5869" s="1" t="str">
        <f>IFERROR(__xludf.DUMMYFUNCTION("CONCATENATE(GOOGLETRANSLATE(C5869, ""en"", ""zh-cn""))"),"男式民族部落图案拼布灯芯绒连帽衬衫夹克")</f>
        <v>男式民族部落图案拼布灯芯绒连帽衬衫夹克</v>
      </c>
      <c r="E5869" s="1" t="str">
        <f>IFERROR(__xludf.DUMMYFUNCTION("CONCATENATE(GOOGLETRANSLATE(C5869, ""en"", ""ko""))"),"남성용 에스닉 트라이벌 패턴 패치워크 코듀로이 후드 셔츠 재킷")</f>
        <v>남성용 에스닉 트라이벌 패턴 패치워크 코듀로이 후드 셔츠 재킷</v>
      </c>
      <c r="F5869" s="1" t="str">
        <f>IFERROR(__xludf.DUMMYFUNCTION("CONCATENATE(GOOGLETRANSLATE(C5869, ""en"", ""ja""))"),"メンズエスニックトライバルパターンパッチワークコーデュロイフード付きシャツジャケット")</f>
        <v>メンズエスニックトライバルパターンパッチワークコーデュロイフード付きシャツジャケット</v>
      </c>
    </row>
    <row r="5870" ht="15.75" customHeight="1">
      <c r="A5870" s="1">
        <v>5063.0</v>
      </c>
      <c r="B5870" s="1" t="s">
        <v>381</v>
      </c>
      <c r="C5870" s="1" t="s">
        <v>687</v>
      </c>
      <c r="D5870" s="1" t="str">
        <f>IFERROR(__xludf.DUMMYFUNCTION("CONCATENATE(GOOGLETRANSLATE(C5870, ""en"", ""zh-cn""))"),"男士笑脸刺绣灯芯绒抽绳连帽衬衫夹克")</f>
        <v>男士笑脸刺绣灯芯绒抽绳连帽衬衫夹克</v>
      </c>
      <c r="E5870" s="1" t="str">
        <f>IFERROR(__xludf.DUMMYFUNCTION("CONCATENATE(GOOGLETRANSLATE(C5870, ""en"", ""ko""))"),"남성용 스마일 페이스 자수 코듀로이 드로스트링 후드 셔츠 재킷")</f>
        <v>남성용 스마일 페이스 자수 코듀로이 드로스트링 후드 셔츠 재킷</v>
      </c>
      <c r="F5870" s="1" t="str">
        <f>IFERROR(__xludf.DUMMYFUNCTION("CONCATENATE(GOOGLETRANSLATE(C5870, ""en"", ""ja""))"),"メンズスマイルフェイス刺繍コーデュロイ巾着フード付きシャツジャケット")</f>
        <v>メンズスマイルフェイス刺繍コーデュロイ巾着フード付きシャツジャケット</v>
      </c>
    </row>
    <row r="5871" ht="15.75" customHeight="1">
      <c r="A5871" s="1">
        <v>5067.0</v>
      </c>
      <c r="B5871" s="1" t="s">
        <v>381</v>
      </c>
      <c r="C5871" s="1" t="s">
        <v>617</v>
      </c>
      <c r="D5871" s="1" t="str">
        <f>IFERROR(__xludf.DUMMYFUNCTION("CONCATENATE(GOOGLETRANSLATE(C5871, ""en"", ""zh-cn""))"),"男士不对称部落印花短袖 O 领 T 恤")</f>
        <v>男士不对称部落印花短袖 O 领 T 恤</v>
      </c>
      <c r="E5871" s="1" t="str">
        <f>IFERROR(__xludf.DUMMYFUNCTION("CONCATENATE(GOOGLETRANSLATE(C5871, ""en"", ""ko""))"),"남성용 비대칭 부족 프린트 반소매 O 넥 티셔츠")</f>
        <v>남성용 비대칭 부족 프린트 반소매 O 넥 티셔츠</v>
      </c>
      <c r="F5871" s="1" t="str">
        <f>IFERROR(__xludf.DUMMYFUNCTION("CONCATENATE(GOOGLETRANSLATE(C5871, ""en"", ""ja""))"),"メンズ非対称トライバルプリント半袖 O ネック T シャツ")</f>
        <v>メンズ非対称トライバルプリント半袖 O ネック T シャツ</v>
      </c>
    </row>
    <row r="5872" ht="15.75" customHeight="1">
      <c r="A5872" s="1">
        <v>5068.0</v>
      </c>
      <c r="B5872" s="1" t="s">
        <v>381</v>
      </c>
      <c r="C5872" s="1" t="s">
        <v>623</v>
      </c>
      <c r="D5872" s="1" t="str">
        <f>IFERROR(__xludf.DUMMYFUNCTION("CONCATENATE(GOOGLETRANSLATE(C5872, ""en"", ""zh-cn""))"),"男式不规则几何印花弧形下摆纹理长袖 T 恤")</f>
        <v>男式不规则几何印花弧形下摆纹理长袖 T 恤</v>
      </c>
      <c r="E5872" s="1" t="str">
        <f>IFERROR(__xludf.DUMMYFUNCTION("CONCATENATE(GOOGLETRANSLATE(C5872, ""en"", ""ko""))"),"남성용 불규칙한 기하학적 프린트 곡선 밑단 텍스처 긴소매 티셔츠")</f>
        <v>남성용 불규칙한 기하학적 프린트 곡선 밑단 텍스처 긴소매 티셔츠</v>
      </c>
      <c r="F5872" s="1" t="str">
        <f>IFERROR(__xludf.DUMMYFUNCTION("CONCATENATE(GOOGLETRANSLATE(C5872, ""en"", ""ja""))"),"メンズ不規則な幾何学模様のプリント湾曲した裾のテクスチャ長袖 T シャツ")</f>
        <v>メンズ不規則な幾何学模様のプリント湾曲した裾のテクスチャ長袖 T シャツ</v>
      </c>
    </row>
    <row r="5873" ht="15.75" customHeight="1">
      <c r="A5873" s="1">
        <v>5081.0</v>
      </c>
      <c r="B5873" s="1" t="s">
        <v>15</v>
      </c>
      <c r="C5873" s="1" t="s">
        <v>2671</v>
      </c>
      <c r="D5873" s="1" t="str">
        <f>IFERROR(__xludf.DUMMYFUNCTION("CONCATENATE(GOOGLETRANSLATE(C5873, ""en"", ""zh-cn""))"),"Fitnessandfun 33 英尺巨大户外充气电影屏幕，包括鼓风机 - 无缝正投影和背投影 - 便携式吹爆投影仪屏幕，适用于教堂、盛大派对、后院泳池乐趣（33 英尺）")</f>
        <v>Fitnessandfun 33 英尺巨大户外充气电影屏幕，包括鼓风机 - 无缝正投影和背投影 - 便携式吹爆投影仪屏幕，适用于教堂、盛大派对、后院泳池乐趣（33 英尺）</v>
      </c>
      <c r="E5873" s="1" t="str">
        <f>IFERROR(__xludf.DUMMYFUNCTION("CONCATENATE(GOOGLETRANSLATE(C5873, ""en"", ""ko""))"),"Fitnessandfun 33' 야외용 대형 풍선 영화 스크린 송풍기 포함 - 원활한 전면 및 후면 프로젝션 - 교회, 대규모 파티, 뒷마당 수영장 놀이용 휴대용 팽창 프로젝터 스크린(33피트)")</f>
        <v>Fitnessandfun 33' 야외용 대형 풍선 영화 스크린 송풍기 포함 - 원활한 전면 및 후면 프로젝션 - 교회, 대규모 파티, 뒷마당 수영장 놀이용 휴대용 팽창 프로젝터 스크린(33피트)</v>
      </c>
      <c r="F5873" s="1" t="str">
        <f>IFERROR(__xludf.DUMMYFUNCTION("CONCATENATE(GOOGLETRANSLATE(C5873, ""en"", ""ja""))"),"fitnessandfun 33フィートの巨大なインフレータブルムービースクリーン屋外用送風機付き - シームレスなフロントとリアの投影 - 教会、グランドパーティー、裏庭のプールファン用のポータブルブローアッププロジェクタースクリーン(33フィート)")</f>
        <v>fitnessandfun 33フィートの巨大なインフレータブルムービースクリーン屋外用送風機付き - シームレスなフロントとリアの投影 - 教会、グランドパーティー、裏庭のプールファン用のポータブルブローアッププロジェクタースクリーン(33フィート)</v>
      </c>
    </row>
    <row r="5874" ht="15.75" customHeight="1">
      <c r="A5874" s="1">
        <v>5084.0</v>
      </c>
      <c r="B5874" s="1" t="s">
        <v>15</v>
      </c>
      <c r="C5874" s="1" t="s">
        <v>3651</v>
      </c>
      <c r="D5874" s="1" t="str">
        <f>IFERROR(__xludf.DUMMYFUNCTION("CONCATENATE(GOOGLETRANSLATE(C5874, ""en"", ""zh-cn""))"),"PVC RV 橡胶屋顶套件 45 百万 | 9’6’’宽x 10’-40’长房车（露营车）屋顶维修（40’），白色，（RVK45PVCW95）")</f>
        <v>PVC RV 橡胶屋顶套件 45 百万 | 9’6’’宽x 10’-40’长房车（露营车）屋顶维修（40’），白色，（RVK45PVCW95）</v>
      </c>
      <c r="E5874" s="1" t="str">
        <f>IFERROR(__xludf.DUMMYFUNCTION("CONCATENATE(GOOGLETRANSLATE(C5874, ""en"", ""ko""))"),"PVC RV 고무 지붕 키트 45mil | 9'6'' 너비 x 10'-40' 길이 RV(캠퍼) 지붕 수리(40'), 흰색, (RVK45PVCW95)")</f>
        <v>PVC RV 고무 지붕 키트 45mil | 9'6'' 너비 x 10'-40' 길이 RV(캠퍼) 지붕 수리(40'), 흰색, (RVK45PVCW95)</v>
      </c>
      <c r="F5874" s="1" t="str">
        <f>IFERROR(__xludf.DUMMYFUNCTION("CONCATENATE(GOOGLETRANSLATE(C5874, ""en"", ""ja""))"),"PVC RV ラバー ルーフ キット 45 mil |幅9'6'' x 長さ10'-40' RV (キャンピングカー) 屋根修理 (40')、白、(RVK45PVCW95)")</f>
        <v>PVC RV ラバー ルーフ キット 45 mil |幅9'6'' x 長さ10'-40' RV (キャンピングカー) 屋根修理 (40')、白、(RVK45PVCW95)</v>
      </c>
    </row>
    <row r="5875" ht="15.75" customHeight="1">
      <c r="A5875" s="1">
        <v>5140.0</v>
      </c>
      <c r="B5875" s="1" t="s">
        <v>15</v>
      </c>
      <c r="C5875" s="1" t="s">
        <v>2230</v>
      </c>
      <c r="D5875" s="1" t="str">
        <f>IFERROR(__xludf.DUMMYFUNCTION("CONCATENATE(GOOGLETRANSLATE(C5875, ""en"", ""zh-cn""))"),"Apple iPhone 13 Pro Max，128GB，阿尔卑斯绿 - T-Mobile（续订）")</f>
        <v>Apple iPhone 13 Pro Max，128GB，阿尔卑斯绿 - T-Mobile（续订）</v>
      </c>
      <c r="E5875" s="1" t="str">
        <f>IFERROR(__xludf.DUMMYFUNCTION("CONCATENATE(GOOGLETRANSLATE(C5875, ""en"", ""ko""))"),"Apple iPhone 13 Pro Max, 128GB, 알파인 그린 - T-Mobile(리뉴얼)")</f>
        <v>Apple iPhone 13 Pro Max, 128GB, 알파인 그린 - T-Mobile(리뉴얼)</v>
      </c>
      <c r="F5875" s="1" t="str">
        <f>IFERROR(__xludf.DUMMYFUNCTION("CONCATENATE(GOOGLETRANSLATE(C5875, ""en"", ""ja""))"),"Apple iPhone 13 Pro Max、128GB、アルパイングリーン - T-Mobile (リニューアル)")</f>
        <v>Apple iPhone 13 Pro Max、128GB、アルパイングリーン - T-Mobile (リニューアル)</v>
      </c>
    </row>
    <row r="5876" ht="15.75" customHeight="1">
      <c r="A5876" s="1">
        <v>5147.0</v>
      </c>
      <c r="B5876" s="1" t="s">
        <v>15</v>
      </c>
      <c r="C5876" s="1" t="s">
        <v>2371</v>
      </c>
      <c r="D5876" s="1" t="str">
        <f>IFERROR(__xludf.DUMMYFUNCTION("CONCATENATE(GOOGLETRANSLATE(C5876, ""en"", ""zh-cn""))"),"BFSB5 链传动室内自行车")</f>
        <v>BFSB5 链传动室内自行车</v>
      </c>
      <c r="E5876" s="1" t="str">
        <f>IFERROR(__xludf.DUMMYFUNCTION("CONCATENATE(GOOGLETRANSLATE(C5876, ""en"", ""ko""))"),"BFSB5 체인 드라이브 실내 사이클링 자전거")</f>
        <v>BFSB5 체인 드라이브 실내 사이클링 자전거</v>
      </c>
      <c r="F5876" s="1" t="str">
        <f>IFERROR(__xludf.DUMMYFUNCTION("CONCATENATE(GOOGLETRANSLATE(C5876, ""en"", ""ja""))"),"BFSB5 チェーンドライブインドアサイクリングバイク")</f>
        <v>BFSB5 チェーンドライブインドアサイクリングバイク</v>
      </c>
    </row>
    <row r="5877" ht="15.75" customHeight="1">
      <c r="A5877" s="1">
        <v>5181.0</v>
      </c>
      <c r="B5877" s="1" t="s">
        <v>381</v>
      </c>
      <c r="C5877" s="1" t="s">
        <v>685</v>
      </c>
      <c r="D5877" s="1" t="str">
        <f>IFERROR(__xludf.DUMMYFUNCTION("CONCATENATE(GOOGLETRANSLATE(C5877, ""en"", ""zh-cn""))"),"男式笑脸刺绣按扣毛绒内衬连帽夹克")</f>
        <v>男式笑脸刺绣按扣毛绒内衬连帽夹克</v>
      </c>
      <c r="E5877" s="1" t="str">
        <f>IFERROR(__xludf.DUMMYFUNCTION("CONCATENATE(GOOGLETRANSLATE(C5877, ""en"", ""ko""))"),"남성용 스마일 페이스 자수 스냅 버튼 플러시 라이닝 후드 재킷")</f>
        <v>남성용 스마일 페이스 자수 스냅 버튼 플러시 라이닝 후드 재킷</v>
      </c>
      <c r="F5877" s="1" t="str">
        <f>IFERROR(__xludf.DUMMYFUNCTION("CONCATENATE(GOOGLETRANSLATE(C5877, ""en"", ""ja""))"),"メンズスマイルフェイス刺繍スナップボタンプラッシュ裏地付きフード付きジャケット")</f>
        <v>メンズスマイルフェイス刺繍スナップボタンプラッシュ裏地付きフード付きジャケット</v>
      </c>
    </row>
    <row r="5878" ht="15.75" customHeight="1">
      <c r="A5878" s="1">
        <v>5190.0</v>
      </c>
      <c r="B5878" s="1" t="s">
        <v>381</v>
      </c>
      <c r="C5878" s="1" t="s">
        <v>695</v>
      </c>
      <c r="D5878" s="1" t="str">
        <f>IFERROR(__xludf.DUMMYFUNCTION("CONCATENATE(GOOGLETRANSLATE(C5878, ""en"", ""zh-cn""))"),"男士格子拼布多口袋休闲连帽夹克")</f>
        <v>男士格子拼布多口袋休闲连帽夹克</v>
      </c>
      <c r="E5878" s="1" t="str">
        <f>IFERROR(__xludf.DUMMYFUNCTION("CONCATENATE(GOOGLETRANSLATE(C5878, ""en"", ""ko""))"),"남성 체크 무늬 패치워크 멀티 포켓 캐주얼 후드 재킷")</f>
        <v>남성 체크 무늬 패치워크 멀티 포켓 캐주얼 후드 재킷</v>
      </c>
      <c r="F5878" s="1" t="str">
        <f>IFERROR(__xludf.DUMMYFUNCTION("CONCATENATE(GOOGLETRANSLATE(C5878, ""en"", ""ja""))"),"メンズチェック柄パッチワークマルチポケットカジュアルフード付きジャケット")</f>
        <v>メンズチェック柄パッチワークマルチポケットカジュアルフード付きジャケット</v>
      </c>
    </row>
    <row r="5879" ht="15.75" customHeight="1">
      <c r="A5879" s="1">
        <v>5202.0</v>
      </c>
      <c r="B5879" s="1" t="s">
        <v>381</v>
      </c>
      <c r="C5879" s="1" t="s">
        <v>620</v>
      </c>
      <c r="D5879" s="1" t="str">
        <f>IFERROR(__xludf.DUMMYFUNCTION("CONCATENATE(GOOGLETRANSLATE(C5879, ""en"", ""zh-cn""))"),"男式复古几何图案拼布小高领短袖 T 恤")</f>
        <v>男式复古几何图案拼布小高领短袖 T 恤</v>
      </c>
      <c r="E5879" s="1" t="str">
        <f>IFERROR(__xludf.DUMMYFUNCTION("CONCATENATE(GOOGLETRANSLATE(C5879, ""en"", ""ko""))"),"남성 빈티지 기하학적 패턴 패치워크 모크 넥 반팔 티셔츠")</f>
        <v>남성 빈티지 기하학적 패턴 패치워크 모크 넥 반팔 티셔츠</v>
      </c>
      <c r="F5879" s="1" t="str">
        <f>IFERROR(__xludf.DUMMYFUNCTION("CONCATENATE(GOOGLETRANSLATE(C5879, ""en"", ""ja""))"),"メンズヴィンテージ幾何学模様パッチワークモックネック半袖Tシャツ")</f>
        <v>メンズヴィンテージ幾何学模様パッチワークモックネック半袖Tシャツ</v>
      </c>
    </row>
    <row r="5880" ht="15.75" customHeight="1">
      <c r="A5880" s="1">
        <v>5228.0</v>
      </c>
      <c r="B5880" s="1" t="s">
        <v>15</v>
      </c>
      <c r="C5880" s="1" t="s">
        <v>4897</v>
      </c>
      <c r="D5880" s="1" t="str">
        <f>IFERROR(__xludf.DUMMYFUNCTION("CONCATENATE(GOOGLETRANSLATE(C5880, ""en"", ""zh-cn""))"),"Mediheal 20 组合装面膜 - N.M.F、茶树、W.H.P、胶原蛋白、Vita Lightbeam - 最佳面膜组合超值多款装 - 保湿日常护肤面膜")</f>
        <v>Mediheal 20 组合装面膜 - N.M.F、茶树、W.H.P、胶原蛋白、Vita Lightbeam - 最佳面膜组合超值多款装 - 保湿日常护肤面膜</v>
      </c>
      <c r="E5880" s="1" t="str">
        <f>IFERROR(__xludf.DUMMYFUNCTION("CONCATENATE(GOOGLETRANSLATE(C5880, ""en"", ""ko""))"),"메디힐 20 콤보 팩 페이셜 시트 마스크 - N.M.F, 티트리, W.H.P, 콜라겐, 비타 라이트빔 - 베스트 마스크 시트 콤보 밸류 버라이어티 팩 - 수분 공급 데일리 스킨케어 시트 페이스 시트 마스크")</f>
        <v>메디힐 20 콤보 팩 페이셜 시트 마스크 - N.M.F, 티트리, W.H.P, 콜라겐, 비타 라이트빔 - 베스트 마스크 시트 콤보 밸류 버라이어티 팩 - 수분 공급 데일리 스킨케어 시트 페이스 시트 마스크</v>
      </c>
      <c r="F5880" s="1" t="str">
        <f>IFERROR(__xludf.DUMMYFUNCTION("CONCATENATE(GOOGLETRANSLATE(C5880, ""en"", ""ja""))"),"メディヒール 20 コンボパック フェイシャル シート マスク - N.M.F、ティー ツリー、W.H.P、コラーゲン、ビタ ライトビーム - ベスト マスク シート コンボ バリュー バラエティ パック - 保湿デイリー スキンケア シート フェイス シート マスク")</f>
        <v>メディヒール 20 コンボパック フェイシャル シート マスク - N.M.F、ティー ツリー、W.H.P、コラーゲン、ビタ ライトビーム - ベスト マスク シート コンボ バリュー バラエティ パック - 保湿デイリー スキンケア シート フェイス シート マスク</v>
      </c>
    </row>
    <row r="5881" ht="15.75" customHeight="1">
      <c r="A5881" s="1">
        <v>5266.0</v>
      </c>
      <c r="B5881" s="1" t="s">
        <v>381</v>
      </c>
      <c r="C5881" s="1" t="s">
        <v>660</v>
      </c>
      <c r="D5881" s="1" t="str">
        <f>IFERROR(__xludf.DUMMYFUNCTION("CONCATENATE(GOOGLETRANSLATE(C5881, ""en"", ""zh-cn""))"),"男士休闲长袖上衣圆领宽松基本款 T 恤")</f>
        <v>男士休闲长袖上衣圆领宽松基本款 T 恤</v>
      </c>
      <c r="E5881" s="1" t="str">
        <f>IFERROR(__xludf.DUMMYFUNCTION("CONCATENATE(GOOGLETRANSLATE(C5881, ""en"", ""ko""))"),"남성 캐주얼 긴팔 탑 크루넥 루즈 기본 티셔츠")</f>
        <v>남성 캐주얼 긴팔 탑 크루넥 루즈 기본 티셔츠</v>
      </c>
      <c r="F5881" s="1" t="str">
        <f>IFERROR(__xludf.DUMMYFUNCTION("CONCATENATE(GOOGLETRANSLATE(C5881, ""en"", ""ja""))"),"メンズカジュアル長袖トップスクルーネックルーズベーシックTシャツ")</f>
        <v>メンズカジュアル長袖トップスクルーネックルーズベーシックTシャツ</v>
      </c>
    </row>
    <row r="5882" ht="15.75" customHeight="1">
      <c r="A5882" s="1">
        <v>5277.0</v>
      </c>
      <c r="B5882" s="1" t="s">
        <v>381</v>
      </c>
      <c r="C5882" s="1" t="s">
        <v>607</v>
      </c>
      <c r="D5882" s="1" t="str">
        <f>IFERROR(__xludf.DUMMYFUNCTION("CONCATENATE(GOOGLETRANSLATE(C5882, ""en"", ""zh-cn""))"),"男式卡通宇航员印花圆领短袖 T 恤")</f>
        <v>男式卡通宇航员印花圆领短袖 T 恤</v>
      </c>
      <c r="E5882" s="1" t="str">
        <f>IFERROR(__xludf.DUMMYFUNCTION("CONCATENATE(GOOGLETRANSLATE(C5882, ""en"", ""ko""))"),"남성용 만화 우주 비행사 프린트 크루넥 반팔 티셔츠")</f>
        <v>남성용 만화 우주 비행사 프린트 크루넥 반팔 티셔츠</v>
      </c>
      <c r="F5882" s="1" t="str">
        <f>IFERROR(__xludf.DUMMYFUNCTION("CONCATENATE(GOOGLETRANSLATE(C5882, ""en"", ""ja""))"),"メンズ漫画宇宙飛行士プリントクルーネック半袖 T シャツ")</f>
        <v>メンズ漫画宇宙飛行士プリントクルーネック半袖 T シャツ</v>
      </c>
    </row>
    <row r="5883" ht="15.75" customHeight="1">
      <c r="A5883" s="1">
        <v>5299.0</v>
      </c>
      <c r="B5883" s="1" t="s">
        <v>15</v>
      </c>
      <c r="C5883" s="1" t="s">
        <v>1861</v>
      </c>
      <c r="D5883" s="1" t="str">
        <f>IFERROR(__xludf.DUMMYFUNCTION("CONCATENATE(GOOGLETRANSLATE(C5883, ""en"", ""zh-cn""))"),"博克芬诺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5883" s="1" t="str">
        <f>IFERROR(__xludf.DUMMYFUNCTION("CONCATENATE(GOOGLETRANSLATE(C5883, ""en"", ""ko""))"),"Bokefenuo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5883" s="1" t="str">
        <f>IFERROR(__xludf.DUMMYFUNCTION("CONCATENATE(GOOGLETRANSLATE(C5883, ""en"", ""ja""))"),"Bokefenuo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5884" ht="15.75" customHeight="1">
      <c r="A5884" s="1">
        <v>5305.0</v>
      </c>
      <c r="B5884" s="1" t="s">
        <v>15</v>
      </c>
      <c r="C5884" s="1" t="s">
        <v>2319</v>
      </c>
      <c r="D5884" s="1" t="str">
        <f>IFERROR(__xludf.DUMMYFUNCTION("CONCATENATE(GOOGLETRANSLATE(C5884, ""en"", ""zh-cn""))"),"Giro 男士公路自行车鞋， 33 EU")</f>
        <v>Giro 男士公路自行车鞋， 33 EU</v>
      </c>
      <c r="E5884" s="1" t="str">
        <f>IFERROR(__xludf.DUMMYFUNCTION("CONCATENATE(GOOGLETRANSLATE(C5884, ""en"", ""ko""))"),"Giro 남성용 로드 자전거 신발, 33 EU")</f>
        <v>Giro 남성용 로드 자전거 신발, 33 EU</v>
      </c>
      <c r="F5884" s="1" t="str">
        <f>IFERROR(__xludf.DUMMYFUNCTION("CONCATENATE(GOOGLETRANSLATE(C5884, ""en"", ""ja""))"),"Giro メンズ ロードバイク シューズ、33 EU")</f>
        <v>Giro メンズ ロードバイク シューズ、33 EU</v>
      </c>
    </row>
    <row r="5885" ht="15.75" customHeight="1">
      <c r="A5885" s="1">
        <v>5310.0</v>
      </c>
      <c r="B5885" s="1" t="s">
        <v>15</v>
      </c>
      <c r="C5885" s="1" t="s">
        <v>1818</v>
      </c>
      <c r="D5885" s="1" t="str">
        <f>IFERROR(__xludf.DUMMYFUNCTION("CONCATENATE(GOOGLETRANSLATE(C5885, ""en"", ""zh-cn""))"),"Alexia D371-E063 冥想座椅（布料，沙色）")</f>
        <v>Alexia D371-E063 冥想座椅（布料，沙色）</v>
      </c>
      <c r="E5885" s="1" t="str">
        <f>IFERROR(__xludf.DUMMYFUNCTION("CONCATENATE(GOOGLETRANSLATE(C5885, ""en"", ""ko""))"),"알렉시아 D371-E063 명상의자 (천, 모래)")</f>
        <v>알렉시아 D371-E063 명상의자 (천, 모래)</v>
      </c>
      <c r="F5885" s="1" t="str">
        <f>IFERROR(__xludf.DUMMYFUNCTION("CONCATENATE(GOOGLETRANSLATE(C5885, ""en"", ""ja""))"),"Alexia D371-E063 瞑想シート (ファブリック、サンド)")</f>
        <v>Alexia D371-E063 瞑想シート (ファブリック、サンド)</v>
      </c>
    </row>
    <row r="5886" ht="15.75" customHeight="1">
      <c r="A5886" s="1">
        <v>5313.0</v>
      </c>
      <c r="B5886" s="1" t="s">
        <v>15</v>
      </c>
      <c r="C5886" s="1" t="s">
        <v>1820</v>
      </c>
      <c r="D5886" s="1" t="str">
        <f>IFERROR(__xludf.DUMMYFUNCTION("CONCATENATE(GOOGLETRANSLATE(C5886, ""en"", ""zh-cn""))"),"Giro Empire SLX 男士公路骑行鞋")</f>
        <v>Giro Empire SLX 男士公路骑行鞋</v>
      </c>
      <c r="E5886" s="1" t="str">
        <f>IFERROR(__xludf.DUMMYFUNCTION("CONCATENATE(GOOGLETRANSLATE(C5886, ""en"", ""ko""))"),"Giro Empire SLX 남성용 로드 사이클링 신발")</f>
        <v>Giro Empire SLX 남성용 로드 사이클링 신발</v>
      </c>
      <c r="F5886" s="1" t="str">
        <f>IFERROR(__xludf.DUMMYFUNCTION("CONCATENATE(GOOGLETRANSLATE(C5886, ""en"", ""ja""))"),"Giro Empire SLX メンズ ロード サイクリング シューズ")</f>
        <v>Giro Empire SLX メンズ ロード サイクリング シューズ</v>
      </c>
    </row>
    <row r="5887" ht="15.75" customHeight="1">
      <c r="A5887" s="1">
        <v>5332.0</v>
      </c>
      <c r="B5887" s="1" t="s">
        <v>15</v>
      </c>
      <c r="C5887" s="1" t="s">
        <v>3558</v>
      </c>
      <c r="D5887" s="1" t="str">
        <f>IFERROR(__xludf.DUMMYFUNCTION("CONCATENATE(GOOGLETRANSLATE(C5887, ""en"", ""zh-cn""))"),"索尼 CFexpress A 型存储卡 320GB")</f>
        <v>索尼 CFexpress A 型存储卡 320GB</v>
      </c>
      <c r="E5887" s="1" t="str">
        <f>IFERROR(__xludf.DUMMYFUNCTION("CONCATENATE(GOOGLETRANSLATE(C5887, ""en"", ""ko""))"),"소니 CFexpress Type A 메모리 카드 320GB")</f>
        <v>소니 CFexpress Type A 메모리 카드 320GB</v>
      </c>
      <c r="F5887" s="1" t="str">
        <f>IFERROR(__xludf.DUMMYFUNCTION("CONCATENATE(GOOGLETRANSLATE(C5887, ""en"", ""ja""))"),"ソニー CFexpress タイプ A メモリーカード 320GB")</f>
        <v>ソニー CFexpress タイプ A メモリーカード 320GB</v>
      </c>
    </row>
    <row r="5888" ht="15.75" customHeight="1">
      <c r="A5888" s="1">
        <v>5334.0</v>
      </c>
      <c r="B5888" s="1" t="s">
        <v>15</v>
      </c>
      <c r="C5888" s="1" t="s">
        <v>4816</v>
      </c>
      <c r="D5888" s="1" t="str">
        <f>IFERROR(__xludf.DUMMYFUNCTION("CONCATENATE(GOOGLETRANSLATE(C5888, ""en"", ""zh-cn""))"),"垂直电缆门禁电缆静压室：22AWG/3 对屏蔽 + 18AWG/4 导线 + 22AWG/4 导线 + 22AWG/2 导线，多股裸铜导线，500 英尺线轴，黄色")</f>
        <v>垂直电缆门禁电缆静压室：22AWG/3 对屏蔽 + 18AWG/4 导线 + 22AWG/4 导线 + 22AWG/2 导线，多股裸铜导线，500 英尺线轴，黄色</v>
      </c>
      <c r="E5888" s="1" t="str">
        <f>IFERROR(__xludf.DUMMYFUNCTION("CONCATENATE(GOOGLETRANSLATE(C5888, ""en"", ""ko""))"),"수직 케이블 액세스 제어 케이블 플레넘: 22AWG/3쌍 차폐 + 18AWG/4 도체 + 22AWG/4 도체 + 22AWG/2 도체, 연선 구리 도체, 500피트 스풀, 노란색")</f>
        <v>수직 케이블 액세스 제어 케이블 플레넘: 22AWG/3쌍 차폐 + 18AWG/4 도체 + 22AWG/4 도체 + 22AWG/2 도체, 연선 구리 도체, 500피트 스풀, 노란색</v>
      </c>
      <c r="F5888" s="1" t="str">
        <f>IFERROR(__xludf.DUMMYFUNCTION("CONCATENATE(GOOGLETRANSLATE(C5888, ""en"", ""ja""))"),"垂直ケーブルアクセス制御ケーブルプレナム: 22AWG/3 ペアシールド + 18AWG/4 導体 + 22AWG/4 導体 + 22AWG/2 導体、撚り線裸銅導体、500 フィートスプール、黄色")</f>
        <v>垂直ケーブルアクセス制御ケーブルプレナム: 22AWG/3 ペアシールド + 18AWG/4 導体 + 22AWG/4 導体 + 22AWG/2 導体、撚り線裸銅導体、500 フィートスプール、黄色</v>
      </c>
    </row>
    <row r="5889" ht="15.75" customHeight="1">
      <c r="A5889" s="1">
        <v>5336.0</v>
      </c>
      <c r="B5889" s="1" t="s">
        <v>15</v>
      </c>
      <c r="C5889" s="1" t="s">
        <v>1708</v>
      </c>
      <c r="D5889" s="1" t="str">
        <f>IFERROR(__xludf.DUMMYFUNCTION("CONCATENATE(GOOGLETRANSLATE(C5889, ""en"", ""zh-cn""))"),"Apple iPad Pro（128GB，Wi-Fi，深空灰）12.9 英寸平板电脑（续订）")</f>
        <v>Apple iPad Pro（128GB，Wi-Fi，深空灰）12.9 英寸平板电脑（续订）</v>
      </c>
      <c r="E5889" s="1" t="str">
        <f>IFERROR(__xludf.DUMMYFUNCTION("CONCATENATE(GOOGLETRANSLATE(C5889, ""en"", ""ko""))"),"애플 아이패드 프로(128GB, Wi-Fi, 스페이스 그레이) 12.9인치 태블릿(리뉴얼)")</f>
        <v>애플 아이패드 프로(128GB, Wi-Fi, 스페이스 그레이) 12.9인치 태블릿(리뉴얼)</v>
      </c>
      <c r="F5889" s="1" t="str">
        <f>IFERROR(__xludf.DUMMYFUNCTION("CONCATENATE(GOOGLETRANSLATE(C5889, ""en"", ""ja""))"),"Apple iPad Pro (128GB、Wi-Fi、スペースグレイ) 12.9インチタブレット (リニューアル版)")</f>
        <v>Apple iPad Pro (128GB、Wi-Fi、スペースグレイ) 12.9インチタブレット (リニューアル版)</v>
      </c>
    </row>
    <row r="5890" ht="15.75" customHeight="1">
      <c r="A5890" s="1">
        <v>5342.0</v>
      </c>
      <c r="B5890" s="1" t="s">
        <v>15</v>
      </c>
      <c r="C5890" s="1" t="s">
        <v>1824</v>
      </c>
      <c r="D5890" s="1" t="str">
        <f>IFERROR(__xludf.DUMMYFUNCTION("CONCATENATE(GOOGLETRANSLATE(C5890, ""en"", ""zh-cn""))"),"ALL4JIG 1500 件便携式带腿拼图桌，可调节拼图板，带 4 个抽屉和盖子，3 倾斜角度成人拼图桌")</f>
        <v>ALL4JIG 1500 件便携式带腿拼图桌，可调节拼图板，带 4 个抽屉和盖子，3 倾斜角度成人拼图桌</v>
      </c>
      <c r="E5890" s="1" t="str">
        <f>IFERROR(__xludf.DUMMYFUNCTION("CONCATENATE(GOOGLETRANSLATE(C5890, ""en"", ""ko""))"),"ALL4JIG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5890" s="1" t="str">
        <f>IFERROR(__xludf.DUMMYFUNCTION("CONCATENATE(GOOGLETRANSLATE(C5890, ""en"", ""ja""))"),"ALL4JIG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5891" ht="15.75" customHeight="1">
      <c r="A5891" s="1">
        <v>5351.0</v>
      </c>
      <c r="B5891" s="1" t="s">
        <v>15</v>
      </c>
      <c r="C5891" s="1" t="s">
        <v>1846</v>
      </c>
      <c r="D5891" s="1" t="str">
        <f>IFERROR(__xludf.DUMMYFUNCTION("CONCATENATE(GOOGLETRANSLATE(C5891, ""en"", ""zh-cn""))"),"带抽屉和盖垫的拼图板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5891" s="1" t="str">
        <f>IFERROR(__xludf.DUMMYFUNCTION("CONCATENATE(GOOGLETRANSLATE(C5891, ""en"", ""ko""))"),"서랍과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5891" s="1" t="str">
        <f>IFERROR(__xludf.DUMMYFUNCTION("CONCATENATE(GOOGLETRANSLATE(C5891, ""en"", ""ja""))"),"引き出しとカバー付きパズルボード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5892" ht="15.75" customHeight="1">
      <c r="A5892" s="1">
        <v>5353.0</v>
      </c>
      <c r="B5892" s="1" t="s">
        <v>15</v>
      </c>
      <c r="C5892" s="1" t="s">
        <v>1847</v>
      </c>
      <c r="D5892" s="1" t="str">
        <f>IFERROR(__xludf.DUMMYFUNCTION("CONCATENATE(GOOGLETRANSLATE(C5892, ""en"", ""zh-cn""))"),"Bukefuno GAN 12 Maglev 3x3 磁性魔方 GAN12Maglev Speed GAN 12Maglev 拼图魔方 GAN12 Maglev 3x3 魔方（磨砂表面无贴纸）")</f>
        <v>Bukefuno GAN 12 Maglev 3x3 磁性魔方 GAN12Maglev Speed GAN 12Maglev 拼图魔方 GAN12 Maglev 3x3 魔方（磨砂表面无贴纸）</v>
      </c>
      <c r="E5892" s="1" t="str">
        <f>IFERROR(__xludf.DUMMYFUNCTION("CONCATENATE(GOOGLETRANSLATE(C5892, ""en"", ""ko""))"),"Bukefuno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5892" s="1" t="str">
        <f>IFERROR(__xludf.DUMMYFUNCTION("CONCATENATE(GOOGLETRANSLATE(C5892, ""en"", ""ja""))"),"Bukefuno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5893" ht="15.75" customHeight="1">
      <c r="A5893" s="1">
        <v>5359.0</v>
      </c>
      <c r="B5893" s="1" t="s">
        <v>15</v>
      </c>
      <c r="C5893" s="1" t="s">
        <v>4018</v>
      </c>
      <c r="D5893" s="1" t="str">
        <f>IFERROR(__xludf.DUMMYFUNCTION("CONCATENATE(GOOGLETRANSLATE(C5893, ""en"", ""zh-cn""))"),"iPhone 13 Pro，128GB，Sierra Blue - 已解锁（续订高级版）")</f>
        <v>iPhone 13 Pro，128GB，Sierra Blue - 已解锁（续订高级版）</v>
      </c>
      <c r="E5893" s="1" t="str">
        <f>IFERROR(__xludf.DUMMYFUNCTION("CONCATENATE(GOOGLETRANSLATE(C5893, ""en"", ""ko""))"),"iPhone 13 Pro, 128GB, Sierra Blue - 공기계(리뉴얼 프리미엄)")</f>
        <v>iPhone 13 Pro, 128GB, Sierra Blue - 공기계(리뉴얼 프리미엄)</v>
      </c>
      <c r="F5893" s="1" t="str">
        <f>IFERROR(__xludf.DUMMYFUNCTION("CONCATENATE(GOOGLETRANSLATE(C5893, ""en"", ""ja""))"),"iPhone 13 Pro、128GB、シエラブルー - ロック解除済み (リニューアルプレミアム)")</f>
        <v>iPhone 13 Pro、128GB、シエラブルー - ロック解除済み (リニューアルプレミアム)</v>
      </c>
    </row>
    <row r="5894" ht="15.75" customHeight="1">
      <c r="A5894" s="1">
        <v>5367.0</v>
      </c>
      <c r="B5894" s="1" t="s">
        <v>15</v>
      </c>
      <c r="C5894" s="1" t="s">
        <v>1650</v>
      </c>
      <c r="D5894" s="1" t="str">
        <f>IFERROR(__xludf.DUMMYFUNCTION("CONCATENATE(GOOGLETRANSLATE(C5894, ""en"", ""zh-cn""))"),"SHARGEEK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5894" s="1" t="str">
        <f>IFERROR(__xludf.DUMMYFUNCTION("CONCATENATE(GOOGLETRANSLATE(C5894, ""en"", ""ko""))"),"SHARGEEK의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5894" s="1" t="str">
        <f>IFERROR(__xludf.DUMMYFUNCTION("CONCATENATE(GOOGLETRANSLATE(C5894, ""en"", ""ja""))"),"SHARGEEK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5895" ht="15.75" customHeight="1">
      <c r="A5895" s="1">
        <v>5369.0</v>
      </c>
      <c r="B5895" s="1" t="s">
        <v>15</v>
      </c>
      <c r="C5895" s="1" t="s">
        <v>1840</v>
      </c>
      <c r="D5895" s="1" t="str">
        <f>IFERROR(__xludf.DUMMYFUNCTION("CONCATENATE(GOOGLETRANSLATE(C5895, ""en"", ""zh-cn""))"),"Cuberspeed GAN 13 uv 涂层 MagLev 无贴纸 3x3 速度立方拼图 gan13 maglev uv 涂层旗舰拼图")</f>
        <v>Cuberspeed GAN 13 uv 涂层 MagLev 无贴纸 3x3 速度立方拼图 gan13 maglev uv 涂层旗舰拼图</v>
      </c>
      <c r="E5895" s="1" t="str">
        <f>IFERROR(__xludf.DUMMYFUNCTION("CONCATENATE(GOOGLETRANSLATE(C5895, ""en"", ""ko""))"),"Cuberspeed GAN 13 uv 코팅 MagLev 스티커가 없는 3x3 스피드 큐브 퍼즐 gan13 maglev uv 코팅 플래그십 퍼즐")</f>
        <v>Cuberspeed GAN 13 uv 코팅 MagLev 스티커가 없는 3x3 스피드 큐브 퍼즐 gan13 maglev uv 코팅 플래그십 퍼즐</v>
      </c>
      <c r="F5895" s="1" t="str">
        <f>IFERROR(__xludf.DUMMYFUNCTION("CONCATENATE(GOOGLETRANSLATE(C5895, ""en"", ""ja""))"),"Cuberspeed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5896" ht="15.75" customHeight="1">
      <c r="A5896" s="1">
        <v>5398.0</v>
      </c>
      <c r="B5896" s="1" t="s">
        <v>381</v>
      </c>
      <c r="C5896" s="1" t="s">
        <v>821</v>
      </c>
      <c r="D5896" s="1" t="str">
        <f>IFERROR(__xludf.DUMMYFUNCTION("CONCATENATE(GOOGLETRANSLATE(C5896, ""en"", ""zh-cn""))"),"花卉印花口袋半袖荷叶边休闲长连衣裙")</f>
        <v>花卉印花口袋半袖荷叶边休闲长连衣裙</v>
      </c>
      <c r="E5896" s="1" t="str">
        <f>IFERROR(__xludf.DUMMYFUNCTION("CONCATENATE(GOOGLETRANSLATE(C5896, ""en"", ""ko""))"),"플로럴 프린트 포켓 하프 슬리브 러플 캐주얼 맥시 드레스")</f>
        <v>플로럴 프린트 포켓 하프 슬리브 러플 캐주얼 맥시 드레스</v>
      </c>
      <c r="F5896" s="1" t="str">
        <f>IFERROR(__xludf.DUMMYFUNCTION("CONCATENATE(GOOGLETRANSLATE(C5896, ""en"", ""ja""))"),"花柄ポケット五分袖フリルカジュアルマキシドレス")</f>
        <v>花柄ポケット五分袖フリルカジュアルマキシドレス</v>
      </c>
    </row>
    <row r="5897" ht="15.75" customHeight="1">
      <c r="A5897" s="1">
        <v>5401.0</v>
      </c>
      <c r="B5897" s="1" t="s">
        <v>381</v>
      </c>
      <c r="C5897" s="1" t="s">
        <v>773</v>
      </c>
      <c r="D5897" s="1" t="str">
        <f>IFERROR(__xludf.DUMMYFUNCTION("CONCATENATE(GOOGLETRANSLATE(C5897, ""en"", ""zh-cn""))"),"无袖圆领宽松休闲花卉印花超长连衣裙")</f>
        <v>无袖圆领宽松休闲花卉印花超长连衣裙</v>
      </c>
      <c r="E5897" s="1" t="str">
        <f>IFERROR(__xludf.DUMMYFUNCTION("CONCATENATE(GOOGLETRANSLATE(C5897, ""en"", ""ko""))"),"민소매 O 넥 루즈 캐쥬얼 플로럴 프린트 맥시 드레스")</f>
        <v>민소매 O 넥 루즈 캐쥬얼 플로럴 프린트 맥시 드레스</v>
      </c>
      <c r="F5897" s="1" t="str">
        <f>IFERROR(__xludf.DUMMYFUNCTION("CONCATENATE(GOOGLETRANSLATE(C5897, ""en"", ""ja""))"),"ノースリーブ O ネック ルーズ カジュアル フローラル プリント マキシ ドレス")</f>
        <v>ノースリーブ O ネック ルーズ カジュアル フローラル プリント マキシ ドレス</v>
      </c>
    </row>
    <row r="5898" ht="15.75" customHeight="1">
      <c r="A5898" s="1">
        <v>5404.0</v>
      </c>
      <c r="B5898" s="1" t="s">
        <v>381</v>
      </c>
      <c r="C5898" s="1" t="s">
        <v>780</v>
      </c>
      <c r="D5898" s="1" t="str">
        <f>IFERROR(__xludf.DUMMYFUNCTION("CONCATENATE(GOOGLETRANSLATE(C5898, ""en"", ""zh-cn""))"),"女式纯色荷叶边下摆褶皱泡泡袖超长连衣裙")</f>
        <v>女式纯色荷叶边下摆褶皱泡泡袖超长连衣裙</v>
      </c>
      <c r="E5898" s="1" t="str">
        <f>IFERROR(__xludf.DUMMYFUNCTION("CONCATENATE(GOOGLETRANSLATE(C5898, ""en"", ""ko""))"),"여성 솔리드 컬러 프릴 밑단 주름 퍼프 슬리브 맥시 드레스")</f>
        <v>여성 솔리드 컬러 프릴 밑단 주름 퍼프 슬리브 맥시 드레스</v>
      </c>
      <c r="F5898" s="1" t="str">
        <f>IFERROR(__xludf.DUMMYFUNCTION("CONCATENATE(GOOGLETRANSLATE(C5898, ""en"", ""ja""))"),"女性ソリッドカラーフリル裾プリーツパフスリーブマキシドレス")</f>
        <v>女性ソリッドカラーフリル裾プリーツパフスリーブマキシドレス</v>
      </c>
    </row>
    <row r="5899" ht="15.75" customHeight="1">
      <c r="A5899" s="1">
        <v>5408.0</v>
      </c>
      <c r="B5899" s="1" t="s">
        <v>15</v>
      </c>
      <c r="C5899" s="1" t="s">
        <v>1838</v>
      </c>
      <c r="D5899" s="1" t="str">
        <f>IFERROR(__xludf.DUMMYFUNCTION("CONCATENATE(GOOGLETRANSLATE(C5899, ""en"", ""zh-cn""))"),"Ravensburger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5899" s="1" t="str">
        <f>IFERROR(__xludf.DUMMYFUNCTION("CONCATENATE(GOOGLETRANSLATE(C5899, ""en"", ""ko""))"),"Ravensburger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5899" s="1" t="str">
        <f>IFERROR(__xludf.DUMMYFUNCTION("CONCATENATE(GOOGLETRANSLATE(C5899, ""en"", ""ja""))"),"Ravensburger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5900" ht="15.75" customHeight="1">
      <c r="A5900" s="1">
        <v>5409.0</v>
      </c>
      <c r="B5900" s="1" t="s">
        <v>15</v>
      </c>
      <c r="C5900" s="1" t="s">
        <v>1826</v>
      </c>
      <c r="D5900" s="1" t="str">
        <f>IFERROR(__xludf.DUMMYFUNCTION("CONCATENATE(GOOGLETRANSLATE(C5900, ""en"", ""zh-cn""))"),"GAN 460 M 速度魔方， 4x4 磁性魔方 Gans 460M 拼图玩具（无贴纸）")</f>
        <v>GAN 460 M 速度魔方， 4x4 磁性魔方 Gans 460M 拼图玩具（无贴纸）</v>
      </c>
      <c r="E5900" s="1" t="str">
        <f>IFERROR(__xludf.DUMMYFUNCTION("CONCATENATE(GOOGLETRANSLATE(C5900, ""en"", ""ko""))"),"GAN 460 M 스피드 큐브, 4x4 마그네틱 마스터 큐브 Gans 460M 퍼즐 장난감(스티커 없음)")</f>
        <v>GAN 460 M 스피드 큐브, 4x4 마그네틱 마스터 큐브 Gans 460M 퍼즐 장난감(스티커 없음)</v>
      </c>
      <c r="F5900" s="1" t="str">
        <f>IFERROR(__xludf.DUMMYFUNCTION("CONCATENATE(GOOGLETRANSLATE(C5900, ""en"", ""ja""))"),"GAN 460 M スピード キューブ、4x4 磁気マスター キューブ Gans 460M パズルおもちゃ (ステッカーなし)")</f>
        <v>GAN 460 M スピード キューブ、4x4 磁気マスター キューブ Gans 460M パズルおもちゃ (ステッカーなし)</v>
      </c>
    </row>
    <row r="5901" ht="15.75" customHeight="1">
      <c r="A5901" s="1">
        <v>5418.0</v>
      </c>
      <c r="B5901" s="1" t="s">
        <v>15</v>
      </c>
      <c r="C5901" s="1" t="s">
        <v>1852</v>
      </c>
      <c r="D5901" s="1" t="str">
        <f>IFERROR(__xludf.DUMMYFUNCTION("CONCATENATE(GOOGLETRANSLATE(C5901, ""en"", ""zh-cn""))"),"Roxenda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5901" s="1" t="str">
        <f>IFERROR(__xludf.DUMMYFUNCTION("CONCATENATE(GOOGLETRANSLATE(C5901, ""en"", ""ko""))"),"Roxenda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5901" s="1" t="str">
        <f>IFERROR(__xludf.DUMMYFUNCTION("CONCATENATE(GOOGLETRANSLATE(C5901, ""en"", ""ja""))"),"Roxenda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5902" ht="15.75" customHeight="1">
      <c r="A5902" s="1">
        <v>5420.0</v>
      </c>
      <c r="B5902" s="1" t="s">
        <v>15</v>
      </c>
      <c r="C5902" s="1" t="s">
        <v>1903</v>
      </c>
      <c r="D5902" s="1" t="str">
        <f>IFERROR(__xludf.DUMMYFUNCTION("CONCATENATE(GOOGLETRANSLATE(C5902, ""en"", ""zh-cn""))"),"CuberShop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5902" s="1" t="str">
        <f>IFERROR(__xludf.DUMMYFUNCTION("CONCATENATE(GOOGLETRANSLATE(C5902, ""en"", ""ko""))"),"CuberShop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5902" s="1" t="str">
        <f>IFERROR(__xludf.DUMMYFUNCTION("CONCATENATE(GOOGLETRANSLATE(C5902, ""en"", ""ja""))"),"CuberShop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5903" ht="15.75" customHeight="1">
      <c r="A5903" s="1">
        <v>5435.0</v>
      </c>
      <c r="B5903" s="1" t="s">
        <v>15</v>
      </c>
      <c r="C5903" s="1" t="s">
        <v>1838</v>
      </c>
      <c r="D5903" s="1" t="str">
        <f>IFERROR(__xludf.DUMMYFUNCTION("CONCATENATE(GOOGLETRANSLATE(C5903, ""en"", ""zh-cn""))"),"Ravensburger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5903" s="1" t="str">
        <f>IFERROR(__xludf.DUMMYFUNCTION("CONCATENATE(GOOGLETRANSLATE(C5903, ""en"", ""ko""))"),"Ravensburger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5903" s="1" t="str">
        <f>IFERROR(__xludf.DUMMYFUNCTION("CONCATENATE(GOOGLETRANSLATE(C5903, ""en"", ""ja""))"),"Ravensburger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5904" ht="15.75" customHeight="1">
      <c r="A5904" s="1">
        <v>5437.0</v>
      </c>
      <c r="B5904" s="1" t="s">
        <v>15</v>
      </c>
      <c r="C5904" s="1" t="s">
        <v>1913</v>
      </c>
      <c r="D5904" s="1" t="str">
        <f>IFERROR(__xludf.DUMMYFUNCTION("CONCATENATE(GOOGLETRANSLATE(C5904, ""en"", ""zh-cn""))"),"Lake CX241 骑行鞋 - 男士")</f>
        <v>Lake CX241 骑行鞋 - 男士</v>
      </c>
      <c r="E5904" s="1" t="str">
        <f>IFERROR(__xludf.DUMMYFUNCTION("CONCATENATE(GOOGLETRANSLATE(C5904, ""en"", ""ko""))"),"Lake CX241 사이클링 신발 - 남성용")</f>
        <v>Lake CX241 사이클링 신발 - 남성용</v>
      </c>
      <c r="F5904" s="1" t="str">
        <f>IFERROR(__xludf.DUMMYFUNCTION("CONCATENATE(GOOGLETRANSLATE(C5904, ""en"", ""ja""))"),"Lake CX241 サイクリング シューズ - メンズ")</f>
        <v>Lake CX241 サイクリング シューズ - メンズ</v>
      </c>
    </row>
    <row r="5905" ht="15.75" customHeight="1">
      <c r="A5905" s="1">
        <v>5438.0</v>
      </c>
      <c r="B5905" s="1" t="s">
        <v>15</v>
      </c>
      <c r="C5905" s="1" t="s">
        <v>2844</v>
      </c>
      <c r="D5905" s="1" t="str">
        <f>IFERROR(__xludf.DUMMYFUNCTION("CONCATENATE(GOOGLETRANSLATE(C5905, ""en"", ""zh-cn""))"),"JOROTO 室内自行车健身车带 35 磅飞轮和 10.2 英寸大型 Ipad 支架（链条驱动）")</f>
        <v>JOROTO 室内自行车健身车带 35 磅飞轮和 10.2 英寸大型 Ipad 支架（链条驱动）</v>
      </c>
      <c r="E5905" s="1" t="str">
        <f>IFERROR(__xludf.DUMMYFUNCTION("CONCATENATE(GOOGLETRANSLATE(C5905, ""en"", ""ko""))"),"JOROTO 실내 사이클링 자전거 운동용 자전거 35파운드 플라이휠 및 10.2인치 대형 Ipad 홀더(체인 드라이브) 포함")</f>
        <v>JOROTO 실내 사이클링 자전거 운동용 자전거 35파운드 플라이휠 및 10.2인치 대형 Ipad 홀더(체인 드라이브) 포함</v>
      </c>
      <c r="F5905" s="1" t="str">
        <f>IFERROR(__xludf.DUMMYFUNCTION("CONCATENATE(GOOGLETRANSLATE(C5905, ""en"", ""ja""))"),"JOROTO インドアサイクリングバイクエクササイズバイク、35ポンドのフライホイールと10.2インチの大型iPadホルダー（チェーンドライブ）付き")</f>
        <v>JOROTO インドアサイクリングバイクエクササイズバイク、35ポンドのフライホイールと10.2インチの大型iPadホルダー（チェーンドライブ）付き</v>
      </c>
    </row>
    <row r="5906" ht="15.75" customHeight="1">
      <c r="A5906" s="1">
        <v>5439.0</v>
      </c>
      <c r="B5906" s="1" t="s">
        <v>15</v>
      </c>
      <c r="C5906" s="1" t="s">
        <v>2324</v>
      </c>
      <c r="D5906" s="1" t="str">
        <f>IFERROR(__xludf.DUMMYFUNCTION("CONCATENATE(GOOGLETRANSLATE(C5906, ""en"", ""zh-cn""))"),"罗林斯| Renegade 系列棒球接球手套装 | NOCSAE 认证 |成人 |中级|青年|多种颜色")</f>
        <v>罗林斯| Renegade 系列棒球接球手套装 | NOCSAE 认证 |成人 |中级|青年|多种颜色</v>
      </c>
      <c r="E5906" s="1" t="str">
        <f>IFERROR(__xludf.DUMMYFUNCTION("CONCATENATE(GOOGLETRANSLATE(C5906, ""en"", ""ko""))"),"롤링스 | 레니게이드 시리즈 야구 포수 세트 | NOCSAE 인증 | 성인 | 중급 | 청소년 | 다양한 색상")</f>
        <v>롤링스 | 레니게이드 시리즈 야구 포수 세트 | NOCSAE 인증 | 성인 | 중급 | 청소년 | 다양한 색상</v>
      </c>
      <c r="F5906" s="1" t="str">
        <f>IFERROR(__xludf.DUMMYFUNCTION("CONCATENATE(GOOGLETRANSLATE(C5906, ""en"", ""ja""))"),"ローリングス | Renegade シリーズ野球キャッチャーセット | NOCSAE 認定 |アダルト |中級 |若者 |複数の色")</f>
        <v>ローリングス | Renegade シリーズ野球キャッチャーセット | NOCSAE 認定 |アダルト |中級 |若者 |複数の色</v>
      </c>
    </row>
    <row r="5907" ht="15.75" customHeight="1">
      <c r="A5907" s="1">
        <v>5464.0</v>
      </c>
      <c r="B5907" s="1" t="s">
        <v>15</v>
      </c>
      <c r="C5907" s="1" t="s">
        <v>1852</v>
      </c>
      <c r="D5907" s="1" t="str">
        <f>IFERROR(__xludf.DUMMYFUNCTION("CONCATENATE(GOOGLETRANSLATE(C5907, ""en"", ""zh-cn""))"),"Roxenda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5907" s="1" t="str">
        <f>IFERROR(__xludf.DUMMYFUNCTION("CONCATENATE(GOOGLETRANSLATE(C5907, ""en"", ""ko""))"),"Roxenda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5907" s="1" t="str">
        <f>IFERROR(__xludf.DUMMYFUNCTION("CONCATENATE(GOOGLETRANSLATE(C5907, ""en"", ""ja""))"),"Roxenda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5908" ht="15.75" customHeight="1">
      <c r="A5908" s="1">
        <v>5468.0</v>
      </c>
      <c r="B5908" s="1" t="s">
        <v>15</v>
      </c>
      <c r="C5908" s="1" t="s">
        <v>1650</v>
      </c>
      <c r="D5908" s="1" t="str">
        <f>IFERROR(__xludf.DUMMYFUNCTION("CONCATENATE(GOOGLETRANSLATE(C5908, ""en"", ""zh-cn""))"),"SHARGEEK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5908" s="1" t="str">
        <f>IFERROR(__xludf.DUMMYFUNCTION("CONCATENATE(GOOGLETRANSLATE(C5908, ""en"", ""ko""))"),"SHARGEEK의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5908" s="1" t="str">
        <f>IFERROR(__xludf.DUMMYFUNCTION("CONCATENATE(GOOGLETRANSLATE(C5908, ""en"", ""ja""))"),"SHARGEEK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5909" ht="15.75" customHeight="1">
      <c r="A5909" s="1">
        <v>5472.0</v>
      </c>
      <c r="B5909" s="1" t="s">
        <v>15</v>
      </c>
      <c r="C5909" s="1" t="s">
        <v>1649</v>
      </c>
      <c r="D5909" s="1" t="str">
        <f>IFERROR(__xludf.DUMMYFUNCTION("CONCATENATE(GOOGLETRANSLATE(C5909, ""en"", ""zh-cn""))"),"GAN 机器人，魔方解谜机自动解谜器和解谜器，兼容 GAN 356i2 i3 iplay iCarry Speed Cubes（不含魔方）和最新版本 APP")</f>
        <v>GAN 机器人，魔方解谜机自动解谜器和解谜器，兼容 GAN 356i2 i3 iplay iCarry Speed Cubes（不含魔方）和最新版本 APP</v>
      </c>
      <c r="E5909" s="1" t="str">
        <f>IFERROR(__xludf.DUMMYFUNCTION("CONCATENATE(GOOGLETRANSLATE(C5909, ""en"", ""ko""))"),"GAN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5909" s="1" t="str">
        <f>IFERROR(__xludf.DUMMYFUNCTION("CONCATENATE(GOOGLETRANSLATE(C5909, ""en"", ""ja""))"),"GAN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5910" ht="15.75" customHeight="1">
      <c r="A5910" s="1">
        <v>5519.0</v>
      </c>
      <c r="B5910" s="1" t="s">
        <v>15</v>
      </c>
      <c r="C5910" s="1" t="s">
        <v>4140</v>
      </c>
      <c r="D5910" s="1" t="str">
        <f>IFERROR(__xludf.DUMMYFUNCTION("CONCATENATE(GOOGLETRANSLATE(C5910, ""en"", ""zh-cn""))"),"Altor SAF 锁 - 防角磨机自行车 U 型锁")</f>
        <v>Altor SAF 锁 - 防角磨机自行车 U 型锁</v>
      </c>
      <c r="E5910" s="1" t="str">
        <f>IFERROR(__xludf.DUMMYFUNCTION("CONCATENATE(GOOGLETRANSLATE(C5910, ""en"", ""ko""))"),"Altor SAF 잠금 장치 - 앵글 그라인더 방지 자전거 U 잠금 장치")</f>
        <v>Altor SAF 잠금 장치 - 앵글 그라인더 방지 자전거 U 잠금 장치</v>
      </c>
      <c r="F5910" s="1" t="str">
        <f>IFERROR(__xludf.DUMMYFUNCTION("CONCATENATE(GOOGLETRANSLATE(C5910, ""en"", ""ja""))"),"Altor SAF ロック - アングル グラインダー プルーフ自転車 U ロック")</f>
        <v>Altor SAF ロック - アングル グラインダー プルーフ自転車 U ロック</v>
      </c>
    </row>
    <row r="5911" ht="15.75" customHeight="1">
      <c r="A5911" s="1">
        <v>5531.0</v>
      </c>
      <c r="B5911" s="1" t="s">
        <v>15</v>
      </c>
      <c r="C5911" s="1" t="s">
        <v>1906</v>
      </c>
      <c r="D5911" s="1" t="str">
        <f>IFERROR(__xludf.DUMMYFUNCTION("CONCATENATE(GOOGLETRANSLATE(C5911, ""en"", ""zh-cn""))"),"Igloo 54 夸脱钢带传统不锈钢冷却器带开瓶器")</f>
        <v>Igloo 54 夸脱钢带传统不锈钢冷却器带开瓶器</v>
      </c>
      <c r="E5911" s="1" t="str">
        <f>IFERROR(__xludf.DUMMYFUNCTION("CONCATENATE(GOOGLETRANSLATE(C5911, ""en"", ""ko""))"),"이글루 54 Qt 스틸 벨티드 레거시 스테인리스 스틸 쿨러(병따개 포함)")</f>
        <v>이글루 54 Qt 스틸 벨티드 레거시 스테인리스 스틸 쿨러(병따개 포함)</v>
      </c>
      <c r="F5911" s="1" t="str">
        <f>IFERROR(__xludf.DUMMYFUNCTION("CONCATENATE(GOOGLETRANSLATE(C5911, ""en"", ""ja""))"),"Igloo 54 Qt スチールベルト付きレガシーステンレススチールクーラー ボトルオープナー付き")</f>
        <v>Igloo 54 Qt スチールベルト付きレガシーステンレススチールクーラー ボトルオープナー付き</v>
      </c>
    </row>
    <row r="5912" ht="15.75" customHeight="1">
      <c r="A5912" s="1">
        <v>5532.0</v>
      </c>
      <c r="B5912" s="1" t="s">
        <v>15</v>
      </c>
      <c r="C5912" s="1" t="s">
        <v>2308</v>
      </c>
      <c r="D5912" s="1" t="str">
        <f>IFERROR(__xludf.DUMMYFUNCTION("CONCATENATE(GOOGLETRANSLATE(C5912, ""en"", ""zh-cn""))"),"Igloo 70 夸脱高级 Trailmate 轮式滚动冷却器，橄榄绿")</f>
        <v>Igloo 70 夸脱高级 Trailmate 轮式滚动冷却器，橄榄绿</v>
      </c>
      <c r="E5912" s="1" t="str">
        <f>IFERROR(__xludf.DUMMYFUNCTION("CONCATENATE(GOOGLETRANSLATE(C5912, ""en"", ""ko""))"),"Igloo 70 Qt 프리미엄 Trailmate 바퀴 달린 롤링 쿨러, 올리브 그린")</f>
        <v>Igloo 70 Qt 프리미엄 Trailmate 바퀴 달린 롤링 쿨러, 올리브 그린</v>
      </c>
      <c r="F5912" s="1" t="str">
        <f>IFERROR(__xludf.DUMMYFUNCTION("CONCATENATE(GOOGLETRANSLATE(C5912, ""en"", ""ja""))"),"Igloo 70 Qt プレミアム Trailmate ホイール付きローリング クーラー、オリーブ グリーン")</f>
        <v>Igloo 70 Qt プレミアム Trailmate ホイール付きローリング クーラー、オリーブ グリーン</v>
      </c>
    </row>
    <row r="5913" ht="15.75" customHeight="1">
      <c r="A5913" s="1">
        <v>5543.0</v>
      </c>
      <c r="B5913" s="1" t="s">
        <v>15</v>
      </c>
      <c r="C5913" s="1" t="s">
        <v>1910</v>
      </c>
      <c r="D5913" s="1" t="str">
        <f>IFERROR(__xludf.DUMMYFUNCTION("CONCATENATE(GOOGLETRANSLATE(C5913, ""en"", ""zh-cn""))"),"Vento Powerstrap R2 Aeroweave")</f>
        <v>Vento Powerstrap R2 Aeroweave</v>
      </c>
      <c r="E5913" s="1" t="str">
        <f>IFERROR(__xludf.DUMMYFUNCTION("CONCATENATE(GOOGLETRANSLATE(C5913, ""en"", ""ko""))"),"벤토 파워스트랩 R2 에어로위브")</f>
        <v>벤토 파워스트랩 R2 에어로위브</v>
      </c>
      <c r="F5913" s="1" t="str">
        <f>IFERROR(__xludf.DUMMYFUNCTION("CONCATENATE(GOOGLETRANSLATE(C5913, ""en"", ""ja""))"),"ヴェント パワーストラップ R2 エアロウィーブ")</f>
        <v>ヴェント パワーストラップ R2 エアロウィーブ</v>
      </c>
    </row>
    <row r="5914" ht="15.75" customHeight="1">
      <c r="A5914" s="1">
        <v>5555.0</v>
      </c>
      <c r="B5914" s="1" t="s">
        <v>15</v>
      </c>
      <c r="C5914" s="1" t="s">
        <v>2847</v>
      </c>
      <c r="D5914" s="1" t="str">
        <f>IFERROR(__xludf.DUMMYFUNCTION("CONCATENATE(GOOGLETRANSLATE(C5914, ""en"", ""zh-cn""))"),"Sidi Dominator 10 山地鞋")</f>
        <v>Sidi Dominator 10 山地鞋</v>
      </c>
      <c r="E5914" s="1" t="str">
        <f>IFERROR(__xludf.DUMMYFUNCTION("CONCATENATE(GOOGLETRANSLATE(C5914, ""en"", ""ko""))"),"시디 도미네이터 10 MTB 신발")</f>
        <v>시디 도미네이터 10 MTB 신발</v>
      </c>
      <c r="F5914" s="1" t="str">
        <f>IFERROR(__xludf.DUMMYFUNCTION("CONCATENATE(GOOGLETRANSLATE(C5914, ""en"", ""ja""))"),"シディ ドミネーター 10 MTB シューズ")</f>
        <v>シディ ドミネーター 10 MTB シューズ</v>
      </c>
    </row>
    <row r="5915" ht="15.75" customHeight="1">
      <c r="A5915" s="1">
        <v>5568.0</v>
      </c>
      <c r="B5915" s="1" t="s">
        <v>15</v>
      </c>
      <c r="C5915" s="1" t="s">
        <v>2377</v>
      </c>
      <c r="D5915" s="1" t="str">
        <f>IFERROR(__xludf.DUMMYFUNCTION("CONCATENATE(GOOGLETRANSLATE(C5915, ""en"", ""zh-cn""))"),"Fizik - Infinito R3，男女通用铁人三项鞋 - 成人")</f>
        <v>Fizik - Infinito R3，男女通用铁人三项鞋 - 成人</v>
      </c>
      <c r="E5915" s="1" t="str">
        <f>IFERROR(__xludf.DUMMYFUNCTION("CONCATENATE(GOOGLETRANSLATE(C5915, ""en"", ""ko""))"),"Fizik - Infinito R3, 남녀공용 트라이애슬론 신발 - 성인용")</f>
        <v>Fizik - Infinito R3, 남녀공용 트라이애슬론 신발 - 성인용</v>
      </c>
      <c r="F5915" s="1" t="str">
        <f>IFERROR(__xludf.DUMMYFUNCTION("CONCATENATE(GOOGLETRANSLATE(C5915, ""en"", ""ja""))"),"Fizik - Infinito R3、ユニセックス トライアスロン シューズ - 大人用")</f>
        <v>Fizik - Infinito R3、ユニセックス トライアスロン シューズ - 大人用</v>
      </c>
    </row>
    <row r="5916" ht="15.75" customHeight="1">
      <c r="A5916" s="1">
        <v>5581.0</v>
      </c>
      <c r="B5916" s="1" t="s">
        <v>15</v>
      </c>
      <c r="C5916" s="1" t="s">
        <v>1817</v>
      </c>
      <c r="D5916" s="1" t="str">
        <f>IFERROR(__xludf.DUMMYFUNCTION("CONCATENATE(GOOGLETRANSLATE(C5916, ""en"", ""zh-cn""))"),"Schwinn Fitness室内骑行健身车系列")</f>
        <v>Schwinn Fitness室内骑行健身车系列</v>
      </c>
      <c r="E5916" s="1" t="str">
        <f>IFERROR(__xludf.DUMMYFUNCTION("CONCATENATE(GOOGLETRANSLATE(C5916, ""en"", ""ko""))"),"Schwinn Fitness 실내 사이클링 운동 자전거 시리즈")</f>
        <v>Schwinn Fitness 실내 사이클링 운동 자전거 시리즈</v>
      </c>
      <c r="F5916" s="1" t="str">
        <f>IFERROR(__xludf.DUMMYFUNCTION("CONCATENATE(GOOGLETRANSLATE(C5916, ""en"", ""ja""))"),"Schwinn Fitness インドアサイクリングエアロバイクシリーズ")</f>
        <v>Schwinn Fitness インドアサイクリングエアロバイクシリーズ</v>
      </c>
    </row>
    <row r="5917" ht="15.75" customHeight="1">
      <c r="A5917" s="1">
        <v>5585.0</v>
      </c>
      <c r="B5917" s="1" t="s">
        <v>15</v>
      </c>
      <c r="C5917" s="1" t="s">
        <v>2782</v>
      </c>
      <c r="D5917" s="1" t="str">
        <f>IFERROR(__xludf.DUMMYFUNCTION("CONCATENATE(GOOGLETRANSLATE(C5917, ""en"", ""zh-cn""))"),"IMAGE Skincare，AGELESS 全面焕肤面膜，抗衰老去角质平滑面膜，2 盎司")</f>
        <v>IMAGE Skincare，AGELESS 全面焕肤面膜，抗衰老去角质平滑面膜，2 盎司</v>
      </c>
      <c r="E5917" s="1" t="str">
        <f>IFERROR(__xludf.DUMMYFUNCTION("CONCATENATE(GOOGLETRANSLATE(C5917, ""en"", ""ko""))"),"IMAGE 스킨케어, AGELESS 토탈 리서페이싱 마스크, 안티에이징 엑스폴리에이팅 스무딩 페이셜 마스크, 2온스")</f>
        <v>IMAGE 스킨케어, AGELESS 토탈 리서페이싱 마스크, 안티에이징 엑스폴리에이팅 스무딩 페이셜 마스크, 2온스</v>
      </c>
      <c r="F5917" s="1" t="str">
        <f>IFERROR(__xludf.DUMMYFUNCTION("CONCATENATE(GOOGLETRANSLATE(C5917, ""en"", ""ja""))"),"IMAGE スキンケア、エイジレス トータル リサーフェシング マスク、アンチエイジング エクスフォリエイティング スムージング フェイシャル マスク、2 オンス")</f>
        <v>IMAGE スキンケア、エイジレス トータル リサーフェシング マスク、アンチエイジング エクスフォリエイティング スムージング フェイシャル マスク、2 オンス</v>
      </c>
    </row>
    <row r="5918" ht="15.75" customHeight="1">
      <c r="A5918" s="1">
        <v>5588.0</v>
      </c>
      <c r="B5918" s="1" t="s">
        <v>15</v>
      </c>
      <c r="C5918" s="1" t="s">
        <v>3196</v>
      </c>
      <c r="D5918" s="1" t="str">
        <f>IFERROR(__xludf.DUMMYFUNCTION("CONCATENATE(GOOGLETRANSLATE(C5918, ""en"", ""zh-cn""))"),"香奈儿 Sublimage Le Teint 终极光彩粉底霜 No 10 米色")</f>
        <v>香奈儿 Sublimage Le Teint 终极光彩粉底霜 No 10 米色</v>
      </c>
      <c r="E5918" s="1" t="str">
        <f>IFERROR(__xludf.DUMMYFUNCTION("CONCATENATE(GOOGLETRANSLATE(C5918, ""en"", ""ko""))"),"샤넬 수블리마지 르 뗑 얼티미트 래디언스 제너레이팅 크림 파운데이션 No 10 베이지")</f>
        <v>샤넬 수블리마지 르 뗑 얼티미트 래디언스 제너레이팅 크림 파운데이션 No 10 베이지</v>
      </c>
      <c r="F5918" s="1" t="str">
        <f>IFERROR(__xludf.DUMMYFUNCTION("CONCATENATE(GOOGLETRANSLATE(C5918, ""en"", ""ja""))"),"サブリマージュ ル タン アルティメット ラディアンス ジェネレーティング クリーム ファンデーション by シャネル No 10 ベージュ")</f>
        <v>サブリマージュ ル タン アルティメット ラディアンス ジェネレーティング クリーム ファンデーション by シャネル No 10 ベージュ</v>
      </c>
    </row>
    <row r="5919" ht="15.75" customHeight="1">
      <c r="A5919" s="1">
        <v>5594.0</v>
      </c>
      <c r="B5919" s="1" t="s">
        <v>381</v>
      </c>
      <c r="C5919" s="1" t="s">
        <v>789</v>
      </c>
      <c r="D5919" s="1" t="str">
        <f>IFERROR(__xludf.DUMMYFUNCTION("CONCATENATE(GOOGLETRANSLATE(C5919, ""en"", ""zh-cn""))"),"波西米亚女式 V 领花卉印花海滩度假开叉长连衣裙")</f>
        <v>波西米亚女式 V 领花卉印花海滩度假开叉长连衣裙</v>
      </c>
      <c r="E5919" s="1" t="str">
        <f>IFERROR(__xludf.DUMMYFUNCTION("CONCATENATE(GOOGLETRANSLATE(C5919, ""en"", ""ko""))"),"보헤미안 여성 V 넥 꽃 프린트 비치 홀리데이 스플릿 맥시 드레스")</f>
        <v>보헤미안 여성 V 넥 꽃 프린트 비치 홀리데이 스플릿 맥시 드레스</v>
      </c>
      <c r="F5919" s="1" t="str">
        <f>IFERROR(__xludf.DUMMYFUNCTION("CONCATENATE(GOOGLETRANSLATE(C5919, ""en"", ""ja""))"),"ボヘミアン レディース V ネック 花柄 ビーチ ホリデー スプリット マキシ ドレス")</f>
        <v>ボヘミアン レディース V ネック 花柄 ビーチ ホリデー スプリット マキシ ドレス</v>
      </c>
    </row>
    <row r="5920" ht="15.75" customHeight="1">
      <c r="A5920" s="1">
        <v>5598.0</v>
      </c>
      <c r="B5920" s="1" t="s">
        <v>15</v>
      </c>
      <c r="C5920" s="1" t="s">
        <v>1845</v>
      </c>
      <c r="D5920" s="1" t="str">
        <f>IFERROR(__xludf.DUMMYFUNCTION("CONCATENATE(GOOGLETRANSLATE(C5920, ""en"", ""zh-cn""))"),"LiangCuber GAN 13磁悬浮旗舰磁力3x3无贴纸GAN13 M速度魔方（磨砂版）")</f>
        <v>LiangCuber GAN 13磁悬浮旗舰磁力3x3无贴纸GAN13 M速度魔方（磨砂版）</v>
      </c>
      <c r="E5920" s="1" t="str">
        <f>IFERROR(__xludf.DUMMYFUNCTION("CONCATENATE(GOOGLETRANSLATE(C5920, ""en"", ""ko""))"),"LiangCuber GAN 13 자기 부상 플래그십 마그네틱 3x3 스티커 없는 GAN13 M 스피드 큐브(반투명 버전)")</f>
        <v>LiangCuber GAN 13 자기 부상 플래그십 마그네틱 3x3 스티커 없는 GAN13 M 스피드 큐브(반투명 버전)</v>
      </c>
      <c r="F5920" s="1" t="str">
        <f>IFERROR(__xludf.DUMMYFUNCTION("CONCATENATE(GOOGLETRANSLATE(C5920, ""en"", ""ja""))"),"LiangCuber GAN 13 マグレブ旗艦 磁気 3x3 ステッカーレス GAN13 M スピード キューブ (つや消しバージョン)")</f>
        <v>LiangCuber GAN 13 マグレブ旗艦 磁気 3x3 ステッカーレス GAN13 M スピード キューブ (つや消しバージョン)</v>
      </c>
    </row>
    <row r="5921" ht="15.75" customHeight="1">
      <c r="A5921" s="1">
        <v>5600.0</v>
      </c>
      <c r="B5921" s="1" t="s">
        <v>15</v>
      </c>
      <c r="C5921" s="1" t="s">
        <v>1853</v>
      </c>
      <c r="D5921" s="1" t="str">
        <f>IFERROR(__xludf.DUMMYFUNCTION("CONCATENATE(GOOGLETRANSLATE(C5921, ""en"", ""zh-cn""))"),"带金属腿和盖子的拼图桌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5921" s="1" t="str">
        <f>IFERROR(__xludf.DUMMYFUNCTION("CONCATENATE(GOOGLETRANSLATE(C5921, ""en"", ""ko""))"),"금속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5921" s="1" t="str">
        <f>IFERROR(__xludf.DUMMYFUNCTION("CONCATENATE(GOOGLETRANSLATE(C5921, ""en"", ""ja""))"),"金属製の脚とカバー付きパズルテーブル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5922" ht="15.75" customHeight="1">
      <c r="A5922" s="1">
        <v>5603.0</v>
      </c>
      <c r="B5922" s="1" t="s">
        <v>15</v>
      </c>
      <c r="C5922" s="1" t="s">
        <v>1838</v>
      </c>
      <c r="D5922" s="1" t="str">
        <f>IFERROR(__xludf.DUMMYFUNCTION("CONCATENATE(GOOGLETRANSLATE(C5922, ""en"", ""zh-cn""))"),"Ravensburger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5922" s="1" t="str">
        <f>IFERROR(__xludf.DUMMYFUNCTION("CONCATENATE(GOOGLETRANSLATE(C5922, ""en"", ""ko""))"),"Ravensburger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5922" s="1" t="str">
        <f>IFERROR(__xludf.DUMMYFUNCTION("CONCATENATE(GOOGLETRANSLATE(C5922, ""en"", ""ja""))"),"Ravensburger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5923" ht="15.75" customHeight="1">
      <c r="A5923" s="1">
        <v>5607.0</v>
      </c>
      <c r="B5923" s="1" t="s">
        <v>15</v>
      </c>
      <c r="C5923" s="1" t="s">
        <v>1842</v>
      </c>
      <c r="D5923" s="1" t="str">
        <f>IFERROR(__xludf.DUMMYFUNCTION("CONCATENATE(GOOGLETRANSLATE(C5923, ""en"", ""zh-cn""))"),"波克芬诺 GAN Megaminx M 3x3 速度魔方 Gan 五角形磁性无贴纸魔法拼图魔方玩具")</f>
        <v>波克芬诺 GAN Megaminx M 3x3 速度魔方 Gan 五角形磁性无贴纸魔法拼图魔方玩具</v>
      </c>
      <c r="E5923" s="1" t="str">
        <f>IFERROR(__xludf.DUMMYFUNCTION("CONCATENATE(GOOGLETRANSLATE(C5923, ""en"", ""ko""))"),"Bokefenuo GAN Megaminx M 3x3 스피드 큐브 Gan 오각형 자기 스티커가없는 매직 퍼즐 큐브 장난감")</f>
        <v>Bokefenuo GAN Megaminx M 3x3 스피드 큐브 Gan 오각형 자기 스티커가없는 매직 퍼즐 큐브 장난감</v>
      </c>
      <c r="F5923" s="1" t="str">
        <f>IFERROR(__xludf.DUMMYFUNCTION("CONCATENATE(GOOGLETRANSLATE(C5923, ""en"", ""ja""))"),"Bokefenuo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5924" ht="15.75" customHeight="1">
      <c r="A5924" s="1">
        <v>5616.0</v>
      </c>
      <c r="B5924" s="1" t="s">
        <v>15</v>
      </c>
      <c r="C5924" s="1" t="s">
        <v>1846</v>
      </c>
      <c r="D5924" s="1" t="str">
        <f>IFERROR(__xludf.DUMMYFUNCTION("CONCATENATE(GOOGLETRANSLATE(C5924, ""en"", ""zh-cn""))"),"带抽屉和盖垫的拼图板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5924" s="1" t="str">
        <f>IFERROR(__xludf.DUMMYFUNCTION("CONCATENATE(GOOGLETRANSLATE(C5924, ""en"", ""ko""))"),"서랍과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5924" s="1" t="str">
        <f>IFERROR(__xludf.DUMMYFUNCTION("CONCATENATE(GOOGLETRANSLATE(C5924, ""en"", ""ja""))"),"引き出しとカバー付きパズルボード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5925" ht="15.75" customHeight="1">
      <c r="A5925" s="1">
        <v>5623.0</v>
      </c>
      <c r="B5925" s="1" t="s">
        <v>15</v>
      </c>
      <c r="C5925" s="1" t="s">
        <v>2791</v>
      </c>
      <c r="D5925" s="1" t="str">
        <f>IFERROR(__xludf.DUMMYFUNCTION("CONCATENATE(GOOGLETRANSLATE(C5925, ""en"", ""zh-cn""))"),"罗林斯| HEART OF THE HIDE 棒球手套 |轻量级 HYPERSHELL 和 SPEEDSHELL 型号 |多种风格")</f>
        <v>罗林斯| HEART OF THE HIDE 棒球手套 |轻量级 HYPERSHELL 和 SPEEDSHELL 型号 |多种风格</v>
      </c>
      <c r="E5925" s="1" t="str">
        <f>IFERROR(__xludf.DUMMYFUNCTION("CONCATENATE(GOOGLETRANSLATE(C5925, ""en"", ""ko""))"),"롤링스 | 숨은 야구 글러브의 심장 | 경량 HYPERSHELL 및 SPEEDSHELL 모델 | 다양한 스타일")</f>
        <v>롤링스 | 숨은 야구 글러브의 심장 | 경량 HYPERSHELL 및 SPEEDSHELL 모델 | 다양한 스타일</v>
      </c>
      <c r="F5925" s="1" t="str">
        <f>IFERROR(__xludf.DUMMYFUNCTION("CONCATENATE(GOOGLETRANSLATE(C5925, ""en"", ""ja""))"),"ローリングス | HEART OF THE HIDE 野球グローブ |軽量HYPERSHELL &amp; SPEEDSHELLモデル |複数のスタイル")</f>
        <v>ローリングス | HEART OF THE HIDE 野球グローブ |軽量HYPERSHELL &amp; SPEEDSHELLモデル |複数のスタイル</v>
      </c>
    </row>
    <row r="5926" ht="15.75" customHeight="1">
      <c r="A5926" s="1">
        <v>5633.0</v>
      </c>
      <c r="B5926" s="1" t="s">
        <v>15</v>
      </c>
      <c r="C5926" s="1" t="s">
        <v>1847</v>
      </c>
      <c r="D5926" s="1" t="str">
        <f>IFERROR(__xludf.DUMMYFUNCTION("CONCATENATE(GOOGLETRANSLATE(C5926, ""en"", ""zh-cn""))"),"Bukefuno GAN 12 Maglev 3x3 磁性魔方 GAN12Maglev Speed GAN 12Maglev 拼图魔方 GAN12 Maglev 3x3 魔方（磨砂表面无贴纸）")</f>
        <v>Bukefuno GAN 12 Maglev 3x3 磁性魔方 GAN12Maglev Speed GAN 12Maglev 拼图魔方 GAN12 Maglev 3x3 魔方（磨砂表面无贴纸）</v>
      </c>
      <c r="E5926" s="1" t="str">
        <f>IFERROR(__xludf.DUMMYFUNCTION("CONCATENATE(GOOGLETRANSLATE(C5926, ""en"", ""ko""))"),"Bukefuno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5926" s="1" t="str">
        <f>IFERROR(__xludf.DUMMYFUNCTION("CONCATENATE(GOOGLETRANSLATE(C5926, ""en"", ""ja""))"),"Bukefuno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5927" ht="15.75" customHeight="1">
      <c r="A5927" s="1">
        <v>5643.0</v>
      </c>
      <c r="B5927" s="1" t="s">
        <v>15</v>
      </c>
      <c r="C5927" s="1" t="s">
        <v>1649</v>
      </c>
      <c r="D5927" s="1" t="str">
        <f>IFERROR(__xludf.DUMMYFUNCTION("CONCATENATE(GOOGLETRANSLATE(C5927, ""en"", ""zh-cn""))"),"GAN 机器人，魔方解谜机自动解谜器和解谜器，兼容 GAN 356i2 i3 iplay iCarry Speed Cubes（不含魔方）和最新版本 APP")</f>
        <v>GAN 机器人，魔方解谜机自动解谜器和解谜器，兼容 GAN 356i2 i3 iplay iCarry Speed Cubes（不含魔方）和最新版本 APP</v>
      </c>
      <c r="E5927" s="1" t="str">
        <f>IFERROR(__xludf.DUMMYFUNCTION("CONCATENATE(GOOGLETRANSLATE(C5927, ""en"", ""ko""))"),"GAN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5927" s="1" t="str">
        <f>IFERROR(__xludf.DUMMYFUNCTION("CONCATENATE(GOOGLETRANSLATE(C5927, ""en"", ""ja""))"),"GAN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5928" ht="15.75" customHeight="1">
      <c r="A5928" s="1">
        <v>5645.0</v>
      </c>
      <c r="B5928" s="1" t="s">
        <v>15</v>
      </c>
      <c r="C5928" s="1" t="s">
        <v>1907</v>
      </c>
      <c r="D5928" s="1" t="str">
        <f>IFERROR(__xludf.DUMMYFUNCTION("CONCATENATE(GOOGLETRANSLATE(C5928, ""en"", ""zh-cn""))"),"Lenovo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5928" s="1" t="str">
        <f>IFERROR(__xludf.DUMMYFUNCTION("CONCATENATE(GOOGLETRANSLATE(C5928, ""en"", ""ko""))"),"Lenovo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5928" s="1" t="str">
        <f>IFERROR(__xludf.DUMMYFUNCTION("CONCATENATE(GOOGLETRANSLATE(C5928, ""en"", ""ja""))"),"Lenovo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5929" ht="15.75" customHeight="1">
      <c r="A5929" s="1">
        <v>5646.0</v>
      </c>
      <c r="B5929" s="1" t="s">
        <v>15</v>
      </c>
      <c r="C5929" s="1" t="s">
        <v>1851</v>
      </c>
      <c r="D5929" s="1" t="str">
        <f>IFERROR(__xludf.DUMMYFUNCTION("CONCATENATE(GOOGLETRANSLATE(C5929, ""en"", ""zh-cn""))"),"GAN Megaminx M，五角磁力测速魔方，无贴纸")</f>
        <v>GAN Megaminx M，五角磁力测速魔方，无贴纸</v>
      </c>
      <c r="E5929" s="1" t="str">
        <f>IFERROR(__xludf.DUMMYFUNCTION("CONCATENATE(GOOGLETRANSLATE(C5929, ""en"", ""ko""))"),"GAN Megaminx M, 오각형 자기 속도 큐브, 스티커 없음")</f>
        <v>GAN Megaminx M, 오각형 자기 속도 큐브, 스티커 없음</v>
      </c>
      <c r="F5929" s="1" t="str">
        <f>IFERROR(__xludf.DUMMYFUNCTION("CONCATENATE(GOOGLETRANSLATE(C5929, ""en"", ""ja""))"),"GAN メガミンクス M、五角形磁気スピードキューブ、ステッカーレス")</f>
        <v>GAN メガミンクス M、五角形磁気スピードキューブ、ステッカーレス</v>
      </c>
    </row>
    <row r="5930" ht="15.75" customHeight="1">
      <c r="A5930" s="1">
        <v>5656.0</v>
      </c>
      <c r="B5930" s="1" t="s">
        <v>381</v>
      </c>
      <c r="C5930" s="1" t="s">
        <v>798</v>
      </c>
      <c r="D5930" s="1" t="str">
        <f>IFERROR(__xludf.DUMMYFUNCTION("CONCATENATE(GOOGLETRANSLATE(C5930, ""en"", ""zh-cn""))"),"女式纯色 V 领长袖休闲长连衣裙")</f>
        <v>女式纯色 V 领长袖休闲长连衣裙</v>
      </c>
      <c r="E5930" s="1" t="str">
        <f>IFERROR(__xludf.DUMMYFUNCTION("CONCATENATE(GOOGLETRANSLATE(C5930, ""en"", ""ko""))"),"여성 솔리드 컬러 V 넥 긴 소매 인과 맥시 드레스")</f>
        <v>여성 솔리드 컬러 V 넥 긴 소매 인과 맥시 드레스</v>
      </c>
      <c r="F5930" s="1" t="str">
        <f>IFERROR(__xludf.DUMMYFUNCTION("CONCATENATE(GOOGLETRANSLATE(C5930, ""en"", ""ja""))"),"女性ソリッドカラー V ネック長袖カジュアルマキシドレス")</f>
        <v>女性ソリッドカラー V ネック長袖カジュアルマキシドレス</v>
      </c>
    </row>
    <row r="5931" ht="15.75" customHeight="1">
      <c r="A5931" s="1">
        <v>5659.0</v>
      </c>
      <c r="B5931" s="1" t="s">
        <v>15</v>
      </c>
      <c r="C5931" s="1" t="s">
        <v>1852</v>
      </c>
      <c r="D5931" s="1" t="str">
        <f>IFERROR(__xludf.DUMMYFUNCTION("CONCATENATE(GOOGLETRANSLATE(C5931, ""en"", ""zh-cn""))"),"Roxenda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5931" s="1" t="str">
        <f>IFERROR(__xludf.DUMMYFUNCTION("CONCATENATE(GOOGLETRANSLATE(C5931, ""en"", ""ko""))"),"Roxenda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5931" s="1" t="str">
        <f>IFERROR(__xludf.DUMMYFUNCTION("CONCATENATE(GOOGLETRANSLATE(C5931, ""en"", ""ja""))"),"Roxenda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5932" ht="15.75" customHeight="1">
      <c r="A5932" s="1">
        <v>5671.0</v>
      </c>
      <c r="B5932" s="1" t="s">
        <v>15</v>
      </c>
      <c r="C5932" s="1" t="s">
        <v>1843</v>
      </c>
      <c r="D5932" s="1" t="str">
        <f>IFERROR(__xludf.DUMMYFUNCTION("CONCATENATE(GOOGLETRANSLATE(C5932, ""en"", ""zh-cn""))"),"BroMocube 的 GAN 11M Pro 3x3 速度魔方 GAN 11 磁性拼图魔方 Gan11M 魔方（GAN 11 M Pro 磨砂无贴纸（黑色））")</f>
        <v>BroMocube 的 GAN 11M Pro 3x3 速度魔方 GAN 11 磁性拼图魔方 Gan11M 魔方（GAN 11 M Pro 磨砂无贴纸（黑色））</v>
      </c>
      <c r="E5932" s="1" t="str">
        <f>IFERROR(__xludf.DUMMYFUNCTION("CONCATENATE(GOOGLETRANSLATE(C5932, ""en"", ""ko""))"),"GAN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5932" s="1" t="str">
        <f>IFERROR(__xludf.DUMMYFUNCTION("CONCATENATE(GOOGLETRANSLATE(C5932, ""en"", ""ja""))"),"GAN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5933" ht="15.75" customHeight="1">
      <c r="A5933" s="1">
        <v>5672.0</v>
      </c>
      <c r="B5933" s="1" t="s">
        <v>15</v>
      </c>
      <c r="C5933" s="1" t="s">
        <v>1850</v>
      </c>
      <c r="D5933" s="1" t="str">
        <f>IFERROR(__xludf.DUMMYFUNCTION("CONCATENATE(GOOGLETRANSLATE(C5933, ""en"", ""zh-cn""))"),"GAN 13 磁悬浮磨砂涂层，磁性速度魔方 3x3 无贴纸 56 毫米磁铁魔方拼图玩具，GAN 2022 旗舰")</f>
        <v>GAN 13 磁悬浮磨砂涂层，磁性速度魔方 3x3 无贴纸 56 毫米磁铁魔方拼图玩具，GAN 2022 旗舰</v>
      </c>
      <c r="E5933" s="1" t="str">
        <f>IFERROR(__xludf.DUMMYFUNCTION("CONCATENATE(GOOGLETRANSLATE(C5933, ""en"", ""ko""))"),"GAN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5933" s="1" t="str">
        <f>IFERROR(__xludf.DUMMYFUNCTION("CONCATENATE(GOOGLETRANSLATE(C5933, ""en"", ""ja""))"),"GAN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5934" ht="15.75" customHeight="1">
      <c r="A5934" s="1">
        <v>5680.0</v>
      </c>
      <c r="B5934" s="1" t="s">
        <v>15</v>
      </c>
      <c r="C5934" s="1" t="s">
        <v>4905</v>
      </c>
      <c r="D5934" s="1" t="str">
        <f>IFERROR(__xludf.DUMMYFUNCTION("CONCATENATE(GOOGLETRANSLATE(C5934, ""en"", ""zh-cn""))"),"Fashion to Figure 扭领锁孔中长连衣裙")</f>
        <v>Fashion to Figure 扭领锁孔中长连衣裙</v>
      </c>
      <c r="E5934" s="1" t="str">
        <f>IFERROR(__xludf.DUMMYFUNCTION("CONCATENATE(GOOGLETRANSLATE(C5934, ""en"", ""ko""))"),"패션 투 피겨 트위스트 넥 키홀 미디 드레스")</f>
        <v>패션 투 피겨 트위스트 넥 키홀 미디 드레스</v>
      </c>
      <c r="F5934" s="1" t="str">
        <f>IFERROR(__xludf.DUMMYFUNCTION("CONCATENATE(GOOGLETRANSLATE(C5934, ""en"", ""ja""))"),"ファッショントゥフィギュアツイストネックキーホールミディドレス")</f>
        <v>ファッショントゥフィギュアツイストネックキーホールミディドレス</v>
      </c>
    </row>
    <row r="5935" ht="15.75" customHeight="1">
      <c r="A5935" s="1">
        <v>5706.0</v>
      </c>
      <c r="B5935" s="1" t="s">
        <v>15</v>
      </c>
      <c r="C5935" s="1" t="s">
        <v>4906</v>
      </c>
      <c r="D5935" s="1" t="str">
        <f>IFERROR(__xludf.DUMMYFUNCTION("CONCATENATE(GOOGLETRANSLATE(C5935, ""en"", ""zh-cn""))"),"Abercrombie &amp; Fitch 女式亚麻混纺高领上衣")</f>
        <v>Abercrombie &amp; Fitch 女式亚麻混纺高领上衣</v>
      </c>
      <c r="E5935" s="1" t="str">
        <f>IFERROR(__xludf.DUMMYFUNCTION("CONCATENATE(GOOGLETRANSLATE(C5935, ""en"", ""ko""))"),"Abercrombie &amp; Fitch 여성용 리넨 블렌드 하이넥 탑")</f>
        <v>Abercrombie &amp; Fitch 여성용 리넨 블렌드 하이넥 탑</v>
      </c>
      <c r="F5935" s="1" t="str">
        <f>IFERROR(__xludf.DUMMYFUNCTION("CONCATENATE(GOOGLETRANSLATE(C5935, ""en"", ""ja""))"),"アバクロ レディース リネンブレンド ハイネック トップ")</f>
        <v>アバクロ レディース リネンブレンド ハイネック トップ</v>
      </c>
    </row>
    <row r="5936" ht="15.75" customHeight="1">
      <c r="A5936" s="1">
        <v>5714.0</v>
      </c>
      <c r="B5936" s="1" t="s">
        <v>15</v>
      </c>
      <c r="C5936" s="1" t="s">
        <v>4907</v>
      </c>
      <c r="D5936" s="1" t="str">
        <f>IFERROR(__xludf.DUMMYFUNCTION("CONCATENATE(GOOGLETRANSLATE(C5936, ""en"", ""zh-cn""))"),"Bonobos 男士日​​常休闲衬衫")</f>
        <v>Bonobos 男士日​​常休闲衬衫</v>
      </c>
      <c r="E5936" s="1" t="str">
        <f>IFERROR(__xludf.DUMMYFUNCTION("CONCATENATE(GOOGLETRANSLATE(C5936, ""en"", ""ko""))"),"Bonobos 남성용 일상 캐주얼 셔츠")</f>
        <v>Bonobos 남성용 일상 캐주얼 셔츠</v>
      </c>
      <c r="F5936" s="1" t="str">
        <f>IFERROR(__xludf.DUMMYFUNCTION("CONCATENATE(GOOGLETRANSLATE(C5936, ""en"", ""ja""))"),"Bonobos メンズ エブリデイ カジュアル シャツ")</f>
        <v>Bonobos メンズ エブリデイ カジュアル シャツ</v>
      </c>
    </row>
    <row r="5937" ht="15.75" customHeight="1">
      <c r="A5937" s="1">
        <v>5717.0</v>
      </c>
      <c r="B5937" s="1" t="s">
        <v>15</v>
      </c>
      <c r="C5937" s="1" t="s">
        <v>4908</v>
      </c>
      <c r="D5937" s="1" t="str">
        <f>IFERROR(__xludf.DUMMYFUNCTION("CONCATENATE(GOOGLETRANSLATE(C5937, ""en"", ""zh-cn""))"),"Fashion Nova 男式 Dre 仿麂皮长袖纽扣衬衫")</f>
        <v>Fashion Nova 男式 Dre 仿麂皮长袖纽扣衬衫</v>
      </c>
      <c r="E5937" s="1" t="str">
        <f>IFERROR(__xludf.DUMMYFUNCTION("CONCATENATE(GOOGLETRANSLATE(C5937, ""en"", ""ko""))"),"패션 노바 남성 드레 인조 스웨이드 긴 소매 버튼 업 셔츠")</f>
        <v>패션 노바 남성 드레 인조 스웨이드 긴 소매 버튼 업 셔츠</v>
      </c>
      <c r="F5937" s="1" t="str">
        <f>IFERROR(__xludf.DUMMYFUNCTION("CONCATENATE(GOOGLETRANSLATE(C5937, ""en"", ""ja""))"),"Fashion Nova メンズ Dre フェイクスエード長袖ボタンアップシャツ")</f>
        <v>Fashion Nova メンズ Dre フェイクスエード長袖ボタンアップシャツ</v>
      </c>
    </row>
    <row r="5938" ht="15.75" customHeight="1">
      <c r="A5938" s="1">
        <v>5720.0</v>
      </c>
      <c r="B5938" s="1" t="s">
        <v>15</v>
      </c>
      <c r="C5938" s="1" t="s">
        <v>4909</v>
      </c>
      <c r="D5938" s="1" t="str">
        <f>IFERROR(__xludf.DUMMYFUNCTION("CONCATENATE(GOOGLETRANSLATE(C5938, ""en"", ""zh-cn""))"),"Kenneth Cole 男士经典羊毛短外套")</f>
        <v>Kenneth Cole 男士经典羊毛短外套</v>
      </c>
      <c r="E5938" s="1" t="str">
        <f>IFERROR(__xludf.DUMMYFUNCTION("CONCATENATE(GOOGLETRANSLATE(C5938, ""en"", ""ko""))"),"케네스콜 남성 클래식 울 피코트")</f>
        <v>케네스콜 남성 클래식 울 피코트</v>
      </c>
      <c r="F5938" s="1" t="str">
        <f>IFERROR(__xludf.DUMMYFUNCTION("CONCATENATE(GOOGLETRANSLATE(C5938, ""en"", ""ja""))"),"Kenneth Cole メンズ クラシック ウール ピーコート")</f>
        <v>Kenneth Cole メンズ クラシック ウール ピーコート</v>
      </c>
    </row>
    <row r="5939" ht="15.75" customHeight="1">
      <c r="A5939" s="1">
        <v>5721.0</v>
      </c>
      <c r="B5939" s="1" t="s">
        <v>15</v>
      </c>
      <c r="C5939" s="1" t="s">
        <v>1923</v>
      </c>
      <c r="D5939" s="1" t="str">
        <f>IFERROR(__xludf.DUMMYFUNCTION("CONCATENATE(GOOGLETRANSLATE(C5939, ""en"", ""zh-cn""))"),"Hollister 男士宽松连帽衫")</f>
        <v>Hollister 男士宽松连帽衫</v>
      </c>
      <c r="E5939" s="1" t="str">
        <f>IFERROR(__xludf.DUMMYFUNCTION("CONCATENATE(GOOGLETRANSLATE(C5939, ""en"", ""ko""))"),"홀리스터 남성용 배기 후디")</f>
        <v>홀리스터 남성용 배기 후디</v>
      </c>
      <c r="F5939" s="1" t="str">
        <f>IFERROR(__xludf.DUMMYFUNCTION("CONCATENATE(GOOGLETRANSLATE(C5939, ""en"", ""ja""))"),"Hollister メンズ バギー パーカー")</f>
        <v>Hollister メンズ バギー パーカー</v>
      </c>
    </row>
    <row r="5940" ht="15.75" customHeight="1">
      <c r="A5940" s="1">
        <v>5727.0</v>
      </c>
      <c r="B5940" s="1" t="s">
        <v>15</v>
      </c>
      <c r="C5940" s="1" t="s">
        <v>4910</v>
      </c>
      <c r="D5940" s="1" t="str">
        <f>IFERROR(__xludf.DUMMYFUNCTION("CONCATENATE(GOOGLETRANSLATE(C5940, ""en"", ""zh-cn""))"),"Carbon2cobalt 男士棉质短袖日夜印花衬衫")</f>
        <v>Carbon2cobalt 男士棉质短袖日夜印花衬衫</v>
      </c>
      <c r="E5940" s="1" t="str">
        <f>IFERROR(__xludf.DUMMYFUNCTION("CONCATENATE(GOOGLETRANSLATE(C5940, ""en"", ""ko""))"),"Carbon2cobalt 남성용 면 반팔 나이트 &amp; 데이 프린트 셔츠")</f>
        <v>Carbon2cobalt 남성용 면 반팔 나이트 &amp; 데이 프린트 셔츠</v>
      </c>
      <c r="F5940" s="1" t="str">
        <f>IFERROR(__xludf.DUMMYFUNCTION("CONCATENATE(GOOGLETRANSLATE(C5940, ""en"", ""ja""))"),"Carbon2cobalt メンズ コットン 半袖 ナイト&amp;デイ プリント シャツ")</f>
        <v>Carbon2cobalt メンズ コットン 半袖 ナイト&amp;デイ プリント シャツ</v>
      </c>
    </row>
    <row r="5941" ht="15.75" customHeight="1">
      <c r="A5941" s="1">
        <v>5728.0</v>
      </c>
      <c r="B5941" s="1" t="s">
        <v>15</v>
      </c>
      <c r="C5941" s="1" t="s">
        <v>4911</v>
      </c>
      <c r="D5941" s="1" t="str">
        <f>IFERROR(__xludf.DUMMYFUNCTION("CONCATENATE(GOOGLETRANSLATE(C5941, ""en"", ""zh-cn""))"),"Calvin Klein 男士 Prosper 羊毛混纺修身大衣")</f>
        <v>Calvin Klein 男士 Prosper 羊毛混纺修身大衣</v>
      </c>
      <c r="E5941" s="1" t="str">
        <f>IFERROR(__xludf.DUMMYFUNCTION("CONCATENATE(GOOGLETRANSLATE(C5941, ""en"", ""ko""))"),"Calvin Klein 남성 프로스퍼 울 블렌드 슬림핏 오버코트")</f>
        <v>Calvin Klein 남성 프로스퍼 울 블렌드 슬림핏 오버코트</v>
      </c>
      <c r="F5941" s="1" t="str">
        <f>IFERROR(__xludf.DUMMYFUNCTION("CONCATENATE(GOOGLETRANSLATE(C5941, ""en"", ""ja""))"),"Calvin Klein メンズ プロスパー ウールブレンド スリムフィット オーバーコート")</f>
        <v>Calvin Klein メンズ プロスパー ウールブレンド スリムフィット オーバーコート</v>
      </c>
    </row>
    <row r="5942" ht="15.75" customHeight="1">
      <c r="A5942" s="1">
        <v>5730.0</v>
      </c>
      <c r="B5942" s="1" t="s">
        <v>15</v>
      </c>
      <c r="C5942" s="1" t="s">
        <v>4912</v>
      </c>
      <c r="D5942" s="1" t="str">
        <f>IFERROR(__xludf.DUMMYFUNCTION("CONCATENATE(GOOGLETRANSLATE(C5942, ""en"", ""zh-cn""))"),"Polo Ralph Lauren 男士抓绒连帽衫")</f>
        <v>Polo Ralph Lauren 男士抓绒连帽衫</v>
      </c>
      <c r="E5942" s="1" t="str">
        <f>IFERROR(__xludf.DUMMYFUNCTION("CONCATENATE(GOOGLETRANSLATE(C5942, ""en"", ""ko""))"),"폴로 랄프 로렌 남성 플리스 후디")</f>
        <v>폴로 랄프 로렌 남성 플리스 후디</v>
      </c>
      <c r="F5942" s="1" t="str">
        <f>IFERROR(__xludf.DUMMYFUNCTION("CONCATENATE(GOOGLETRANSLATE(C5942, ""en"", ""ja""))"),"ポロ ラルフローレン メンズ フリース パーカー")</f>
        <v>ポロ ラルフローレン メンズ フリース パーカー</v>
      </c>
    </row>
    <row r="5943" ht="15.75" customHeight="1">
      <c r="A5943" s="1">
        <v>5734.0</v>
      </c>
      <c r="B5943" s="1" t="s">
        <v>15</v>
      </c>
      <c r="C5943" s="1" t="s">
        <v>4913</v>
      </c>
      <c r="D5943" s="1" t="str">
        <f>IFERROR(__xludf.DUMMYFUNCTION("CONCATENATE(GOOGLETRANSLATE(C5943, ""en"", ""zh-cn""))"),"Express 男式校队徽标拉绒抓绒连帽衫")</f>
        <v>Express 男式校队徽标拉绒抓绒连帽衫</v>
      </c>
      <c r="E5943" s="1" t="str">
        <f>IFERROR(__xludf.DUMMYFUNCTION("CONCATENATE(GOOGLETRANSLATE(C5943, ""en"", ""ko""))"),"Express 남성용 바시티 로고 브러쉬드 플리스 후디")</f>
        <v>Express 남성용 바시티 로고 브러쉬드 플리스 후디</v>
      </c>
      <c r="F5943" s="1" t="str">
        <f>IFERROR(__xludf.DUMMYFUNCTION("CONCATENATE(GOOGLETRANSLATE(C5943, ""en"", ""ja""))"),"Express メンズ Varsity ロゴ ブラッシュ フリース パーカー")</f>
        <v>Express メンズ Varsity ロゴ ブラッシュ フリース パーカー</v>
      </c>
    </row>
    <row r="5944" ht="15.75" customHeight="1">
      <c r="A5944" s="1">
        <v>5751.0</v>
      </c>
      <c r="B5944" s="1" t="s">
        <v>15</v>
      </c>
      <c r="C5944" s="1" t="s">
        <v>4914</v>
      </c>
      <c r="D5944" s="1" t="str">
        <f>IFERROR(__xludf.DUMMYFUNCTION("CONCATENATE(GOOGLETRANSLATE(C5944, ""en"", ""zh-cn""))"),"Tommy Hilfiger 男士现代剪裁灯芯绒运动外套")</f>
        <v>Tommy Hilfiger 男士现代剪裁灯芯绒运动外套</v>
      </c>
      <c r="E5944" s="1" t="str">
        <f>IFERROR(__xludf.DUMMYFUNCTION("CONCATENATE(GOOGLETRANSLATE(C5944, ""en"", ""ko""))"),"Tommy Hilfiger 남성 모던핏 코듀로이 스포츠 코트")</f>
        <v>Tommy Hilfiger 남성 모던핏 코듀로이 스포츠 코트</v>
      </c>
      <c r="F5944" s="1" t="str">
        <f>IFERROR(__xludf.DUMMYFUNCTION("CONCATENATE(GOOGLETRANSLATE(C5944, ""en"", ""ja""))"),"トミー ヒルフィガー メンズ モダンフィット コーデュロイ スポーツ コート")</f>
        <v>トミー ヒルフィガー メンズ モダンフィット コーデュロイ スポーツ コート</v>
      </c>
    </row>
    <row r="5945" ht="15.75" customHeight="1">
      <c r="A5945" s="1">
        <v>5772.0</v>
      </c>
      <c r="B5945" s="1" t="s">
        <v>15</v>
      </c>
      <c r="C5945" s="1" t="s">
        <v>4915</v>
      </c>
      <c r="D5945" s="1" t="str">
        <f>IFERROR(__xludf.DUMMYFUNCTION("CONCATENATE(GOOGLETRANSLATE(C5945, ""en"", ""zh-cn""))"),"罗技 MX Master 3S")</f>
        <v>罗技 MX Master 3S</v>
      </c>
      <c r="E5945" s="1" t="str">
        <f>IFERROR(__xludf.DUMMYFUNCTION("CONCATENATE(GOOGLETRANSLATE(C5945, ""en"", ""ko""))"),"로지텍 MX 마스터 3S")</f>
        <v>로지텍 MX 마스터 3S</v>
      </c>
      <c r="F5945" s="1" t="str">
        <f>IFERROR(__xludf.DUMMYFUNCTION("CONCATENATE(GOOGLETRANSLATE(C5945, ""en"", ""ja""))"),"ロジクール MX マスター 3S")</f>
        <v>ロジクール MX マスター 3S</v>
      </c>
    </row>
    <row r="5946" ht="15.75" customHeight="1">
      <c r="A5946" s="1">
        <v>5777.0</v>
      </c>
      <c r="B5946" s="1" t="s">
        <v>15</v>
      </c>
      <c r="C5946" s="1" t="s">
        <v>4916</v>
      </c>
      <c r="D5946" s="1" t="str">
        <f>IFERROR(__xludf.DUMMYFUNCTION("CONCATENATE(GOOGLETRANSLATE(C5946, ""en"", ""zh-cn""))"),"Razer Tomahawk Mini-ITX 电脑机箱")</f>
        <v>Razer Tomahawk Mini-ITX 电脑机箱</v>
      </c>
      <c r="E5946" s="1" t="str">
        <f>IFERROR(__xludf.DUMMYFUNCTION("CONCATENATE(GOOGLETRANSLATE(C5946, ""en"", ""ko""))"),"Razer Tomahawk Mini-ITX 컴퓨터 케이스")</f>
        <v>Razer Tomahawk Mini-ITX 컴퓨터 케이스</v>
      </c>
      <c r="F5946" s="1" t="str">
        <f>IFERROR(__xludf.DUMMYFUNCTION("CONCATENATE(GOOGLETRANSLATE(C5946, ""en"", ""ja""))"),"Razer Tomahawk Mini-ITX コンピューター ケース")</f>
        <v>Razer Tomahawk Mini-ITX コンピューター ケース</v>
      </c>
    </row>
    <row r="5947" ht="15.75" customHeight="1">
      <c r="A5947" s="1">
        <v>5784.0</v>
      </c>
      <c r="B5947" s="1" t="s">
        <v>15</v>
      </c>
      <c r="C5947" s="1" t="s">
        <v>4917</v>
      </c>
      <c r="D5947" s="1" t="str">
        <f>IFERROR(__xludf.DUMMYFUNCTION("CONCATENATE(GOOGLETRANSLATE(C5947, ""en"", ""zh-cn""))"),"戴尔 KM3322W 无线键盘和鼠标")</f>
        <v>戴尔 KM3322W 无线键盘和鼠标</v>
      </c>
      <c r="E5947" s="1" t="str">
        <f>IFERROR(__xludf.DUMMYFUNCTION("CONCATENATE(GOOGLETRANSLATE(C5947, ""en"", ""ko""))"),"Dell KM3322W 무선 키보드 및 마우스")</f>
        <v>Dell KM3322W 무선 키보드 및 마우스</v>
      </c>
      <c r="F5947" s="1" t="str">
        <f>IFERROR(__xludf.DUMMYFUNCTION("CONCATENATE(GOOGLETRANSLATE(C5947, ""en"", ""ja""))"),"Dell KM3322W ワイヤレス キーボードおよびマウス")</f>
        <v>Dell KM3322W ワイヤレス キーボードおよびマウス</v>
      </c>
    </row>
    <row r="5948" ht="15.75" customHeight="1">
      <c r="A5948" s="1">
        <v>5790.0</v>
      </c>
      <c r="B5948" s="1" t="s">
        <v>15</v>
      </c>
      <c r="C5948" s="1" t="s">
        <v>4918</v>
      </c>
      <c r="D5948" s="1" t="str">
        <f>IFERROR(__xludf.DUMMYFUNCTION("CONCATENATE(GOOGLETRANSLATE(C5948, ""en"", ""zh-cn""))"),"Corsair iCUE Link 3500X RGB 中塔式 PC 机箱")</f>
        <v>Corsair iCUE Link 3500X RGB 中塔式 PC 机箱</v>
      </c>
      <c r="E5948" s="1" t="str">
        <f>IFERROR(__xludf.DUMMYFUNCTION("CONCATENATE(GOOGLETRANSLATE(C5948, ""en"", ""ko""))"),"Corsair iCUE Link 3500X RGB 미드 타워 PC 케이스")</f>
        <v>Corsair iCUE Link 3500X RGB 미드 타워 PC 케이스</v>
      </c>
      <c r="F5948" s="1" t="str">
        <f>IFERROR(__xludf.DUMMYFUNCTION("CONCATENATE(GOOGLETRANSLATE(C5948, ""en"", ""ja""))"),"Corsair iCUE Link 3500X RGB ミッドタワー PC ケース")</f>
        <v>Corsair iCUE Link 3500X RGB ミッドタワー PC ケース</v>
      </c>
    </row>
    <row r="5949" ht="15.75" customHeight="1">
      <c r="A5949" s="1">
        <v>5808.0</v>
      </c>
      <c r="B5949" s="1" t="s">
        <v>15</v>
      </c>
      <c r="C5949" s="1" t="s">
        <v>4919</v>
      </c>
      <c r="D5949" s="1" t="str">
        <f>IFERROR(__xludf.DUMMYFUNCTION("CONCATENATE(GOOGLETRANSLATE(C5949, ""en"", ""zh-cn""))"),"东点运动羽毛球套装")</f>
        <v>东点运动羽毛球套装</v>
      </c>
      <c r="E5949" s="1" t="str">
        <f>IFERROR(__xludf.DUMMYFUNCTION("CONCATENATE(GOOGLETRANSLATE(C5949, ""en"", ""ko""))"),"EastPoint 스포츠 배드민턴 세트")</f>
        <v>EastPoint 스포츠 배드민턴 세트</v>
      </c>
      <c r="F5949" s="1" t="str">
        <f>IFERROR(__xludf.DUMMYFUNCTION("CONCATENATE(GOOGLETRANSLATE(C5949, ""en"", ""ja""))"),"EastPoint スポーツ バドミントン セット")</f>
        <v>EastPoint スポーツ バドミントン セット</v>
      </c>
    </row>
    <row r="5950" ht="15.75" customHeight="1">
      <c r="A5950" s="1">
        <v>5868.0</v>
      </c>
      <c r="B5950" s="1" t="s">
        <v>15</v>
      </c>
      <c r="C5950" s="1" t="s">
        <v>4920</v>
      </c>
      <c r="D5950" s="1" t="str">
        <f>IFERROR(__xludf.DUMMYFUNCTION("CONCATENATE(GOOGLETRANSLATE(C5950, ""en"", ""zh-cn""))"),"天梭 Gentleman Powermatic 80 硅 18K 金男士表圈手表")</f>
        <v>天梭 Gentleman Powermatic 80 硅 18K 金男士表圈手表</v>
      </c>
      <c r="E5950" s="1" t="str">
        <f>IFERROR(__xludf.DUMMYFUNCTION("CONCATENATE(GOOGLETRANSLATE(C5950, ""en"", ""ko""))"),"티쏘 젠틀맨 파워매틱 80 규소 18K 골드 남성용 베젤 시계")</f>
        <v>티쏘 젠틀맨 파워매틱 80 규소 18K 골드 남성용 베젤 시계</v>
      </c>
      <c r="F5950" s="1" t="str">
        <f>IFERROR(__xludf.DUMMYFUNCTION("CONCATENATE(GOOGLETRANSLATE(C5950, ""en"", ""ja""))"),"ティソ ジェントルマン パワーマティック 80 シリシウム 18K ゴールド メンズ ベゼル ウォッチ")</f>
        <v>ティソ ジェントルマン パワーマティック 80 シリシウム 18K ゴールド メンズ ベゼル ウォッチ</v>
      </c>
    </row>
    <row r="5951" ht="15.75" customHeight="1">
      <c r="A5951" s="1">
        <v>5872.0</v>
      </c>
      <c r="B5951" s="1" t="s">
        <v>15</v>
      </c>
      <c r="C5951" s="1" t="s">
        <v>4921</v>
      </c>
      <c r="D5951" s="1" t="str">
        <f>IFERROR(__xludf.DUMMYFUNCTION("CONCATENATE(GOOGLETRANSLATE(C5951, ""en"", ""zh-cn""))"),"九西女士水晶装饰手链手表")</f>
        <v>九西女士水晶装饰手链手表</v>
      </c>
      <c r="E5951" s="1" t="str">
        <f>IFERROR(__xludf.DUMMYFUNCTION("CONCATENATE(GOOGLETRANSLATE(C5951, ""en"", ""ko""))"),"Nine West 여성용 크리스탈 액센트 팔찌 시계")</f>
        <v>Nine West 여성용 크리스탈 액센트 팔찌 시계</v>
      </c>
      <c r="F5951" s="1" t="str">
        <f>IFERROR(__xludf.DUMMYFUNCTION("CONCATENATE(GOOGLETRANSLATE(C5951, ""en"", ""ja""))"),"Nine West レディース クリスタル アクセント ブレスレット ウォッチ")</f>
        <v>Nine West レディース クリスタル アクセント ブレスレット ウォッチ</v>
      </c>
    </row>
    <row r="5952" ht="15.75" customHeight="1">
      <c r="A5952" s="1">
        <v>5873.0</v>
      </c>
      <c r="B5952" s="1" t="s">
        <v>15</v>
      </c>
      <c r="C5952" s="1" t="s">
        <v>4922</v>
      </c>
      <c r="D5952" s="1" t="str">
        <f>IFERROR(__xludf.DUMMYFUNCTION("CONCATENATE(GOOGLETRANSLATE(C5952, ""en"", ""zh-cn""))"),"立森可调节手机支架")</f>
        <v>立森可调节手机支架</v>
      </c>
      <c r="E5952" s="1" t="str">
        <f>IFERROR(__xludf.DUMMYFUNCTION("CONCATENATE(GOOGLETRANSLATE(C5952, ""en"", ""ko""))"),"Lisen 조절 가능한 휴대폰 스탠드")</f>
        <v>Lisen 조절 가능한 휴대폰 스탠드</v>
      </c>
      <c r="F5952" s="1" t="str">
        <f>IFERROR(__xludf.DUMMYFUNCTION("CONCATENATE(GOOGLETRANSLATE(C5952, ""en"", ""ja""))"),"Lisen 調節可能な携帯電話スタンド")</f>
        <v>Lisen 調節可能な携帯電話スタンド</v>
      </c>
    </row>
    <row r="5953" ht="15.75" customHeight="1">
      <c r="A5953" s="1">
        <v>5875.0</v>
      </c>
      <c r="B5953" s="1" t="s">
        <v>15</v>
      </c>
      <c r="C5953" s="1" t="s">
        <v>4923</v>
      </c>
      <c r="D5953" s="1" t="str">
        <f>IFERROR(__xludf.DUMMYFUNCTION("CONCATENATE(GOOGLETRANSLATE(C5953, ""en"", ""zh-cn""))"),"Rokform MagSafe 兼容运动环握把和支架")</f>
        <v>Rokform MagSafe 兼容运动环握把和支架</v>
      </c>
      <c r="E5953" s="1" t="str">
        <f>IFERROR(__xludf.DUMMYFUNCTION("CONCATENATE(GOOGLETRANSLATE(C5953, ""en"", ""ko""))"),"Rokform MagSafe 호환 스포츠 링 그립 및 스탠드")</f>
        <v>Rokform MagSafe 호환 스포츠 링 그립 및 스탠드</v>
      </c>
      <c r="F5953" s="1" t="str">
        <f>IFERROR(__xludf.DUMMYFUNCTION("CONCATENATE(GOOGLETRANSLATE(C5953, ""en"", ""ja""))"),"Rokform MagSafe 対応スポーツ リング グリップとスタンド")</f>
        <v>Rokform MagSafe 対応スポーツ リング グリップとスタンド</v>
      </c>
    </row>
    <row r="5954" ht="15.75" customHeight="1">
      <c r="A5954" s="1">
        <v>5876.0</v>
      </c>
      <c r="B5954" s="1" t="s">
        <v>15</v>
      </c>
      <c r="C5954" s="1" t="s">
        <v>4924</v>
      </c>
      <c r="D5954" s="1" t="str">
        <f>IFERROR(__xludf.DUMMYFUNCTION("CONCATENATE(GOOGLETRANSLATE(C5954, ""en"", ""zh-cn""))"),"Nite Ize 挂接电话锚和系绳")</f>
        <v>Nite Ize 挂接电话锚和系绳</v>
      </c>
      <c r="E5954" s="1" t="str">
        <f>IFERROR(__xludf.DUMMYFUNCTION("CONCATENATE(GOOGLETRANSLATE(C5954, ""en"", ""ko""))"),"Nite Ize Hitch 휴대폰 앵커 및 테더")</f>
        <v>Nite Ize Hitch 휴대폰 앵커 및 테더</v>
      </c>
      <c r="F5954" s="1" t="str">
        <f>IFERROR(__xludf.DUMMYFUNCTION("CONCATENATE(GOOGLETRANSLATE(C5954, ""en"", ""ja""))"),"Nite Ize ヒッチフォンアンカーとテザー")</f>
        <v>Nite Ize ヒッチフォンアンカーとテザー</v>
      </c>
    </row>
    <row r="5955" ht="15.75" customHeight="1">
      <c r="A5955" s="1">
        <v>5877.0</v>
      </c>
      <c r="B5955" s="1" t="s">
        <v>15</v>
      </c>
      <c r="C5955" s="1" t="s">
        <v>4925</v>
      </c>
      <c r="D5955" s="1" t="str">
        <f>IFERROR(__xludf.DUMMYFUNCTION("CONCATENATE(GOOGLETRANSLATE(C5955, ""en"", ""zh-cn""))"),"Baublebar 米色定制 iPhone 手机壳")</f>
        <v>Baublebar 米色定制 iPhone 手机壳</v>
      </c>
      <c r="E5955" s="1" t="str">
        <f>IFERROR(__xludf.DUMMYFUNCTION("CONCATENATE(GOOGLETRANSLATE(C5955, ""en"", ""ko""))"),"Baublebar 올더 베이지 맞춤형 iPhone 케이스")</f>
        <v>Baublebar 올더 베이지 맞춤형 iPhone 케이스</v>
      </c>
      <c r="F5955" s="1" t="str">
        <f>IFERROR(__xludf.DUMMYFUNCTION("CONCATENATE(GOOGLETRANSLATE(C5955, ""en"", ""ja""))"),"Baublebar オール ザ ベージュ カスタム iPhone ケース")</f>
        <v>Baublebar オール ザ ベージュ カスタム iPhone ケース</v>
      </c>
    </row>
    <row r="5956" ht="15.75" customHeight="1">
      <c r="A5956" s="1">
        <v>5879.0</v>
      </c>
      <c r="B5956" s="1" t="s">
        <v>15</v>
      </c>
      <c r="C5956" s="1" t="s">
        <v>4926</v>
      </c>
      <c r="D5956" s="1" t="str">
        <f>IFERROR(__xludf.DUMMYFUNCTION("CONCATENATE(GOOGLETRANSLATE(C5956, ""en"", ""zh-cn""))"),"Ohsnap Snap 4 Luxe 磁性手机握把和支架")</f>
        <v>Ohsnap Snap 4 Luxe 磁性手机握把和支架</v>
      </c>
      <c r="E5956" s="1" t="str">
        <f>IFERROR(__xludf.DUMMYFUNCTION("CONCATENATE(GOOGLETRANSLATE(C5956, ""en"", ""ko""))"),"Ohsnap Snap 4 Luxe 마그네틱 휴대폰 그립 및 스탠드")</f>
        <v>Ohsnap Snap 4 Luxe 마그네틱 휴대폰 그립 및 스탠드</v>
      </c>
      <c r="F5956" s="1" t="str">
        <f>IFERROR(__xludf.DUMMYFUNCTION("CONCATENATE(GOOGLETRANSLATE(C5956, ""en"", ""ja""))"),"Ohsnap Snap 4 Luxe 磁気携帯電話グリップ &amp; スタンド")</f>
        <v>Ohsnap Snap 4 Luxe 磁気携帯電話グリップ &amp; スタンド</v>
      </c>
    </row>
    <row r="5957" ht="15.75" customHeight="1">
      <c r="A5957" s="1">
        <v>5898.0</v>
      </c>
      <c r="B5957" s="1" t="s">
        <v>15</v>
      </c>
      <c r="C5957" s="1" t="s">
        <v>4927</v>
      </c>
      <c r="D5957" s="1" t="str">
        <f>IFERROR(__xludf.DUMMYFUNCTION("CONCATENATE(GOOGLETRANSLATE(C5957, ""en"", ""zh-cn""))"),"OCTOBUDDY 硅胶吸盘手机壳粘合支架")</f>
        <v>OCTOBUDDY 硅胶吸盘手机壳粘合支架</v>
      </c>
      <c r="E5957" s="1" t="str">
        <f>IFERROR(__xludf.DUMMYFUNCTION("CONCATENATE(GOOGLETRANSLATE(C5957, ""en"", ""ko""))"),"OCTOBUDDY 실리콘 흡착식 휴대폰 케이스 접착 마운트")</f>
        <v>OCTOBUDDY 실리콘 흡착식 휴대폰 케이스 접착 마운트</v>
      </c>
      <c r="F5957" s="1" t="str">
        <f>IFERROR(__xludf.DUMMYFUNCTION("CONCATENATE(GOOGLETRANSLATE(C5957, ""en"", ""ja""))"),"OCTOBUDDY シリコン吸引電話ケース粘着マウント")</f>
        <v>OCTOBUDDY シリコン吸引電話ケース粘着マウント</v>
      </c>
    </row>
    <row r="5958" ht="15.75" customHeight="1">
      <c r="A5958" s="1">
        <v>5911.0</v>
      </c>
      <c r="B5958" s="1" t="s">
        <v>15</v>
      </c>
      <c r="C5958" s="1" t="s">
        <v>4928</v>
      </c>
      <c r="D5958" s="1" t="str">
        <f>IFERROR(__xludf.DUMMYFUNCTION("CONCATENATE(GOOGLETRANSLATE(C5958, ""en"", ""zh-cn""))"),"OtterBox Defender 系列 Pro XT MagSafe 保护壳适用于 Apple iPhone 16 Pro Max")</f>
        <v>OtterBox Defender 系列 Pro XT MagSafe 保护壳适用于 Apple iPhone 16 Pro Max</v>
      </c>
      <c r="E5958" s="1" t="str">
        <f>IFERROR(__xludf.DUMMYFUNCTION("CONCATENATE(GOOGLETRANSLATE(C5958, ""en"", ""ko""))"),"Apple iPhone 16 Pro Max용 OtterBox Defender 시리즈 Pro XT MagSafe 케이스")</f>
        <v>Apple iPhone 16 Pro Max용 OtterBox Defender 시리즈 Pro XT MagSafe 케이스</v>
      </c>
      <c r="F5958" s="1" t="str">
        <f>IFERROR(__xludf.DUMMYFUNCTION("CONCATENATE(GOOGLETRANSLATE(C5958, ""en"", ""ja""))"),"OtterBox Defender シリーズ Pro XT MagSafe ケース Apple iPhone 16 Pro Max 用")</f>
        <v>OtterBox Defender シリーズ Pro XT MagSafe ケース Apple iPhone 16 Pro Max 用</v>
      </c>
    </row>
    <row r="5959" ht="15.75" customHeight="1">
      <c r="A5959" s="1">
        <v>5922.0</v>
      </c>
      <c r="B5959" s="1" t="s">
        <v>15</v>
      </c>
      <c r="C5959" s="1" t="s">
        <v>4929</v>
      </c>
      <c r="D5959" s="1" t="str">
        <f>IFERROR(__xludf.DUMMYFUNCTION("CONCATENATE(GOOGLETRANSLATE(C5959, ""en"", ""zh-cn""))"),"独特电器经典复古法式门冰箱")</f>
        <v>独特电器经典复古法式门冰箱</v>
      </c>
      <c r="E5959" s="1" t="str">
        <f>IFERROR(__xludf.DUMMYFUNCTION("CONCATENATE(GOOGLETRANSLATE(C5959, ""en"", ""ko""))"),"독특한 가전제품 클래식 레트로 프렌치 도어 냉장고")</f>
        <v>독특한 가전제품 클래식 레트로 프렌치 도어 냉장고</v>
      </c>
      <c r="F5959" s="1" t="str">
        <f>IFERROR(__xludf.DUMMYFUNCTION("CONCATENATE(GOOGLETRANSLATE(C5959, ""en"", ""ja""))"),"ユニークな家電クラシックレトロフレンチドア冷蔵庫")</f>
        <v>ユニークな家電クラシックレトロフレンチドア冷蔵庫</v>
      </c>
    </row>
    <row r="5960" ht="15.75" customHeight="1">
      <c r="A5960" s="1">
        <v>5926.0</v>
      </c>
      <c r="B5960" s="1" t="s">
        <v>15</v>
      </c>
      <c r="C5960" s="1" t="s">
        <v>4930</v>
      </c>
      <c r="D5960" s="1" t="str">
        <f>IFERROR(__xludf.DUMMYFUNCTION("CONCATENATE(GOOGLETRANSLATE(C5960, ""en"", ""zh-cn""))"),"Frigidaire Gallery 内置微波炉")</f>
        <v>Frigidaire Gallery 内置微波炉</v>
      </c>
      <c r="E5960" s="1" t="str">
        <f>IFERROR(__xludf.DUMMYFUNCTION("CONCATENATE(GOOGLETRANSLATE(C5960, ""en"", ""ko""))"),"Frigidaire 갤러리 내장 전자레인지")</f>
        <v>Frigidaire 갤러리 내장 전자레인지</v>
      </c>
      <c r="F5960" s="1" t="str">
        <f>IFERROR(__xludf.DUMMYFUNCTION("CONCATENATE(GOOGLETRANSLATE(C5960, ""en"", ""ja""))"),"フリジデア ギャラリー 内蔵電子レンジ")</f>
        <v>フリジデア ギャラリー 内蔵電子レンジ</v>
      </c>
    </row>
    <row r="5961" ht="15.75" customHeight="1">
      <c r="A5961" s="1">
        <v>5931.0</v>
      </c>
      <c r="B5961" s="1" t="s">
        <v>15</v>
      </c>
      <c r="C5961" s="1" t="s">
        <v>4931</v>
      </c>
      <c r="D5961" s="1" t="str">
        <f>IFERROR(__xludf.DUMMYFUNCTION("CONCATENATE(GOOGLETRANSLATE(C5961, ""en"", ""zh-cn""))"),"Cooluli Decor 1.7 CuFt 玻璃饮料柜")</f>
        <v>Cooluli Decor 1.7 CuFt 玻璃饮料柜</v>
      </c>
      <c r="E5961" s="1" t="str">
        <f>IFERROR(__xludf.DUMMYFUNCTION("CONCATENATE(GOOGLETRANSLATE(C5961, ""en"", ""ko""))"),"Cooluli Decor 1.7 CuFt 유리 음료 쿨러")</f>
        <v>Cooluli Decor 1.7 CuFt 유리 음료 쿨러</v>
      </c>
      <c r="F5961" s="1" t="str">
        <f>IFERROR(__xludf.DUMMYFUNCTION("CONCATENATE(GOOGLETRANSLATE(C5961, ""en"", ""ja""))"),"Cooluli Decor 1.7 CuFt ガラス製飲料クーラー")</f>
        <v>Cooluli Decor 1.7 CuFt ガラス製飲料クーラー</v>
      </c>
    </row>
    <row r="5962" ht="15.75" customHeight="1">
      <c r="A5962" s="1">
        <v>5940.0</v>
      </c>
      <c r="B5962" s="1" t="s">
        <v>15</v>
      </c>
      <c r="C5962" s="1" t="s">
        <v>4932</v>
      </c>
      <c r="D5962" s="1" t="str">
        <f>IFERROR(__xludf.DUMMYFUNCTION("CONCATENATE(GOOGLETRANSLATE(C5962, ""en"", ""zh-cn""))"),"经典复古 7 立方米英尺底部冷冻冰箱独特")</f>
        <v>经典复古 7 立方米英尺底部冷冻冰箱独特</v>
      </c>
      <c r="E5962" s="1" t="str">
        <f>IFERROR(__xludf.DUMMYFUNCTION("CONCATENATE(GOOGLETRANSLATE(C5962, ""en"", ""ko""))"),"클래식 레트로 7 cu. 피트 하단 냉동고 냉장고 독특함")</f>
        <v>클래식 레트로 7 cu. 피트 하단 냉동고 냉장고 독특함</v>
      </c>
      <c r="F5962" s="1" t="str">
        <f>IFERROR(__xludf.DUMMYFUNCTION("CONCATENATE(GOOGLETRANSLATE(C5962, ""en"", ""ja""))"),"クラシックレトロ7立方体。フィートボトムフリーザー冷蔵庫ユニーク")</f>
        <v>クラシックレトロ7立方体。フィートボトムフリーザー冷蔵庫ユニーク</v>
      </c>
    </row>
    <row r="5963" ht="15.75" customHeight="1">
      <c r="A5963" s="1">
        <v>5942.0</v>
      </c>
      <c r="B5963" s="1" t="s">
        <v>15</v>
      </c>
      <c r="C5963" s="1" t="s">
        <v>4933</v>
      </c>
      <c r="D5963" s="1" t="str">
        <f>IFERROR(__xludf.DUMMYFUNCTION("CONCATENATE(GOOGLETRANSLATE(C5963, ""en"", ""zh-cn""))"),"Frigidaire Gallery 4 件套不锈钢厨房套装")</f>
        <v>Frigidaire Gallery 4 件套不锈钢厨房套装</v>
      </c>
      <c r="E5963" s="1" t="str">
        <f>IFERROR(__xludf.DUMMYFUNCTION("CONCATENATE(GOOGLETRANSLATE(C5963, ""en"", ""ko""))"),"Frigidaire 갤러리 4피스 스테인레스 스틸 주방 패키지")</f>
        <v>Frigidaire 갤러리 4피스 스테인레스 스틸 주방 패키지</v>
      </c>
      <c r="F5963" s="1" t="str">
        <f>IFERROR(__xludf.DUMMYFUNCTION("CONCATENATE(GOOGLETRANSLATE(C5963, ""en"", ""ja""))"),"Frigidaire Gallery 4 ピース ステンレススチール キッチン パッケージ")</f>
        <v>Frigidaire Gallery 4 ピース ステンレススチール キッチン パッケージ</v>
      </c>
    </row>
    <row r="5964" ht="15.75" customHeight="1">
      <c r="A5964" s="1">
        <v>5944.0</v>
      </c>
      <c r="B5964" s="1" t="s">
        <v>15</v>
      </c>
      <c r="C5964" s="1" t="s">
        <v>4934</v>
      </c>
      <c r="D5964" s="1" t="str">
        <f>IFERROR(__xludf.DUMMYFUNCTION("CONCATENATE(GOOGLETRANSLATE(C5964, ""en"", ""zh-cn""))"),"GE 30 独立式电动灶")</f>
        <v>GE 30 独立式电动灶</v>
      </c>
      <c r="E5964" s="1" t="str">
        <f>IFERROR(__xludf.DUMMYFUNCTION("CONCATENATE(GOOGLETRANSLATE(C5964, ""en"", ""ko""))"),"GE 30 독립형 전기레인지")</f>
        <v>GE 30 독립형 전기레인지</v>
      </c>
      <c r="F5964" s="1" t="str">
        <f>IFERROR(__xludf.DUMMYFUNCTION("CONCATENATE(GOOGLETRANSLATE(C5964, ""en"", ""ja""))"),"GE 30 自立式電気レンジ")</f>
        <v>GE 30 自立式電気レンジ</v>
      </c>
    </row>
    <row r="5965" ht="15.75" customHeight="1">
      <c r="A5965" s="1">
        <v>5950.0</v>
      </c>
      <c r="B5965" s="1" t="s">
        <v>15</v>
      </c>
      <c r="C5965" s="1" t="s">
        <v>4935</v>
      </c>
      <c r="D5965" s="1" t="str">
        <f>IFERROR(__xludf.DUMMYFUNCTION("CONCATENATE(GOOGLETRANSLATE(C5965, ""en"", ""zh-cn""))"),"SMEG迷你冰箱")</f>
        <v>SMEG迷你冰箱</v>
      </c>
      <c r="E5965" s="1" t="str">
        <f>IFERROR(__xludf.DUMMYFUNCTION("CONCATENATE(GOOGLETRANSLATE(C5965, ""en"", ""ko""))"),"스메그 미니 냉장고")</f>
        <v>스메그 미니 냉장고</v>
      </c>
      <c r="F5965" s="1" t="str">
        <f>IFERROR(__xludf.DUMMYFUNCTION("CONCATENATE(GOOGLETRANSLATE(C5965, ""en"", ""ja""))"),"Smeg ミニ冷蔵庫")</f>
        <v>Smeg ミニ冷蔵庫</v>
      </c>
    </row>
    <row r="5966" ht="15.75" customHeight="1">
      <c r="A5966" s="1">
        <v>5957.0</v>
      </c>
      <c r="B5966" s="1" t="s">
        <v>15</v>
      </c>
      <c r="C5966" s="1" t="s">
        <v>4936</v>
      </c>
      <c r="D5966" s="1" t="str">
        <f>IFERROR(__xludf.DUMMYFUNCTION("CONCATENATE(GOOGLETRANSLATE(C5966, ""en"", ""zh-cn""))"),"普通的头发密度多肽精华液")</f>
        <v>普通的头发密度多肽精华液</v>
      </c>
      <c r="E5966" s="1" t="str">
        <f>IFERROR(__xludf.DUMMYFUNCTION("CONCATENATE(GOOGLETRANSLATE(C5966, ""en"", ""ko""))"),"모발 밀도를 위한 일반 다중 펩타이드 세럼")</f>
        <v>모발 밀도를 위한 일반 다중 펩타이드 세럼</v>
      </c>
      <c r="F5966" s="1" t="str">
        <f>IFERROR(__xludf.DUMMYFUNCTION("CONCATENATE(GOOGLETRANSLATE(C5966, ""en"", ""ja""))"),"毛髪密度を高めるための通常のマルチペプチド美容液")</f>
        <v>毛髪密度を高めるための通常のマルチペプチド美容液</v>
      </c>
    </row>
    <row r="5967" ht="15.75" customHeight="1">
      <c r="A5967" s="1">
        <v>5960.0</v>
      </c>
      <c r="B5967" s="1" t="s">
        <v>15</v>
      </c>
      <c r="C5967" s="1" t="s">
        <v>4937</v>
      </c>
      <c r="D5967" s="1" t="str">
        <f>IFERROR(__xludf.DUMMYFUNCTION("CONCATENATE(GOOGLETRANSLATE(C5967, ""en"", ""zh-cn""))"),"玫瑰果洗发​​水 |强化头发并减少断裂|对于稀疏的头发|常规")</f>
        <v>玫瑰果洗发​​水 |强化头发并减少断裂|对于稀疏的头发|常规</v>
      </c>
      <c r="E5967" s="1" t="str">
        <f>IFERROR(__xludf.DUMMYFUNCTION("CONCATENATE(GOOGLETRANSLATE(C5967, ""en"", ""ko""))"),"로즈힙 샴푸 | 모발 강화 및 파손 감소 | 가늘어지는 모발용 | 루틴")</f>
        <v>로즈힙 샴푸 | 모발 강화 및 파손 감소 | 가늘어지는 모발용 | 루틴</v>
      </c>
      <c r="F5967" s="1" t="str">
        <f>IFERROR(__xludf.DUMMYFUNCTION("CONCATENATE(GOOGLETRANSLATE(C5967, ""en"", ""ja""))"),"ローズヒップシャンプー |髪を強化し切れ毛を減らす |薄毛対策 |ルーティーン")</f>
        <v>ローズヒップシャンプー |髪を強化し切れ毛を減らす |薄毛対策 |ルーティーン</v>
      </c>
    </row>
    <row r="5968" ht="15.75" customHeight="1">
      <c r="A5968" s="1">
        <v>5969.0</v>
      </c>
      <c r="B5968" s="1" t="s">
        <v>15</v>
      </c>
      <c r="C5968" s="1" t="s">
        <v>4938</v>
      </c>
      <c r="D5968" s="1" t="str">
        <f>IFERROR(__xludf.DUMMYFUNCTION("CONCATENATE(GOOGLETRANSLATE(C5968, ""en"", ""zh-cn""))"),"MIELLE 迷迭香薄荷有机物注入生物素和促进生长的护发产品，使头发更强壮、更健康和造型套装")</f>
        <v>MIELLE 迷迭香薄荷有机物注入生物素和促进生长的护发产品，使头发更强壮、更健康和造型套装</v>
      </c>
      <c r="E5968" s="1" t="str">
        <f>IFERROR(__xludf.DUMMYFUNCTION("CONCATENATE(GOOGLETRANSLATE(C5968, ""en"", ""ko""))"),"비오틴이 함유된 MIELLE 로즈마리 민트 오가닉은 더욱 강하고 건강한 모발 및 스타일링 번들 세트를 위한 모발 성장 촉진 제품입니다.")</f>
        <v>비오틴이 함유된 MIELLE 로즈마리 민트 오가닉은 더욱 강하고 건강한 모발 및 스타일링 번들 세트를 위한 모발 성장 촉진 제품입니다.</v>
      </c>
      <c r="F5968" s="1" t="str">
        <f>IFERROR(__xludf.DUMMYFUNCTION("CONCATENATE(GOOGLETRANSLATE(C5968, ""en"", ""ja""))"),"MIELLE ローズマリー ミント オーガニックにビオチンを注入し、より強く健康な髪のための髪の成長を促す製品とスタイリング バンドル セット")</f>
        <v>MIELLE ローズマリー ミント オーガニックにビオチンを注入し、より強く健康な髪のための髪の成長を促す製品とスタイリング バンドル セット</v>
      </c>
    </row>
    <row r="5969" ht="15.75" customHeight="1">
      <c r="A5969" s="1">
        <v>5987.0</v>
      </c>
      <c r="B5969" s="1" t="s">
        <v>15</v>
      </c>
      <c r="C5969" s="1" t="s">
        <v>4939</v>
      </c>
      <c r="D5969" s="1" t="str">
        <f>IFERROR(__xludf.DUMMYFUNCTION("CONCATENATE(GOOGLETRANSLATE(C5969, ""en"", ""zh-cn""))"),"最健康的头发方法")</f>
        <v>最健康的头发方法</v>
      </c>
      <c r="E5969" s="1" t="str">
        <f>IFERROR(__xludf.DUMMYFUNCTION("CONCATENATE(GOOGLETRANSLATE(C5969, ""en"", ""ko""))"),"가장 건강한 헤어 방법")</f>
        <v>가장 건강한 헤어 방법</v>
      </c>
      <c r="F5969" s="1" t="str">
        <f>IFERROR(__xludf.DUMMYFUNCTION("CONCATENATE(GOOGLETRANSLATE(C5969, ""en"", ""ja""))"),"最も健康な髪のメソッド")</f>
        <v>最も健康な髪のメソッド</v>
      </c>
    </row>
    <row r="5970" ht="15.75" customHeight="1">
      <c r="A5970" s="1">
        <v>5993.0</v>
      </c>
      <c r="B5970" s="1" t="s">
        <v>15</v>
      </c>
      <c r="C5970" s="1" t="s">
        <v>4940</v>
      </c>
      <c r="D5970" s="1" t="str">
        <f>IFERROR(__xludf.DUMMYFUNCTION("CONCATENATE(GOOGLETRANSLATE(C5970, ""en"", ""zh-cn""))"),"K18 免洗分子修复发膜")</f>
        <v>K18 免洗分子修复发膜</v>
      </c>
      <c r="E5970" s="1" t="str">
        <f>IFERROR(__xludf.DUMMYFUNCTION("CONCATENATE(GOOGLETRANSLATE(C5970, ""en"", ""ko""))"),"K18 리브인 몰레큘러 리페어 헤어 마스크")</f>
        <v>K18 리브인 몰레큘러 리페어 헤어 마스크</v>
      </c>
      <c r="F5970" s="1" t="str">
        <f>IFERROR(__xludf.DUMMYFUNCTION("CONCATENATE(GOOGLETRANSLATE(C5970, ""en"", ""ja""))"),"K18 洗い流さないモレキュラーリペア ヘアマスク")</f>
        <v>K18 洗い流さないモレキュラーリペア ヘアマスク</v>
      </c>
    </row>
    <row r="5971" ht="15.75" customHeight="1">
      <c r="A5971" s="1">
        <v>6006.0</v>
      </c>
      <c r="B5971" s="1" t="s">
        <v>15</v>
      </c>
      <c r="C5971" s="1" t="s">
        <v>4941</v>
      </c>
      <c r="D5971" s="1" t="str">
        <f>IFERROR(__xludf.DUMMYFUNCTION("CONCATENATE(GOOGLETRANSLATE(C5971, ""en"", ""zh-cn""))"),"Swisse Ultiboost 头发 皮肤 指甲+")</f>
        <v>Swisse Ultiboost 头发 皮肤 指甲+</v>
      </c>
      <c r="E5971" s="1" t="str">
        <f>IFERROR(__xludf.DUMMYFUNCTION("CONCATENATE(GOOGLETRANSLATE(C5971, ""en"", ""ko""))"),"스위스 얼티부스트 헤어 스킨 네일+")</f>
        <v>스위스 얼티부스트 헤어 스킨 네일+</v>
      </c>
      <c r="F5971" s="1" t="str">
        <f>IFERROR(__xludf.DUMMYFUNCTION("CONCATENATE(GOOGLETRANSLATE(C5971, ""en"", ""ja""))"),"Swisse Ultiboost ヘアスキン ネイル+")</f>
        <v>Swisse Ultiboost ヘアスキン ネイル+</v>
      </c>
    </row>
    <row r="5972" ht="15.75" customHeight="1">
      <c r="A5972" s="1">
        <v>6009.0</v>
      </c>
      <c r="B5972" s="1" t="s">
        <v>15</v>
      </c>
      <c r="C5972" s="1" t="s">
        <v>4942</v>
      </c>
      <c r="D5972" s="1" t="str">
        <f>IFERROR(__xludf.DUMMYFUNCTION("CONCATENATE(GOOGLETRANSLATE(C5972, ""en"", ""zh-cn""))"),"资生堂 Fino Premium Touch 发膜")</f>
        <v>资生堂 Fino Premium Touch 发膜</v>
      </c>
      <c r="E5972" s="1" t="str">
        <f>IFERROR(__xludf.DUMMYFUNCTION("CONCATENATE(GOOGLETRANSLATE(C5972, ""en"", ""ko""))"),"시세이도 피노 프리미엄 터치 헤어 마스크")</f>
        <v>시세이도 피노 프리미엄 터치 헤어 마스크</v>
      </c>
      <c r="F5972" s="1" t="str">
        <f>IFERROR(__xludf.DUMMYFUNCTION("CONCATENATE(GOOGLETRANSLATE(C5972, ""en"", ""ja""))"),"資生堂 フィーノ プレミアムタッチ ヘアマスク")</f>
        <v>資生堂 フィーノ プレミアムタッチ ヘアマスク</v>
      </c>
    </row>
    <row r="5973" ht="15.75" customHeight="1">
      <c r="A5973" s="1">
        <v>6013.0</v>
      </c>
      <c r="B5973" s="1" t="s">
        <v>15</v>
      </c>
      <c r="C5973" s="1" t="s">
        <v>4936</v>
      </c>
      <c r="D5973" s="1" t="str">
        <f>IFERROR(__xludf.DUMMYFUNCTION("CONCATENATE(GOOGLETRANSLATE(C5973, ""en"", ""zh-cn""))"),"普通的头发密度多肽精华液")</f>
        <v>普通的头发密度多肽精华液</v>
      </c>
      <c r="E5973" s="1" t="str">
        <f>IFERROR(__xludf.DUMMYFUNCTION("CONCATENATE(GOOGLETRANSLATE(C5973, ""en"", ""ko""))"),"모발 밀도를 위한 일반 다중 펩타이드 세럼")</f>
        <v>모발 밀도를 위한 일반 다중 펩타이드 세럼</v>
      </c>
      <c r="F5973" s="1" t="str">
        <f>IFERROR(__xludf.DUMMYFUNCTION("CONCATENATE(GOOGLETRANSLATE(C5973, ""en"", ""ja""))"),"毛髪密度を高めるための通常のマルチペプチド美容液")</f>
        <v>毛髪密度を高めるための通常のマルチペプチド美容液</v>
      </c>
    </row>
    <row r="5974" ht="15.75" customHeight="1">
      <c r="A5974" s="1">
        <v>6029.0</v>
      </c>
      <c r="B5974" s="1" t="s">
        <v>15</v>
      </c>
      <c r="C5974" s="1" t="s">
        <v>4943</v>
      </c>
      <c r="D5974" s="1" t="str">
        <f>IFERROR(__xludf.DUMMYFUNCTION("CONCATENATE(GOOGLETRANSLATE(C5974, ""en"", ""zh-cn""))"),"Coco &amp; Eve Pro 青年双人套装")</f>
        <v>Coco &amp; Eve Pro 青年双人套装</v>
      </c>
      <c r="E5974" s="1" t="str">
        <f>IFERROR(__xludf.DUMMYFUNCTION("CONCATENATE(GOOGLETRANSLATE(C5974, ""en"", ""ko""))"),"Coco &amp; Eve Pro 청소년 듀오 키트")</f>
        <v>Coco &amp; Eve Pro 청소년 듀오 키트</v>
      </c>
      <c r="F5974" s="1" t="str">
        <f>IFERROR(__xludf.DUMMYFUNCTION("CONCATENATE(GOOGLETRANSLATE(C5974, ""en"", ""ja""))"),"ココ＆イブ プロユース デュオ キット")</f>
        <v>ココ＆イブ プロユース デュオ キット</v>
      </c>
    </row>
    <row r="5975" ht="15.75" customHeight="1">
      <c r="A5975" s="1">
        <v>6033.0</v>
      </c>
      <c r="B5975" s="1" t="s">
        <v>15</v>
      </c>
      <c r="C5975" s="1" t="s">
        <v>1907</v>
      </c>
      <c r="D5975" s="1" t="str">
        <f>IFERROR(__xludf.DUMMYFUNCTION("CONCATENATE(GOOGLETRANSLATE(C5975, ""en"", ""zh-cn""))"),"Lenovo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5975" s="1" t="str">
        <f>IFERROR(__xludf.DUMMYFUNCTION("CONCATENATE(GOOGLETRANSLATE(C5975, ""en"", ""ko""))"),"Lenovo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5975" s="1" t="str">
        <f>IFERROR(__xludf.DUMMYFUNCTION("CONCATENATE(GOOGLETRANSLATE(C5975, ""en"", ""ja""))"),"Lenovo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5976" ht="15.75" customHeight="1">
      <c r="A5976" s="1">
        <v>6044.0</v>
      </c>
      <c r="B5976" s="1" t="s">
        <v>15</v>
      </c>
      <c r="C5976" s="1" t="s">
        <v>2327</v>
      </c>
      <c r="D5976" s="1" t="str">
        <f>IFERROR(__xludf.DUMMYFUNCTION("CONCATENATE(GOOGLETRANSLATE(C5976, ""en"", ""zh-cn""))"),"GAN 356 i 3 无贴纸速度魔方，3x3 智能魔方 356 i3 甘斯磁力魔方智能跟踪计时运动步骤与 CubeStation 应用程序甘魔方拼图玩具（不含 GAN 机器人）")</f>
        <v>GAN 356 i 3 无贴纸速度魔方，3x3 智能魔方 356 i3 甘斯磁力魔方智能跟踪计时运动步骤与 CubeStation 应用程序甘魔方拼图玩具（不含 GAN 机器人）</v>
      </c>
      <c r="E5976" s="1" t="str">
        <f>IFERROR(__xludf.DUMMYFUNCTION("CONCATENATE(GOOGLETRANSLATE(C5976, ""en"", ""ko""))"),"GAN 356 i 3 스티커 없는 스피드 큐브, 3x3 스마트 큐브 356 i3 Gans 마그네틱 큐브 CubeStation 앱을 사용한 지능형 추적 타이밍 동작 단계 Gan 큐브 퍼즐 장난감(GAN 로봇은 포함되지 않음)")</f>
        <v>GAN 356 i 3 스티커 없는 스피드 큐브, 3x3 스마트 큐브 356 i3 Gans 마그네틱 큐브 CubeStation 앱을 사용한 지능형 추적 타이밍 동작 단계 Gan 큐브 퍼즐 장난감(GAN 로봇은 포함되지 않음)</v>
      </c>
      <c r="F5976" s="1" t="str">
        <f>IFERROR(__xludf.DUMMYFUNCTION("CONCATENATE(GOOGLETRANSLATE(C5976, ""en"", ""ja""))"),"GAN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f>
        <v>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v>
      </c>
    </row>
    <row r="5977" ht="15.75" customHeight="1">
      <c r="A5977" s="1">
        <v>6051.0</v>
      </c>
      <c r="B5977" s="1" t="s">
        <v>15</v>
      </c>
      <c r="C5977" s="1" t="s">
        <v>1648</v>
      </c>
      <c r="D5977" s="1" t="str">
        <f>IFERROR(__xludf.DUMMYFUNCTION("CONCATENATE(GOOGLETRANSLATE(C5977, ""en"", ""zh-cn""))"),"CuberShop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5977" s="1" t="str">
        <f>IFERROR(__xludf.DUMMYFUNCTION("CONCATENATE(GOOGLETRANSLATE(C5977, ""en"", ""ko""))"),"CuberShop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5977" s="1" t="str">
        <f>IFERROR(__xludf.DUMMYFUNCTION("CONCATENATE(GOOGLETRANSLATE(C5977, ""en"", ""ja""))"),"CuberShop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5978" ht="15.75" customHeight="1">
      <c r="A5978" s="1">
        <v>6058.0</v>
      </c>
      <c r="B5978" s="1" t="s">
        <v>15</v>
      </c>
      <c r="C5978" s="1" t="s">
        <v>1649</v>
      </c>
      <c r="D5978" s="1" t="str">
        <f>IFERROR(__xludf.DUMMYFUNCTION("CONCATENATE(GOOGLETRANSLATE(C5978, ""en"", ""zh-cn""))"),"GAN 机器人，魔方解谜机自动解谜器和解谜器，兼容 GAN 356i2 i3 iplay iCarry Speed Cubes（不含魔方）和最新版本 APP")</f>
        <v>GAN 机器人，魔方解谜机自动解谜器和解谜器，兼容 GAN 356i2 i3 iplay iCarry Speed Cubes（不含魔方）和最新版本 APP</v>
      </c>
      <c r="E5978" s="1" t="str">
        <f>IFERROR(__xludf.DUMMYFUNCTION("CONCATENATE(GOOGLETRANSLATE(C5978, ""en"", ""ko""))"),"GAN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5978" s="1" t="str">
        <f>IFERROR(__xludf.DUMMYFUNCTION("CONCATENATE(GOOGLETRANSLATE(C5978, ""en"", ""ja""))"),"GAN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5979" ht="15.75" customHeight="1">
      <c r="A5979" s="1">
        <v>6060.0</v>
      </c>
      <c r="B5979" s="1" t="s">
        <v>15</v>
      </c>
      <c r="C5979" s="1" t="s">
        <v>1850</v>
      </c>
      <c r="D5979" s="1" t="str">
        <f>IFERROR(__xludf.DUMMYFUNCTION("CONCATENATE(GOOGLETRANSLATE(C5979, ""en"", ""zh-cn""))"),"GAN 13 磁悬浮磨砂涂层，磁性速度魔方 3x3 无贴纸 56 毫米磁铁魔方拼图玩具，GAN 2022 旗舰")</f>
        <v>GAN 13 磁悬浮磨砂涂层，磁性速度魔方 3x3 无贴纸 56 毫米磁铁魔方拼图玩具，GAN 2022 旗舰</v>
      </c>
      <c r="E5979" s="1" t="str">
        <f>IFERROR(__xludf.DUMMYFUNCTION("CONCATENATE(GOOGLETRANSLATE(C5979, ""en"", ""ko""))"),"GAN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5979" s="1" t="str">
        <f>IFERROR(__xludf.DUMMYFUNCTION("CONCATENATE(GOOGLETRANSLATE(C5979, ""en"", ""ja""))"),"GAN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5980" ht="15.75" customHeight="1">
      <c r="A5980" s="1">
        <v>6068.0</v>
      </c>
      <c r="B5980" s="1" t="s">
        <v>15</v>
      </c>
      <c r="C5980" s="1" t="s">
        <v>1845</v>
      </c>
      <c r="D5980" s="1" t="str">
        <f>IFERROR(__xludf.DUMMYFUNCTION("CONCATENATE(GOOGLETRANSLATE(C5980, ""en"", ""zh-cn""))"),"LiangCuber GAN 13磁悬浮旗舰磁力3x3无贴纸GAN13 M速度魔方（磨砂版）")</f>
        <v>LiangCuber GAN 13磁悬浮旗舰磁力3x3无贴纸GAN13 M速度魔方（磨砂版）</v>
      </c>
      <c r="E5980" s="1" t="str">
        <f>IFERROR(__xludf.DUMMYFUNCTION("CONCATENATE(GOOGLETRANSLATE(C5980, ""en"", ""ko""))"),"LiangCuber GAN 13 자기 부상 플래그십 마그네틱 3x3 스티커 없는 GAN13 M 스피드 큐브(반투명 버전)")</f>
        <v>LiangCuber GAN 13 자기 부상 플래그십 마그네틱 3x3 스티커 없는 GAN13 M 스피드 큐브(반투명 버전)</v>
      </c>
      <c r="F5980" s="1" t="str">
        <f>IFERROR(__xludf.DUMMYFUNCTION("CONCATENATE(GOOGLETRANSLATE(C5980, ""en"", ""ja""))"),"LiangCuber GAN 13 マグレブ旗艦 磁気 3x3 ステッカーレス GAN13 M スピード キューブ (つや消しバージョン)")</f>
        <v>LiangCuber GAN 13 マグレブ旗艦 磁気 3x3 ステッカーレス GAN13 M スピード キューブ (つや消しバージョン)</v>
      </c>
    </row>
    <row r="5981" ht="15.75" customHeight="1">
      <c r="A5981" s="1">
        <v>6074.0</v>
      </c>
      <c r="B5981" s="1" t="s">
        <v>15</v>
      </c>
      <c r="C5981" s="1" t="s">
        <v>2014</v>
      </c>
      <c r="D5981" s="1" t="str">
        <f>IFERROR(__xludf.DUMMYFUNCTION("CONCATENATE(GOOGLETRANSLATE(C5981, ""en"", ""zh-cn""))"),"Atotfusion 棉质厚轻桌凳靠背坐垫瑜伽椅垫适用于室内/室外家庭办公室花园装饰棉质坐垫 3 座长凳坐垫，150 x 50 x 8 厘米（灰色）")</f>
        <v>Atotfusion 棉质厚轻桌凳靠背坐垫瑜伽椅垫适用于室内/室外家庭办公室花园装饰棉质坐垫 3 座长凳坐垫，150 x 50 x 8 厘米（灰色）</v>
      </c>
      <c r="E5981" s="1" t="str">
        <f>IFERROR(__xludf.DUMMYFUNCTION("CONCATENATE(GOOGLETRANSLATE(C5981, ""en"", ""ko""))"),"Atootfusion 면 두꺼운 경량 테이블 의자 뒷좌석 쿠션 요가 의자 패드 실내/실외 홈 오피스 정원 장식 면 쿠션 3인용 벤치 쿠션, 150 x 50 x 8 cm(회색)")</f>
        <v>Atootfusion 면 두꺼운 경량 테이블 의자 뒷좌석 쿠션 요가 의자 패드 실내/실외 홈 오피스 정원 장식 면 쿠션 3인용 벤치 쿠션, 150 x 50 x 8 cm(회색)</v>
      </c>
      <c r="F5981" s="1" t="str">
        <f>IFERROR(__xludf.DUMMYFUNCTION("CONCATENATE(GOOGLETRANSLATE(C5981, ""en"", ""ja""))"),"Atootfusion コットン 厚手 軽量 テーブル スツール バックシートクッション ヨガチェアパッド 屋内/屋外 ホームオフィス ガーデン装飾 コットンクッション 3人掛けベンチクッション 150 x 50 x 8 cm (グレー)")</f>
        <v>Atootfusion コットン 厚手 軽量 テーブル スツール バックシートクッション ヨガチェアパッド 屋内/屋外 ホームオフィス ガーデン装飾 コットンクッション 3人掛けベンチクッション 150 x 50 x 8 cm (グレー)</v>
      </c>
    </row>
    <row r="5982" ht="15.75" customHeight="1">
      <c r="A5982" s="1">
        <v>6087.0</v>
      </c>
      <c r="B5982" s="1" t="s">
        <v>15</v>
      </c>
      <c r="C5982" s="1" t="s">
        <v>2310</v>
      </c>
      <c r="D5982" s="1" t="str">
        <f>IFERROR(__xludf.DUMMYFUNCTION("CONCATENATE(GOOGLETRANSLATE(C5982, ""en"", ""zh-cn""))"),"Giro Helios 球形成人公路骑行头盔")</f>
        <v>Giro Helios 球形成人公路骑行头盔</v>
      </c>
      <c r="E5982" s="1" t="str">
        <f>IFERROR(__xludf.DUMMYFUNCTION("CONCATENATE(GOOGLETRANSLATE(C5982, ""en"", ""ko""))"),"Giro Helios 구형 성인용 도로 사이클링 헬멧")</f>
        <v>Giro Helios 구형 성인용 도로 사이클링 헬멧</v>
      </c>
      <c r="F5982" s="1" t="str">
        <f>IFERROR(__xludf.DUMMYFUNCTION("CONCATENATE(GOOGLETRANSLATE(C5982, ""en"", ""ja""))"),"Giro Helios 球状大人用ロードサイクリング ヘルメット")</f>
        <v>Giro Helios 球状大人用ロードサイクリング ヘルメット</v>
      </c>
    </row>
    <row r="5983" ht="15.75" customHeight="1">
      <c r="A5983" s="1">
        <v>6094.0</v>
      </c>
      <c r="B5983" s="1" t="s">
        <v>15</v>
      </c>
      <c r="C5983" s="1" t="s">
        <v>2847</v>
      </c>
      <c r="D5983" s="1" t="str">
        <f>IFERROR(__xludf.DUMMYFUNCTION("CONCATENATE(GOOGLETRANSLATE(C5983, ""en"", ""zh-cn""))"),"Sidi Dominator 10 山地鞋")</f>
        <v>Sidi Dominator 10 山地鞋</v>
      </c>
      <c r="E5983" s="1" t="str">
        <f>IFERROR(__xludf.DUMMYFUNCTION("CONCATENATE(GOOGLETRANSLATE(C5983, ""en"", ""ko""))"),"시디 도미네이터 10 MTB 신발")</f>
        <v>시디 도미네이터 10 MTB 신발</v>
      </c>
      <c r="F5983" s="1" t="str">
        <f>IFERROR(__xludf.DUMMYFUNCTION("CONCATENATE(GOOGLETRANSLATE(C5983, ""en"", ""ja""))"),"シディ ドミネーター 10 MTB シューズ")</f>
        <v>シディ ドミネーター 10 MTB シューズ</v>
      </c>
    </row>
    <row r="5984" ht="15.75" customHeight="1">
      <c r="A5984" s="1">
        <v>6109.0</v>
      </c>
      <c r="B5984" s="1" t="s">
        <v>15</v>
      </c>
      <c r="C5984" s="1" t="s">
        <v>1853</v>
      </c>
      <c r="D5984" s="1" t="str">
        <f>IFERROR(__xludf.DUMMYFUNCTION("CONCATENATE(GOOGLETRANSLATE(C5984, ""en"", ""zh-cn""))"),"带金属腿和盖子的拼图桌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5984" s="1" t="str">
        <f>IFERROR(__xludf.DUMMYFUNCTION("CONCATENATE(GOOGLETRANSLATE(C5984, ""en"", ""ko""))"),"금속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5984" s="1" t="str">
        <f>IFERROR(__xludf.DUMMYFUNCTION("CONCATENATE(GOOGLETRANSLATE(C5984, ""en"", ""ja""))"),"金属製の脚とカバー付きパズルテーブル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5985" ht="15.75" customHeight="1">
      <c r="A5985" s="1">
        <v>6122.0</v>
      </c>
      <c r="B5985" s="1" t="s">
        <v>15</v>
      </c>
      <c r="C5985" s="1" t="s">
        <v>1825</v>
      </c>
      <c r="D5985" s="1" t="str">
        <f>IFERROR(__xludf.DUMMYFUNCTION("CONCATENATE(GOOGLETRANSLATE(C5985, ""en"", ""zh-cn""))"),"1500 块木制拼图桌 - 6 个抽屉，拼图板 | 27” X 35” 便携式拼图板 - 便携式拼图桌 |适合成人和儿童")</f>
        <v>1500 块木制拼图桌 - 6 个抽屉，拼图板 | 27” X 35” 便携式拼图板 - 便携式拼图桌 |适合成人和儿童</v>
      </c>
      <c r="E5985" s="1" t="str">
        <f>IFERROR(__xludf.DUMMYFUNCTION("CONCATENATE(GOOGLETRANSLATE(C5985, ""en"", ""ko""))"),"1500피스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5985" s="1" t="str">
        <f>IFERROR(__xludf.DUMMYFUNCTION("CONCATENATE(GOOGLETRANSLATE(C5985, ""en"", ""ja""))"),"1500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5986" ht="15.75" customHeight="1">
      <c r="A5986" s="1">
        <v>6126.0</v>
      </c>
      <c r="B5986" s="1" t="s">
        <v>15</v>
      </c>
      <c r="C5986" s="1" t="s">
        <v>1820</v>
      </c>
      <c r="D5986" s="1" t="str">
        <f>IFERROR(__xludf.DUMMYFUNCTION("CONCATENATE(GOOGLETRANSLATE(C5986, ""en"", ""zh-cn""))"),"Giro Empire SLX 男士公路骑行鞋")</f>
        <v>Giro Empire SLX 男士公路骑行鞋</v>
      </c>
      <c r="E5986" s="1" t="str">
        <f>IFERROR(__xludf.DUMMYFUNCTION("CONCATENATE(GOOGLETRANSLATE(C5986, ""en"", ""ko""))"),"Giro Empire SLX 남성용 로드 사이클링 신발")</f>
        <v>Giro Empire SLX 남성용 로드 사이클링 신발</v>
      </c>
      <c r="F5986" s="1" t="str">
        <f>IFERROR(__xludf.DUMMYFUNCTION("CONCATENATE(GOOGLETRANSLATE(C5986, ""en"", ""ja""))"),"Giro Empire SLX メンズ ロード サイクリング シューズ")</f>
        <v>Giro Empire SLX メンズ ロード サイクリング シューズ</v>
      </c>
    </row>
    <row r="5987" ht="15.75" customHeight="1">
      <c r="A5987" s="1">
        <v>6127.0</v>
      </c>
      <c r="B5987" s="1" t="s">
        <v>15</v>
      </c>
      <c r="C5987" s="1" t="s">
        <v>3640</v>
      </c>
      <c r="D5987" s="1" t="str">
        <f>IFERROR(__xludf.DUMMYFUNCTION("CONCATENATE(GOOGLETRANSLATE(C5987, ""en"", ""zh-cn""))"),"Giro Regime 男士公路骑行鞋")</f>
        <v>Giro Regime 男士公路骑行鞋</v>
      </c>
      <c r="E5987" s="1" t="str">
        <f>IFERROR(__xludf.DUMMYFUNCTION("CONCATENATE(GOOGLETRANSLATE(C5987, ""en"", ""ko""))"),"Giro Regime 남성용 로드 사이클링 신발")</f>
        <v>Giro Regime 남성용 로드 사이클링 신발</v>
      </c>
      <c r="F5987" s="1" t="str">
        <f>IFERROR(__xludf.DUMMYFUNCTION("CONCATENATE(GOOGLETRANSLATE(C5987, ""en"", ""ja""))"),"Giro Regime メンズ ロード サイクリング シューズ")</f>
        <v>Giro Regime メンズ ロード サイクリング シューズ</v>
      </c>
    </row>
    <row r="5988" ht="15.75" customHeight="1">
      <c r="A5988" s="1">
        <v>6133.0</v>
      </c>
      <c r="B5988" s="1" t="s">
        <v>15</v>
      </c>
      <c r="C5988" s="1" t="s">
        <v>2845</v>
      </c>
      <c r="D5988" s="1" t="str">
        <f>IFERROR(__xludf.DUMMYFUNCTION("CONCATENATE(GOOGLETRANSLATE(C5988, ""en"", ""zh-cn""))"),"Igloo BMX 72 夸脱冷却器采用 Cool Riser 技术、鱼尺和系紧点")</f>
        <v>Igloo BMX 72 夸脱冷却器采用 Cool Riser 技术、鱼尺和系紧点</v>
      </c>
      <c r="E5988" s="1" t="str">
        <f>IFERROR(__xludf.DUMMYFUNCTION("CONCATENATE(GOOGLETRANSLATE(C5988, ""en"", ""ko""))"),"쿨 라이저 기술, 피시 눈금자 및 타이다운 포인트를 갖춘 이글루 BMX 72쿼트 쿨러")</f>
        <v>쿨 라이저 기술, 피시 눈금자 및 타이다운 포인트를 갖춘 이글루 BMX 72쿼트 쿨러</v>
      </c>
      <c r="F5988" s="1" t="str">
        <f>IFERROR(__xludf.DUMMYFUNCTION("CONCATENATE(GOOGLETRANSLATE(C5988, ""en"", ""ja""))"),"Igloo BMX 72 クォート クーラー、クール ライザー テクノロジー、フィッシュ ルーラー、タイダウン ポイント付き")</f>
        <v>Igloo BMX 72 クォート クーラー、クール ライザー テクノロジー、フィッシュ ルーラー、タイダウン ポイント付き</v>
      </c>
    </row>
    <row r="5989" ht="15.75" customHeight="1">
      <c r="A5989" s="1">
        <v>6134.0</v>
      </c>
      <c r="B5989" s="1" t="s">
        <v>15</v>
      </c>
      <c r="C5989" s="1" t="s">
        <v>1857</v>
      </c>
      <c r="D5989" s="1" t="str">
        <f>IFERROR(__xludf.DUMMYFUNCTION("CONCATENATE(GOOGLETRANSLATE(C5989, ""en"", ""zh-cn""))"),"Alexia 冥想座椅符合人体工程学，适合人体生理学禅宗瑜伽人体工学椅子泡沫垫家庭或办公室（浅灰色 - 纯素皮革）")</f>
        <v>Alexia 冥想座椅符合人体工程学，适合人体生理学禅宗瑜伽人体工学椅子泡沫垫家庭或办公室（浅灰色 - 纯素皮革）</v>
      </c>
      <c r="E5989" s="1" t="str">
        <f>IFERROR(__xludf.DUMMYFUNCTION("CONCATENATE(GOOGLETRANSLATE(C5989, ""en"", ""ko""))"),"Alexia 명상 시트 인체 생리학에 인체 공학적으로 올바른 Zen Yoga 인체 공학적 의자 폼 쿠션 가정 또는 사무실 (밝은 회색 - 비건 가죽)")</f>
        <v>Alexia 명상 시트 인체 생리학에 인체 공학적으로 올바른 Zen Yoga 인체 공학적 의자 폼 쿠션 가정 또는 사무실 (밝은 회색 - 비건 가죽)</v>
      </c>
      <c r="F5989" s="1" t="str">
        <f>IFERROR(__xludf.DUMMYFUNCTION("CONCATENATE(GOOGLETRANSLATE(C5989, ""en"", ""ja""))"),"Alexia 瞑想シート 人間の生理学的に正しい 禅ヨガ 人間工学に基づいた椅子 フォームクッション 自宅またはオフィス (ライトグレー - ビーガンレザー)")</f>
        <v>Alexia 瞑想シート 人間の生理学的に正しい 禅ヨガ 人間工学に基づいた椅子 フォームクッション 自宅またはオフィス (ライトグレー - ビーガンレザー)</v>
      </c>
    </row>
    <row r="5990" ht="15.75" customHeight="1">
      <c r="A5990" s="1">
        <v>6137.0</v>
      </c>
      <c r="B5990" s="1" t="s">
        <v>15</v>
      </c>
      <c r="C5990" s="1" t="s">
        <v>2307</v>
      </c>
      <c r="D5990" s="1" t="str">
        <f>IFERROR(__xludf.DUMMYFUNCTION("CONCATENATE(GOOGLETRANSLATE(C5990, ""en"", ""zh-cn""))"),"Sunny Health &amp; Fitness 椭圆运动机训练器，配有可选的独家 SunnyFit™ 应用程序和增强型蓝牙连接")</f>
        <v>Sunny Health &amp; Fitness 椭圆运动机训练器，配有可选的独家 SunnyFit™ 应用程序和增强型蓝牙连接</v>
      </c>
      <c r="E5990" s="1" t="str">
        <f>IFERROR(__xludf.DUMMYFUNCTION("CONCATENATE(GOOGLETRANSLATE(C5990, ""en"", ""ko""))"),"독점 SunnyFit™ 앱(옵션) 및 향상된 Bluetooth 연결 기능을 갖춘 Sunny 건강 및 피트니스 타원형 운동 기구 트레이너")</f>
        <v>독점 SunnyFit™ 앱(옵션) 및 향상된 Bluetooth 연결 기능을 갖춘 Sunny 건강 및 피트니스 타원형 운동 기구 트레이너</v>
      </c>
      <c r="F5990" s="1" t="str">
        <f>IFERROR(__xludf.DUMMYFUNCTION("CONCATENATE(GOOGLETRANSLATE(C5990, ""en"", ""ja""))"),"Sunny Health &amp; Fitness エリプティカル エクササイズ マシン トレーナー (オプションの専用 SunnyFit™ アプリと強化された Bluetooth 接続を備え)")</f>
        <v>Sunny Health &amp; Fitness エリプティカル エクササイズ マシン トレーナー (オプションの専用 SunnyFit™ アプリと強化された Bluetooth 接続を備え)</v>
      </c>
    </row>
    <row r="5991" ht="15.75" customHeight="1">
      <c r="A5991" s="1">
        <v>6147.0</v>
      </c>
      <c r="B5991" s="1" t="s">
        <v>15</v>
      </c>
      <c r="C5991" s="1" t="s">
        <v>2849</v>
      </c>
      <c r="D5991" s="1" t="str">
        <f>IFERROR(__xludf.DUMMYFUNCTION("CONCATENATE(GOOGLETRANSLATE(C5991, ""en"", ""zh-cn""))"),"Sidi 男士现代")</f>
        <v>Sidi 男士现代</v>
      </c>
      <c r="E5991" s="1" t="str">
        <f>IFERROR(__xludf.DUMMYFUNCTION("CONCATENATE(GOOGLETRANSLATE(C5991, ""en"", ""ko""))"),"시디 남성 모던")</f>
        <v>시디 남성 모던</v>
      </c>
      <c r="F5991" s="1" t="str">
        <f>IFERROR(__xludf.DUMMYFUNCTION("CONCATENATE(GOOGLETRANSLATE(C5991, ""en"", ""ja""))"),"シディ メンズ モダン")</f>
        <v>シディ メンズ モダン</v>
      </c>
    </row>
    <row r="5992" ht="15.75" customHeight="1">
      <c r="A5992" s="1">
        <v>6153.0</v>
      </c>
      <c r="B5992" s="1" t="s">
        <v>15</v>
      </c>
      <c r="C5992" s="1" t="s">
        <v>1856</v>
      </c>
      <c r="D5992" s="1" t="str">
        <f>IFERROR(__xludf.DUMMYFUNCTION("CONCATENATE(GOOGLETRANSLATE(C5992, ""en"", ""zh-cn""))"),"西迪鞋天才 10")</f>
        <v>西迪鞋天才 10</v>
      </c>
      <c r="E5992" s="1" t="str">
        <f>IFERROR(__xludf.DUMMYFUNCTION("CONCATENATE(GOOGLETRANSLATE(C5992, ""en"", ""ko""))"),"시디 신발 천재 10")</f>
        <v>시디 신발 천재 10</v>
      </c>
      <c r="F5992" s="1" t="str">
        <f>IFERROR(__xludf.DUMMYFUNCTION("CONCATENATE(GOOGLETRANSLATE(C5992, ""en"", ""ja""))"),"シディ シューズ ジーニアス 10")</f>
        <v>シディ シューズ ジーニアス 10</v>
      </c>
    </row>
    <row r="5993" ht="15.75" customHeight="1">
      <c r="A5993" s="1">
        <v>6157.0</v>
      </c>
      <c r="B5993" s="1" t="s">
        <v>15</v>
      </c>
      <c r="C5993" s="1" t="s">
        <v>2848</v>
      </c>
      <c r="D5993" s="1" t="str">
        <f>IFERROR(__xludf.DUMMYFUNCTION("CONCATENATE(GOOGLETRANSLATE(C5993, ""en"", ""zh-cn""))"),"Giro Vanquish MIPS 成人公路骑行头盔")</f>
        <v>Giro Vanquish MIPS 成人公路骑行头盔</v>
      </c>
      <c r="E5993" s="1" t="str">
        <f>IFERROR(__xludf.DUMMYFUNCTION("CONCATENATE(GOOGLETRANSLATE(C5993, ""en"", ""ko""))"),"Giro Vanquish MIPS 성인용 로드 사이클링 헬멧")</f>
        <v>Giro Vanquish MIPS 성인용 로드 사이클링 헬멧</v>
      </c>
      <c r="F5993" s="1" t="str">
        <f>IFERROR(__xludf.DUMMYFUNCTION("CONCATENATE(GOOGLETRANSLATE(C5993, ""en"", ""ja""))"),"Giro Vanquish MIPS 大人用ロードサイクリング ヘルメット")</f>
        <v>Giro Vanquish MIPS 大人用ロードサイクリング ヘルメット</v>
      </c>
    </row>
    <row r="5994" ht="15.75" customHeight="1">
      <c r="A5994" s="1">
        <v>6180.0</v>
      </c>
      <c r="B5994" s="1" t="s">
        <v>15</v>
      </c>
      <c r="C5994" s="1" t="s">
        <v>1840</v>
      </c>
      <c r="D5994" s="1" t="str">
        <f>IFERROR(__xludf.DUMMYFUNCTION("CONCATENATE(GOOGLETRANSLATE(C5994, ""en"", ""zh-cn""))"),"Cuberspeed GAN 13 uv 涂层 MagLev 无贴纸 3x3 速度立方拼图 gan13 maglev uv 涂层旗舰拼图")</f>
        <v>Cuberspeed GAN 13 uv 涂层 MagLev 无贴纸 3x3 速度立方拼图 gan13 maglev uv 涂层旗舰拼图</v>
      </c>
      <c r="E5994" s="1" t="str">
        <f>IFERROR(__xludf.DUMMYFUNCTION("CONCATENATE(GOOGLETRANSLATE(C5994, ""en"", ""ko""))"),"Cuberspeed GAN 13 uv 코팅 MagLev 스티커가 없는 3x3 스피드 큐브 퍼즐 gan13 maglev uv 코팅 플래그십 퍼즐")</f>
        <v>Cuberspeed GAN 13 uv 코팅 MagLev 스티커가 없는 3x3 스피드 큐브 퍼즐 gan13 maglev uv 코팅 플래그십 퍼즐</v>
      </c>
      <c r="F5994" s="1" t="str">
        <f>IFERROR(__xludf.DUMMYFUNCTION("CONCATENATE(GOOGLETRANSLATE(C5994, ""en"", ""ja""))"),"Cuberspeed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5995" ht="15.75" customHeight="1">
      <c r="A5995" s="1">
        <v>6201.0</v>
      </c>
      <c r="B5995" s="1" t="s">
        <v>15</v>
      </c>
      <c r="C5995" s="1" t="s">
        <v>2370</v>
      </c>
      <c r="D5995" s="1" t="str">
        <f>IFERROR(__xludf.DUMMYFUNCTION("CONCATENATE(GOOGLETRANSLATE(C5995, ""en"", ""zh-cn""))"),"Sidi 男子现代自行车赛，美国 2-4（亚洲）")</f>
        <v>Sidi 男子现代自行车赛，美国 2-4（亚洲）</v>
      </c>
      <c r="E5995" s="1" t="str">
        <f>IFERROR(__xludf.DUMMYFUNCTION("CONCATENATE(GOOGLETRANSLATE(C5995, ""en"", ""ko""))"),"Sidi 남성용 모던 사이클링 스케이프, 미국 2-4(아시아)")</f>
        <v>Sidi 남성용 모던 사이클링 스케이프, 미국 2-4(아시아)</v>
      </c>
      <c r="F5995" s="1" t="str">
        <f>IFERROR(__xludf.DUMMYFUNCTION("CONCATENATE(GOOGLETRANSLATE(C5995, ""en"", ""ja""))"),"シディメンズモダンサイクリングスケープ、米国 2-4 (アジア)")</f>
        <v>シディメンズモダンサイクリングスケープ、米国 2-4 (アジア)</v>
      </c>
    </row>
    <row r="5996" ht="15.75" customHeight="1">
      <c r="A5996" s="1">
        <v>6210.0</v>
      </c>
      <c r="B5996" s="1" t="s">
        <v>15</v>
      </c>
      <c r="C5996" s="1" t="s">
        <v>1905</v>
      </c>
      <c r="D5996" s="1" t="str">
        <f>IFERROR(__xludf.DUMMYFUNCTION("CONCATENATE(GOOGLETRANSLATE(C5996, ""en"", ""zh-cn""))"),"Lake MX241 耐力骑行鞋 - 男士")</f>
        <v>Lake MX241 耐力骑行鞋 - 男士</v>
      </c>
      <c r="E5996" s="1" t="str">
        <f>IFERROR(__xludf.DUMMYFUNCTION("CONCATENATE(GOOGLETRANSLATE(C5996, ""en"", ""ko""))"),"Lake MX241 인듀어런스 사이클링 슈즈 - 남성용")</f>
        <v>Lake MX241 인듀어런스 사이클링 슈즈 - 남성용</v>
      </c>
      <c r="F5996" s="1" t="str">
        <f>IFERROR(__xludf.DUMMYFUNCTION("CONCATENATE(GOOGLETRANSLATE(C5996, ""en"", ""ja""))"),"Lake MX241 エンデュランス サイクリング シューズ - メンズ")</f>
        <v>Lake MX241 エンデュランス サイクリング シューズ - メンズ</v>
      </c>
    </row>
    <row r="5997" ht="15.75" customHeight="1">
      <c r="A5997" s="1">
        <v>6227.0</v>
      </c>
      <c r="B5997" s="1" t="s">
        <v>15</v>
      </c>
      <c r="C5997" s="1" t="s">
        <v>1648</v>
      </c>
      <c r="D5997" s="1" t="str">
        <f>IFERROR(__xludf.DUMMYFUNCTION("CONCATENATE(GOOGLETRANSLATE(C5997, ""en"", ""zh-cn""))"),"CuberShop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5997" s="1" t="str">
        <f>IFERROR(__xludf.DUMMYFUNCTION("CONCATENATE(GOOGLETRANSLATE(C5997, ""en"", ""ko""))"),"CuberShop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5997" s="1" t="str">
        <f>IFERROR(__xludf.DUMMYFUNCTION("CONCATENATE(GOOGLETRANSLATE(C5997, ""en"", ""ja""))"),"CuberShop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5998" ht="15.75" customHeight="1">
      <c r="A5998" s="1">
        <v>6233.0</v>
      </c>
      <c r="B5998" s="1" t="s">
        <v>15</v>
      </c>
      <c r="C5998" s="1" t="s">
        <v>1849</v>
      </c>
      <c r="D5998" s="1" t="str">
        <f>IFERROR(__xludf.DUMMYFUNCTION("CONCATENATE(GOOGLETRANSLATE(C5998, ""en"", ""zh-cn""))"),"GAN 460 M， Gan 4x4 磁性速度魔方， gan 460 m 4 x 4 儿童和成人无贴纸拼图玩具")</f>
        <v>GAN 460 M， Gan 4x4 磁性速度魔方， gan 460 m 4 x 4 儿童和成人无贴纸拼图玩具</v>
      </c>
      <c r="E5998" s="1" t="str">
        <f>IFERROR(__xludf.DUMMYFUNCTION("CONCATENATE(GOOGLETRANSLATE(C5998, ""en"", ""ko""))"),"GAN 460 M, Gan 4x4 자기 속도 큐브, gan 460 m 4 by 4 어린이와 성인을 위한 스티커 없는 퍼즐 장난감")</f>
        <v>GAN 460 M, Gan 4x4 자기 속도 큐브, gan 460 m 4 by 4 어린이와 성인을 위한 스티커 없는 퍼즐 장난감</v>
      </c>
      <c r="F5998" s="1" t="str">
        <f>IFERROR(__xludf.DUMMYFUNCTION("CONCATENATE(GOOGLETRANSLATE(C5998, ""en"", ""ja""))"),"GAN 460 M、Gan 4x4 磁気スピードキューブ、GAN 460 m 4 by 4 ステッカーレスパズルおもちゃ子供と大人向け")</f>
        <v>GAN 460 M、Gan 4x4 磁気スピードキューブ、GAN 460 m 4 by 4 ステッカーレスパズルおもちゃ子供と大人向け</v>
      </c>
    </row>
    <row r="5999" ht="15.75" customHeight="1">
      <c r="A5999" s="1">
        <v>6244.0</v>
      </c>
      <c r="B5999" s="1" t="s">
        <v>15</v>
      </c>
      <c r="C5999" s="1" t="s">
        <v>4140</v>
      </c>
      <c r="D5999" s="1" t="str">
        <f>IFERROR(__xludf.DUMMYFUNCTION("CONCATENATE(GOOGLETRANSLATE(C5999, ""en"", ""zh-cn""))"),"Altor SAF 锁 - 防角磨机自行车 U 型锁")</f>
        <v>Altor SAF 锁 - 防角磨机自行车 U 型锁</v>
      </c>
      <c r="E5999" s="1" t="str">
        <f>IFERROR(__xludf.DUMMYFUNCTION("CONCATENATE(GOOGLETRANSLATE(C5999, ""en"", ""ko""))"),"Altor SAF 잠금 장치 - 앵글 그라인더 방지 자전거 U 잠금 장치")</f>
        <v>Altor SAF 잠금 장치 - 앵글 그라인더 방지 자전거 U 잠금 장치</v>
      </c>
      <c r="F5999" s="1" t="str">
        <f>IFERROR(__xludf.DUMMYFUNCTION("CONCATENATE(GOOGLETRANSLATE(C5999, ""en"", ""ja""))"),"Altor SAF ロック - アングル グラインダー プルーフ自転車 U ロック")</f>
        <v>Altor SAF ロック - アングル グラインダー プルーフ自転車 U ロック</v>
      </c>
    </row>
    <row r="6000" ht="15.75" customHeight="1">
      <c r="A6000" s="1">
        <v>6263.0</v>
      </c>
      <c r="B6000" s="1" t="s">
        <v>15</v>
      </c>
      <c r="C6000" s="1" t="s">
        <v>2013</v>
      </c>
      <c r="D6000" s="1" t="str">
        <f>IFERROR(__xludf.DUMMYFUNCTION("CONCATENATE(GOOGLETRANSLATE(C6000, ""en"", ""zh-cn""))"),"Tilt Industries - 自行车平衡训练器|自行车修理架/平衡训练器组合")</f>
        <v>Tilt Industries - 自行车平衡训练器|自行车修理架/平衡训练器组合</v>
      </c>
      <c r="E6000" s="1" t="str">
        <f>IFERROR(__xludf.DUMMYFUNCTION("CONCATENATE(GOOGLETRANSLATE(C6000, ""en"", ""ko""))"),"Tilt Industries - 자전거 밸런스 트레이너 | 자전거 수리 스탠드/밸런스 트레이너 콤보")</f>
        <v>Tilt Industries - 자전거 밸런스 트레이너 | 자전거 수리 스탠드/밸런스 트레이너 콤보</v>
      </c>
      <c r="F6000" s="1" t="str">
        <f>IFERROR(__xludf.DUMMYFUNCTION("CONCATENATE(GOOGLETRANSLATE(C6000, ""en"", ""ja""))"),"Tilt Industries - バイクバランストレーナー |自転車修理スタンド/バランストレーナーコンボ")</f>
        <v>Tilt Industries - バイクバランストレーナー |自転車修理スタンド/バランストレーナーコンボ</v>
      </c>
    </row>
    <row r="6001" ht="15.75" customHeight="1">
      <c r="A6001" s="1">
        <v>6279.0</v>
      </c>
      <c r="B6001" s="1" t="s">
        <v>15</v>
      </c>
      <c r="C6001" s="1" t="s">
        <v>1840</v>
      </c>
      <c r="D6001" s="1" t="str">
        <f>IFERROR(__xludf.DUMMYFUNCTION("CONCATENATE(GOOGLETRANSLATE(C6001, ""en"", ""zh-cn""))"),"Cuberspeed GAN 13 uv 涂层 MagLev 无贴纸 3x3 速度立方拼图 gan13 maglev uv 涂层旗舰拼图")</f>
        <v>Cuberspeed GAN 13 uv 涂层 MagLev 无贴纸 3x3 速度立方拼图 gan13 maglev uv 涂层旗舰拼图</v>
      </c>
      <c r="E6001" s="1" t="str">
        <f>IFERROR(__xludf.DUMMYFUNCTION("CONCATENATE(GOOGLETRANSLATE(C6001, ""en"", ""ko""))"),"Cuberspeed GAN 13 uv 코팅 MagLev 스티커가 없는 3x3 스피드 큐브 퍼즐 gan13 maglev uv 코팅 플래그십 퍼즐")</f>
        <v>Cuberspeed GAN 13 uv 코팅 MagLev 스티커가 없는 3x3 스피드 큐브 퍼즐 gan13 maglev uv 코팅 플래그십 퍼즐</v>
      </c>
      <c r="F6001" s="1" t="str">
        <f>IFERROR(__xludf.DUMMYFUNCTION("CONCATENATE(GOOGLETRANSLATE(C6001, ""en"", ""ja""))"),"Cuberspeed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6002" ht="15.75" customHeight="1">
      <c r="A6002" s="1">
        <v>6281.0</v>
      </c>
      <c r="B6002" s="1" t="s">
        <v>15</v>
      </c>
      <c r="C6002" s="1" t="s">
        <v>1843</v>
      </c>
      <c r="D6002" s="1" t="str">
        <f>IFERROR(__xludf.DUMMYFUNCTION("CONCATENATE(GOOGLETRANSLATE(C6002, ""en"", ""zh-cn""))"),"BroMocube 的 GAN 11M Pro 3x3 速度魔方 GAN 11 磁性拼图魔方 Gan11M 魔方（GAN 11 M Pro 磨砂无贴纸（黑色））")</f>
        <v>BroMocube 的 GAN 11M Pro 3x3 速度魔方 GAN 11 磁性拼图魔方 Gan11M 魔方（GAN 11 M Pro 磨砂无贴纸（黑色））</v>
      </c>
      <c r="E6002" s="1" t="str">
        <f>IFERROR(__xludf.DUMMYFUNCTION("CONCATENATE(GOOGLETRANSLATE(C6002, ""en"", ""ko""))"),"GAN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6002" s="1" t="str">
        <f>IFERROR(__xludf.DUMMYFUNCTION("CONCATENATE(GOOGLETRANSLATE(C6002, ""en"", ""ja""))"),"GAN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6003" ht="15.75" customHeight="1">
      <c r="A6003" s="1">
        <v>6284.0</v>
      </c>
      <c r="B6003" s="1" t="s">
        <v>15</v>
      </c>
      <c r="C6003" s="1" t="s">
        <v>1842</v>
      </c>
      <c r="D6003" s="1" t="str">
        <f>IFERROR(__xludf.DUMMYFUNCTION("CONCATENATE(GOOGLETRANSLATE(C6003, ""en"", ""zh-cn""))"),"波克芬诺 GAN Megaminx M 3x3 速度魔方 Gan 五角形磁性无贴纸魔法拼图魔方玩具")</f>
        <v>波克芬诺 GAN Megaminx M 3x3 速度魔方 Gan 五角形磁性无贴纸魔法拼图魔方玩具</v>
      </c>
      <c r="E6003" s="1" t="str">
        <f>IFERROR(__xludf.DUMMYFUNCTION("CONCATENATE(GOOGLETRANSLATE(C6003, ""en"", ""ko""))"),"Bokefenuo GAN Megaminx M 3x3 스피드 큐브 Gan 오각형 자기 스티커가없는 매직 퍼즐 큐브 장난감")</f>
        <v>Bokefenuo GAN Megaminx M 3x3 스피드 큐브 Gan 오각형 자기 스티커가없는 매직 퍼즐 큐브 장난감</v>
      </c>
      <c r="F6003" s="1" t="str">
        <f>IFERROR(__xludf.DUMMYFUNCTION("CONCATENATE(GOOGLETRANSLATE(C6003, ""en"", ""ja""))"),"Bokefenuo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6004" ht="15.75" customHeight="1">
      <c r="A6004" s="1">
        <v>6286.0</v>
      </c>
      <c r="B6004" s="1" t="s">
        <v>15</v>
      </c>
      <c r="C6004" s="1" t="s">
        <v>1846</v>
      </c>
      <c r="D6004" s="1" t="str">
        <f>IFERROR(__xludf.DUMMYFUNCTION("CONCATENATE(GOOGLETRANSLATE(C6004, ""en"", ""zh-cn""))"),"带抽屉和盖垫的拼图板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6004" s="1" t="str">
        <f>IFERROR(__xludf.DUMMYFUNCTION("CONCATENATE(GOOGLETRANSLATE(C6004, ""en"", ""ko""))"),"서랍과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6004" s="1" t="str">
        <f>IFERROR(__xludf.DUMMYFUNCTION("CONCATENATE(GOOGLETRANSLATE(C6004, ""en"", ""ja""))"),"引き出しとカバー付きパズルボード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6005" ht="15.75" customHeight="1">
      <c r="A6005" s="1">
        <v>6287.0</v>
      </c>
      <c r="B6005" s="1" t="s">
        <v>15</v>
      </c>
      <c r="C6005" s="1" t="s">
        <v>1839</v>
      </c>
      <c r="D6005" s="1" t="str">
        <f>IFERROR(__xludf.DUMMYFUNCTION("CONCATENATE(GOOGLETRANSLATE(C6005, ""en"", ""zh-cn""))"),"GAN 13 磁悬浮 UV 涂层，磁性速度魔方 3x3 无贴纸 56 毫米磁铁魔方拼图玩具，GAN 2022 旗舰")</f>
        <v>GAN 13 磁悬浮 UV 涂层，磁性速度魔方 3x3 无贴纸 56 毫米磁铁魔方拼图玩具，GAN 2022 旗舰</v>
      </c>
      <c r="E6005" s="1" t="str">
        <f>IFERROR(__xludf.DUMMYFUNCTION("CONCATENATE(GOOGLETRANSLATE(C6005, ""en"", ""ko""))"),"GAN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6005" s="1" t="str">
        <f>IFERROR(__xludf.DUMMYFUNCTION("CONCATENATE(GOOGLETRANSLATE(C6005, ""en"", ""ja""))"),"GAN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6006" ht="15.75" customHeight="1">
      <c r="A6006" s="1">
        <v>6303.0</v>
      </c>
      <c r="B6006" s="1" t="s">
        <v>15</v>
      </c>
      <c r="C6006" s="1" t="s">
        <v>2324</v>
      </c>
      <c r="D6006" s="1" t="str">
        <f>IFERROR(__xludf.DUMMYFUNCTION("CONCATENATE(GOOGLETRANSLATE(C6006, ""en"", ""zh-cn""))"),"罗林斯| Renegade 系列棒球接球手套装 | NOCSAE 认证 |成人 |中级|青年|多种颜色")</f>
        <v>罗林斯| Renegade 系列棒球接球手套装 | NOCSAE 认证 |成人 |中级|青年|多种颜色</v>
      </c>
      <c r="E6006" s="1" t="str">
        <f>IFERROR(__xludf.DUMMYFUNCTION("CONCATENATE(GOOGLETRANSLATE(C6006, ""en"", ""ko""))"),"롤링스 | 레니게이드 시리즈 야구 포수 세트 | NOCSAE 인증 | 성인 | 중급 | 청소년 | 다양한 색상")</f>
        <v>롤링스 | 레니게이드 시리즈 야구 포수 세트 | NOCSAE 인증 | 성인 | 중급 | 청소년 | 다양한 색상</v>
      </c>
      <c r="F6006" s="1" t="str">
        <f>IFERROR(__xludf.DUMMYFUNCTION("CONCATENATE(GOOGLETRANSLATE(C6006, ""en"", ""ja""))"),"ローリングス | Renegade シリーズ野球キャッチャーセット | NOCSAE 認定 |アダルト |中級 |若者 |複数の色")</f>
        <v>ローリングス | Renegade シリーズ野球キャッチャーセット | NOCSAE 認定 |アダルト |中級 |若者 |複数の色</v>
      </c>
    </row>
    <row r="6007" ht="15.75" customHeight="1">
      <c r="A6007" s="1">
        <v>6310.0</v>
      </c>
      <c r="B6007" s="1" t="s">
        <v>15</v>
      </c>
      <c r="C6007" s="1" t="s">
        <v>1909</v>
      </c>
      <c r="D6007" s="1" t="str">
        <f>IFERROR(__xludf.DUMMYFUNCTION("CONCATENATE(GOOGLETRANSLATE(C6007, ""en"", ""zh-cn""))"),"YOGABODY 瑜伽吊架，室内外使用")</f>
        <v>YOGABODY 瑜伽吊架，室内外使用</v>
      </c>
      <c r="E6007" s="1" t="str">
        <f>IFERROR(__xludf.DUMMYFUNCTION("CONCATENATE(GOOGLETRANSLATE(C6007, ""en"", ""ko""))"),"YOGABODY 요가 공중 그네 스탠드, 실내 및 실외 사용")</f>
        <v>YOGABODY 요가 공중 그네 스탠드, 실내 및 실외 사용</v>
      </c>
      <c r="F6007" s="1" t="str">
        <f>IFERROR(__xludf.DUMMYFUNCTION("CONCATENATE(GOOGLETRANSLATE(C6007, ""en"", ""ja""))"),"YOGABODY ヨガ空中ブランコスタンド、屋内および屋外で使用可能")</f>
        <v>YOGABODY ヨガ空中ブランコスタンド、屋内および屋外で使用可能</v>
      </c>
    </row>
    <row r="6008" ht="15.75" customHeight="1">
      <c r="A6008" s="1">
        <v>6330.0</v>
      </c>
      <c r="B6008" s="1" t="s">
        <v>15</v>
      </c>
      <c r="C6008" s="1" t="s">
        <v>1826</v>
      </c>
      <c r="D6008" s="1" t="str">
        <f>IFERROR(__xludf.DUMMYFUNCTION("CONCATENATE(GOOGLETRANSLATE(C6008, ""en"", ""zh-cn""))"),"GAN 460 M 速度魔方， 4x4 磁性魔方 Gans 460M 拼图玩具（无贴纸）")</f>
        <v>GAN 460 M 速度魔方， 4x4 磁性魔方 Gans 460M 拼图玩具（无贴纸）</v>
      </c>
      <c r="E6008" s="1" t="str">
        <f>IFERROR(__xludf.DUMMYFUNCTION("CONCATENATE(GOOGLETRANSLATE(C6008, ""en"", ""ko""))"),"GAN 460 M 스피드 큐브, 4x4 마그네틱 마스터 큐브 Gans 460M 퍼즐 장난감(스티커 없음)")</f>
        <v>GAN 460 M 스피드 큐브, 4x4 마그네틱 마스터 큐브 Gans 460M 퍼즐 장난감(스티커 없음)</v>
      </c>
      <c r="F6008" s="1" t="str">
        <f>IFERROR(__xludf.DUMMYFUNCTION("CONCATENATE(GOOGLETRANSLATE(C6008, ""en"", ""ja""))"),"GAN 460 M スピード キューブ、4x4 磁気マスター キューブ Gans 460M パズルおもちゃ (ステッカーなし)")</f>
        <v>GAN 460 M スピード キューブ、4x4 磁気マスター キューブ Gans 460M パズルおもちゃ (ステッカーなし)</v>
      </c>
    </row>
    <row r="6009" ht="15.75" customHeight="1">
      <c r="A6009" s="1">
        <v>6342.0</v>
      </c>
      <c r="B6009" s="1" t="s">
        <v>15</v>
      </c>
      <c r="C6009" s="1" t="s">
        <v>1838</v>
      </c>
      <c r="D6009" s="1" t="str">
        <f>IFERROR(__xludf.DUMMYFUNCTION("CONCATENATE(GOOGLETRANSLATE(C6009, ""en"", ""zh-cn""))"),"Ravensburger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6009" s="1" t="str">
        <f>IFERROR(__xludf.DUMMYFUNCTION("CONCATENATE(GOOGLETRANSLATE(C6009, ""en"", ""ko""))"),"Ravensburger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6009" s="1" t="str">
        <f>IFERROR(__xludf.DUMMYFUNCTION("CONCATENATE(GOOGLETRANSLATE(C6009, ""en"", ""ja""))"),"Ravensburger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6010" ht="15.75" customHeight="1">
      <c r="A6010" s="1">
        <v>6346.0</v>
      </c>
      <c r="B6010" s="1" t="s">
        <v>15</v>
      </c>
      <c r="C6010" s="1" t="s">
        <v>1853</v>
      </c>
      <c r="D6010" s="1" t="str">
        <f>IFERROR(__xludf.DUMMYFUNCTION("CONCATENATE(GOOGLETRANSLATE(C6010, ""en"", ""zh-cn""))"),"带金属腿和盖子的拼图桌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6010" s="1" t="str">
        <f>IFERROR(__xludf.DUMMYFUNCTION("CONCATENATE(GOOGLETRANSLATE(C6010, ""en"", ""ko""))"),"금속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6010" s="1" t="str">
        <f>IFERROR(__xludf.DUMMYFUNCTION("CONCATENATE(GOOGLETRANSLATE(C6010, ""en"", ""ja""))"),"金属製の脚とカバー付きパズルテーブル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6011" ht="15.75" customHeight="1">
      <c r="A6011" s="1">
        <v>6353.0</v>
      </c>
      <c r="B6011" s="1" t="s">
        <v>15</v>
      </c>
      <c r="C6011" s="1" t="s">
        <v>1851</v>
      </c>
      <c r="D6011" s="1" t="str">
        <f>IFERROR(__xludf.DUMMYFUNCTION("CONCATENATE(GOOGLETRANSLATE(C6011, ""en"", ""zh-cn""))"),"GAN Megaminx M，五角磁力测速魔方，无贴纸")</f>
        <v>GAN Megaminx M，五角磁力测速魔方，无贴纸</v>
      </c>
      <c r="E6011" s="1" t="str">
        <f>IFERROR(__xludf.DUMMYFUNCTION("CONCATENATE(GOOGLETRANSLATE(C6011, ""en"", ""ko""))"),"GAN Megaminx M, 오각형 자기 속도 큐브, 스티커 없음")</f>
        <v>GAN Megaminx M, 오각형 자기 속도 큐브, 스티커 없음</v>
      </c>
      <c r="F6011" s="1" t="str">
        <f>IFERROR(__xludf.DUMMYFUNCTION("CONCATENATE(GOOGLETRANSLATE(C6011, ""en"", ""ja""))"),"GAN メガミンクス M、五角形磁気スピードキューブ、ステッカーレス")</f>
        <v>GAN メガミンクス M、五角形磁気スピードキューブ、ステッカーレス</v>
      </c>
    </row>
    <row r="6012" ht="15.75" customHeight="1">
      <c r="A6012" s="1">
        <v>6365.0</v>
      </c>
      <c r="B6012" s="1" t="s">
        <v>15</v>
      </c>
      <c r="C6012" s="1" t="s">
        <v>1648</v>
      </c>
      <c r="D6012" s="1" t="str">
        <f>IFERROR(__xludf.DUMMYFUNCTION("CONCATENATE(GOOGLETRANSLATE(C6012, ""en"", ""zh-cn""))"),"CuberShop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6012" s="1" t="str">
        <f>IFERROR(__xludf.DUMMYFUNCTION("CONCATENATE(GOOGLETRANSLATE(C6012, ""en"", ""ko""))"),"CuberShop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6012" s="1" t="str">
        <f>IFERROR(__xludf.DUMMYFUNCTION("CONCATENATE(GOOGLETRANSLATE(C6012, ""en"", ""ja""))"),"CuberShop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6013" ht="15.75" customHeight="1">
      <c r="A6013" s="1">
        <v>6366.0</v>
      </c>
      <c r="B6013" s="1" t="s">
        <v>15</v>
      </c>
      <c r="C6013" s="1" t="s">
        <v>1824</v>
      </c>
      <c r="D6013" s="1" t="str">
        <f>IFERROR(__xludf.DUMMYFUNCTION("CONCATENATE(GOOGLETRANSLATE(C6013, ""en"", ""zh-cn""))"),"ALL4JIG 1500 件便携式带腿拼图桌，可调节拼图板，带 4 个抽屉和盖子，3 倾斜角度成人拼图桌")</f>
        <v>ALL4JIG 1500 件便携式带腿拼图桌，可调节拼图板，带 4 个抽屉和盖子，3 倾斜角度成人拼图桌</v>
      </c>
      <c r="E6013" s="1" t="str">
        <f>IFERROR(__xludf.DUMMYFUNCTION("CONCATENATE(GOOGLETRANSLATE(C6013, ""en"", ""ko""))"),"ALL4JIG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6013" s="1" t="str">
        <f>IFERROR(__xludf.DUMMYFUNCTION("CONCATENATE(GOOGLETRANSLATE(C6013, ""en"", ""ja""))"),"ALL4JIG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6014" ht="15.75" customHeight="1">
      <c r="A6014" s="1">
        <v>6377.0</v>
      </c>
      <c r="B6014" s="1" t="s">
        <v>15</v>
      </c>
      <c r="C6014" s="1" t="s">
        <v>4944</v>
      </c>
      <c r="D6014" s="1" t="str">
        <f>IFERROR(__xludf.DUMMYFUNCTION("CONCATENATE(GOOGLETRANSLATE(C6014, ""en"", ""zh-cn""))"),"女式休闲露肩蝙蝠袖针织毛衣")</f>
        <v>女式休闲露肩蝙蝠袖针织毛衣</v>
      </c>
      <c r="E6014" s="1" t="str">
        <f>IFERROR(__xludf.DUMMYFUNCTION("CONCATENATE(GOOGLETRANSLATE(C6014, ""en"", ""ko""))"),"여성 캐주얼 오프 숄더 배트윙 슬리브 니트 스웨터")</f>
        <v>여성 캐주얼 오프 숄더 배트윙 슬리브 니트 스웨터</v>
      </c>
      <c r="F6014" s="1" t="str">
        <f>IFERROR(__xludf.DUMMYFUNCTION("CONCATENATE(GOOGLETRANSLATE(C6014, ""en"", ""ja""))"),"レディース カジュアル オフショルダー バットウィング スリーブ ニット セーター")</f>
        <v>レディース カジュアル オフショルダー バットウィング スリーブ ニット セーター</v>
      </c>
    </row>
    <row r="6015" ht="15.75" customHeight="1">
      <c r="A6015" s="1">
        <v>6378.0</v>
      </c>
      <c r="B6015" s="1" t="s">
        <v>15</v>
      </c>
      <c r="C6015" s="1" t="s">
        <v>4945</v>
      </c>
      <c r="D6015" s="1" t="str">
        <f>IFERROR(__xludf.DUMMYFUNCTION("CONCATENATE(GOOGLETRANSLATE(C6015, ""en"", ""zh-cn""))"),"时尚 Nova Tali 高开衩毛衣领迷你连衣裙")</f>
        <v>时尚 Nova Tali 高开衩毛衣领迷你连衣裙</v>
      </c>
      <c r="E6015" s="1" t="str">
        <f>IFERROR(__xludf.DUMMYFUNCTION("CONCATENATE(GOOGLETRANSLATE(C6015, ""en"", ""ko""))"),"패션 Nova Tali 하이 슬릿 스웨터 칼라 미니 드레스")</f>
        <v>패션 Nova Tali 하이 슬릿 스웨터 칼라 미니 드레스</v>
      </c>
      <c r="F6015" s="1" t="str">
        <f>IFERROR(__xludf.DUMMYFUNCTION("CONCATENATE(GOOGLETRANSLATE(C6015, ""en"", ""ja""))"),"ファッション Nova Tali ハイ スリット セーターカラー ミニ ドレス")</f>
        <v>ファッション Nova Tali ハイ スリット セーターカラー ミニ ドレス</v>
      </c>
    </row>
    <row r="6016" ht="15.75" customHeight="1">
      <c r="A6016" s="1">
        <v>6386.0</v>
      </c>
      <c r="B6016" s="1" t="s">
        <v>15</v>
      </c>
      <c r="C6016" s="1" t="s">
        <v>4946</v>
      </c>
      <c r="D6016" s="1" t="str">
        <f>IFERROR(__xludf.DUMMYFUNCTION("CONCATENATE(GOOGLETRANSLATE(C6016, ""en"", ""zh-cn""))"),"EVALESS 女式性感拼布蕾丝圆领短袖 T 恤")</f>
        <v>EVALESS 女式性感拼布蕾丝圆领短袖 T 恤</v>
      </c>
      <c r="E6016" s="1" t="str">
        <f>IFERROR(__xludf.DUMMYFUNCTION("CONCATENATE(GOOGLETRANSLATE(C6016, ""en"", ""ko""))"),"EVALESS 여성용 섹시한 패치워크 레이스 크루넥 반소매 티셔츠")</f>
        <v>EVALESS 여성용 섹시한 패치워크 레이스 크루넥 반소매 티셔츠</v>
      </c>
      <c r="F6016" s="1" t="str">
        <f>IFERROR(__xludf.DUMMYFUNCTION("CONCATENATE(GOOGLETRANSLATE(C6016, ""en"", ""ja""))"),"EVALESS レディース セクシー パッチワーク レース クルーネック 半袖 Tシャツ")</f>
        <v>EVALESS レディース セクシー パッチワーク レース クルーネック 半袖 Tシャツ</v>
      </c>
    </row>
    <row r="6017" ht="15.75" customHeight="1">
      <c r="A6017" s="1">
        <v>6395.0</v>
      </c>
      <c r="B6017" s="1" t="s">
        <v>15</v>
      </c>
      <c r="C6017" s="1" t="s">
        <v>4947</v>
      </c>
      <c r="D6017" s="1" t="str">
        <f>IFERROR(__xludf.DUMMYFUNCTION("CONCATENATE(GOOGLETRANSLATE(C6017, ""en"", ""zh-cn""))"),"女式休闲宽松蕾丝长袖上衣")</f>
        <v>女式休闲宽松蕾丝长袖上衣</v>
      </c>
      <c r="E6017" s="1" t="str">
        <f>IFERROR(__xludf.DUMMYFUNCTION("CONCATENATE(GOOGLETRANSLATE(C6017, ""en"", ""ko""))"),"여성 캐주얼 루즈 레이스 긴팔 탑")</f>
        <v>여성 캐주얼 루즈 레이스 긴팔 탑</v>
      </c>
      <c r="F6017" s="1" t="str">
        <f>IFERROR(__xludf.DUMMYFUNCTION("CONCATENATE(GOOGLETRANSLATE(C6017, ""en"", ""ja""))"),"レディースカジュアルルーズレース長袖トップス")</f>
        <v>レディースカジュアルルーズレース長袖トップス</v>
      </c>
    </row>
    <row r="6018" ht="15.75" customHeight="1">
      <c r="A6018" s="1">
        <v>6401.0</v>
      </c>
      <c r="B6018" s="1" t="s">
        <v>15</v>
      </c>
      <c r="C6018" s="1" t="s">
        <v>4948</v>
      </c>
      <c r="D6018" s="1" t="str">
        <f>IFERROR(__xludf.DUMMYFUNCTION("CONCATENATE(GOOGLETRANSLATE(C6018, ""en"", ""zh-cn""))"),"女式真丝纽扣 V 领长袖衬衫")</f>
        <v>女式真丝纽扣 V 领长袖衬衫</v>
      </c>
      <c r="E6018" s="1" t="str">
        <f>IFERROR(__xludf.DUMMYFUNCTION("CONCATENATE(GOOGLETRANSLATE(C6018, ""en"", ""ko""))"),"여성용 실크 버튼 다운 V 넥 긴팔 셔츠")</f>
        <v>여성용 실크 버튼 다운 V 넥 긴팔 셔츠</v>
      </c>
      <c r="F6018" s="1" t="str">
        <f>IFERROR(__xludf.DUMMYFUNCTION("CONCATENATE(GOOGLETRANSLATE(C6018, ""en"", ""ja""))"),"レディース シルク ボタンダウン V ネック 長袖シャツ")</f>
        <v>レディース シルク ボタンダウン V ネック 長袖シャツ</v>
      </c>
    </row>
    <row r="6019" ht="15.75" customHeight="1">
      <c r="A6019" s="1">
        <v>6420.0</v>
      </c>
      <c r="B6019" s="1" t="s">
        <v>15</v>
      </c>
      <c r="C6019" s="1" t="s">
        <v>4949</v>
      </c>
      <c r="D6019" s="1" t="str">
        <f>IFERROR(__xludf.DUMMYFUNCTION("CONCATENATE(GOOGLETRANSLATE(C6019, ""en"", ""zh-cn""))"),"Abercrombie &amp; Fitch 男士斜纹拉链衬衫夹克")</f>
        <v>Abercrombie &amp; Fitch 男士斜纹拉链衬衫夹克</v>
      </c>
      <c r="E6019" s="1" t="str">
        <f>IFERROR(__xludf.DUMMYFUNCTION("CONCATENATE(GOOGLETRANSLATE(C6019, ""en"", ""ko""))"),"Abercrombie &amp; Fitch 남성 트윌 지퍼 셔츠 재킷")</f>
        <v>Abercrombie &amp; Fitch 남성 트윌 지퍼 셔츠 재킷</v>
      </c>
      <c r="F6019" s="1" t="str">
        <f>IFERROR(__xludf.DUMMYFUNCTION("CONCATENATE(GOOGLETRANSLATE(C6019, ""en"", ""ja""))"),"アバクロ メンズ ツイル ジップ シャツ ジャケット")</f>
        <v>アバクロ メンズ ツイル ジップ シャツ ジャケット</v>
      </c>
    </row>
    <row r="6020" ht="15.75" customHeight="1">
      <c r="A6020" s="1">
        <v>6422.0</v>
      </c>
      <c r="B6020" s="1" t="s">
        <v>15</v>
      </c>
      <c r="C6020" s="1" t="s">
        <v>4950</v>
      </c>
      <c r="D6020" s="1" t="str">
        <f>IFERROR(__xludf.DUMMYFUNCTION("CONCATENATE(GOOGLETRANSLATE(C6020, ""en"", ""zh-cn""))"),"男式华丽复古缎面纽扣衬衫")</f>
        <v>男式华丽复古缎面纽扣衬衫</v>
      </c>
      <c r="E6020" s="1" t="str">
        <f>IFERROR(__xludf.DUMMYFUNCTION("CONCATENATE(GOOGLETRANSLATE(C6020, ""en"", ""ko""))"),"남성용 화려한 레트로 새틴 버튼다운 셔츠")</f>
        <v>남성용 화려한 레트로 새틴 버튼다운 셔츠</v>
      </c>
      <c r="F6020" s="1" t="str">
        <f>IFERROR(__xludf.DUMMYFUNCTION("CONCATENATE(GOOGLETRANSLATE(C6020, ""en"", ""ja""))"),"メンズの派手なレトロサテンボタンダウンシャツ")</f>
        <v>メンズの派手なレトロサテンボタンダウンシャツ</v>
      </c>
    </row>
    <row r="6021" ht="15.75" customHeight="1">
      <c r="A6021" s="1">
        <v>6425.0</v>
      </c>
      <c r="B6021" s="1" t="s">
        <v>15</v>
      </c>
      <c r="C6021" s="1" t="s">
        <v>4951</v>
      </c>
      <c r="D6021" s="1" t="str">
        <f>IFERROR(__xludf.DUMMYFUNCTION("CONCATENATE(GOOGLETRANSLATE(C6021, ""en"", ""zh-cn""))"),"Azaro Uomo 男式修身长袖几何纽扣衬衫")</f>
        <v>Azaro Uomo 男式修身长袖几何纽扣衬衫</v>
      </c>
      <c r="E6021" s="1" t="str">
        <f>IFERROR(__xludf.DUMMYFUNCTION("CONCATENATE(GOOGLETRANSLATE(C6021, ""en"", ""ko""))"),"Azaro Uomo 남성 슬림핏 긴 소매 기하학 버튼다운 셔츠")</f>
        <v>Azaro Uomo 남성 슬림핏 긴 소매 기하학 버튼다운 셔츠</v>
      </c>
      <c r="F6021" s="1" t="str">
        <f>IFERROR(__xludf.DUMMYFUNCTION("CONCATENATE(GOOGLETRANSLATE(C6021, ""en"", ""ja""))"),"Azaro Uomo メンズ スリムフィット 長袖 幾何学模様 ボタンダウン シャツ")</f>
        <v>Azaro Uomo メンズ スリムフィット 長袖 幾何学模様 ボタンダウン シャツ</v>
      </c>
    </row>
    <row r="6022" ht="15.75" customHeight="1">
      <c r="A6022" s="1">
        <v>6431.0</v>
      </c>
      <c r="B6022" s="1" t="s">
        <v>15</v>
      </c>
      <c r="C6022" s="1" t="s">
        <v>4952</v>
      </c>
      <c r="D6022" s="1" t="str">
        <f>IFERROR(__xludf.DUMMYFUNCTION("CONCATENATE(GOOGLETRANSLATE(C6022, ""en"", ""zh-cn""))"),"Nautica 男士现代版型双弹力套装")</f>
        <v>Nautica 男士现代版型双弹力套装</v>
      </c>
      <c r="E6022" s="1" t="str">
        <f>IFERROR(__xludf.DUMMYFUNCTION("CONCATENATE(GOOGLETRANSLATE(C6022, ""en"", ""ko""))"),"Nautica 남성용 모던 핏 바이 스트레치 수트")</f>
        <v>Nautica 남성용 모던 핏 바이 스트레치 수트</v>
      </c>
      <c r="F6022" s="1" t="str">
        <f>IFERROR(__xludf.DUMMYFUNCTION("CONCATENATE(GOOGLETRANSLATE(C6022, ""en"", ""ja""))"),"Nautica メンズ モダンフィット バイストレッチ スーツ")</f>
        <v>Nautica メンズ モダンフィット バイストレッチ スーツ</v>
      </c>
    </row>
    <row r="6023" ht="15.75" customHeight="1">
      <c r="A6023" s="1">
        <v>6437.0</v>
      </c>
      <c r="B6023" s="1" t="s">
        <v>15</v>
      </c>
      <c r="C6023" s="1" t="s">
        <v>4953</v>
      </c>
      <c r="D6023" s="1" t="str">
        <f>IFERROR(__xludf.DUMMYFUNCTION("CONCATENATE(GOOGLETRANSLATE(C6023, ""en"", ""zh-cn""))"),"耐克男士运动服 T 恤")</f>
        <v>耐克男士运动服 T 恤</v>
      </c>
      <c r="E6023" s="1" t="str">
        <f>IFERROR(__xludf.DUMMYFUNCTION("CONCATENATE(GOOGLETRANSLATE(C6023, ""en"", ""ko""))"),"나이키 남성 스포츠웨어 T 셔츠")</f>
        <v>나이키 남성 스포츠웨어 T 셔츠</v>
      </c>
      <c r="F6023" s="1" t="str">
        <f>IFERROR(__xludf.DUMMYFUNCTION("CONCATENATE(GOOGLETRANSLATE(C6023, ""en"", ""ja""))"),"ナイキ メンズ スポーツウェア T シャツ")</f>
        <v>ナイキ メンズ スポーツウェア T シャツ</v>
      </c>
    </row>
    <row r="6024" ht="15.75" customHeight="1">
      <c r="A6024" s="1">
        <v>6438.0</v>
      </c>
      <c r="B6024" s="1" t="s">
        <v>15</v>
      </c>
      <c r="C6024" s="1" t="s">
        <v>1870</v>
      </c>
      <c r="D6024" s="1" t="str">
        <f>IFERROR(__xludf.DUMMYFUNCTION("CONCATENATE(GOOGLETRANSLATE(C6024, ""en"", ""zh-cn""))"),"Michael Kors 男士连帽背带式呼吸管派克大衣")</f>
        <v>Michael Kors 男士连帽背带式呼吸管派克大衣</v>
      </c>
      <c r="E6024" s="1" t="str">
        <f>IFERROR(__xludf.DUMMYFUNCTION("CONCATENATE(GOOGLETRANSLATE(C6024, ""en"", ""ko""))"),"Michael Kors 남성용 후드 턱받이 스노클 파카")</f>
        <v>Michael Kors 남성용 후드 턱받이 스노클 파카</v>
      </c>
      <c r="F6024" s="1" t="str">
        <f>IFERROR(__xludf.DUMMYFUNCTION("CONCATENATE(GOOGLETRANSLATE(C6024, ""en"", ""ja""))"),"Michael Kors メンズ フード付きビブ シュノーケル パーカー")</f>
        <v>Michael Kors メンズ フード付きビブ シュノーケル パーカー</v>
      </c>
    </row>
    <row r="6025" ht="15.75" customHeight="1">
      <c r="A6025" s="1">
        <v>6444.0</v>
      </c>
      <c r="B6025" s="1" t="s">
        <v>15</v>
      </c>
      <c r="C6025" s="1" t="s">
        <v>4954</v>
      </c>
      <c r="D6025" s="1" t="str">
        <f>IFERROR(__xludf.DUMMYFUNCTION("CONCATENATE(GOOGLETRANSLATE(C6025, ""en"", ""zh-cn""))"),"Kenneth Cole Reaction 男士 Ready Flex 修身西装")</f>
        <v>Kenneth Cole Reaction 男士 Ready Flex 修身西装</v>
      </c>
      <c r="E6025" s="1" t="str">
        <f>IFERROR(__xludf.DUMMYFUNCTION("CONCATENATE(GOOGLETRANSLATE(C6025, ""en"", ""ko""))"),"Kenneth Cole Reaction 남성용 레디 플렉스 슬림핏 수트")</f>
        <v>Kenneth Cole Reaction 남성용 레디 플렉스 슬림핏 수트</v>
      </c>
      <c r="F6025" s="1" t="str">
        <f>IFERROR(__xludf.DUMMYFUNCTION("CONCATENATE(GOOGLETRANSLATE(C6025, ""en"", ""ja""))"),"Kenneth Cole Reaction メンズ レディ フレックス スリム フィット スーツ")</f>
        <v>Kenneth Cole Reaction メンズ レディ フレックス スリム フィット スーツ</v>
      </c>
    </row>
    <row r="6026" ht="15.75" customHeight="1">
      <c r="A6026" s="1">
        <v>6458.0</v>
      </c>
      <c r="B6026" s="1" t="s">
        <v>15</v>
      </c>
      <c r="C6026" s="1" t="s">
        <v>4955</v>
      </c>
      <c r="D6026" s="1" t="str">
        <f>IFERROR(__xludf.DUMMYFUNCTION("CONCATENATE(GOOGLETRANSLATE(C6026, ""en"", ""zh-cn""))"),"AOC N97 处理器笔记本电脑")</f>
        <v>AOC N97 处理器笔记本电脑</v>
      </c>
      <c r="E6026" s="1" t="str">
        <f>IFERROR(__xludf.DUMMYFUNCTION("CONCATENATE(GOOGLETRANSLATE(C6026, ""en"", ""ko""))"),"AOC N97 프로세서 노트북 컴퓨터")</f>
        <v>AOC N97 프로세서 노트북 컴퓨터</v>
      </c>
      <c r="F6026" s="1" t="str">
        <f>IFERROR(__xludf.DUMMYFUNCTION("CONCATENATE(GOOGLETRANSLATE(C6026, ""en"", ""ja""))"),"AOC N97 プロセッサ ラップトップ コンピュータ")</f>
        <v>AOC N97 プロセッサ ラップトップ コンピュータ</v>
      </c>
    </row>
    <row r="6027" ht="15.75" customHeight="1">
      <c r="A6027" s="1">
        <v>6461.0</v>
      </c>
      <c r="B6027" s="1" t="s">
        <v>15</v>
      </c>
      <c r="C6027" s="1" t="s">
        <v>4956</v>
      </c>
      <c r="D6027" s="1" t="str">
        <f>IFERROR(__xludf.DUMMYFUNCTION("CONCATENATE(GOOGLETRANSLATE(C6027, ""en"", ""zh-cn""))"),"Montech King 65 Pro ARGB PC 塔式机箱")</f>
        <v>Montech King 65 Pro ARGB PC 塔式机箱</v>
      </c>
      <c r="E6027" s="1" t="str">
        <f>IFERROR(__xludf.DUMMYFUNCTION("CONCATENATE(GOOGLETRANSLATE(C6027, ""en"", ""ko""))"),"Montech King 65 Pro ARGB PC 타워 케이스")</f>
        <v>Montech King 65 Pro ARGB PC 타워 케이스</v>
      </c>
      <c r="F6027" s="1" t="str">
        <f>IFERROR(__xludf.DUMMYFUNCTION("CONCATENATE(GOOGLETRANSLATE(C6027, ""en"", ""ja""))"),"Montech King 65 Pro ARGB PC タワーケース")</f>
        <v>Montech King 65 Pro ARGB PC タワーケース</v>
      </c>
    </row>
    <row r="6028" ht="15.75" customHeight="1">
      <c r="A6028" s="1">
        <v>6471.0</v>
      </c>
      <c r="B6028" s="1" t="s">
        <v>15</v>
      </c>
      <c r="C6028" s="1" t="s">
        <v>4957</v>
      </c>
      <c r="D6028" s="1" t="str">
        <f>IFERROR(__xludf.DUMMYFUNCTION("CONCATENATE(GOOGLETRANSLATE(C6028, ""en"", ""zh-cn""))"),"BOSGAME 迷你电脑，带双 LAN、2.5GbE、AMD Ryzen 7 5825u、32GB")</f>
        <v>BOSGAME 迷你电脑，带双 LAN、2.5GbE、AMD Ryzen 7 5825u、32GB</v>
      </c>
      <c r="E6028" s="1" t="str">
        <f>IFERROR(__xludf.DUMMYFUNCTION("CONCATENATE(GOOGLETRANSLATE(C6028, ""en"", ""ko""))"),"듀얼 LAN, 2.5GbE, AMD Ryzen 7 5825u, 32GB를 갖춘 BOSGAME 미니 PC")</f>
        <v>듀얼 LAN, 2.5GbE, AMD Ryzen 7 5825u, 32GB를 갖춘 BOSGAME 미니 PC</v>
      </c>
      <c r="F6028" s="1" t="str">
        <f>IFERROR(__xludf.DUMMYFUNCTION("CONCATENATE(GOOGLETRANSLATE(C6028, ""en"", ""ja""))"),"BOSGAME ミニ PC、デュアル LAN、2.5GbE、AMD Ryzen 7 5825u、32GB")</f>
        <v>BOSGAME ミニ PC、デュアル LAN、2.5GbE、AMD Ryzen 7 5825u、32GB</v>
      </c>
    </row>
    <row r="6029" ht="15.75" customHeight="1">
      <c r="A6029" s="1">
        <v>6491.0</v>
      </c>
      <c r="B6029" s="1" t="s">
        <v>15</v>
      </c>
      <c r="C6029" s="1" t="s">
        <v>4958</v>
      </c>
      <c r="D6029" s="1" t="str">
        <f>IFERROR(__xludf.DUMMYFUNCTION("CONCATENATE(GOOGLETRANSLATE(C6029, ""en"", ""zh-cn""))"),"带双显示器的 GIISSMO USB-C 扩展坞")</f>
        <v>带双显示器的 GIISSMO USB-C 扩展坞</v>
      </c>
      <c r="E6029" s="1" t="str">
        <f>IFERROR(__xludf.DUMMYFUNCTION("CONCATENATE(GOOGLETRANSLATE(C6029, ""en"", ""ko""))"),"GIISSMO USB-C 도킹 스테이션(듀얼 모니터 포함)")</f>
        <v>GIISSMO USB-C 도킹 스테이션(듀얼 모니터 포함)</v>
      </c>
      <c r="F6029" s="1" t="str">
        <f>IFERROR(__xludf.DUMMYFUNCTION("CONCATENATE(GOOGLETRANSLATE(C6029, ""en"", ""ja""))"),"GIISSMO USB-C ドッキング ステーション (デュアル モニター付き)")</f>
        <v>GIISSMO USB-C ドッキング ステーション (デュアル モニター付き)</v>
      </c>
    </row>
    <row r="6030" ht="15.75" customHeight="1">
      <c r="A6030" s="1">
        <v>6493.0</v>
      </c>
      <c r="B6030" s="1" t="s">
        <v>15</v>
      </c>
      <c r="C6030" s="1" t="s">
        <v>4959</v>
      </c>
      <c r="D6030" s="1" t="str">
        <f>IFERROR(__xludf.DUMMYFUNCTION("CONCATENATE(GOOGLETRANSLATE(C6030, ""en"", ""zh-cn""))"),"惠普外置硬盘 F2B56AA")</f>
        <v>惠普外置硬盘 F2B56AA</v>
      </c>
      <c r="E6030" s="1" t="str">
        <f>IFERROR(__xludf.DUMMYFUNCTION("CONCATENATE(GOOGLETRANSLATE(C6030, ""en"", ""ko""))"),"HP 외장 드라이브 F2B56AA")</f>
        <v>HP 외장 드라이브 F2B56AA</v>
      </c>
      <c r="F6030" s="1" t="str">
        <f>IFERROR(__xludf.DUMMYFUNCTION("CONCATENATE(GOOGLETRANSLATE(C6030, ""en"", ""ja""))"),"HP 外付けドライブ F2B56AA")</f>
        <v>HP 外付けドライブ F2B56AA</v>
      </c>
    </row>
    <row r="6031" ht="15.75" customHeight="1">
      <c r="A6031" s="1">
        <v>6499.0</v>
      </c>
      <c r="B6031" s="1" t="s">
        <v>15</v>
      </c>
      <c r="C6031" s="1" t="s">
        <v>4960</v>
      </c>
      <c r="D6031" s="1" t="str">
        <f>IFERROR(__xludf.DUMMYFUNCTION("CONCATENATE(GOOGLETRANSLATE(C6031, ""en"", ""zh-cn""))"),"GEEKOM XT1 Mega AI 迷你电脑")</f>
        <v>GEEKOM XT1 Mega AI 迷你电脑</v>
      </c>
      <c r="E6031" s="1" t="str">
        <f>IFERROR(__xludf.DUMMYFUNCTION("CONCATENATE(GOOGLETRANSLATE(C6031, ""en"", ""ko""))"),"GEEKOM XT1 메가 AI 미니 PC")</f>
        <v>GEEKOM XT1 메가 AI 미니 PC</v>
      </c>
      <c r="F6031" s="1" t="str">
        <f>IFERROR(__xludf.DUMMYFUNCTION("CONCATENATE(GOOGLETRANSLATE(C6031, ""en"", ""ja""))"),"GEEKOM XT1 メガ AI ミニ PC")</f>
        <v>GEEKOM XT1 メガ AI ミニ PC</v>
      </c>
    </row>
    <row r="6032" ht="15.75" customHeight="1">
      <c r="A6032" s="1">
        <v>6508.0</v>
      </c>
      <c r="B6032" s="1" t="s">
        <v>15</v>
      </c>
      <c r="C6032" s="1" t="s">
        <v>4961</v>
      </c>
      <c r="D6032" s="1" t="str">
        <f>IFERROR(__xludf.DUMMYFUNCTION("CONCATENATE(GOOGLETRANSLATE(C6032, ""en"", ""zh-cn""))"),"Higround Trailhead 65% 机械游戏键盘")</f>
        <v>Higround Trailhead 65% 机械游戏键盘</v>
      </c>
      <c r="E6032" s="1" t="str">
        <f>IFERROR(__xludf.DUMMYFUNCTION("CONCATENATE(GOOGLETRANSLATE(C6032, ""en"", ""ko""))"),"Higround Trailhead 65% 기계식 게이밍 키보드")</f>
        <v>Higround Trailhead 65% 기계식 게이밍 키보드</v>
      </c>
      <c r="F6032" s="1" t="str">
        <f>IFERROR(__xludf.DUMMYFUNCTION("CONCATENATE(GOOGLETRANSLATE(C6032, ""en"", ""ja""))"),"Higround Trailhead 65% メカニカル ゲーミング キーボード")</f>
        <v>Higround Trailhead 65% メカニカル ゲーミング キーボード</v>
      </c>
    </row>
    <row r="6033" ht="15.75" customHeight="1">
      <c r="A6033" s="1">
        <v>6514.0</v>
      </c>
      <c r="B6033" s="1" t="s">
        <v>15</v>
      </c>
      <c r="C6033" s="1" t="s">
        <v>4962</v>
      </c>
      <c r="D6033" s="1" t="str">
        <f>IFERROR(__xludf.DUMMYFUNCTION("CONCATENATE(GOOGLETRANSLATE(C6033, ""en"", ""zh-cn""))"),"Corsair 6500D Airflow 中塔电脑机箱")</f>
        <v>Corsair 6500D Airflow 中塔电脑机箱</v>
      </c>
      <c r="E6033" s="1" t="str">
        <f>IFERROR(__xludf.DUMMYFUNCTION("CONCATENATE(GOOGLETRANSLATE(C6033, ""en"", ""ko""))"),"Corsair 6500D Airflow 미드 타워 PC 케이스")</f>
        <v>Corsair 6500D Airflow 미드 타워 PC 케이스</v>
      </c>
      <c r="F6033" s="1" t="str">
        <f>IFERROR(__xludf.DUMMYFUNCTION("CONCATENATE(GOOGLETRANSLATE(C6033, ""en"", ""ja""))"),"Corsair 6500D エアフロー ミッドタワー PC ケース")</f>
        <v>Corsair 6500D エアフロー ミッドタワー PC ケース</v>
      </c>
    </row>
    <row r="6034" ht="15.75" customHeight="1">
      <c r="A6034" s="1">
        <v>6518.0</v>
      </c>
      <c r="B6034" s="1" t="s">
        <v>15</v>
      </c>
      <c r="C6034" s="1" t="s">
        <v>4963</v>
      </c>
      <c r="D6034" s="1" t="str">
        <f>IFERROR(__xludf.DUMMYFUNCTION("CONCATENATE(GOOGLETRANSLATE(C6034, ""en"", ""zh-cn""))"),"Apple Macbook Air 13 M2 256GB 捆绑包")</f>
        <v>Apple Macbook Air 13 M2 256GB 捆绑包</v>
      </c>
      <c r="E6034" s="1" t="str">
        <f>IFERROR(__xludf.DUMMYFUNCTION("CONCATENATE(GOOGLETRANSLATE(C6034, ""en"", ""ko""))"),"애플 맥북 에어 13 M2 256GB 번들")</f>
        <v>애플 맥북 에어 13 M2 256GB 번들</v>
      </c>
      <c r="F6034" s="1" t="str">
        <f>IFERROR(__xludf.DUMMYFUNCTION("CONCATENATE(GOOGLETRANSLATE(C6034, ""en"", ""ja""))"),"Apple Macbook Air 13 M2 256GB バンドル")</f>
        <v>Apple Macbook Air 13 M2 256GB バンドル</v>
      </c>
    </row>
    <row r="6035" ht="15.75" customHeight="1">
      <c r="A6035" s="1">
        <v>6526.0</v>
      </c>
      <c r="B6035" s="1" t="s">
        <v>15</v>
      </c>
      <c r="C6035" s="1" t="s">
        <v>4964</v>
      </c>
      <c r="D6035" s="1" t="str">
        <f>IFERROR(__xludf.DUMMYFUNCTION("CONCATENATE(GOOGLETRANSLATE(C6035, ""en"", ""zh-cn""))"),"Skytech 游戏电脑零件")</f>
        <v>Skytech 游戏电脑零件</v>
      </c>
      <c r="E6035" s="1" t="str">
        <f>IFERROR(__xludf.DUMMYFUNCTION("CONCATENATE(GOOGLETRANSLATE(C6035, ""en"", ""ko""))"),"Skytech 게임용 컴퓨터 부품")</f>
        <v>Skytech 게임용 컴퓨터 부품</v>
      </c>
      <c r="F6035" s="1" t="str">
        <f>IFERROR(__xludf.DUMMYFUNCTION("CONCATENATE(GOOGLETRANSLATE(C6035, ""en"", ""ja""))"),"Skytech ゲーミング コンピューターの部品")</f>
        <v>Skytech ゲーミング コンピューターの部品</v>
      </c>
    </row>
    <row r="6036" ht="15.75" customHeight="1">
      <c r="A6036" s="1">
        <v>6527.0</v>
      </c>
      <c r="B6036" s="1" t="s">
        <v>15</v>
      </c>
      <c r="C6036" s="1" t="s">
        <v>4965</v>
      </c>
      <c r="D6036" s="1" t="str">
        <f>IFERROR(__xludf.DUMMYFUNCTION("CONCATENATE(GOOGLETRANSLATE(C6036, ""en"", ""zh-cn""))"),"Frcolor 键盘鼠标电脑组合")</f>
        <v>Frcolor 键盘鼠标电脑组合</v>
      </c>
      <c r="E6036" s="1" t="str">
        <f>IFERROR(__xludf.DUMMYFUNCTION("CONCATENATE(GOOGLETRANSLATE(C6036, ""en"", ""ko""))"),"Frcolor 키보드 마우스 컴퓨터 콤보")</f>
        <v>Frcolor 키보드 마우스 컴퓨터 콤보</v>
      </c>
      <c r="F6036" s="1" t="str">
        <f>IFERROR(__xludf.DUMMYFUNCTION("CONCATENATE(GOOGLETRANSLATE(C6036, ""en"", ""ja""))"),"Frcolor キーボード マウス コンピューター コンボ")</f>
        <v>Frcolor キーボード マウス コンピューター コンボ</v>
      </c>
    </row>
    <row r="6037" ht="15.75" customHeight="1">
      <c r="A6037" s="1">
        <v>6540.0</v>
      </c>
      <c r="B6037" s="1" t="s">
        <v>15</v>
      </c>
      <c r="C6037" s="1" t="s">
        <v>4966</v>
      </c>
      <c r="D6037" s="1" t="str">
        <f>IFERROR(__xludf.DUMMYFUNCTION("CONCATENATE(GOOGLETRANSLATE(C6037, ""en"", ""zh-cn""))"),"IQ Builder STEM 建筑工程趣味教育拼搭玩具套装")</f>
        <v>IQ Builder STEM 建筑工程趣味教育拼搭玩具套装</v>
      </c>
      <c r="E6037" s="1" t="str">
        <f>IFERROR(__xludf.DUMMYFUNCTION("CONCATENATE(GOOGLETRANSLATE(C6037, ""en"", ""ko""))"),"IQ Builder STEM 건설 엔지니어링 재미있는 교육용 빌딩 장난감 세트")</f>
        <v>IQ Builder STEM 건설 엔지니어링 재미있는 교육용 빌딩 장난감 세트</v>
      </c>
      <c r="F6037" s="1" t="str">
        <f>IFERROR(__xludf.DUMMYFUNCTION("CONCATENATE(GOOGLETRANSLATE(C6037, ""en"", ""ja""))"),"IQ ビルダー STEM 建設エンジニアリング楽しい教育用建物おもちゃセット")</f>
        <v>IQ ビルダー STEM 建設エンジニアリング楽しい教育用建物おもちゃセット</v>
      </c>
    </row>
    <row r="6038" ht="15.75" customHeight="1">
      <c r="A6038" s="1">
        <v>6542.0</v>
      </c>
      <c r="B6038" s="1" t="s">
        <v>15</v>
      </c>
      <c r="C6038" s="1" t="s">
        <v>4967</v>
      </c>
      <c r="D6038" s="1" t="str">
        <f>IFERROR(__xludf.DUMMYFUNCTION("CONCATENATE(GOOGLETRANSLATE(C6038, ""en"", ""zh-cn""))"),"升级版快推游戏流行泡泡玩具儿童、有趣的男孩玩具 5-7 岁 8-13 岁儿童圣诞生日礼物，适合 3-12 岁男孩，")</f>
        <v>升级版快推游戏流行泡泡玩具儿童、有趣的男孩玩具 5-7 岁 8-13 岁儿童圣诞生日礼物，适合 3-12 岁男孩，</v>
      </c>
      <c r="E6038" s="1" t="str">
        <f>IFERROR(__xludf.DUMMYFUNCTION("CONCATENATE(GOOGLETRANSLATE(C6038, ""en"", ""ko""))"),"업그레이드된 빠른 푸시 게임 어린이를 위한 팝 버블 업 장난감, 소년을 위한 재미있는 장난감 어린이 연령 5-7 8-13 어린이 3-12세 소년을 위한 크리스마스 생일 선물,")</f>
        <v>업그레이드된 빠른 푸시 게임 어린이를 위한 팝 버블 업 장난감, 소년을 위한 재미있는 장난감 어린이 연령 5-7 8-13 어린이 3-12세 소년을 위한 크리스마스 생일 선물,</v>
      </c>
      <c r="F6038" s="1" t="str">
        <f>IFERROR(__xludf.DUMMYFUNCTION("CONCATENATE(GOOGLETRANSLATE(C6038, ""en"", ""ja""))"),"アップグレードされたクイックプッシュゲーム ポップバブルアップおもちゃ 子供用 面白いおもちゃ 男の子用 年齢5-7 8-13歳 クリスマス 誕生日プレゼント 3-12歳の男の子向け")</f>
        <v>アップグレードされたクイックプッシュゲーム ポップバブルアップおもちゃ 子供用 面白いおもちゃ 男の子用 年齢5-7 8-13歳 クリスマス 誕生日プレゼント 3-12歳の男の子向け</v>
      </c>
    </row>
    <row r="6039" ht="15.75" customHeight="1">
      <c r="A6039" s="1">
        <v>6559.0</v>
      </c>
      <c r="B6039" s="1" t="s">
        <v>15</v>
      </c>
      <c r="C6039" s="1" t="s">
        <v>4968</v>
      </c>
      <c r="D6039" s="1" t="str">
        <f>IFERROR(__xludf.DUMMYFUNCTION("CONCATENATE(GOOGLETRANSLATE(C6039, ""en"", ""zh-cn""))"),"Vimorg 儿童智能手机独角兽女孩礼物")</f>
        <v>Vimorg 儿童智能手机独角兽女孩礼物</v>
      </c>
      <c r="E6039" s="1" t="str">
        <f>IFERROR(__xludf.DUMMYFUNCTION("CONCATENATE(GOOGLETRANSLATE(C6039, ""en"", ""ko""))"),"Vimorg 어린이용 스마트폰 유니콘 선물(여아용)")</f>
        <v>Vimorg 어린이용 스마트폰 유니콘 선물(여아용)</v>
      </c>
      <c r="F6039" s="1" t="str">
        <f>IFERROR(__xludf.DUMMYFUNCTION("CONCATENATE(GOOGLETRANSLATE(C6039, ""en"", ""ja""))"),"Vimorg キッズ スマートフォン ユニコーン 女の子向けギフト")</f>
        <v>Vimorg キッズ スマートフォン ユニコーン 女の子向けギフト</v>
      </c>
    </row>
    <row r="6040" ht="15.75" customHeight="1">
      <c r="A6040" s="1">
        <v>6561.0</v>
      </c>
      <c r="B6040" s="1" t="s">
        <v>15</v>
      </c>
      <c r="C6040" s="1" t="s">
        <v>4969</v>
      </c>
      <c r="D6040" s="1" t="str">
        <f>IFERROR(__xludf.DUMMYFUNCTION("CONCATENATE(GOOGLETRANSLATE(C6040, ""en"", ""zh-cn""))"),"Joozfee 为 6-8 岁女孩提供的礼物")</f>
        <v>Joozfee 为 6-8 岁女孩提供的礼物</v>
      </c>
      <c r="E6040" s="1" t="str">
        <f>IFERROR(__xludf.DUMMYFUNCTION("CONCATENATE(GOOGLETRANSLATE(C6040, ""en"", ""ko""))"),"6~8세 여아를 위한 Joozfee 선물")</f>
        <v>6~8세 여아를 위한 Joozfee 선물</v>
      </c>
      <c r="F6040" s="1" t="str">
        <f>IFERROR(__xludf.DUMMYFUNCTION("CONCATENATE(GOOGLETRANSLATE(C6040, ""en"", ""ja""))"),"6～8歳の女の子向けJoozfeeギフト")</f>
        <v>6～8歳の女の子向けJoozfeeギフト</v>
      </c>
    </row>
    <row r="6041" ht="15.75" customHeight="1">
      <c r="A6041" s="1">
        <v>6570.0</v>
      </c>
      <c r="B6041" s="1" t="s">
        <v>15</v>
      </c>
      <c r="C6041" s="1" t="s">
        <v>4970</v>
      </c>
      <c r="D6041" s="1" t="str">
        <f>IFERROR(__xludf.DUMMYFUNCTION("CONCATENATE(GOOGLETRANSLATE(C6041, ""en"", ""zh-cn""))"),"幼儿用 Feoxialy 磁性积木")</f>
        <v>幼儿用 Feoxialy 磁性积木</v>
      </c>
      <c r="E6041" s="1" t="str">
        <f>IFERROR(__xludf.DUMMYFUNCTION("CONCATENATE(GOOGLETRANSLATE(C6041, ""en"", ""ko""))"),"유아용 Feoxialy 자석 블록")</f>
        <v>유아용 Feoxialy 자석 블록</v>
      </c>
      <c r="F6041" s="1" t="str">
        <f>IFERROR(__xludf.DUMMYFUNCTION("CONCATENATE(GOOGLETRANSLATE(C6041, ""en"", ""ja""))"),"Feoxialy 幼児用磁気ブロック")</f>
        <v>Feoxialy 幼児用磁気ブロック</v>
      </c>
    </row>
    <row r="6042" ht="15.75" customHeight="1">
      <c r="A6042" s="1">
        <v>6574.0</v>
      </c>
      <c r="B6042" s="1" t="s">
        <v>15</v>
      </c>
      <c r="C6042" s="1" t="s">
        <v>4971</v>
      </c>
      <c r="D6042" s="1" t="str">
        <f>IFERROR(__xludf.DUMMYFUNCTION("CONCATENATE(GOOGLETRANSLATE(C6042, ""en"", ""zh-cn""))"),"极限竞速边界柱")</f>
        <v>极限竞速边界柱</v>
      </c>
      <c r="E6042" s="1" t="str">
        <f>IFERROR(__xludf.DUMMYFUNCTION("CONCATENATE(GOOGLETRANSLATE(C6042, ""en"", ""ko""))"),"Forza 경계 기둥")</f>
        <v>Forza 경계 기둥</v>
      </c>
      <c r="F6042" s="1" t="str">
        <f>IFERROR(__xludf.DUMMYFUNCTION("CONCATENATE(GOOGLETRANSLATE(C6042, ""en"", ""ja""))"),"Forza 境界極")</f>
        <v>Forza 境界極</v>
      </c>
    </row>
    <row r="6043" ht="15.75" customHeight="1">
      <c r="A6043" s="1">
        <v>6580.0</v>
      </c>
      <c r="B6043" s="1" t="s">
        <v>15</v>
      </c>
      <c r="C6043" s="1" t="s">
        <v>4972</v>
      </c>
      <c r="D6043" s="1" t="str">
        <f>IFERROR(__xludf.DUMMYFUNCTION("CONCATENATE(GOOGLETRANSLATE(C6043, ""en"", ""zh-cn""))"),"Park &amp; Sun 锦标赛 Flex 1000 户外排球")</f>
        <v>Park &amp; Sun 锦标赛 Flex 1000 户外排球</v>
      </c>
      <c r="E6043" s="1" t="str">
        <f>IFERROR(__xludf.DUMMYFUNCTION("CONCATENATE(GOOGLETRANSLATE(C6043, ""en"", ""ko""))"),"Park &amp; ​​Sun 토너먼트 Flex 1000 야외 배구")</f>
        <v>Park &amp; ​​Sun 토너먼트 Flex 1000 야외 배구</v>
      </c>
      <c r="F6043" s="1" t="str">
        <f>IFERROR(__xludf.DUMMYFUNCTION("CONCATENATE(GOOGLETRANSLATE(C6043, ""en"", ""ja""))"),"パーク &amp; サン トーナメント フレックス 1000 屋外バレーボール")</f>
        <v>パーク &amp; サン トーナメント フレックス 1000 屋外バレーボール</v>
      </c>
    </row>
    <row r="6044" ht="15.75" customHeight="1">
      <c r="A6044" s="1">
        <v>6582.0</v>
      </c>
      <c r="B6044" s="1" t="s">
        <v>15</v>
      </c>
      <c r="C6044" s="1" t="s">
        <v>4973</v>
      </c>
      <c r="D6044" s="1" t="str">
        <f>IFERROR(__xludf.DUMMYFUNCTION("CONCATENATE(GOOGLETRANSLATE(C6044, ""en"", ""zh-cn""))"),"Pickleball Central Franklin X-40 高性能户外 Pickleball 光学器件 6 件装")</f>
        <v>Pickleball Central Franklin X-40 高性能户外 Pickleball 光学器件 6 件装</v>
      </c>
      <c r="E6044" s="1" t="str">
        <f>IFERROR(__xludf.DUMMYFUNCTION("CONCATENATE(GOOGLETRANSLATE(C6044, ""en"", ""ko""))"),"피클볼 센트럴 프랭클린 X-40 성능 야외 피클볼 옵틱 6팩")</f>
        <v>피클볼 센트럴 프랭클린 X-40 성능 야외 피클볼 옵틱 6팩</v>
      </c>
      <c r="F6044" s="1" t="str">
        <f>IFERROR(__xludf.DUMMYFUNCTION("CONCATENATE(GOOGLETRANSLATE(C6044, ""en"", ""ja""))"),"ピックルボール セントラル フランクリン X-40 パフォーマンス アウトドア ピックルボール オプティック 6 パック")</f>
        <v>ピックルボール セントラル フランクリン X-40 パフォーマンス アウトドア ピックルボール オプティック 6 パック</v>
      </c>
    </row>
    <row r="6045" ht="15.75" customHeight="1">
      <c r="A6045" s="1">
        <v>6583.0</v>
      </c>
      <c r="B6045" s="1" t="s">
        <v>15</v>
      </c>
      <c r="C6045" s="1" t="s">
        <v>4974</v>
      </c>
      <c r="D6045" s="1" t="str">
        <f>IFERROR(__xludf.DUMMYFUNCTION("CONCATENATE(GOOGLETRANSLATE(C6045, ""en"", ""zh-cn""))"),"Tymyp 篮球框户外 4.9-10 英尺篮球便携式篮筐和球门")</f>
        <v>Tymyp 篮球框户外 4.9-10 英尺篮球便携式篮筐和球门</v>
      </c>
      <c r="E6045" s="1" t="str">
        <f>IFERROR(__xludf.DUMMYFUNCTION("CONCATENATE(GOOGLETRANSLATE(C6045, ""en"", ""ko""))"),"Tymyp 농구 골대 야외 4.9-10피트 농구 휴대용 농구대 및 골대")</f>
        <v>Tymyp 농구 골대 야외 4.9-10피트 농구 휴대용 농구대 및 골대</v>
      </c>
      <c r="F6045" s="1" t="str">
        <f>IFERROR(__xludf.DUMMYFUNCTION("CONCATENATE(GOOGLETRANSLATE(C6045, ""en"", ""ja""))"),"Tymyp バスケットボール フープ 屋外 4.9-10フィート バスケットボール ポータブル フープ &amp; ゴール")</f>
        <v>Tymyp バスケットボール フープ 屋外 4.9-10フィート バスケットボール ポータブル フープ &amp; ゴール</v>
      </c>
    </row>
    <row r="6046" ht="15.75" customHeight="1">
      <c r="A6046" s="1">
        <v>6597.0</v>
      </c>
      <c r="B6046" s="1" t="s">
        <v>15</v>
      </c>
      <c r="C6046" s="1" t="s">
        <v>4975</v>
      </c>
      <c r="D6046" s="1" t="str">
        <f>IFERROR(__xludf.DUMMYFUNCTION("CONCATENATE(GOOGLETRANSLATE(C6046, ""en"", ""zh-cn""))"),"富兰克林儿童豆袋投掷")</f>
        <v>富兰克林儿童豆袋投掷</v>
      </c>
      <c r="E6046" s="1" t="str">
        <f>IFERROR(__xludf.DUMMYFUNCTION("CONCATENATE(GOOGLETRANSLATE(C6046, ""en"", ""ko""))"),"프랭클린 키즈 빈백 토스")</f>
        <v>프랭클린 키즈 빈백 토스</v>
      </c>
      <c r="F6046" s="1" t="str">
        <f>IFERROR(__xludf.DUMMYFUNCTION("CONCATENATE(GOOGLETRANSLATE(C6046, ""en"", ""ja""))"),"フランクリン キッズ ビーンバッグ トス")</f>
        <v>フランクリン キッズ ビーンバッグ トス</v>
      </c>
    </row>
    <row r="6047" ht="15.75" customHeight="1">
      <c r="A6047" s="1">
        <v>6614.0</v>
      </c>
      <c r="B6047" s="1" t="s">
        <v>15</v>
      </c>
      <c r="C6047" s="1" t="s">
        <v>4976</v>
      </c>
      <c r="D6047" s="1" t="str">
        <f>IFERROR(__xludf.DUMMYFUNCTION("CONCATENATE(GOOGLETRANSLATE(C6047, ""en"", ""zh-cn""))"),"Relic by Fossil 女士模拟珍珠母贝手表和手链礼品套装")</f>
        <v>Relic by Fossil 女士模拟珍珠母贝手表和手链礼品套装</v>
      </c>
      <c r="E6047" s="1" t="str">
        <f>IFERROR(__xludf.DUMMYFUNCTION("CONCATENATE(GOOGLETRANSLATE(C6047, ""en"", ""ko""))"),"Relic by Fossil 여성용 아날로그 자개 시계 및 팔찌 선물 세트")</f>
        <v>Relic by Fossil 여성용 아날로그 자개 시계 및 팔찌 선물 세트</v>
      </c>
      <c r="F6047" s="1" t="str">
        <f>IFERROR(__xludf.DUMMYFUNCTION("CONCATENATE(GOOGLETRANSLATE(C6047, ""en"", ""ja""))"),"Relic by Fossil レディース アナログ マザーオブパール ウォッチとブレスレット ギフトセット")</f>
        <v>Relic by Fossil レディース アナログ マザーオブパール ウォッチとブレスレット ギフトセット</v>
      </c>
    </row>
    <row r="6048" ht="15.75" customHeight="1">
      <c r="A6048" s="1">
        <v>6615.0</v>
      </c>
      <c r="B6048" s="1" t="s">
        <v>15</v>
      </c>
      <c r="C6048" s="1" t="s">
        <v>4977</v>
      </c>
      <c r="D6048" s="1" t="str">
        <f>IFERROR(__xludf.DUMMYFUNCTION("CONCATENATE(GOOGLETRANSLATE(C6048, ""en"", ""zh-cn""))"),"Anne Klein 女士八角形手动石英金属链环手链手表")</f>
        <v>Anne Klein 女士八角形手动石英金属链环手链手表</v>
      </c>
      <c r="E6048" s="1" t="str">
        <f>IFERROR(__xludf.DUMMYFUNCTION("CONCATENATE(GOOGLETRANSLATE(C6048, ""en"", ""ko""))"),"Anne Klein 여성용 팔각형 핸드 쿼츠 메탈 링크 팔찌 시계")</f>
        <v>Anne Klein 여성용 팔각형 핸드 쿼츠 메탈 링크 팔찌 시계</v>
      </c>
      <c r="F6048" s="1" t="str">
        <f>IFERROR(__xludf.DUMMYFUNCTION("CONCATENATE(GOOGLETRANSLATE(C6048, ""en"", ""ja""))"),"Anne Klein レディース オクタゴナル ハンド クォーツ メタル リンク ブレスレット ウォッチ")</f>
        <v>Anne Klein レディース オクタゴナル ハンド クォーツ メタル リンク ブレスレット ウォッチ</v>
      </c>
    </row>
    <row r="6049" ht="15.75" customHeight="1">
      <c r="A6049" s="1">
        <v>6622.0</v>
      </c>
      <c r="B6049" s="1" t="s">
        <v>15</v>
      </c>
      <c r="C6049" s="1" t="s">
        <v>4978</v>
      </c>
      <c r="D6049" s="1" t="str">
        <f>IFERROR(__xludf.DUMMYFUNCTION("CONCATENATE(GOOGLETRANSLATE(C6049, ""en"", ""zh-cn""))"),"Anne Klein 女士高级水晶装饰链式手链手表")</f>
        <v>Anne Klein 女士高级水晶装饰链式手链手表</v>
      </c>
      <c r="E6049" s="1" t="str">
        <f>IFERROR(__xludf.DUMMYFUNCTION("CONCATENATE(GOOGLETRANSLATE(C6049, ""en"", ""ko""))"),"Anne Klein 여성용 프리미엄 크리스탈 액센트 체인 팔찌 시계")</f>
        <v>Anne Klein 여성용 프리미엄 크리스탈 액센트 체인 팔찌 시계</v>
      </c>
      <c r="F6049" s="1" t="str">
        <f>IFERROR(__xludf.DUMMYFUNCTION("CONCATENATE(GOOGLETRANSLATE(C6049, ""en"", ""ja""))"),"Anne Klein レディース プレミアム クリスタル アクセント チェーン ブレスレット ウォッチ")</f>
        <v>Anne Klein レディース プレミアム クリスタル アクセント チェーン ブレスレット ウォッチ</v>
      </c>
    </row>
    <row r="6050" ht="15.75" customHeight="1">
      <c r="A6050" s="1">
        <v>6628.0</v>
      </c>
      <c r="B6050" s="1" t="s">
        <v>15</v>
      </c>
      <c r="C6050" s="1" t="s">
        <v>4979</v>
      </c>
      <c r="D6050" s="1" t="str">
        <f>IFERROR(__xludf.DUMMYFUNCTION("CONCATENATE(GOOGLETRANSLATE(C6050, ""en"", ""zh-cn""))"),"Anne Klein 女士正品钻石表盘手镯手表")</f>
        <v>Anne Klein 女士正品钻石表盘手镯手表</v>
      </c>
      <c r="E6050" s="1" t="str">
        <f>IFERROR(__xludf.DUMMYFUNCTION("CONCATENATE(GOOGLETRANSLATE(C6050, ""en"", ""ko""))"),"Anne Klein 여성용 정품 다이아몬드 다이얼 뱅글 시계")</f>
        <v>Anne Klein 여성용 정품 다이아몬드 다이얼 뱅글 시계</v>
      </c>
      <c r="F6050" s="1" t="str">
        <f>IFERROR(__xludf.DUMMYFUNCTION("CONCATENATE(GOOGLETRANSLATE(C6050, ""en"", ""ja""))"),"アン クライン レディース 純正ダイヤモンド ダイヤル バングル ウォッチ")</f>
        <v>アン クライン レディース 純正ダイヤモンド ダイヤル バングル ウォッチ</v>
      </c>
    </row>
    <row r="6051" ht="15.75" customHeight="1">
      <c r="A6051" s="1">
        <v>6632.0</v>
      </c>
      <c r="B6051" s="1" t="s">
        <v>15</v>
      </c>
      <c r="C6051" s="1" t="s">
        <v>4980</v>
      </c>
      <c r="D6051" s="1" t="str">
        <f>IFERROR(__xludf.DUMMYFUNCTION("CONCATENATE(GOOGLETRANSLATE(C6051, ""en"", ""zh-cn""))"),"标致女士银色施华洛世奇水晶晚间手表")</f>
        <v>标致女士银色施华洛世奇水晶晚间手表</v>
      </c>
      <c r="E6051" s="1" t="str">
        <f>IFERROR(__xludf.DUMMYFUNCTION("CONCATENATE(GOOGLETRANSLATE(C6051, ""en"", ""ko""))"),"푸조 여성용 실버 스와로브스키 크리스탈 이브닝 시계")</f>
        <v>푸조 여성용 실버 스와로브스키 크리스탈 이브닝 시계</v>
      </c>
      <c r="F6051" s="1" t="str">
        <f>IFERROR(__xludf.DUMMYFUNCTION("CONCATENATE(GOOGLETRANSLATE(C6051, ""en"", ""ja""))"),"プジョー レディース シルバー スワロフスキー クリスタル イブニング ウォッチ")</f>
        <v>プジョー レディース シルバー スワロフスキー クリスタル イブニング ウォッチ</v>
      </c>
    </row>
    <row r="6052" ht="15.75" customHeight="1">
      <c r="A6052" s="1">
        <v>6640.0</v>
      </c>
      <c r="B6052" s="1" t="s">
        <v>15</v>
      </c>
      <c r="C6052" s="1" t="s">
        <v>4981</v>
      </c>
      <c r="D6052" s="1" t="str">
        <f>IFERROR(__xludf.DUMMYFUNCTION("CONCATENATE(GOOGLETRANSLATE(C6052, ""en"", ""zh-cn""))"),"Bulova 男士自动镂空表盘不锈钢手表")</f>
        <v>Bulova 男士自动镂空表盘不锈钢手表</v>
      </c>
      <c r="E6052" s="1" t="str">
        <f>IFERROR(__xludf.DUMMYFUNCTION("CONCATENATE(GOOGLETRANSLATE(C6052, ""en"", ""ko""))"),"부로바 남성용 오토매틱 스켈레톤 다이얼 스테인레스 스틸 시계")</f>
        <v>부로바 남성용 오토매틱 스켈레톤 다이얼 스테인레스 스틸 시계</v>
      </c>
      <c r="F6052" s="1" t="str">
        <f>IFERROR(__xludf.DUMMYFUNCTION("CONCATENATE(GOOGLETRANSLATE(C6052, ""en"", ""ja""))"),"ブローバ メンズ 自動巻き スケルトン ダイヤル ステンレススチール ウォッチ")</f>
        <v>ブローバ メンズ 自動巻き スケルトン ダイヤル ステンレススチール ウォッチ</v>
      </c>
    </row>
    <row r="6053" ht="15.75" customHeight="1">
      <c r="A6053" s="1">
        <v>6656.0</v>
      </c>
      <c r="B6053" s="1" t="s">
        <v>15</v>
      </c>
      <c r="C6053" s="1" t="s">
        <v>4982</v>
      </c>
      <c r="D6053" s="1" t="str">
        <f>IFERROR(__xludf.DUMMYFUNCTION("CONCATENATE(GOOGLETRANSLATE(C6053, ""en"", ""zh-cn""))"),"SUPERONE 2024 升级 MagSafe 手机手柄（带指带）​​、可拆卸 MagSafe 指环支架（带支架指环）、MagSafe 配件")</f>
        <v>SUPERONE 2024 升级 MagSafe 手机手柄（带指带）​​、可拆卸 MagSafe 指环支架（带支架指环）、MagSafe 配件</v>
      </c>
      <c r="E6053" s="1" t="str">
        <f>IFERROR(__xludf.DUMMYFUNCTION("CONCATENATE(GOOGLETRANSLATE(C6053, ""en"", ""ko""))"),"핑거 스트랩이 포함된 MagSafe 휴대폰 그립용 SUPERONE 2024 업그레이드, 킥스탠드 핑거 루프가 포함된 탈착식 MagSafe 링 홀더, MagSafe 액세서리")</f>
        <v>핑거 스트랩이 포함된 MagSafe 휴대폰 그립용 SUPERONE 2024 업그레이드, 킥스탠드 핑거 루프가 포함된 탈착식 MagSafe 링 홀더, MagSafe 액세서리</v>
      </c>
      <c r="F6053" s="1" t="str">
        <f>IFERROR(__xludf.DUMMYFUNCTION("CONCATENATE(GOOGLETRANSLATE(C6053, ""en"", ""ja""))"),"SUPERONE 2024 アップグレード MagSafe 電話グリップ、フィンガー ストラップ付き、取り外し可能な MagSafe リング ホルダー、キックスタンド フィンガー ループ付き、MagSafe アクセサリ")</f>
        <v>SUPERONE 2024 アップグレード MagSafe 電話グリップ、フィンガー ストラップ付き、取り外し可能な MagSafe リング ホルダー、キックスタンド フィンガー ループ付き、MagSafe アクセサリ</v>
      </c>
    </row>
    <row r="6054" ht="15.75" customHeight="1">
      <c r="A6054" s="1">
        <v>6658.0</v>
      </c>
      <c r="B6054" s="1" t="s">
        <v>15</v>
      </c>
      <c r="C6054" s="1" t="s">
        <v>4983</v>
      </c>
      <c r="D6054" s="1" t="str">
        <f>IFERROR(__xludf.DUMMYFUNCTION("CONCATENATE(GOOGLETRANSLATE(C6054, ""en"", ""zh-cn""))"),"Apple MagSafe 保护壳（适用于 iPhone 16 Pro Max）")</f>
        <v>Apple MagSafe 保护壳（适用于 iPhone 16 Pro Max）</v>
      </c>
      <c r="E6054" s="1" t="str">
        <f>IFERROR(__xludf.DUMMYFUNCTION("CONCATENATE(GOOGLETRANSLATE(C6054, ""en"", ""ko""))"),"iPhone 16 Pro Max용 Apple MagSafe 케이스")</f>
        <v>iPhone 16 Pro Max용 Apple MagSafe 케이스</v>
      </c>
      <c r="F6054" s="1" t="str">
        <f>IFERROR(__xludf.DUMMYFUNCTION("CONCATENATE(GOOGLETRANSLATE(C6054, ""en"", ""ja""))"),"Apple MagSafe ケース iPhone 16 Pro Max 用")</f>
        <v>Apple MagSafe ケース iPhone 16 Pro Max 用</v>
      </c>
    </row>
    <row r="6055" ht="15.75" customHeight="1">
      <c r="A6055" s="1">
        <v>6661.0</v>
      </c>
      <c r="B6055" s="1" t="s">
        <v>15</v>
      </c>
      <c r="C6055" s="1" t="s">
        <v>4984</v>
      </c>
      <c r="D6055" s="1" t="str">
        <f>IFERROR(__xludf.DUMMYFUNCTION("CONCATENATE(GOOGLETRANSLATE(C6055, ""en"", ""zh-cn""))"),"Distil Union Stanley 手机支架")</f>
        <v>Distil Union Stanley 手机支架</v>
      </c>
      <c r="E6055" s="1" t="str">
        <f>IFERROR(__xludf.DUMMYFUNCTION("CONCATENATE(GOOGLETRANSLATE(C6055, ""en"", ""ko""))"),"Distill Union Stanley 전화 스탠드")</f>
        <v>Distill Union Stanley 전화 스탠드</v>
      </c>
      <c r="F6055" s="1" t="str">
        <f>IFERROR(__xludf.DUMMYFUNCTION("CONCATENATE(GOOGLETRANSLATE(C6055, ""en"", ""ja""))"),"ディスティル ユニオン スタンレー 電話スタンド")</f>
        <v>ディスティル ユニオン スタンレー 電話スタンド</v>
      </c>
    </row>
    <row r="6056" ht="15.75" customHeight="1">
      <c r="A6056" s="1">
        <v>6665.0</v>
      </c>
      <c r="B6056" s="1" t="s">
        <v>15</v>
      </c>
      <c r="C6056" s="1" t="s">
        <v>4985</v>
      </c>
      <c r="D6056" s="1" t="str">
        <f>IFERROR(__xludf.DUMMYFUNCTION("CONCATENATE(GOOGLETRANSLATE(C6056, ""en"", ""zh-cn""))"),"Scooch Wingback 弹出式手机手柄、支架和车载支架，适用于智能手机，与任何 Sma 兼容")</f>
        <v>Scooch Wingback 弹出式手机手柄、支架和车载支架，适用于智能手机，与任何 Sma 兼容</v>
      </c>
      <c r="E6056" s="1" t="str">
        <f>IFERROR(__xludf.DUMMYFUNCTION("CONCATENATE(GOOGLETRANSLATE(C6056, ""en"", ""ko""))"),"모든 Sma와 호환되는 스마트폰용 Scooch Wingback 팝업 휴대폰 그립, 스탠드 및 차량용 마운트")</f>
        <v>모든 Sma와 호환되는 스마트폰용 Scooch Wingback 팝업 휴대폰 그립, 스탠드 및 차량용 마운트</v>
      </c>
      <c r="F6056" s="1" t="str">
        <f>IFERROR(__xludf.DUMMYFUNCTION("CONCATENATE(GOOGLETRANSLATE(C6056, ""en"", ""ja""))"),"Scooch Wingback ポップアップ電話グリップ、スタンド、スマートフォン用カーマウントはあらゆるスマートフォンに対応")</f>
        <v>Scooch Wingback ポップアップ電話グリップ、スタンド、スマートフォン用カーマウントはあらゆるスマートフォンに対応</v>
      </c>
    </row>
    <row r="6057" ht="15.75" customHeight="1">
      <c r="A6057" s="1">
        <v>6670.0</v>
      </c>
      <c r="B6057" s="1" t="s">
        <v>15</v>
      </c>
      <c r="C6057" s="1" t="s">
        <v>4986</v>
      </c>
      <c r="D6057" s="1" t="str">
        <f>IFERROR(__xludf.DUMMYFUNCTION("CONCATENATE(GOOGLETRANSLATE(C6057, ""en"", ""zh-cn""))"),"Custype定制手机配件，斜挎带-定制版")</f>
        <v>Custype定制手机配件，斜挎带-定制版</v>
      </c>
      <c r="E6057" s="1" t="str">
        <f>IFERROR(__xludf.DUMMYFUNCTION("CONCATENATE(GOOGLETRANSLATE(C6057, ""en"", ""ko""))"),"Custype 맞춤형 휴대폰 액세서리, 크로스바디 스트랩 - 맞춤형 버전")</f>
        <v>Custype 맞춤형 휴대폰 액세서리, 크로스바디 스트랩 - 맞춤형 버전</v>
      </c>
      <c r="F6057" s="1" t="str">
        <f>IFERROR(__xludf.DUMMYFUNCTION("CONCATENATE(GOOGLETRANSLATE(C6057, ""en"", ""ja""))"),"Custype カスタマイズされた電話アクセサリー、クロスボディ ストラップ - カスタマイズされたバージョン")</f>
        <v>Custype カスタマイズされた電話アクセサリー、クロスボディ ストラップ - カスタマイズされたバージョン</v>
      </c>
    </row>
    <row r="6058" ht="15.75" customHeight="1">
      <c r="A6058" s="1">
        <v>6672.0</v>
      </c>
      <c r="B6058" s="1" t="s">
        <v>15</v>
      </c>
      <c r="C6058" s="1" t="s">
        <v>4987</v>
      </c>
      <c r="D6058" s="1" t="str">
        <f>IFERROR(__xludf.DUMMYFUNCTION("CONCATENATE(GOOGLETRANSLATE(C6058, ""en"", ""zh-cn""))"),"PopSockets 植物手机握把")</f>
        <v>PopSockets 植物手机握把</v>
      </c>
      <c r="E6058" s="1" t="str">
        <f>IFERROR(__xludf.DUMMYFUNCTION("CONCATENATE(GOOGLETRANSLATE(C6058, ""en"", ""ko""))"),"PopSockets 식물 기반 휴대폰 그립")</f>
        <v>PopSockets 식물 기반 휴대폰 그립</v>
      </c>
      <c r="F6058" s="1" t="str">
        <f>IFERROR(__xludf.DUMMYFUNCTION("CONCATENATE(GOOGLETRANSLATE(C6058, ""en"", ""ja""))"),"PopSockets 植物由来の電話グリップ")</f>
        <v>PopSockets 植物由来の電話グリップ</v>
      </c>
    </row>
    <row r="6059" ht="15.75" customHeight="1">
      <c r="A6059" s="1">
        <v>6677.0</v>
      </c>
      <c r="B6059" s="1" t="s">
        <v>15</v>
      </c>
      <c r="C6059" s="1" t="s">
        <v>4988</v>
      </c>
      <c r="D6059" s="1" t="str">
        <f>IFERROR(__xludf.DUMMYFUNCTION("CONCATENATE(GOOGLETRANSLATE(C6059, ""en"", ""zh-cn""))"),"PopSockets MagSafe 你能不能 PopGrip")</f>
        <v>PopSockets MagSafe 你能不能 PopGrip</v>
      </c>
      <c r="E6059" s="1" t="str">
        <f>IFERROR(__xludf.DUMMYFUNCTION("CONCATENATE(GOOGLETRANSLATE(C6059, ""en"", ""ko""))"),"PopSockets MagSafe PopGrip을 사용할 수 없나요?")</f>
        <v>PopSockets MagSafe PopGrip을 사용할 수 없나요?</v>
      </c>
      <c r="F6059" s="1" t="str">
        <f>IFERROR(__xludf.DUMMYFUNCTION("CONCATENATE(GOOGLETRANSLATE(C6059, ""en"", ""ja""))"),"PopSockets MagSafe PopGrip は使えないの？")</f>
        <v>PopSockets MagSafe PopGrip は使えないの？</v>
      </c>
    </row>
    <row r="6060" ht="15.75" customHeight="1">
      <c r="A6060" s="1">
        <v>6681.0</v>
      </c>
      <c r="B6060" s="1" t="s">
        <v>15</v>
      </c>
      <c r="C6060" s="1" t="s">
        <v>4989</v>
      </c>
      <c r="D6060" s="1" t="str">
        <f>IFERROR(__xludf.DUMMYFUNCTION("CONCATENATE(GOOGLETRANSLATE(C6060, ""en"", ""zh-cn""))"),"手机配件可爱卡通握把")</f>
        <v>手机配件可爱卡通握把</v>
      </c>
      <c r="E6060" s="1" t="str">
        <f>IFERROR(__xludf.DUMMYFUNCTION("CONCATENATE(GOOGLETRANSLATE(C6060, ""en"", ""ko""))"),"휴대폰 액세서리 귀여운 만화 그립 홀더")</f>
        <v>휴대폰 액세서리 귀여운 만화 그립 홀더</v>
      </c>
      <c r="F6060" s="1" t="str">
        <f>IFERROR(__xludf.DUMMYFUNCTION("CONCATENATE(GOOGLETRANSLATE(C6060, ""en"", ""ja""))"),"携帯電話アクセサリーかわいい漫画のグリップ ホルダー")</f>
        <v>携帯電話アクセサリーかわいい漫画のグリップ ホルダー</v>
      </c>
    </row>
    <row r="6061" ht="15.75" customHeight="1">
      <c r="A6061" s="1">
        <v>6683.0</v>
      </c>
      <c r="B6061" s="1" t="s">
        <v>15</v>
      </c>
      <c r="C6061" s="1" t="s">
        <v>4990</v>
      </c>
      <c r="D6061" s="1" t="str">
        <f>IFERROR(__xludf.DUMMYFUNCTION("CONCATENATE(GOOGLETRANSLATE(C6061, ""en"", ""zh-cn""))"),"Kikkerland 电话指环")</f>
        <v>Kikkerland 电话指环</v>
      </c>
      <c r="E6061" s="1" t="str">
        <f>IFERROR(__xludf.DUMMYFUNCTION("CONCATENATE(GOOGLETRANSLATE(C6061, ""en"", ""ko""))"),"Kikkerland 폰 핑거 루프")</f>
        <v>Kikkerland 폰 핑거 루프</v>
      </c>
      <c r="F6061" s="1" t="str">
        <f>IFERROR(__xludf.DUMMYFUNCTION("CONCATENATE(GOOGLETRANSLATE(C6061, ""en"", ""ja""))"),"キッカーランド フォン フィンガー ループ")</f>
        <v>キッカーランド フォン フィンガー ループ</v>
      </c>
    </row>
    <row r="6062" ht="15.75" customHeight="1">
      <c r="A6062" s="1">
        <v>6686.0</v>
      </c>
      <c r="B6062" s="1" t="s">
        <v>15</v>
      </c>
      <c r="C6062" s="1" t="s">
        <v>4991</v>
      </c>
      <c r="D6062" s="1" t="str">
        <f>IFERROR(__xludf.DUMMYFUNCTION("CONCATENATE(GOOGLETRANSLATE(C6062, ""en"", ""zh-cn""))"),"PopSockets PopGrip 半透明黑烟")</f>
        <v>PopSockets PopGrip 半透明黑烟</v>
      </c>
      <c r="E6062" s="1" t="str">
        <f>IFERROR(__xludf.DUMMYFUNCTION("CONCATENATE(GOOGLETRANSLATE(C6062, ""en"", ""ko""))"),"PopSockets PopGrip 반투명 블랙 스모크")</f>
        <v>PopSockets PopGrip 반투명 블랙 스모크</v>
      </c>
      <c r="F6062" s="1" t="str">
        <f>IFERROR(__xludf.DUMMYFUNCTION("CONCATENATE(GOOGLETRANSLATE(C6062, ""en"", ""ja""))"),"ポップソケッツ ポップグリップ 半透明ブラックスモーク")</f>
        <v>ポップソケッツ ポップグリップ 半透明ブラックスモーク</v>
      </c>
    </row>
    <row r="6063" ht="15.75" customHeight="1">
      <c r="A6063" s="1">
        <v>6697.0</v>
      </c>
      <c r="B6063" s="1" t="s">
        <v>15</v>
      </c>
      <c r="C6063" s="1" t="s">
        <v>4992</v>
      </c>
      <c r="D6063" s="1" t="str">
        <f>IFERROR(__xludf.DUMMYFUNCTION("CONCATENATE(GOOGLETRANSLATE(C6063, ""en"", ""zh-cn""))"),"HADEN 传统台面微波炉")</f>
        <v>HADEN 传统台面微波炉</v>
      </c>
      <c r="E6063" s="1" t="str">
        <f>IFERROR(__xludf.DUMMYFUNCTION("CONCATENATE(GOOGLETRANSLATE(C6063, ""en"", ""ko""))"),"HADEN 헤리티지 조리대 전자레인지")</f>
        <v>HADEN 헤리티지 조리대 전자레인지</v>
      </c>
      <c r="F6063" s="1" t="str">
        <f>IFERROR(__xludf.DUMMYFUNCTION("CONCATENATE(GOOGLETRANSLATE(C6063, ""en"", ""ja""))"),"HADEN Heritage カウンタートップ電子レンジ")</f>
        <v>HADEN Heritage カウンタートップ電子レンジ</v>
      </c>
    </row>
    <row r="6064" ht="15.75" customHeight="1">
      <c r="A6064" s="1">
        <v>6700.0</v>
      </c>
      <c r="B6064" s="1" t="s">
        <v>15</v>
      </c>
      <c r="C6064" s="1" t="s">
        <v>4993</v>
      </c>
      <c r="D6064" s="1" t="str">
        <f>IFERROR(__xludf.DUMMYFUNCTION("CONCATENATE(GOOGLETRANSLATE(C6064, ""en"", ""zh-cn""))"),"Cuisinart 4 片紧凑型烤面包机")</f>
        <v>Cuisinart 4 片紧凑型烤面包机</v>
      </c>
      <c r="E6064" s="1" t="str">
        <f>IFERROR(__xludf.DUMMYFUNCTION("CONCATENATE(GOOGLETRANSLATE(C6064, ""en"", ""ko""))"),"쿠진아트 4슬라이스 컴팩트 토스터")</f>
        <v>쿠진아트 4슬라이스 컴팩트 토스터</v>
      </c>
      <c r="F6064" s="1" t="str">
        <f>IFERROR(__xludf.DUMMYFUNCTION("CONCATENATE(GOOGLETRANSLATE(C6064, ""en"", ""ja""))"),"クイジナート 4スライスコンパクトトースター")</f>
        <v>クイジナート 4スライスコンパクトトースター</v>
      </c>
    </row>
    <row r="6065" ht="15.75" customHeight="1">
      <c r="A6065" s="1">
        <v>6708.0</v>
      </c>
      <c r="B6065" s="1" t="s">
        <v>15</v>
      </c>
      <c r="C6065" s="1" t="s">
        <v>4994</v>
      </c>
      <c r="D6065" s="1" t="str">
        <f>IFERROR(__xludf.DUMMYFUNCTION("CONCATENATE(GOOGLETRANSLATE(C6065, ""en"", ""zh-cn""))"),"德鲁·巴里摩尔慢炖锅套装")</f>
        <v>德鲁·巴里摩尔慢炖锅套装</v>
      </c>
      <c r="E6065" s="1" t="str">
        <f>IFERROR(__xludf.DUMMYFUNCTION("CONCATENATE(GOOGLETRANSLATE(C6065, ""en"", ""ko""))"),"드류 베리모어 슬로우 쿠커 세트")</f>
        <v>드류 베리모어 슬로우 쿠커 세트</v>
      </c>
      <c r="F6065" s="1" t="str">
        <f>IFERROR(__xludf.DUMMYFUNCTION("CONCATENATE(GOOGLETRANSLATE(C6065, ""en"", ""ja""))"),"ドリュー・バリモア スロークッカーセット")</f>
        <v>ドリュー・バリモア スロークッカーセット</v>
      </c>
    </row>
    <row r="6066" ht="15.75" customHeight="1">
      <c r="A6066" s="1">
        <v>6722.0</v>
      </c>
      <c r="B6066" s="1" t="s">
        <v>15</v>
      </c>
      <c r="C6066" s="1" t="s">
        <v>4995</v>
      </c>
      <c r="D6066" s="1" t="str">
        <f>IFERROR(__xludf.DUMMYFUNCTION("CONCATENATE(GOOGLETRANSLATE(C6066, ""en"", ""zh-cn""))"),"汉密尔顿海滩电饭锅/蒸锅")</f>
        <v>汉密尔顿海滩电饭锅/蒸锅</v>
      </c>
      <c r="E6066" s="1" t="str">
        <f>IFERROR(__xludf.DUMMYFUNCTION("CONCATENATE(GOOGLETRANSLATE(C6066, ""en"", ""ko""))"),"해밀턴 비치 밥솥/찜기")</f>
        <v>해밀턴 비치 밥솥/찜기</v>
      </c>
      <c r="F6066" s="1" t="str">
        <f>IFERROR(__xludf.DUMMYFUNCTION("CONCATENATE(GOOGLETRANSLATE(C6066, ""en"", ""ja""))"),"ハミルトンビーチ炊飯器/蒸し器")</f>
        <v>ハミルトンビーチ炊飯器/蒸し器</v>
      </c>
    </row>
    <row r="6067" ht="15.75" customHeight="1">
      <c r="A6067" s="1">
        <v>6738.0</v>
      </c>
      <c r="B6067" s="1" t="s">
        <v>15</v>
      </c>
      <c r="C6067" s="1" t="s">
        <v>4996</v>
      </c>
      <c r="D6067" s="1" t="str">
        <f>IFERROR(__xludf.DUMMYFUNCTION("CONCATENATE(GOOGLETRANSLATE(C6067, ""en"", ""zh-cn""))"),"epres 健康洗发水")</f>
        <v>epres 健康洗发水</v>
      </c>
      <c r="E6067" s="1" t="str">
        <f>IFERROR(__xludf.DUMMYFUNCTION("CONCATENATE(GOOGLETRANSLATE(C6067, ""en"", ""ko""))"),"에프레스 헬시 헤어 샴푸")</f>
        <v>에프레스 헬시 헤어 샴푸</v>
      </c>
      <c r="F6067" s="1" t="str">
        <f>IFERROR(__xludf.DUMMYFUNCTION("CONCATENATE(GOOGLETRANSLATE(C6067, ""en"", ""ja""))"),"エプレ ヘルシーヘア シャンプー")</f>
        <v>エプレ ヘルシーヘア シャンプー</v>
      </c>
    </row>
    <row r="6068" ht="15.75" customHeight="1">
      <c r="A6068" s="1">
        <v>6746.0</v>
      </c>
      <c r="B6068" s="1" t="s">
        <v>15</v>
      </c>
      <c r="C6068" s="1" t="s">
        <v>4997</v>
      </c>
      <c r="D6068" s="1" t="str">
        <f>IFERROR(__xludf.DUMMYFUNCTION("CONCATENATE(GOOGLETRANSLATE(C6068, ""en"", ""zh-cn""))"),"Botanic Hearth 生物素洗发水和护发素")</f>
        <v>Botanic Hearth 生物素洗发水和护发素</v>
      </c>
      <c r="E6068" s="1" t="str">
        <f>IFERROR(__xludf.DUMMYFUNCTION("CONCATENATE(GOOGLETRANSLATE(C6068, ""en"", ""ko""))"),"보타닉 허스 비오틴 샴푸 및 컨디셔너")</f>
        <v>보타닉 허스 비오틴 샴푸 및 컨디셔너</v>
      </c>
      <c r="F6068" s="1" t="str">
        <f>IFERROR(__xludf.DUMMYFUNCTION("CONCATENATE(GOOGLETRANSLATE(C6068, ""en"", ""ja""))"),"ボタニック ハース ビオチン シャンプー &amp; コンディショナー")</f>
        <v>ボタニック ハース ビオチン シャンプー &amp; コンディショナー</v>
      </c>
    </row>
    <row r="6069" ht="15.75" customHeight="1">
      <c r="A6069" s="1">
        <v>6748.0</v>
      </c>
      <c r="B6069" s="1" t="s">
        <v>15</v>
      </c>
      <c r="C6069" s="1" t="s">
        <v>4998</v>
      </c>
      <c r="D6069" s="1" t="str">
        <f>IFERROR(__xludf.DUMMYFUNCTION("CONCATENATE(GOOGLETRANSLATE(C6069, ""en"", ""zh-cn""))"),"OGX 浓稠全生物素胶原蛋白洗发水")</f>
        <v>OGX 浓稠全生物素胶原蛋白洗发水</v>
      </c>
      <c r="E6069" s="1" t="str">
        <f>IFERROR(__xludf.DUMMYFUNCTION("CONCATENATE(GOOGLETRANSLATE(C6069, ""en"", ""ko""))"),"OGX 씨크 풀 비오틴 콜라겐 샴푸")</f>
        <v>OGX 씨크 풀 비오틴 콜라겐 샴푸</v>
      </c>
      <c r="F6069" s="1" t="str">
        <f>IFERROR(__xludf.DUMMYFUNCTION("CONCATENATE(GOOGLETRANSLATE(C6069, ""en"", ""ja""))"),"OGX 濃厚フルビオチンコラーゲンシャンプー")</f>
        <v>OGX 濃厚フルビオチンコラーゲンシャンプー</v>
      </c>
    </row>
    <row r="6070" ht="15.75" customHeight="1">
      <c r="A6070" s="1">
        <v>6754.0</v>
      </c>
      <c r="B6070" s="1" t="s">
        <v>15</v>
      </c>
      <c r="C6070" s="1" t="s">
        <v>4999</v>
      </c>
      <c r="D6070" s="1" t="str">
        <f>IFERROR(__xludf.DUMMYFUNCTION("CONCATENATE(GOOGLETRANSLATE(C6070, ""en"", ""zh-cn""))"),"Prismax 完整套件终极护发解决方案")</f>
        <v>Prismax 完整套件终极护发解决方案</v>
      </c>
      <c r="E6070" s="1" t="str">
        <f>IFERROR(__xludf.DUMMYFUNCTION("CONCATENATE(GOOGLETRANSLATE(C6070, ""en"", ""ko""))"),"프리즈맥스 컴플리트 키트 얼티밋 헤어 케어 솔루션")</f>
        <v>프리즈맥스 컴플리트 키트 얼티밋 헤어 케어 솔루션</v>
      </c>
      <c r="F6070" s="1" t="str">
        <f>IFERROR(__xludf.DUMMYFUNCTION("CONCATENATE(GOOGLETRANSLATE(C6070, ""en"", ""ja""))"),"プリズマックス コンプリート キット 究極のヘアケア ソリューション")</f>
        <v>プリズマックス コンプリート キット 究極のヘアケア ソリューション</v>
      </c>
    </row>
    <row r="6071" ht="15.75" customHeight="1">
      <c r="A6071" s="1">
        <v>6757.0</v>
      </c>
      <c r="B6071" s="1" t="s">
        <v>15</v>
      </c>
      <c r="C6071" s="1" t="s">
        <v>5000</v>
      </c>
      <c r="D6071" s="1" t="str">
        <f>IFERROR(__xludf.DUMMYFUNCTION("CONCATENATE(GOOGLETRANSLATE(C6071, ""en"", ""zh-cn""))"),"Hair Chemist 生物素促进生长洗发水")</f>
        <v>Hair Chemist 生物素促进生长洗发水</v>
      </c>
      <c r="E6071" s="1" t="str">
        <f>IFERROR(__xludf.DUMMYFUNCTION("CONCATENATE(GOOGLETRANSLATE(C6071, ""en"", ""ko""))"),"헤어 케미스트 비오틴 프로 성장 샴푸")</f>
        <v>헤어 케미스트 비오틴 프로 성장 샴푸</v>
      </c>
      <c r="F6071" s="1" t="str">
        <f>IFERROR(__xludf.DUMMYFUNCTION("CONCATENATE(GOOGLETRANSLATE(C6071, ""en"", ""ja""))"),"ヘアケミスト ビオチン プロ グロース シャンプー")</f>
        <v>ヘアケミスト ビオチン プロ グロース シャンプー</v>
      </c>
    </row>
    <row r="6072" ht="15.75" customHeight="1">
      <c r="A6072" s="1">
        <v>6767.0</v>
      </c>
      <c r="B6072" s="1" t="s">
        <v>15</v>
      </c>
      <c r="C6072" s="1" t="s">
        <v>5001</v>
      </c>
      <c r="D6072" s="1" t="str">
        <f>IFERROR(__xludf.DUMMYFUNCTION("CONCATENATE(GOOGLETRANSLATE(C6072, ""en"", ""zh-cn""))"),"自然之宝生物素")</f>
        <v>自然之宝生物素</v>
      </c>
      <c r="E6072" s="1" t="str">
        <f>IFERROR(__xludf.DUMMYFUNCTION("CONCATENATE(GOOGLETRANSLATE(C6072, ""en"", ""ko""))"),"비오틴 자연의 현상금")</f>
        <v>비오틴 자연의 현상금</v>
      </c>
      <c r="F6072" s="1" t="str">
        <f>IFERROR(__xludf.DUMMYFUNCTION("CONCATENATE(GOOGLETRANSLATE(C6072, ""en"", ""ja""))"),"ビオチン自然の恵み")</f>
        <v>ビオチン自然の恵み</v>
      </c>
    </row>
    <row r="6073" ht="15.75" customHeight="1">
      <c r="A6073" s="1">
        <v>6776.0</v>
      </c>
      <c r="B6073" s="1" t="s">
        <v>15</v>
      </c>
      <c r="C6073" s="1" t="s">
        <v>4180</v>
      </c>
      <c r="D6073" s="1" t="str">
        <f>IFERROR(__xludf.DUMMYFUNCTION("CONCATENATE(GOOGLETRANSLATE(C6073, ""en"", ""zh-cn""))"),"头发生物学摩洛哥坚果油驯服精华含生物素")</f>
        <v>头发生物学摩洛哥坚果油驯服精华含生物素</v>
      </c>
      <c r="E6073" s="1" t="str">
        <f>IFERROR(__xludf.DUMMYFUNCTION("CONCATENATE(GOOGLETRANSLATE(C6073, ""en"", ""ko""))"),"헤어바이올로지 아르간 오일 테이밍 세럼(비오틴 포함)")</f>
        <v>헤어바이올로지 아르간 오일 테이밍 세럼(비오틴 포함)</v>
      </c>
      <c r="F6073" s="1" t="str">
        <f>IFERROR(__xludf.DUMMYFUNCTION("CONCATENATE(GOOGLETRANSLATE(C6073, ""en"", ""ja""))"),"Hair Biology アルガン オイル テイミング セラム (ビオチン配合)")</f>
        <v>Hair Biology アルガン オイル テイミング セラム (ビオチン配合)</v>
      </c>
    </row>
    <row r="6074" ht="15.75" customHeight="1">
      <c r="A6074" s="1">
        <v>6785.0</v>
      </c>
      <c r="B6074" s="1" t="s">
        <v>15</v>
      </c>
      <c r="C6074" s="1" t="s">
        <v>5002</v>
      </c>
      <c r="D6074" s="1" t="str">
        <f>IFERROR(__xludf.DUMMYFUNCTION("CONCATENATE(GOOGLETRANSLATE(C6074, ""en"", ""zh-cn""))"),"生发面膜")</f>
        <v>生发面膜</v>
      </c>
      <c r="E6074" s="1" t="str">
        <f>IFERROR(__xludf.DUMMYFUNCTION("CONCATENATE(GOOGLETRANSLATE(C6074, ""en"", ""ko""))"),"모발 성장 마스크")</f>
        <v>모발 성장 마스크</v>
      </c>
      <c r="F6074" s="1" t="str">
        <f>IFERROR(__xludf.DUMMYFUNCTION("CONCATENATE(GOOGLETRANSLATE(C6074, ""en"", ""ja""))"),"育毛マスク")</f>
        <v>育毛マスク</v>
      </c>
    </row>
    <row r="6075" ht="15.75" customHeight="1">
      <c r="A6075" s="1">
        <v>6809.0</v>
      </c>
      <c r="B6075" s="1" t="s">
        <v>15</v>
      </c>
      <c r="C6075" s="1" t="s">
        <v>5003</v>
      </c>
      <c r="D6075" s="1" t="str">
        <f>IFERROR(__xludf.DUMMYFUNCTION("CONCATENATE(GOOGLETRANSLATE(C6075, ""en"", ""zh-cn""))"),"你好可爱的头发生物素和 C 软糖")</f>
        <v>你好可爱的头发生物素和 C 软糖</v>
      </c>
      <c r="E6075" s="1" t="str">
        <f>IFERROR(__xludf.DUMMYFUNCTION("CONCATENATE(GOOGLETRANSLATE(C6075, ""en"", ""ko""))"),"안녕하세요 러블리 헤어 비오틴과 C 구미즈입니다")</f>
        <v>안녕하세요 러블리 헤어 비오틴과 C 구미즈입니다</v>
      </c>
      <c r="F6075" s="1" t="str">
        <f>IFERROR(__xludf.DUMMYFUNCTION("CONCATENATE(GOOGLETRANSLATE(C6075, ""en"", ""ja""))"),"ハローラブリーヘアビオチンとCグミ")</f>
        <v>ハローラブリーヘアビオチンとCグミ</v>
      </c>
    </row>
    <row r="6076" ht="15.75" customHeight="1">
      <c r="A6076" s="1">
        <v>6812.0</v>
      </c>
      <c r="B6076" s="1" t="s">
        <v>15</v>
      </c>
      <c r="C6076" s="1" t="s">
        <v>5004</v>
      </c>
      <c r="D6076" s="1" t="str">
        <f>IFERROR(__xludf.DUMMYFUNCTION("CONCATENATE(GOOGLETRANSLATE(C6076, ""en"", ""zh-cn""))"),"电子书：健康的头发生长和保留技巧（数字副本）")</f>
        <v>电子书：健康的头发生长和保留技巧（数字副本）</v>
      </c>
      <c r="E6076" s="1" t="str">
        <f>IFERROR(__xludf.DUMMYFUNCTION("CONCATENATE(GOOGLETRANSLATE(C6076, ""en"", ""ko""))"),"전자책: 건강한 모발 성장 및 유지 팁(디지털 사본)")</f>
        <v>전자책: 건강한 모발 성장 및 유지 팁(디지털 사본)</v>
      </c>
      <c r="F6076" s="1" t="str">
        <f>IFERROR(__xludf.DUMMYFUNCTION("CONCATENATE(GOOGLETRANSLATE(C6076, ""en"", ""ja""))"),"電子ブック: 健康な髪の成長と維持のヒント (デジタルコピー)")</f>
        <v>電子ブック: 健康な髪の成長と維持のヒント (デジタルコピー)</v>
      </c>
    </row>
    <row r="6077" ht="15.75" customHeight="1">
      <c r="A6077" s="1">
        <v>6821.0</v>
      </c>
      <c r="B6077" s="1" t="s">
        <v>15</v>
      </c>
      <c r="C6077" s="1" t="s">
        <v>5005</v>
      </c>
      <c r="D6077" s="1" t="str">
        <f>IFERROR(__xludf.DUMMYFUNCTION("CONCATENATE(GOOGLETRANSLATE(C6077, ""en"", ""zh-cn""))"),"弹球盘（国家图书奖决赛入围者）")</f>
        <v>弹球盘（国家图书奖决赛入围者）</v>
      </c>
      <c r="E6077" s="1" t="str">
        <f>IFERROR(__xludf.DUMMYFUNCTION("CONCATENATE(GOOGLETRANSLATE(C6077, ""en"", ""ko""))"),"파친코(전미도서상 최종 후보)")</f>
        <v>파친코(전미도서상 최종 후보)</v>
      </c>
      <c r="F6077" s="1" t="str">
        <f>IFERROR(__xludf.DUMMYFUNCTION("CONCATENATE(GOOGLETRANSLATE(C6077, ""en"", ""ja""))"),"パチンコ (全米図書賞最終候補)")</f>
        <v>パチンコ (全米図書賞最終候補)</v>
      </c>
    </row>
    <row r="6078" ht="15.75" customHeight="1">
      <c r="A6078" s="1">
        <v>6850.0</v>
      </c>
      <c r="B6078" s="1" t="s">
        <v>15</v>
      </c>
      <c r="C6078" s="1" t="s">
        <v>5006</v>
      </c>
      <c r="D6078" s="1" t="str">
        <f>IFERROR(__xludf.DUMMYFUNCTION("CONCATENATE(GOOGLETRANSLATE(C6078, ""en"", ""zh-cn""))"),"炼金术士（电子书）")</f>
        <v>炼金术士（电子书）</v>
      </c>
      <c r="E6078" s="1" t="str">
        <f>IFERROR(__xludf.DUMMYFUNCTION("CONCATENATE(GOOGLETRANSLATE(C6078, ""en"", ""ko""))"),"연금술사(eBook)")</f>
        <v>연금술사(eBook)</v>
      </c>
      <c r="F6078" s="1" t="str">
        <f>IFERROR(__xludf.DUMMYFUNCTION("CONCATENATE(GOOGLETRANSLATE(C6078, ""en"", ""ja""))"),"アルケミスト (電子書籍)")</f>
        <v>アルケミスト (電子書籍)</v>
      </c>
    </row>
    <row r="6079" ht="15.75" customHeight="1">
      <c r="A6079" s="1">
        <v>6863.0</v>
      </c>
      <c r="B6079" s="1" t="s">
        <v>15</v>
      </c>
      <c r="C6079" s="1" t="s">
        <v>5007</v>
      </c>
      <c r="D6079" s="1" t="str">
        <f>IFERROR(__xludf.DUMMYFUNCTION("CONCATENATE(GOOGLETRANSLATE(C6079, ""en"", ""zh-cn""))"),"索尼 PlayStation 商店 - 10.0")</f>
        <v>索尼 PlayStation 商店 - 10.0</v>
      </c>
      <c r="E6079" s="1" t="str">
        <f>IFERROR(__xludf.DUMMYFUNCTION("CONCATENATE(GOOGLETRANSLATE(C6079, ""en"", ""ko""))"),"소니 플레이스테이션 스토어 - 10.0")</f>
        <v>소니 플레이스테이션 스토어 - 10.0</v>
      </c>
      <c r="F6079" s="1" t="str">
        <f>IFERROR(__xludf.DUMMYFUNCTION("CONCATENATE(GOOGLETRANSLATE(C6079, ""en"", ""ja""))"),"ソニー プレイステーション ストア - 10.0")</f>
        <v>ソニー プレイステーション ストア - 10.0</v>
      </c>
    </row>
    <row r="6080" ht="15.75" customHeight="1">
      <c r="A6080" s="1">
        <v>6868.0</v>
      </c>
      <c r="B6080" s="1" t="s">
        <v>15</v>
      </c>
      <c r="C6080" s="1" t="s">
        <v>5008</v>
      </c>
      <c r="D6080" s="1" t="str">
        <f>IFERROR(__xludf.DUMMYFUNCTION("CONCATENATE(GOOGLETRANSLATE(C6080, ""en"", ""zh-cn""))"),"刺客信条：暗影 - 索尼 PlayStation 5 [数字下载]")</f>
        <v>刺客信条：暗影 - 索尼 PlayStation 5 [数字下载]</v>
      </c>
      <c r="E6080" s="1" t="str">
        <f>IFERROR(__xludf.DUMMYFUNCTION("CONCATENATE(GOOGLETRANSLATE(C6080, ""en"", ""ko""))"),"Assassin's Creed Shadows - Sony PlayStation 5 [디지털 다운로드]")</f>
        <v>Assassin's Creed Shadows - Sony PlayStation 5 [디지털 다운로드]</v>
      </c>
      <c r="F6080" s="1" t="str">
        <f>IFERROR(__xludf.DUMMYFUNCTION("CONCATENATE(GOOGLETRANSLATE(C6080, ""en"", ""ja""))"),"アサシン クリード シャドウズ - Sony PlayStation 5 [デジタル ダウンロード]")</f>
        <v>アサシン クリード シャドウズ - Sony PlayStation 5 [デジタル ダウンロード]</v>
      </c>
    </row>
    <row r="6081" ht="15.75" customHeight="1">
      <c r="A6081" s="1">
        <v>6883.0</v>
      </c>
      <c r="B6081" s="1" t="s">
        <v>15</v>
      </c>
      <c r="C6081" s="1" t="s">
        <v>5009</v>
      </c>
      <c r="D6081" s="1" t="str">
        <f>IFERROR(__xludf.DUMMYFUNCTION("CONCATENATE(GOOGLETRANSLATE(C6081, ""en"", ""zh-cn""))"),"索尼游戏机数字代码 - 新电子产品颜色: 金色")</f>
        <v>索尼游戏机数字代码 - 新电子产品颜色: 金色</v>
      </c>
      <c r="E6081" s="1" t="str">
        <f>IFERROR(__xludf.DUMMYFUNCTION("CONCATENATE(GOOGLETRANSLATE(C6081, ""en"", ""ko""))"),"Playstation용 Sony 디지털 코드 - New Electronics | 색깔: 금")</f>
        <v>Playstation용 Sony 디지털 코드 - New Electronics | 색깔: 금</v>
      </c>
      <c r="F6081" s="1" t="str">
        <f>IFERROR(__xludf.DUMMYFUNCTION("CONCATENATE(GOOGLETRANSLATE(C6081, ""en"", ""ja""))"),"PlayStation 用の Sony デジタル コード - 新しいエレクトロニクス |色: ゴールド")</f>
        <v>PlayStation 用の Sony デジタル コード - 新しいエレクトロニクス |色: ゴールド</v>
      </c>
    </row>
    <row r="6082" ht="15.75" customHeight="1">
      <c r="A6082" s="1">
        <v>6894.0</v>
      </c>
      <c r="B6082" s="1" t="s">
        <v>15</v>
      </c>
      <c r="C6082" s="1" t="s">
        <v>5010</v>
      </c>
      <c r="D6082" s="1" t="str">
        <f>IFERROR(__xludf.DUMMYFUNCTION("CONCATENATE(GOOGLETRANSLATE(C6082, ""en"", ""zh-cn""))"),"500 美元 Apple 礼品卡（电子邮件发送）")</f>
        <v>500 美元 Apple 礼品卡（电子邮件发送）</v>
      </c>
      <c r="E6082" s="1" t="str">
        <f>IFERROR(__xludf.DUMMYFUNCTION("CONCATENATE(GOOGLETRANSLATE(C6082, ""en"", ""ko""))"),"$500 Apple 기프트 카드(이메일 배송)")</f>
        <v>$500 Apple 기프트 카드(이메일 배송)</v>
      </c>
      <c r="F6082" s="1" t="str">
        <f>IFERROR(__xludf.DUMMYFUNCTION("CONCATENATE(GOOGLETRANSLATE(C6082, ""en"", ""ja""))"),"$500 Apple ギフト カード (電子メール配信)")</f>
        <v>$500 Apple ギフト カード (電子メール配信)</v>
      </c>
    </row>
    <row r="6083" ht="15.75" customHeight="1">
      <c r="A6083" s="1">
        <v>6896.0</v>
      </c>
      <c r="B6083" s="1" t="s">
        <v>15</v>
      </c>
      <c r="C6083" s="1" t="s">
        <v>5011</v>
      </c>
      <c r="D6083" s="1" t="str">
        <f>IFERROR(__xludf.DUMMYFUNCTION("CONCATENATE(GOOGLETRANSLATE(C6083, ""en"", ""zh-cn""))"),"Apple 礼品卡 - App Store、iTunes、iPhone、iPad、AirPods、MacBook、配件等 (eGift)")</f>
        <v>Apple 礼品卡 - App Store、iTunes、iPhone、iPad、AirPods、MacBook、配件等 (eGift)</v>
      </c>
      <c r="E6083" s="1" t="str">
        <f>IFERROR(__xludf.DUMMYFUNCTION("CONCATENATE(GOOGLETRANSLATE(C6083, ""en"", ""ko""))"),"Apple 기프트 카드 - App Store, iTunes, iPhone, iPad, AirPods, MacBook, 액세서리 등(eGift)")</f>
        <v>Apple 기프트 카드 - App Store, iTunes, iPhone, iPad, AirPods, MacBook, 액세서리 등(eGift)</v>
      </c>
      <c r="F6083" s="1" t="str">
        <f>IFERROR(__xludf.DUMMYFUNCTION("CONCATENATE(GOOGLETRANSLATE(C6083, ""en"", ""ja""))"),"Apple ギフトカード - App Store、iTunes、iPhone、iPad、AirPods、MacBook、アクセサリなど (eギフト)")</f>
        <v>Apple ギフトカード - App Store、iTunes、iPhone、iPad、AirPods、MacBook、アクセサリなど (eギフト)</v>
      </c>
    </row>
    <row r="6084" ht="15.75" customHeight="1">
      <c r="A6084" s="1">
        <v>6899.0</v>
      </c>
      <c r="B6084" s="1" t="s">
        <v>15</v>
      </c>
      <c r="C6084" s="1" t="s">
        <v>5012</v>
      </c>
      <c r="D6084" s="1" t="str">
        <f>IFERROR(__xludf.DUMMYFUNCTION("CONCATENATE(GOOGLETRANSLATE(C6084, ""en"", ""zh-cn""))"),"200 美元 Apple 礼品卡 - 价格从 15 美元到 200 美元不等")</f>
        <v>200 美元 Apple 礼品卡 - 价格从 15 美元到 200 美元不等</v>
      </c>
      <c r="E6084" s="1" t="str">
        <f>IFERROR(__xludf.DUMMYFUNCTION("CONCATENATE(GOOGLETRANSLATE(C6084, ""en"", ""ko""))"),"$200 Apple 기프트 카드 - $15부터 $200까지 이용 가능")</f>
        <v>$200 Apple 기프트 카드 - $15부터 $200까지 이용 가능</v>
      </c>
      <c r="F6084" s="1" t="str">
        <f>IFERROR(__xludf.DUMMYFUNCTION("CONCATENATE(GOOGLETRANSLATE(C6084, ""en"", ""ja""))"),"$200 Apple Gift Card - $15 から $200 までご利用いただけます")</f>
        <v>$200 Apple Gift Card - $15 から $200 までご利用いただけます</v>
      </c>
    </row>
    <row r="6085" ht="15.75" customHeight="1">
      <c r="A6085" s="1">
        <v>6914.0</v>
      </c>
      <c r="B6085" s="1" t="s">
        <v>15</v>
      </c>
      <c r="C6085" s="1" t="s">
        <v>5013</v>
      </c>
      <c r="D6085" s="1" t="str">
        <f>IFERROR(__xludf.DUMMYFUNCTION("CONCATENATE(GOOGLETRANSLATE(C6085, ""en"", ""zh-cn""))"),"Apple 礼品卡 - 10 美元 - 美国")</f>
        <v>Apple 礼品卡 - 10 美元 - 美国</v>
      </c>
      <c r="E6085" s="1" t="str">
        <f>IFERROR(__xludf.DUMMYFUNCTION("CONCATENATE(GOOGLETRANSLATE(C6085, ""en"", ""ko""))"),"Apple 기프트 카드 - 10 USD - 미국")</f>
        <v>Apple 기프트 카드 - 10 USD - 미국</v>
      </c>
      <c r="F6085" s="1" t="str">
        <f>IFERROR(__xludf.DUMMYFUNCTION("CONCATENATE(GOOGLETRANSLATE(C6085, ""en"", ""ja""))"),"Apple ギフト カード - 10 米ドル - 米国")</f>
        <v>Apple ギフト カード - 10 米ドル - 米国</v>
      </c>
    </row>
    <row r="6086" ht="15.75" customHeight="1">
      <c r="A6086" s="1">
        <v>6935.0</v>
      </c>
      <c r="B6086" s="1" t="s">
        <v>15</v>
      </c>
      <c r="C6086" s="1" t="s">
        <v>5014</v>
      </c>
      <c r="D6086" s="1" t="str">
        <f>IFERROR(__xludf.DUMMYFUNCTION("CONCATENATE(GOOGLETRANSLATE(C6086, ""en"", ""zh-cn""))"),"我爱她[电子书]")</f>
        <v>我爱她[电子书]</v>
      </c>
      <c r="E6086" s="1" t="str">
        <f>IFERROR(__xludf.DUMMYFUNCTION("CONCATENATE(GOOGLETRANSLATE(C6086, ""en"", ""ko""))"),"그리고 나는 그녀를 사랑합니다 [eBook]")</f>
        <v>그리고 나는 그녀를 사랑합니다 [eBook]</v>
      </c>
      <c r="F6086" s="1" t="str">
        <f>IFERROR(__xludf.DUMMYFUNCTION("CONCATENATE(GOOGLETRANSLATE(C6086, ""en"", ""ja""))"),"そして私は彼女を愛しています [電子書籍]")</f>
        <v>そして私は彼女を愛しています [電子書籍]</v>
      </c>
    </row>
    <row r="6087" ht="15.75" customHeight="1">
      <c r="A6087" s="1">
        <v>6942.0</v>
      </c>
      <c r="B6087" s="1" t="s">
        <v>15</v>
      </c>
      <c r="C6087" s="1" t="s">
        <v>5015</v>
      </c>
      <c r="D6087" s="1" t="str">
        <f>IFERROR(__xludf.DUMMYFUNCTION("CONCATENATE(GOOGLETRANSLATE(C6087, ""en"", ""zh-cn""))"),"刚果：一个民族的史诗历史")</f>
        <v>刚果：一个民族的史诗历史</v>
      </c>
      <c r="E6087" s="1" t="str">
        <f>IFERROR(__xludf.DUMMYFUNCTION("CONCATENATE(GOOGLETRANSLATE(C6087, ""en"", ""ko""))"),"콩고: 한 민족의 장대한 역사")</f>
        <v>콩고: 한 민족의 장대한 역사</v>
      </c>
      <c r="F6087" s="1" t="str">
        <f>IFERROR(__xludf.DUMMYFUNCTION("CONCATENATE(GOOGLETRANSLATE(C6087, ""en"", ""ja""))"),"コンゴ：民族の壮大な歴史")</f>
        <v>コンゴ：民族の壮大な歴史</v>
      </c>
    </row>
    <row r="6088" ht="15.75" customHeight="1">
      <c r="A6088" s="1">
        <v>6949.0</v>
      </c>
      <c r="B6088" s="1" t="s">
        <v>15</v>
      </c>
      <c r="C6088" s="1" t="s">
        <v>5016</v>
      </c>
      <c r="D6088" s="1" t="str">
        <f>IFERROR(__xludf.DUMMYFUNCTION("CONCATENATE(GOOGLETRANSLATE(C6088, ""en"", ""zh-cn""))"),"三思而后行：社交媒体对大脑的影响以及浏览新闻源所需的工具")</f>
        <v>三思而后行：社交媒体对大脑的影响以及浏览新闻源所需的工具</v>
      </c>
      <c r="E6088" s="1" t="str">
        <f>IFERROR(__xludf.DUMMYFUNCTION("CONCATENATE(GOOGLETRANSLATE(C6088, ""en"", ""ko""))"),"좋아하기 전에 생각하세요: 소셜 미디어가 뇌에 미치는 영향과 뉴스피드를 탐색하는 데 필요한 도구")</f>
        <v>좋아하기 전에 생각하세요: 소셜 미디어가 뇌에 미치는 영향과 뉴스피드를 탐색하는 데 필요한 도구</v>
      </c>
      <c r="F6088" s="1" t="str">
        <f>IFERROR(__xludf.DUMMYFUNCTION("CONCATENATE(GOOGLETRANSLATE(C6088, ""en"", ""ja""))"),"好きになる前に考えてみましょう: ソーシャルメディアが脳に与える影響とニュースフィードをナビゲートするために必要なツール")</f>
        <v>好きになる前に考えてみましょう: ソーシャルメディアが脳に与える影響とニュースフィードをナビゲートするために必要なツール</v>
      </c>
    </row>
    <row r="6089" ht="15.75" customHeight="1">
      <c r="A6089" s="1">
        <v>6983.0</v>
      </c>
      <c r="B6089" s="1" t="s">
        <v>15</v>
      </c>
      <c r="C6089" s="1" t="s">
        <v>5017</v>
      </c>
      <c r="D6089" s="1" t="str">
        <f>IFERROR(__xludf.DUMMYFUNCTION("CONCATENATE(GOOGLETRANSLATE(C6089, ""en"", ""zh-cn""))"),"任天堂小猫大城市")</f>
        <v>任天堂小猫大城市</v>
      </c>
      <c r="E6089" s="1" t="str">
        <f>IFERROR(__xludf.DUMMYFUNCTION("CONCATENATE(GOOGLETRANSLATE(C6089, ""en"", ""ko""))"),"닌텐도 리틀 키티 빅 시티")</f>
        <v>닌텐도 리틀 키티 빅 시티</v>
      </c>
      <c r="F6089" s="1" t="str">
        <f>IFERROR(__xludf.DUMMYFUNCTION("CONCATENATE(GOOGLETRANSLATE(C6089, ""en"", ""ja""))"),"任天堂 リトルキティ ビッグシティ")</f>
        <v>任天堂 リトルキティ ビッグシティ</v>
      </c>
    </row>
    <row r="6090" ht="15.75" customHeight="1">
      <c r="A6090" s="1">
        <v>6991.0</v>
      </c>
      <c r="B6090" s="1" t="s">
        <v>15</v>
      </c>
      <c r="C6090" s="1" t="s">
        <v>5018</v>
      </c>
      <c r="D6090" s="1" t="str">
        <f>IFERROR(__xludf.DUMMYFUNCTION("CONCATENATE(GOOGLETRANSLATE(C6090, ""en"", ""zh-cn""))"),"迪士尼幻觉岛")</f>
        <v>迪士尼幻觉岛</v>
      </c>
      <c r="E6090" s="1" t="str">
        <f>IFERROR(__xludf.DUMMYFUNCTION("CONCATENATE(GOOGLETRANSLATE(C6090, ""en"", ""ko""))"),"디즈니 일루젼 아일랜드")</f>
        <v>디즈니 일루젼 아일랜드</v>
      </c>
      <c r="F6090" s="1" t="str">
        <f>IFERROR(__xludf.DUMMYFUNCTION("CONCATENATE(GOOGLETRANSLATE(C6090, ""en"", ""ja""))"),"ディズニーイリュージョンアイランド")</f>
        <v>ディズニーイリュージョンアイランド</v>
      </c>
    </row>
    <row r="6091" ht="15.75" customHeight="1">
      <c r="A6091" s="1">
        <v>7005.0</v>
      </c>
      <c r="B6091" s="1" t="s">
        <v>15</v>
      </c>
      <c r="C6091" s="1" t="s">
        <v>5019</v>
      </c>
      <c r="D6091" s="1" t="str">
        <f>IFERROR(__xludf.DUMMYFUNCTION("CONCATENATE(GOOGLETRANSLATE(C6091, ""en"", ""zh-cn""))"),"超级马里奥 3D 世界 + 库巴之怒")</f>
        <v>超级马里奥 3D 世界 + 库巴之怒</v>
      </c>
      <c r="E6091" s="1" t="str">
        <f>IFERROR(__xludf.DUMMYFUNCTION("CONCATENATE(GOOGLETRANSLATE(C6091, ""en"", ""ko""))"),"슈퍼 마리오 3D 월드 + 바우저의 분노")</f>
        <v>슈퍼 마리오 3D 월드 + 바우저의 분노</v>
      </c>
      <c r="F6091" s="1" t="str">
        <f>IFERROR(__xludf.DUMMYFUNCTION("CONCATENATE(GOOGLETRANSLATE(C6091, ""en"", ""ja""))"),"スーパーマリオ 3D ワールド + クッパの怒り")</f>
        <v>スーパーマリオ 3D ワールド + クッパの怒り</v>
      </c>
    </row>
    <row r="6092" ht="15.75" customHeight="1">
      <c r="A6092" s="1">
        <v>7010.0</v>
      </c>
      <c r="B6092" s="1" t="s">
        <v>15</v>
      </c>
      <c r="C6092" s="1" t="s">
        <v>5020</v>
      </c>
      <c r="D6092" s="1" t="str">
        <f>IFERROR(__xludf.DUMMYFUNCTION("CONCATENATE(GOOGLETRANSLATE(C6092, ""en"", ""zh-cn""))"),"恶魔城主宰合集")</f>
        <v>恶魔城主宰合集</v>
      </c>
      <c r="E6092" s="1" t="str">
        <f>IFERROR(__xludf.DUMMYFUNCTION("CONCATENATE(GOOGLETRANSLATE(C6092, ""en"", ""ko""))"),"캐슬바니아 도미누스 컬렉션")</f>
        <v>캐슬바니아 도미누스 컬렉션</v>
      </c>
      <c r="F6092" s="1" t="str">
        <f>IFERROR(__xludf.DUMMYFUNCTION("CONCATENATE(GOOGLETRANSLATE(C6092, ""en"", ""ja""))"),"悪魔城ドラキュラ ドミナス コレクション")</f>
        <v>悪魔城ドラキュラ ドミナス コレクション</v>
      </c>
    </row>
    <row r="6093" ht="15.75" customHeight="1">
      <c r="A6093" s="1">
        <v>7014.0</v>
      </c>
      <c r="B6093" s="1" t="s">
        <v>15</v>
      </c>
      <c r="C6093" s="1" t="s">
        <v>5021</v>
      </c>
      <c r="D6093" s="1" t="str">
        <f>IFERROR(__xludf.DUMMYFUNCTION("CONCATENATE(GOOGLETRANSLATE(C6093, ""en"", ""zh-cn""))"),"阿迪达斯女式经编三条纹运动裤")</f>
        <v>阿迪达斯女式经编三条纹运动裤</v>
      </c>
      <c r="E6093" s="1" t="str">
        <f>IFERROR(__xludf.DUMMYFUNCTION("CONCATENATE(GOOGLETRANSLATE(C6093, ""en"", ""ko""))"),"adidas 여성용 트리코 3-스트라이프 트랙 팬츠")</f>
        <v>adidas 여성용 트리코 3-스트라이프 트랙 팬츠</v>
      </c>
      <c r="F6093" s="1" t="str">
        <f>IFERROR(__xludf.DUMMYFUNCTION("CONCATENATE(GOOGLETRANSLATE(C6093, ""en"", ""ja""))"),"adidas レディース トリコット 3 ストライプ トラック パンツ")</f>
        <v>adidas レディース トリコット 3 ストライプ トラック パンツ</v>
      </c>
    </row>
    <row r="6094" ht="15.75" customHeight="1">
      <c r="A6094" s="1">
        <v>7018.0</v>
      </c>
      <c r="B6094" s="1" t="s">
        <v>15</v>
      </c>
      <c r="C6094" s="1" t="s">
        <v>5022</v>
      </c>
      <c r="D6094" s="1" t="str">
        <f>IFERROR(__xludf.DUMMYFUNCTION("CONCATENATE(GOOGLETRANSLATE(C6094, ""en"", ""zh-cn""))"),"阿迪达斯男士降落伞裤")</f>
        <v>阿迪达斯男士降落伞裤</v>
      </c>
      <c r="E6094" s="1" t="str">
        <f>IFERROR(__xludf.DUMMYFUNCTION("CONCATENATE(GOOGLETRANSLATE(C6094, ""en"", ""ko""))"),"아디다스 남성용 낙하산 바지")</f>
        <v>아디다스 남성용 낙하산 바지</v>
      </c>
      <c r="F6094" s="1" t="str">
        <f>IFERROR(__xludf.DUMMYFUNCTION("CONCATENATE(GOOGLETRANSLATE(C6094, ""en"", ""ja""))"),"アディダス メンズ パラシュート パンツ")</f>
        <v>アディダス メンズ パラシュート パンツ</v>
      </c>
    </row>
    <row r="6095" ht="15.75" customHeight="1">
      <c r="A6095" s="1">
        <v>7031.0</v>
      </c>
      <c r="B6095" s="1" t="s">
        <v>15</v>
      </c>
      <c r="C6095" s="1" t="s">
        <v>5023</v>
      </c>
      <c r="D6095" s="1" t="str">
        <f>IFERROR(__xludf.DUMMYFUNCTION("CONCATENATE(GOOGLETRANSLATE(C6095, ""en"", ""zh-cn""))"),"阿迪达斯女式热身经编修身三条纹运动夹克")</f>
        <v>阿迪达斯女式热身经编修身三条纹运动夹克</v>
      </c>
      <c r="E6095" s="1" t="str">
        <f>IFERROR(__xludf.DUMMYFUNCTION("CONCATENATE(GOOGLETRANSLATE(C6095, ""en"", ""ko""))"),"adidas 여성용 워밍업 트리코 슬림 3-스트라이프 트랙 재킷")</f>
        <v>adidas 여성용 워밍업 트리코 슬림 3-스트라이프 트랙 재킷</v>
      </c>
      <c r="F6095" s="1" t="str">
        <f>IFERROR(__xludf.DUMMYFUNCTION("CONCATENATE(GOOGLETRANSLATE(C6095, ""en"", ""ja""))"),"アディダス レディース ウォームアップ トリコット スリム 3 ストライプ トラック ジャケット")</f>
        <v>アディダス レディース ウォームアップ トリコット スリム 3 ストライプ トラック ジャケット</v>
      </c>
    </row>
    <row r="6096" ht="15.75" customHeight="1">
      <c r="A6096" s="1">
        <v>7034.0</v>
      </c>
      <c r="B6096" s="1" t="s">
        <v>15</v>
      </c>
      <c r="C6096" s="1" t="s">
        <v>5024</v>
      </c>
      <c r="D6096" s="1" t="str">
        <f>IFERROR(__xludf.DUMMYFUNCTION("CONCATENATE(GOOGLETRANSLATE(C6096, ""en"", ""zh-cn""))"),"阿迪达斯 Originals Adibreak 女式长裤")</f>
        <v>阿迪达斯 Originals Adibreak 女式长裤</v>
      </c>
      <c r="E6096" s="1" t="str">
        <f>IFERROR(__xludf.DUMMYFUNCTION("CONCATENATE(GOOGLETRANSLATE(C6096, ""en"", ""ko""))"),"아디다스 여성 오리지널 Adibreak 팬츠")</f>
        <v>아디다스 여성 오리지널 Adibreak 팬츠</v>
      </c>
      <c r="F6096" s="1" t="str">
        <f>IFERROR(__xludf.DUMMYFUNCTION("CONCATENATE(GOOGLETRANSLATE(C6096, ""en"", ""ja""))"),"アディダス レディース オリジナル アディブレイク パンツ")</f>
        <v>アディダス レディース オリジナル アディブレイク パンツ</v>
      </c>
    </row>
    <row r="6097" ht="15.75" customHeight="1">
      <c r="A6097" s="1">
        <v>7043.0</v>
      </c>
      <c r="B6097" s="1" t="s">
        <v>15</v>
      </c>
      <c r="C6097" s="1" t="s">
        <v>5025</v>
      </c>
      <c r="D6097" s="1" t="str">
        <f>IFERROR(__xludf.DUMMYFUNCTION("CONCATENATE(GOOGLETRANSLATE(C6097, ""en"", ""zh-cn""))"),"阿迪达斯 (adidas) 男式 Adicolor Classics Firebird 运动裤")</f>
        <v>阿迪达斯 (adidas) 男式 Adicolor Classics Firebird 运动裤</v>
      </c>
      <c r="E6097" s="1" t="str">
        <f>IFERROR(__xludf.DUMMYFUNCTION("CONCATENATE(GOOGLETRANSLATE(C6097, ""en"", ""ko""))"),"아디다스 남성 Adicolor 클래식 파이어버드 트랙 ​​팬츠")</f>
        <v>아디다스 남성 Adicolor 클래식 파이어버드 트랙 ​​팬츠</v>
      </c>
      <c r="F6097" s="1" t="str">
        <f>IFERROR(__xludf.DUMMYFUNCTION("CONCATENATE(GOOGLETRANSLATE(C6097, ""en"", ""ja""))"),"アディダス メンズ アディカラー クラシック ファイアバード トラック パンツ")</f>
        <v>アディダス メンズ アディカラー クラシック ファイアバード トラック パンツ</v>
      </c>
    </row>
    <row r="6098" ht="15.75" customHeight="1">
      <c r="A6098" s="1">
        <v>7047.0</v>
      </c>
      <c r="B6098" s="1" t="s">
        <v>15</v>
      </c>
      <c r="C6098" s="1" t="s">
        <v>5026</v>
      </c>
      <c r="D6098" s="1" t="str">
        <f>IFERROR(__xludf.DUMMYFUNCTION("CONCATENATE(GOOGLETRANSLATE(C6098, ""en"", ""zh-cn""))"),"阿迪达斯女式 VL Court 3.0")</f>
        <v>阿迪达斯女式 VL Court 3.0</v>
      </c>
      <c r="E6098" s="1" t="str">
        <f>IFERROR(__xludf.DUMMYFUNCTION("CONCATENATE(GOOGLETRANSLATE(C6098, ""en"", ""ko""))"),"아디다스 여성용 VL 코트 3.0")</f>
        <v>아디다스 여성용 VL 코트 3.0</v>
      </c>
      <c r="F6098" s="1" t="str">
        <f>IFERROR(__xludf.DUMMYFUNCTION("CONCATENATE(GOOGLETRANSLATE(C6098, ""en"", ""ja""))"),"アディダス ウィメンズ VL コート 3.0")</f>
        <v>アディダス ウィメンズ VL コート 3.0</v>
      </c>
    </row>
    <row r="6099" ht="15.75" customHeight="1">
      <c r="A6099" s="1">
        <v>7050.0</v>
      </c>
      <c r="B6099" s="1" t="s">
        <v>15</v>
      </c>
      <c r="C6099" s="1" t="s">
        <v>5027</v>
      </c>
      <c r="D6099" s="1" t="str">
        <f>IFERROR(__xludf.DUMMYFUNCTION("CONCATENATE(GOOGLETRANSLATE(C6099, ""en"", ""zh-cn""))"),"阿迪达斯 (adidas) 男士 Tiro 24 训练夹克")</f>
        <v>阿迪达斯 (adidas) 男士 Tiro 24 训练夹克</v>
      </c>
      <c r="E6099" s="1" t="str">
        <f>IFERROR(__xludf.DUMMYFUNCTION("CONCATENATE(GOOGLETRANSLATE(C6099, ""en"", ""ko""))"),"아디다스 남성 Tiro 24 트레이닝 재킷")</f>
        <v>아디다스 남성 Tiro 24 트레이닝 재킷</v>
      </c>
      <c r="F6099" s="1" t="str">
        <f>IFERROR(__xludf.DUMMYFUNCTION("CONCATENATE(GOOGLETRANSLATE(C6099, ""en"", ""ja""))"),"アディダス メンズ ティロ 24 トレーニング ジャケット")</f>
        <v>アディダス メンズ ティロ 24 トレーニング ジャケット</v>
      </c>
    </row>
    <row r="6100" ht="15.75" customHeight="1">
      <c r="A6100" s="1">
        <v>7055.0</v>
      </c>
      <c r="B6100" s="1" t="s">
        <v>15</v>
      </c>
      <c r="C6100" s="1" t="s">
        <v>5028</v>
      </c>
      <c r="D6100" s="1" t="str">
        <f>IFERROR(__xludf.DUMMYFUNCTION("CONCATENATE(GOOGLETRANSLATE(C6100, ""en"", ""zh-cn""))"),"ASICS 男士双层编织长裤")</f>
        <v>ASICS 男士双层编织长裤</v>
      </c>
      <c r="E6100" s="1" t="str">
        <f>IFERROR(__xludf.DUMMYFUNCTION("CONCATENATE(GOOGLETRANSLATE(C6100, ""en"", ""ko""))"),"아식스 남성 더블 위브 팬츠")</f>
        <v>아식스 남성 더블 위브 팬츠</v>
      </c>
      <c r="F6100" s="1" t="str">
        <f>IFERROR(__xludf.DUMMYFUNCTION("CONCATENATE(GOOGLETRANSLATE(C6100, ""en"", ""ja""))"),"アシックス ダブルウィーブ パンツ メンズ")</f>
        <v>アシックス ダブルウィーブ パンツ メンズ</v>
      </c>
    </row>
    <row r="6101" ht="15.75" customHeight="1">
      <c r="A6101" s="1">
        <v>7075.0</v>
      </c>
      <c r="B6101" s="1" t="s">
        <v>15</v>
      </c>
      <c r="C6101" s="1" t="s">
        <v>5029</v>
      </c>
      <c r="D6101" s="1" t="str">
        <f>IFERROR(__xludf.DUMMYFUNCTION("CONCATENATE(GOOGLETRANSLATE(C6101, ""en"", ""zh-cn""))"),"ASICS 女式活动针织圆领上衣")</f>
        <v>ASICS 女式活动针织圆领上衣</v>
      </c>
      <c r="E6101" s="1" t="str">
        <f>IFERROR(__xludf.DUMMYFUNCTION("CONCATENATE(GOOGLETRANSLATE(C6101, ""en"", ""ko""))"),"ASICS 여성용 모빌리티 니트 크루넥 탑")</f>
        <v>ASICS 여성용 모빌리티 니트 크루넥 탑</v>
      </c>
      <c r="F6101" s="1" t="str">
        <f>IFERROR(__xludf.DUMMYFUNCTION("CONCATENATE(GOOGLETRANSLATE(C6101, ""en"", ""ja""))"),"アシックス レディース モビリティ ニット クルーネック トップ")</f>
        <v>アシックス レディース モビリティ ニット クルーネック トップ</v>
      </c>
    </row>
    <row r="6102" ht="15.75" customHeight="1">
      <c r="A6102" s="1">
        <v>7076.0</v>
      </c>
      <c r="B6102" s="1" t="s">
        <v>15</v>
      </c>
      <c r="C6102" s="1" t="s">
        <v>5030</v>
      </c>
      <c r="D6102" s="1" t="str">
        <f>IFERROR(__xludf.DUMMYFUNCTION("CONCATENATE(GOOGLETRANSLATE(C6102, ""en"", ""zh-cn""))"),"ASICS 女式 Gel-Excite 10 跑步鞋")</f>
        <v>ASICS 女式 Gel-Excite 10 跑步鞋</v>
      </c>
      <c r="E6102" s="1" t="str">
        <f>IFERROR(__xludf.DUMMYFUNCTION("CONCATENATE(GOOGLETRANSLATE(C6102, ""en"", ""ko""))"),"아식스 여성용 젤 익사이트 10 런닝")</f>
        <v>아식스 여성용 젤 익사이트 10 런닝</v>
      </c>
      <c r="F6102" s="1" t="str">
        <f>IFERROR(__xludf.DUMMYFUNCTION("CONCATENATE(GOOGLETRANSLATE(C6102, ""en"", ""ja""))"),"アシックス ウィメンズ Gel-Excite 10 ランニング")</f>
        <v>アシックス ウィメンズ Gel-Excite 10 ランニング</v>
      </c>
    </row>
    <row r="6103" ht="15.75" customHeight="1">
      <c r="A6103" s="1">
        <v>7099.0</v>
      </c>
      <c r="B6103" s="1" t="s">
        <v>15</v>
      </c>
      <c r="C6103" s="1" t="s">
        <v>5031</v>
      </c>
      <c r="D6103" s="1" t="str">
        <f>IFERROR(__xludf.DUMMYFUNCTION("CONCATENATE(GOOGLETRANSLATE(C6103, ""en"", ""zh-cn""))"),"Gymshark 速度护腿")</f>
        <v>Gymshark 速度护腿</v>
      </c>
      <c r="E6103" s="1" t="str">
        <f>IFERROR(__xludf.DUMMYFUNCTION("CONCATENATE(GOOGLETRANSLATE(C6103, ""en"", ""ko""))"),"Gymshark 스피드 레깅스")</f>
        <v>Gymshark 스피드 레깅스</v>
      </c>
      <c r="F6103" s="1" t="str">
        <f>IFERROR(__xludf.DUMMYFUNCTION("CONCATENATE(GOOGLETRANSLATE(C6103, ""en"", ""ja""))"),"ジムシャーク スピード レギンス")</f>
        <v>ジムシャーク スピード レギンス</v>
      </c>
    </row>
    <row r="6104" ht="15.75" customHeight="1">
      <c r="A6104" s="1">
        <v>7105.0</v>
      </c>
      <c r="B6104" s="1" t="s">
        <v>15</v>
      </c>
      <c r="C6104" s="1" t="s">
        <v>5032</v>
      </c>
      <c r="D6104" s="1" t="str">
        <f>IFERROR(__xludf.DUMMYFUNCTION("CONCATENATE(GOOGLETRANSLATE(C6104, ""en"", ""zh-cn""))"),"Gymshark 运动无缝打底裤")</f>
        <v>Gymshark 运动无缝打底裤</v>
      </c>
      <c r="E6104" s="1" t="str">
        <f>IFERROR(__xludf.DUMMYFUNCTION("CONCATENATE(GOOGLETRANSLATE(C6104, ""en"", ""ko""))"),"Gymshark 스포츠 심리스 레깅스")</f>
        <v>Gymshark 스포츠 심리스 레깅스</v>
      </c>
      <c r="F6104" s="1" t="str">
        <f>IFERROR(__xludf.DUMMYFUNCTION("CONCATENATE(GOOGLETRANSLATE(C6104, ""en"", ""ja""))"),"Gymshark スポーツ シームレス レギンス")</f>
        <v>Gymshark スポーツ シームレス レギンス</v>
      </c>
    </row>
    <row r="6105" ht="15.75" customHeight="1">
      <c r="A6105" s="1">
        <v>7106.0</v>
      </c>
      <c r="B6105" s="1" t="s">
        <v>15</v>
      </c>
      <c r="C6105" s="1" t="s">
        <v>5033</v>
      </c>
      <c r="D6105" s="1" t="str">
        <f>IFERROR(__xludf.DUMMYFUNCTION("CONCATENATE(GOOGLETRANSLATE(C6105, ""en"", ""zh-cn""))"),"Gymshark 举重口袋紧身裤")</f>
        <v>Gymshark 举重口袋紧身裤</v>
      </c>
      <c r="E6105" s="1" t="str">
        <f>IFERROR(__xludf.DUMMYFUNCTION("CONCATENATE(GOOGLETRANSLATE(C6105, ""en"", ""ko""))"),"Gymshark 리프팅 포켓 레깅스")</f>
        <v>Gymshark 리프팅 포켓 레깅스</v>
      </c>
      <c r="F6105" s="1" t="str">
        <f>IFERROR(__xludf.DUMMYFUNCTION("CONCATENATE(GOOGLETRANSLATE(C6105, ""en"", ""ja""))"),"Gymshark リフティング ポケット レギンス")</f>
        <v>Gymshark リフティング ポケット レギンス</v>
      </c>
    </row>
    <row r="6106" ht="15.75" customHeight="1">
      <c r="A6106" s="1">
        <v>7115.0</v>
      </c>
      <c r="B6106" s="1" t="s">
        <v>15</v>
      </c>
      <c r="C6106" s="1" t="s">
        <v>5034</v>
      </c>
      <c r="D6106" s="1" t="str">
        <f>IFERROR(__xludf.DUMMYFUNCTION("CONCATENATE(GOOGLETRANSLATE(C6106, ""en"", ""zh-cn""))"),"Gymshark 力量 T 恤")</f>
        <v>Gymshark 力量 T 恤</v>
      </c>
      <c r="E6106" s="1" t="str">
        <f>IFERROR(__xludf.DUMMYFUNCTION("CONCATENATE(GOOGLETRANSLATE(C6106, ""en"", ""ko""))"),"Gymshark 파워 티셔츠")</f>
        <v>Gymshark 파워 티셔츠</v>
      </c>
      <c r="F6106" s="1" t="str">
        <f>IFERROR(__xludf.DUMMYFUNCTION("CONCATENATE(GOOGLETRANSLATE(C6106, ""en"", ""ja""))"),"ジムシャーク パワー T シャツ")</f>
        <v>ジムシャーク パワー T シャツ</v>
      </c>
    </row>
    <row r="6107" ht="15.75" customHeight="1">
      <c r="A6107" s="1">
        <v>7124.0</v>
      </c>
      <c r="B6107" s="1" t="s">
        <v>15</v>
      </c>
      <c r="C6107" s="1" t="s">
        <v>5035</v>
      </c>
      <c r="D6107" s="1" t="str">
        <f>IFERROR(__xludf.DUMMYFUNCTION("CONCATENATE(GOOGLETRANSLATE(C6107, ""en"", ""zh-cn""))"),"Gymshark Vital 无缝长袖镂空上衣")</f>
        <v>Gymshark Vital 无缝长袖镂空上衣</v>
      </c>
      <c r="E6107" s="1" t="str">
        <f>IFERROR(__xludf.DUMMYFUNCTION("CONCATENATE(GOOGLETRANSLATE(C6107, ""en"", ""ko""))"),"Gymshark Vital 심리스 긴소매 컷아웃 탑")</f>
        <v>Gymshark Vital 심리스 긴소매 컷아웃 탑</v>
      </c>
      <c r="F6107" s="1" t="str">
        <f>IFERROR(__xludf.DUMMYFUNCTION("CONCATENATE(GOOGLETRANSLATE(C6107, ""en"", ""ja""))"),"Gymshark Vital シームレス長袖カットアウト トップ")</f>
        <v>Gymshark Vital シームレス長袖カットアウト トップ</v>
      </c>
    </row>
    <row r="6108" ht="15.75" customHeight="1">
      <c r="A6108" s="1">
        <v>7135.0</v>
      </c>
      <c r="B6108" s="1" t="s">
        <v>15</v>
      </c>
      <c r="C6108" s="1" t="s">
        <v>5036</v>
      </c>
      <c r="D6108" s="1" t="str">
        <f>IFERROR(__xludf.DUMMYFUNCTION("CONCATENATE(GOOGLETRANSLATE(C6108, ""en"", ""zh-cn""))"),"耐克男士运动服俱乐部抓绒夹克")</f>
        <v>耐克男士运动服俱乐部抓绒夹克</v>
      </c>
      <c r="E6108" s="1" t="str">
        <f>IFERROR(__xludf.DUMMYFUNCTION("CONCATENATE(GOOGLETRANSLATE(C6108, ""en"", ""ko""))"),"나이키 남성 스포츠웨어 클럽 플리스 재킷")</f>
        <v>나이키 남성 스포츠웨어 클럽 플리스 재킷</v>
      </c>
      <c r="F6108" s="1" t="str">
        <f>IFERROR(__xludf.DUMMYFUNCTION("CONCATENATE(GOOGLETRANSLATE(C6108, ""en"", ""ja""))"),"ナイキ メンズ スポーツウェア クラブ フリース ジャケット")</f>
        <v>ナイキ メンズ スポーツウェア クラブ フリース ジャケット</v>
      </c>
    </row>
    <row r="6109" ht="15.75" customHeight="1">
      <c r="A6109" s="1">
        <v>7139.0</v>
      </c>
      <c r="B6109" s="1" t="s">
        <v>15</v>
      </c>
      <c r="C6109" s="1" t="s">
        <v>5037</v>
      </c>
      <c r="D6109" s="1" t="str">
        <f>IFERROR(__xludf.DUMMYFUNCTION("CONCATENATE(GOOGLETRANSLATE(C6109, ""en"", ""zh-cn""))"),"耐克男士运动服俱乐部抓绒全拉链连帽衫")</f>
        <v>耐克男士运动服俱乐部抓绒全拉链连帽衫</v>
      </c>
      <c r="E6109" s="1" t="str">
        <f>IFERROR(__xludf.DUMMYFUNCTION("CONCATENATE(GOOGLETRANSLATE(C6109, ""en"", ""ko""))"),"나이키 남성 스포츠웨어 클럽 플리스 풀집 후디")</f>
        <v>나이키 남성 스포츠웨어 클럽 플리스 풀집 후디</v>
      </c>
      <c r="F6109" s="1" t="str">
        <f>IFERROR(__xludf.DUMMYFUNCTION("CONCATENATE(GOOGLETRANSLATE(C6109, ""en"", ""ja""))"),"ナイキ メンズ スポーツウェア クラブ フリース フルジップ パーカー")</f>
        <v>ナイキ メンズ スポーツウェア クラブ フリース フルジップ パーカー</v>
      </c>
    </row>
    <row r="6110" ht="15.75" customHeight="1">
      <c r="A6110" s="1">
        <v>7150.0</v>
      </c>
      <c r="B6110" s="1" t="s">
        <v>15</v>
      </c>
      <c r="C6110" s="1" t="s">
        <v>5038</v>
      </c>
      <c r="D6110" s="1" t="str">
        <f>IFERROR(__xludf.DUMMYFUNCTION("CONCATENATE(GOOGLETRANSLATE(C6110, ""en"", ""zh-cn""))"),"耐克女式运动装 Essential 宽松 UV 梭织长袖 V 领上衣")</f>
        <v>耐克女式运动装 Essential 宽松 UV 梭织长袖 V 领上衣</v>
      </c>
      <c r="E6110" s="1" t="str">
        <f>IFERROR(__xludf.DUMMYFUNCTION("CONCATENATE(GOOGLETRANSLATE(C6110, ""en"", ""ko""))"),"나이키 여성 스포츠웨어 에센셜 루즈 UV 우븐 긴소매 브이넥 탑")</f>
        <v>나이키 여성 스포츠웨어 에센셜 루즈 UV 우븐 긴소매 브이넥 탑</v>
      </c>
      <c r="F6110" s="1" t="str">
        <f>IFERROR(__xludf.DUMMYFUNCTION("CONCATENATE(GOOGLETRANSLATE(C6110, ""en"", ""ja""))"),"ナイキ レディース スポーツウェア エッセンシャル ルーズ UV ウーブン 長袖 V ネック トップ")</f>
        <v>ナイキ レディース スポーツウェア エッセンシャル ルーズ UV ウーブン 長袖 V ネック トップ</v>
      </c>
    </row>
    <row r="6111" ht="15.75" customHeight="1">
      <c r="A6111" s="1">
        <v>7155.0</v>
      </c>
      <c r="B6111" s="1" t="s">
        <v>15</v>
      </c>
      <c r="C6111" s="1" t="s">
        <v>5039</v>
      </c>
      <c r="D6111" s="1" t="str">
        <f>IFERROR(__xludf.DUMMYFUNCTION("CONCATENATE(GOOGLETRANSLATE(C6111, ""en"", ""zh-cn""))"),"Nike 男士 Club 梭织锥形裤")</f>
        <v>Nike 男士 Club 梭织锥形裤</v>
      </c>
      <c r="E6111" s="1" t="str">
        <f>IFERROR(__xludf.DUMMYFUNCTION("CONCATENATE(GOOGLETRANSLATE(C6111, ""en"", ""ko""))"),"나이키 남성 클럽 우븐 테이퍼드 레그 팬츠")</f>
        <v>나이키 남성 클럽 우븐 테이퍼드 레그 팬츠</v>
      </c>
      <c r="F6111" s="1" t="str">
        <f>IFERROR(__xludf.DUMMYFUNCTION("CONCATENATE(GOOGLETRANSLATE(C6111, ""en"", ""ja""))"),"ナイキ メンズ クラブ ウーブン テーパード レッグ パンツ")</f>
        <v>ナイキ メンズ クラブ ウーブン テーパード レッグ パンツ</v>
      </c>
    </row>
    <row r="6112" ht="15.75" customHeight="1">
      <c r="A6112" s="1">
        <v>7168.0</v>
      </c>
      <c r="B6112" s="1" t="s">
        <v>15</v>
      </c>
      <c r="C6112" s="1" t="s">
        <v>5040</v>
      </c>
      <c r="D6112" s="1" t="str">
        <f>IFERROR(__xludf.DUMMYFUNCTION("CONCATENATE(GOOGLETRANSLATE(C6112, ""en"", ""zh-cn""))"),"耐克男士运动服俱乐部抓绒图案套头连帽衫")</f>
        <v>耐克男士运动服俱乐部抓绒图案套头连帽衫</v>
      </c>
      <c r="E6112" s="1" t="str">
        <f>IFERROR(__xludf.DUMMYFUNCTION("CONCATENATE(GOOGLETRANSLATE(C6112, ""en"", ""ko""))"),"나이키 남성 스포츠웨어 클럽 플리스 그래픽 풀오버 후디")</f>
        <v>나이키 남성 스포츠웨어 클럽 플리스 그래픽 풀오버 후디</v>
      </c>
      <c r="F6112" s="1" t="str">
        <f>IFERROR(__xludf.DUMMYFUNCTION("CONCATENATE(GOOGLETRANSLATE(C6112, ""en"", ""ja""))"),"ナイキ メンズ スポーツウェア クラブ フリース グラフィック プルオーバー パーカー")</f>
        <v>ナイキ メンズ スポーツウェア クラブ フリース グラフィック プルオーバー パーカー</v>
      </c>
    </row>
    <row r="6113" ht="15.75" customHeight="1">
      <c r="A6113" s="1">
        <v>7169.0</v>
      </c>
      <c r="B6113" s="1" t="s">
        <v>15</v>
      </c>
      <c r="C6113" s="1" t="s">
        <v>5041</v>
      </c>
      <c r="D6113" s="1" t="str">
        <f>IFERROR(__xludf.DUMMYFUNCTION("CONCATENATE(GOOGLETRANSLATE(C6113, ""en"", ""zh-cn""))"),"耐克女式 Phoenix Fleece 超大号运动衫")</f>
        <v>耐克女式 Phoenix Fleece 超大号运动衫</v>
      </c>
      <c r="E6113" s="1" t="str">
        <f>IFERROR(__xludf.DUMMYFUNCTION("CONCATENATE(GOOGLETRANSLATE(C6113, ""en"", ""ko""))"),"나이키 여성용 피닉스 플리스 오버사이즈 스웨트셔츠")</f>
        <v>나이키 여성용 피닉스 플리스 오버사이즈 스웨트셔츠</v>
      </c>
      <c r="F6113" s="1" t="str">
        <f>IFERROR(__xludf.DUMMYFUNCTION("CONCATENATE(GOOGLETRANSLATE(C6113, ""en"", ""ja""))"),"ナイキ レディース フェニックス フリース オーバーオーバーサイズ スウェットシャツ")</f>
        <v>ナイキ レディース フェニックス フリース オーバーオーバーサイズ スウェットシャツ</v>
      </c>
    </row>
    <row r="6114" ht="15.75" customHeight="1">
      <c r="A6114" s="1">
        <v>7178.0</v>
      </c>
      <c r="B6114" s="1" t="s">
        <v>15</v>
      </c>
      <c r="C6114" s="1" t="s">
        <v>5042</v>
      </c>
      <c r="D6114" s="1" t="str">
        <f>IFERROR(__xludf.DUMMYFUNCTION("CONCATENATE(GOOGLETRANSLATE(C6114, ""en"", ""zh-cn""))"),"Reebok 男士 Active Collective 长袖 T 恤")</f>
        <v>Reebok 男士 Active Collective 长袖 T 恤</v>
      </c>
      <c r="E6114" s="1" t="str">
        <f>IFERROR(__xludf.DUMMYFUNCTION("CONCATENATE(GOOGLETRANSLATE(C6114, ""en"", ""ko""))"),"Reebok 남성 액티브 컬렉티브 긴팔 티셔츠")</f>
        <v>Reebok 남성 액티브 컬렉티브 긴팔 티셔츠</v>
      </c>
      <c r="F6114" s="1" t="str">
        <f>IFERROR(__xludf.DUMMYFUNCTION("CONCATENATE(GOOGLETRANSLATE(C6114, ""en"", ""ja""))"),"Reebok メンズ アクティブ コレクティブ ロング スリーブ T シャツ")</f>
        <v>Reebok メンズ アクティブ コレクティブ ロング スリーブ T シャツ</v>
      </c>
    </row>
    <row r="6115" ht="15.75" customHeight="1">
      <c r="A6115" s="1">
        <v>7197.0</v>
      </c>
      <c r="B6115" s="1" t="s">
        <v>15</v>
      </c>
      <c r="C6115" s="1" t="s">
        <v>5043</v>
      </c>
      <c r="D6115" s="1" t="str">
        <f>IFERROR(__xludf.DUMMYFUNCTION("CONCATENATE(GOOGLETRANSLATE(C6115, ""en"", ""zh-cn""))"),"Reebok 男士身份抓绒衣")</f>
        <v>Reebok 男士身份抓绒衣</v>
      </c>
      <c r="E6115" s="1" t="str">
        <f>IFERROR(__xludf.DUMMYFUNCTION("CONCATENATE(GOOGLETRANSLATE(C6115, ""en"", ""ko""))"),"Reebok 남성 아이덴티티 플리스")</f>
        <v>Reebok 남성 아이덴티티 플리스</v>
      </c>
      <c r="F6115" s="1" t="str">
        <f>IFERROR(__xludf.DUMMYFUNCTION("CONCATENATE(GOOGLETRANSLATE(C6115, ""en"", ""ja""))"),"リーボック メンズ アイデンティティ フリース")</f>
        <v>リーボック メンズ アイデンティティ フリース</v>
      </c>
    </row>
    <row r="6116" ht="15.75" customHeight="1">
      <c r="A6116" s="1">
        <v>7204.0</v>
      </c>
      <c r="B6116" s="1" t="s">
        <v>15</v>
      </c>
      <c r="C6116" s="1" t="s">
        <v>5044</v>
      </c>
      <c r="D6116" s="1" t="str">
        <f>IFERROR(__xludf.DUMMYFUNCTION("CONCATENATE(GOOGLETRANSLATE(C6116, ""en"", ""zh-cn""))"),"Reebok 男士锻炼短裤")</f>
        <v>Reebok 男士锻炼短裤</v>
      </c>
      <c r="E6116" s="1" t="str">
        <f>IFERROR(__xludf.DUMMYFUNCTION("CONCATENATE(GOOGLETRANSLATE(C6116, ""en"", ""ko""))"),"Reebok 남성용 워크아웃 레디 반바지")</f>
        <v>Reebok 남성용 워크아웃 레디 반바지</v>
      </c>
      <c r="F6116" s="1" t="str">
        <f>IFERROR(__xludf.DUMMYFUNCTION("CONCATENATE(GOOGLETRANSLATE(C6116, ""en"", ""ja""))"),"リーボック メンズ ワークアウトレディ ショーツ")</f>
        <v>リーボック メンズ ワークアウトレディ ショーツ</v>
      </c>
    </row>
    <row r="6117" ht="15.75" customHeight="1">
      <c r="A6117" s="1">
        <v>7206.0</v>
      </c>
      <c r="B6117" s="1" t="s">
        <v>15</v>
      </c>
      <c r="C6117" s="1" t="s">
        <v>5045</v>
      </c>
      <c r="D6117" s="1" t="str">
        <f>IFERROR(__xludf.DUMMYFUNCTION("CONCATENATE(GOOGLETRANSLATE(C6117, ""en"", ""zh-cn""))"),"Reebok 男士锻炼压缩紧身裤")</f>
        <v>Reebok 男士锻炼压缩紧身裤</v>
      </c>
      <c r="E6117" s="1" t="str">
        <f>IFERROR(__xludf.DUMMYFUNCTION("CONCATENATE(GOOGLETRANSLATE(C6117, ""en"", ""ko""))"),"Reebok 남성 워크아웃 레디 컴프레션 타이즈")</f>
        <v>Reebok 남성 워크아웃 레디 컴프레션 타이즈</v>
      </c>
      <c r="F6117" s="1" t="str">
        <f>IFERROR(__xludf.DUMMYFUNCTION("CONCATENATE(GOOGLETRANSLATE(C6117, ""en"", ""ja""))"),"リーボック メンズ Workout Ready コンプレッション タイツ")</f>
        <v>リーボック メンズ Workout Ready コンプレッション タイツ</v>
      </c>
    </row>
    <row r="6118" ht="15.75" customHeight="1">
      <c r="A6118" s="1">
        <v>7212.0</v>
      </c>
      <c r="B6118" s="1" t="s">
        <v>15</v>
      </c>
      <c r="C6118" s="1" t="s">
        <v>1845</v>
      </c>
      <c r="D6118" s="1" t="str">
        <f>IFERROR(__xludf.DUMMYFUNCTION("CONCATENATE(GOOGLETRANSLATE(C6118, ""en"", ""zh-cn""))"),"LiangCuber GAN 13磁悬浮旗舰磁力3x3无贴纸GAN13 M速度魔方（磨砂版）")</f>
        <v>LiangCuber GAN 13磁悬浮旗舰磁力3x3无贴纸GAN13 M速度魔方（磨砂版）</v>
      </c>
      <c r="E6118" s="1" t="str">
        <f>IFERROR(__xludf.DUMMYFUNCTION("CONCATENATE(GOOGLETRANSLATE(C6118, ""en"", ""ko""))"),"LiangCuber GAN 13 자기 부상 플래그십 마그네틱 3x3 스티커 없는 GAN13 M 스피드 큐브(반투명 버전)")</f>
        <v>LiangCuber GAN 13 자기 부상 플래그십 마그네틱 3x3 스티커 없는 GAN13 M 스피드 큐브(반투명 버전)</v>
      </c>
      <c r="F6118" s="1" t="str">
        <f>IFERROR(__xludf.DUMMYFUNCTION("CONCATENATE(GOOGLETRANSLATE(C6118, ""en"", ""ja""))"),"LiangCuber GAN 13 マグレブ旗艦 磁気 3x3 ステッカーレス GAN13 M スピード キューブ (つや消しバージョン)")</f>
        <v>LiangCuber GAN 13 マグレブ旗艦 磁気 3x3 ステッカーレス GAN13 M スピード キューブ (つや消しバージョン)</v>
      </c>
    </row>
    <row r="6119" ht="15.75" customHeight="1">
      <c r="A6119" s="1">
        <v>7221.0</v>
      </c>
      <c r="B6119" s="1" t="s">
        <v>15</v>
      </c>
      <c r="C6119" s="1" t="s">
        <v>1849</v>
      </c>
      <c r="D6119" s="1" t="str">
        <f>IFERROR(__xludf.DUMMYFUNCTION("CONCATENATE(GOOGLETRANSLATE(C6119, ""en"", ""zh-cn""))"),"GAN 460 M， Gan 4x4 磁性速度魔方， gan 460 m 4 x 4 儿童和成人无贴纸拼图玩具")</f>
        <v>GAN 460 M， Gan 4x4 磁性速度魔方， gan 460 m 4 x 4 儿童和成人无贴纸拼图玩具</v>
      </c>
      <c r="E6119" s="1" t="str">
        <f>IFERROR(__xludf.DUMMYFUNCTION("CONCATENATE(GOOGLETRANSLATE(C6119, ""en"", ""ko""))"),"GAN 460 M, Gan 4x4 자기 속도 큐브, gan 460 m 4 by 4 어린이와 성인을 위한 스티커 없는 퍼즐 장난감")</f>
        <v>GAN 460 M, Gan 4x4 자기 속도 큐브, gan 460 m 4 by 4 어린이와 성인을 위한 스티커 없는 퍼즐 장난감</v>
      </c>
      <c r="F6119" s="1" t="str">
        <f>IFERROR(__xludf.DUMMYFUNCTION("CONCATENATE(GOOGLETRANSLATE(C6119, ""en"", ""ja""))"),"GAN 460 M、Gan 4x4 磁気スピードキューブ、GAN 460 m 4 by 4 ステッカーレスパズルおもちゃ子供と大人向け")</f>
        <v>GAN 460 M、Gan 4x4 磁気スピードキューブ、GAN 460 m 4 by 4 ステッカーレスパズルおもちゃ子供と大人向け</v>
      </c>
    </row>
    <row r="6120" ht="15.75" customHeight="1">
      <c r="A6120" s="1">
        <v>7246.0</v>
      </c>
      <c r="B6120" s="1" t="s">
        <v>15</v>
      </c>
      <c r="C6120" s="1" t="s">
        <v>2793</v>
      </c>
      <c r="D6120" s="1" t="str">
        <f>IFERROR(__xludf.DUMMYFUNCTION("CONCATENATE(GOOGLETRANSLATE(C6120, ""en"", ""zh-cn""))"),"环意计划，男鞋")</f>
        <v>环意计划，男鞋</v>
      </c>
      <c r="E6120" s="1" t="str">
        <f>IFERROR(__xludf.DUMMYFUNCTION("CONCATENATE(GOOGLETRANSLATE(C6120, ""en"", ""ko""))"),"Giro Scheme, 남성 신발")</f>
        <v>Giro Scheme, 남성 신발</v>
      </c>
      <c r="F6120" s="1" t="str">
        <f>IFERROR(__xludf.DUMMYFUNCTION("CONCATENATE(GOOGLETRANSLATE(C6120, ""en"", ""ja""))"),"ジロスキーム、メンズシューズ")</f>
        <v>ジロスキーム、メンズシューズ</v>
      </c>
    </row>
    <row r="6121" ht="15.75" customHeight="1">
      <c r="A6121" s="1">
        <v>7250.0</v>
      </c>
      <c r="B6121" s="1" t="s">
        <v>15</v>
      </c>
      <c r="C6121" s="1" t="s">
        <v>1856</v>
      </c>
      <c r="D6121" s="1" t="str">
        <f>IFERROR(__xludf.DUMMYFUNCTION("CONCATENATE(GOOGLETRANSLATE(C6121, ""en"", ""zh-cn""))"),"西迪鞋天才 10")</f>
        <v>西迪鞋天才 10</v>
      </c>
      <c r="E6121" s="1" t="str">
        <f>IFERROR(__xludf.DUMMYFUNCTION("CONCATENATE(GOOGLETRANSLATE(C6121, ""en"", ""ko""))"),"시디 신발 천재 10")</f>
        <v>시디 신발 천재 10</v>
      </c>
      <c r="F6121" s="1" t="str">
        <f>IFERROR(__xludf.DUMMYFUNCTION("CONCATENATE(GOOGLETRANSLATE(C6121, ""en"", ""ja""))"),"シディ シューズ ジーニアス 10")</f>
        <v>シディ シューズ ジーニアス 10</v>
      </c>
    </row>
    <row r="6122" ht="15.75" customHeight="1">
      <c r="A6122" s="1">
        <v>7253.0</v>
      </c>
      <c r="B6122" s="1" t="s">
        <v>15</v>
      </c>
      <c r="C6122" s="1" t="s">
        <v>1914</v>
      </c>
      <c r="D6122" s="1" t="str">
        <f>IFERROR(__xludf.DUMMYFUNCTION("CONCATENATE(GOOGLETRANSLATE(C6122, ""en"", ""zh-cn""))"),"Oakley 男士 Flak 2.0 XL 哑光矩形偏光太阳镜")</f>
        <v>Oakley 男士 Flak 2.0 XL 哑光矩形偏光太阳镜</v>
      </c>
      <c r="E6122" s="1" t="str">
        <f>IFERROR(__xludf.DUMMYFUNCTION("CONCATENATE(GOOGLETRANSLATE(C6122, ""en"", ""ko""))"),"오클리 남성용 플랙 2.0 XL 무광 직사각형 선글라스 편광")</f>
        <v>오클리 남성용 플랙 2.0 XL 무광 직사각형 선글라스 편광</v>
      </c>
      <c r="F6122" s="1" t="str">
        <f>IFERROR(__xludf.DUMMYFUNCTION("CONCATENATE(GOOGLETRANSLATE(C6122, ""en"", ""ja""))"),"オークリー メンズ Flak 2.0 XL マット レクタンギュラー サングラス 偏光")</f>
        <v>オークリー メンズ Flak 2.0 XL マット レクタンギュラー サングラス 偏光</v>
      </c>
    </row>
    <row r="6123" ht="15.75" customHeight="1">
      <c r="A6123" s="1">
        <v>7260.0</v>
      </c>
      <c r="B6123" s="1" t="s">
        <v>15</v>
      </c>
      <c r="C6123" s="1" t="s">
        <v>2310</v>
      </c>
      <c r="D6123" s="1" t="str">
        <f>IFERROR(__xludf.DUMMYFUNCTION("CONCATENATE(GOOGLETRANSLATE(C6123, ""en"", ""zh-cn""))"),"Giro Helios 球形成人公路骑行头盔")</f>
        <v>Giro Helios 球形成人公路骑行头盔</v>
      </c>
      <c r="E6123" s="1" t="str">
        <f>IFERROR(__xludf.DUMMYFUNCTION("CONCATENATE(GOOGLETRANSLATE(C6123, ""en"", ""ko""))"),"Giro Helios 구형 성인용 도로 사이클링 헬멧")</f>
        <v>Giro Helios 구형 성인용 도로 사이클링 헬멧</v>
      </c>
      <c r="F6123" s="1" t="str">
        <f>IFERROR(__xludf.DUMMYFUNCTION("CONCATENATE(GOOGLETRANSLATE(C6123, ""en"", ""ja""))"),"Giro Helios 球状大人用ロードサイクリング ヘルメット")</f>
        <v>Giro Helios 球状大人用ロードサイクリング ヘルメット</v>
      </c>
    </row>
    <row r="6124" ht="15.75" customHeight="1">
      <c r="A6124" s="1">
        <v>7273.0</v>
      </c>
      <c r="B6124" s="1" t="s">
        <v>15</v>
      </c>
      <c r="C6124" s="1" t="s">
        <v>5046</v>
      </c>
      <c r="D6124" s="1" t="str">
        <f>IFERROR(__xludf.DUMMYFUNCTION("CONCATENATE(GOOGLETRANSLATE(C6124, ""en"", ""zh-cn""))"),"Fluidmaster 242 替换密封件")</f>
        <v>Fluidmaster 242 替换密封件</v>
      </c>
      <c r="E6124" s="1" t="str">
        <f>IFERROR(__xludf.DUMMYFUNCTION("CONCATENATE(GOOGLETRANSLATE(C6124, ""en"", ""ko""))"),"Fluidmaster 242 교체 씰")</f>
        <v>Fluidmaster 242 교체 씰</v>
      </c>
      <c r="F6124" s="1" t="str">
        <f>IFERROR(__xludf.DUMMYFUNCTION("CONCATENATE(GOOGLETRANSLATE(C6124, ""en"", ""ja""))"),"Fluidmaster 242 交換用シール")</f>
        <v>Fluidmaster 242 交換用シール</v>
      </c>
    </row>
    <row r="6125" ht="15.75" customHeight="1">
      <c r="A6125" s="1">
        <v>7276.0</v>
      </c>
      <c r="B6125" s="1" t="s">
        <v>15</v>
      </c>
      <c r="C6125" s="1" t="s">
        <v>5047</v>
      </c>
      <c r="D6125" s="1" t="str">
        <f>IFERROR(__xludf.DUMMYFUNCTION("CONCATENATE(GOOGLETRANSLATE(C6125, ""en"", ""zh-cn""))"),"Fluidmaster PRO57 Pro 系列 2"" 冲洗阀，带可调节挡板")</f>
        <v>Fluidmaster PRO57 Pro 系列 2" 冲洗阀，带可调节挡板</v>
      </c>
      <c r="E6125" s="1" t="str">
        <f>IFERROR(__xludf.DUMMYFUNCTION("CONCATENATE(GOOGLETRANSLATE(C6125, ""en"", ""ko""))"),"Fluidmaster PRO57 Pro 시리즈 2"" 플러시 밸브(조정 가능한 플래퍼 포함)")</f>
        <v>Fluidmaster PRO57 Pro 시리즈 2" 플러시 밸브(조정 가능한 플래퍼 포함)</v>
      </c>
      <c r="F6125" s="1" t="str">
        <f>IFERROR(__xludf.DUMMYFUNCTION("CONCATENATE(GOOGLETRANSLATE(C6125, ""en"", ""ja""))"),"Fluidmaster PRO57 プロ シリーズ 2 インチ フラッシュ バルブ、調節可能なフラッパー付き")</f>
        <v>Fluidmaster PRO57 プロ シリーズ 2 インチ フラッシュ バルブ、調節可能なフラッパー付き</v>
      </c>
    </row>
    <row r="6126" ht="15.75" customHeight="1">
      <c r="A6126" s="1">
        <v>7287.0</v>
      </c>
      <c r="B6126" s="1" t="s">
        <v>15</v>
      </c>
      <c r="C6126" s="1" t="s">
        <v>5048</v>
      </c>
      <c r="D6126" s="1" t="str">
        <f>IFERROR(__xludf.DUMMYFUNCTION("CONCATENATE(GOOGLETRANSLATE(C6126, ""en"", ""zh-cn""))"),"Meijer Fluidmaster 全套马桶维修套件")</f>
        <v>Meijer Fluidmaster 全套马桶维修套件</v>
      </c>
      <c r="E6126" s="1" t="str">
        <f>IFERROR(__xludf.DUMMYFUNCTION("CONCATENATE(GOOGLETRANSLATE(C6126, ""en"", ""ko""))"),"Meijer Fluidmaster Everything Complete 변기 수리 키트")</f>
        <v>Meijer Fluidmaster Everything Complete 변기 수리 키트</v>
      </c>
      <c r="F6126" s="1" t="str">
        <f>IFERROR(__xludf.DUMMYFUNCTION("CONCATENATE(GOOGLETRANSLATE(C6126, ""en"", ""ja""))"),"Meijer Fluidmaster Everything 完全なトイレ修理キット")</f>
        <v>Meijer Fluidmaster Everything 完全なトイレ修理キット</v>
      </c>
    </row>
    <row r="6127" ht="15.75" customHeight="1">
      <c r="A6127" s="1">
        <v>7305.0</v>
      </c>
      <c r="B6127" s="1" t="s">
        <v>15</v>
      </c>
      <c r="C6127" s="1" t="s">
        <v>5049</v>
      </c>
      <c r="D6127" s="1" t="str">
        <f>IFERROR(__xludf.DUMMYFUNCTION("CONCATENATE(GOOGLETRANSLATE(C6127, ""en"", ""zh-cn""))"),"Homfa 浴室落地储物柜，带门和抽屉的木亚麻柜 andhite")</f>
        <v>Homfa 浴室落地储物柜，带门和抽屉的木亚麻柜 andhite</v>
      </c>
      <c r="E6127" s="1" t="str">
        <f>IFERROR(__xludf.DUMMYFUNCTION("CONCATENATE(GOOGLETRANSLATE(C6127, ""en"", ""ko""))"),"Homfa 욕실 바닥 보관 캐비닛, 문과 서랍이 있는 목재 리넨 캐비닛 andhite")</f>
        <v>Homfa 욕실 바닥 보관 캐비닛, 문과 서랍이 있는 목재 리넨 캐비닛 andhite</v>
      </c>
      <c r="F6127" s="1" t="str">
        <f>IFERROR(__xludf.DUMMYFUNCTION("CONCATENATE(GOOGLETRANSLATE(C6127, ""en"", ""ja""))"),"Homfa バスルーム床収納キャビネット、ドアと引き出し付き木製リネンキャビネット andhite")</f>
        <v>Homfa バスルーム床収納キャビネット、ドアと引き出し付き木製リネンキャビネット andhite</v>
      </c>
    </row>
    <row r="6128" ht="15.75" customHeight="1">
      <c r="A6128" s="1">
        <v>7313.0</v>
      </c>
      <c r="B6128" s="1" t="s">
        <v>15</v>
      </c>
      <c r="C6128" s="1" t="s">
        <v>5050</v>
      </c>
      <c r="D6128" s="1" t="str">
        <f>IFERROR(__xludf.DUMMYFUNCTION("CONCATENATE(GOOGLETRANSLATE(C6128, ""en"", ""zh-cn""))"),"Homcom 现代独立式浴室柜")</f>
        <v>Homcom 现代独立式浴室柜</v>
      </c>
      <c r="E6128" s="1" t="str">
        <f>IFERROR(__xludf.DUMMYFUNCTION("CONCATENATE(GOOGLETRANSLATE(C6128, ""en"", ""ko""))"),"Homcom 모던한 독립형 욕실 캐비닛")</f>
        <v>Homcom 모던한 독립형 욕실 캐비닛</v>
      </c>
      <c r="F6128" s="1" t="str">
        <f>IFERROR(__xludf.DUMMYFUNCTION("CONCATENATE(GOOGLETRANSLATE(C6128, ""en"", ""ja""))"),"Homcom モダンな自立型バスルーム キャビネット")</f>
        <v>Homcom モダンな自立型バスルーム キャビネット</v>
      </c>
    </row>
    <row r="6129" ht="15.75" customHeight="1">
      <c r="A6129" s="1">
        <v>7320.0</v>
      </c>
      <c r="B6129" s="1" t="s">
        <v>15</v>
      </c>
      <c r="C6129" s="1" t="s">
        <v>5051</v>
      </c>
      <c r="D6129" s="1" t="str">
        <f>IFERROR(__xludf.DUMMYFUNCTION("CONCATENATE(GOOGLETRANSLATE(C6129, ""en"", ""zh-cn""))"),"Hivago 壁挂式浴室储物医药柜带毛巾杆")</f>
        <v>Hivago 壁挂式浴室储物医药柜带毛巾杆</v>
      </c>
      <c r="E6129" s="1" t="str">
        <f>IFERROR(__xludf.DUMMYFUNCTION("CONCATENATE(GOOGLETRANSLATE(C6129, ""en"", ""ko""))"),"수건 걸이가 있는 Hivago 벽걸이형 욕실 보관 약장")</f>
        <v>수건 걸이가 있는 Hivago 벽걸이형 욕실 보관 약장</v>
      </c>
      <c r="F6129" s="1" t="str">
        <f>IFERROR(__xludf.DUMMYFUNCTION("CONCATENATE(GOOGLETRANSLATE(C6129, ""en"", ""ja""))"),"Hivago 壁掛けバスルーム収納薬キャビネット タオルバー付き")</f>
        <v>Hivago 壁掛けバスルーム収納薬キャビネット タオルバー付き</v>
      </c>
    </row>
    <row r="6130" ht="15.75" customHeight="1">
      <c r="A6130" s="1">
        <v>7328.0</v>
      </c>
      <c r="B6130" s="1" t="s">
        <v>15</v>
      </c>
      <c r="C6130" s="1" t="s">
        <v>5052</v>
      </c>
      <c r="D6130" s="1" t="str">
        <f>IFERROR(__xludf.DUMMYFUNCTION("CONCATENATE(GOOGLETRANSLATE(C6130, ""en"", ""zh-cn""))"),"纬润昊天浴室高柜BZR34-W")</f>
        <v>纬润昊天浴室高柜BZR34-W</v>
      </c>
      <c r="E6130" s="1" t="str">
        <f>IFERROR(__xludf.DUMMYFUNCTION("CONCATENATE(GOOGLETRANSLATE(C6130, ""en"", ""ko""))"),"Latitude Run Haotian 욕실 높이 캐비닛 BZR34-W")</f>
        <v>Latitude Run Haotian 욕실 높이 캐비닛 BZR34-W</v>
      </c>
      <c r="F6130" s="1" t="str">
        <f>IFERROR(__xludf.DUMMYFUNCTION("CONCATENATE(GOOGLETRANSLATE(C6130, ""en"", ""ja""))"),"ラティチュード ラン ハオティアン バスルーム トール キャビネット BZR34-W")</f>
        <v>ラティチュード ラン ハオティアン バスルーム トール キャビネット BZR34-W</v>
      </c>
    </row>
    <row r="6131" ht="15.75" customHeight="1">
      <c r="A6131" s="1">
        <v>7332.0</v>
      </c>
      <c r="B6131" s="1" t="s">
        <v>15</v>
      </c>
      <c r="C6131" s="1" t="s">
        <v>5053</v>
      </c>
      <c r="D6131" s="1" t="str">
        <f>IFERROR(__xludf.DUMMYFUNCTION("CONCATENATE(GOOGLETRANSLATE(C6131, ""en"", ""zh-cn""))"),"Homfa 2件套浴室柜")</f>
        <v>Homfa 2件套浴室柜</v>
      </c>
      <c r="E6131" s="1" t="str">
        <f>IFERROR(__xludf.DUMMYFUNCTION("CONCATENATE(GOOGLETRANSLATE(C6131, ""en"", ""ko""))"),"Homfa 2pcs 욕실 캐비닛")</f>
        <v>Homfa 2pcs 욕실 캐비닛</v>
      </c>
      <c r="F6131" s="1" t="str">
        <f>IFERROR(__xludf.DUMMYFUNCTION("CONCATENATE(GOOGLETRANSLATE(C6131, ""en"", ""ja""))"),"Homfa 2 個のバスルームキャビネット")</f>
        <v>Homfa 2 個のバスルームキャビネット</v>
      </c>
    </row>
    <row r="6132" ht="15.75" customHeight="1">
      <c r="A6132" s="1">
        <v>7333.0</v>
      </c>
      <c r="B6132" s="1" t="s">
        <v>15</v>
      </c>
      <c r="C6132" s="1" t="s">
        <v>5054</v>
      </c>
      <c r="D6132" s="1" t="str">
        <f>IFERROR(__xludf.DUMMYFUNCTION("CONCATENATE(GOOGLETRANSLATE(C6132, ""en"", ""zh-cn""))"),"浴室独立式地柜")</f>
        <v>浴室独立式地柜</v>
      </c>
      <c r="E6132" s="1" t="str">
        <f>IFERROR(__xludf.DUMMYFUNCTION("CONCATENATE(GOOGLETRANSLATE(C6132, ""en"", ""ko""))"),"욕실 독립형 바닥 캐비닛")</f>
        <v>욕실 독립형 바닥 캐비닛</v>
      </c>
      <c r="F6132" s="1" t="str">
        <f>IFERROR(__xludf.DUMMYFUNCTION("CONCATENATE(GOOGLETRANSLATE(C6132, ""en"", ""ja""))"),"バスルーム自立型フロアキャビネット")</f>
        <v>バスルーム自立型フロアキャビネット</v>
      </c>
    </row>
    <row r="6133" ht="15.75" customHeight="1">
      <c r="A6133" s="1">
        <v>7345.0</v>
      </c>
      <c r="B6133" s="1" t="s">
        <v>15</v>
      </c>
      <c r="C6133" s="1" t="s">
        <v>5055</v>
      </c>
      <c r="D6133" s="1" t="str">
        <f>IFERROR(__xludf.DUMMYFUNCTION("CONCATENATE(GOOGLETRANSLATE(C6133, ""en"", ""zh-cn""))"),"Ktaxon 木质浴室地柜")</f>
        <v>Ktaxon 木质浴室地柜</v>
      </c>
      <c r="E6133" s="1" t="str">
        <f>IFERROR(__xludf.DUMMYFUNCTION("CONCATENATE(GOOGLETRANSLATE(C6133, ""en"", ""ko""))"),"Ktaxon 나무 욕실 바닥 캐비닛")</f>
        <v>Ktaxon 나무 욕실 바닥 캐비닛</v>
      </c>
      <c r="F6133" s="1" t="str">
        <f>IFERROR(__xludf.DUMMYFUNCTION("CONCATENATE(GOOGLETRANSLATE(C6133, ""en"", ""ja""))"),"Ktaxon 木製バスルームフロアキャビネット")</f>
        <v>Ktaxon 木製バスルームフロアキャビネット</v>
      </c>
    </row>
    <row r="6134" ht="15.75" customHeight="1">
      <c r="A6134" s="1">
        <v>7348.0</v>
      </c>
      <c r="B6134" s="1" t="s">
        <v>15</v>
      </c>
      <c r="C6134" s="1" t="s">
        <v>5056</v>
      </c>
      <c r="D6134" s="1" t="str">
        <f>IFERROR(__xludf.DUMMYFUNCTION("CONCATENATE(GOOGLETRANSLATE(C6134, ""en"", ""zh-cn""))"),"Ktaxon 木质浴室柜")</f>
        <v>Ktaxon 木质浴室柜</v>
      </c>
      <c r="E6134" s="1" t="str">
        <f>IFERROR(__xludf.DUMMYFUNCTION("CONCATENATE(GOOGLETRANSLATE(C6134, ""en"", ""ko""))"),"Ktaxon 나무 욕실 캐비닛")</f>
        <v>Ktaxon 나무 욕실 캐비닛</v>
      </c>
      <c r="F6134" s="1" t="str">
        <f>IFERROR(__xludf.DUMMYFUNCTION("CONCATENATE(GOOGLETRANSLATE(C6134, ""en"", ""ja""))"),"Ktaxon 木製バスルームキャビネット")</f>
        <v>Ktaxon 木製バスルームキャビネット</v>
      </c>
    </row>
    <row r="6135" ht="15.75" customHeight="1">
      <c r="A6135" s="1">
        <v>7358.0</v>
      </c>
      <c r="B6135" s="1" t="s">
        <v>15</v>
      </c>
      <c r="C6135" s="1" t="s">
        <v>5057</v>
      </c>
      <c r="D6135" s="1" t="str">
        <f>IFERROR(__xludf.DUMMYFUNCTION("CONCATENATE(GOOGLETRANSLATE(C6135, ""en"", ""zh-cn""))"),"Ktaxon 木质 3 抽屉浴室地柜")</f>
        <v>Ktaxon 木质 3 抽屉浴室地柜</v>
      </c>
      <c r="E6135" s="1" t="str">
        <f>IFERROR(__xludf.DUMMYFUNCTION("CONCATENATE(GOOGLETRANSLATE(C6135, ""en"", ""ko""))"),"Ktaxon 목재 3 서랍 욕실 바닥 캐비닛")</f>
        <v>Ktaxon 목재 3 서랍 욕실 바닥 캐비닛</v>
      </c>
      <c r="F6135" s="1" t="str">
        <f>IFERROR(__xludf.DUMMYFUNCTION("CONCATENATE(GOOGLETRANSLATE(C6135, ""en"", ""ja""))"),"Ktaxon 木製 3 引き出しバスルームフロアキャビネット")</f>
        <v>Ktaxon 木製 3 引き出しバスルームフロアキャビネット</v>
      </c>
    </row>
    <row r="6136" ht="15.75" customHeight="1">
      <c r="A6136" s="1">
        <v>7367.0</v>
      </c>
      <c r="B6136" s="1" t="s">
        <v>15</v>
      </c>
      <c r="C6136" s="1" t="s">
        <v>5058</v>
      </c>
      <c r="D6136" s="1" t="str">
        <f>IFERROR(__xludf.DUMMYFUNCTION("CONCATENATE(GOOGLETRANSLATE(C6136, ""en"", ""zh-cn""))"),"Ktaxon 5 抽屉浴室地柜，独立式理发台化妆美发沙龙柜，多功能控制台储物柜桌子，带 2 个")</f>
        <v>Ktaxon 5 抽屉浴室地柜，独立式理发台化妆美发沙龙柜，多功能控制台储物柜桌子，带 2 个</v>
      </c>
      <c r="E6136" s="1" t="str">
        <f>IFERROR(__xludf.DUMMYFUNCTION("CONCATENATE(GOOGLETRANSLATE(C6136, ""en"", ""ko""))"),"Ktaxon 5단 서랍 욕실 바닥 캐비닛, 독립형 이발소 메이크업 헤어 살롱 캐비닛, 다기능 콘솔 보관 캐비닛 테이블 2개")</f>
        <v>Ktaxon 5단 서랍 욕실 바닥 캐비닛, 독립형 이발소 메이크업 헤어 살롱 캐비닛, 다기능 콘솔 보관 캐비닛 테이블 2개</v>
      </c>
      <c r="F6136" s="1" t="str">
        <f>IFERROR(__xludf.DUMMYFUNCTION("CONCATENATE(GOOGLETRANSLATE(C6136, ""en"", ""ja""))"),"Ktaxon 5引き出しバスルームフロアキャビネット、自立理髪ステーションメイクアップヘアサロンキャビネット、多機能コンソール収納キャビネットテーブル2付き")</f>
        <v>Ktaxon 5引き出しバスルームフロアキャビネット、自立理髪ステーションメイクアップヘアサロンキャビネット、多機能コンソール収納キャビネットテーブル2付き</v>
      </c>
    </row>
    <row r="6137" ht="15.75" customHeight="1">
      <c r="A6137" s="1">
        <v>7374.0</v>
      </c>
      <c r="B6137" s="1" t="s">
        <v>15</v>
      </c>
      <c r="C6137" s="1" t="s">
        <v>5059</v>
      </c>
      <c r="D6137" s="1" t="str">
        <f>IFERROR(__xludf.DUMMYFUNCTION("CONCATENATE(GOOGLETRANSLATE(C6137, ""en"", ""zh-cn""))"),"Ktaxon 20 英寸x28 英寸，LED 浴室药柜带镜面照明，壁挂式储物柜带可调光，记忆功能，插座和 USB，")</f>
        <v>Ktaxon 20 英寸x28 英寸，LED 浴室药柜带镜面照明，壁挂式储物柜带可调光，记忆功能，插座和 USB，</v>
      </c>
      <c r="E6137" s="1" t="str">
        <f>IFERROR(__xludf.DUMMYFUNCTION("CONCATENATE(GOOGLETRANSLATE(C6137, ""en"", ""ko""))"),"Ktaxon 20인치x28인치, LED 욕실 약장, 거울 조명, 벽걸이형 보관 캐비닛(조광 가능, 메모리 기능, 콘센트 및 USB 포함),")</f>
        <v>Ktaxon 20인치x28인치, LED 욕실 약장, 거울 조명, 벽걸이형 보관 캐비닛(조광 가능, 메모리 기능, 콘센트 및 USB 포함),</v>
      </c>
      <c r="F6137" s="1" t="str">
        <f>IFERROR(__xludf.DUMMYFUNCTION("CONCATENATE(GOOGLETRANSLATE(C6137, ""en"", ""ja""))"),"Ktaxon 20 インチ x 28 インチ、ミラー照明付き LED バスルーム薬キャビネット、調光可能、メモリ機能、コンセントおよび USB 付き壁掛け収納キャビネット、")</f>
        <v>Ktaxon 20 インチ x 28 インチ、ミラー照明付き LED バスルーム薬キャビネット、調光可能、メモリ機能、コンセントおよび USB 付き壁掛け収納キャビネット、</v>
      </c>
    </row>
    <row r="6138" ht="15.75" customHeight="1">
      <c r="A6138" s="1">
        <v>7376.0</v>
      </c>
      <c r="B6138" s="1" t="s">
        <v>15</v>
      </c>
      <c r="C6138" s="1" t="s">
        <v>5060</v>
      </c>
      <c r="D6138" s="1" t="str">
        <f>IFERROR(__xludf.DUMMYFUNCTION("CONCATENATE(GOOGLETRANSLATE(C6138, ""en"", ""zh-cn""))"),"30 英寸多功能模块化独立式储物浴室梳妆柜")</f>
        <v>30 英寸多功能模块化独立式储物浴室梳妆柜</v>
      </c>
      <c r="E6138" s="1" t="str">
        <f>IFERROR(__xludf.DUMMYFUNCTION("CONCATENATE(GOOGLETRANSLATE(C6138, ""en"", ""ko""))"),"30인치 다기능 모듈식 자립형 보관 욕실 세면대 캐비닛")</f>
        <v>30인치 다기능 모듈식 자립형 보관 욕실 세면대 캐비닛</v>
      </c>
      <c r="F6138" s="1" t="str">
        <f>IFERROR(__xludf.DUMMYFUNCTION("CONCATENATE(GOOGLETRANSLATE(C6138, ""en"", ""ja""))"),"30 インチ多機能モジュラー自立型収納バスルーム化粧台キャビネット")</f>
        <v>30 インチ多機能モジュラー自立型収納バスルーム化粧台キャビネット</v>
      </c>
    </row>
    <row r="6139" ht="15.75" customHeight="1">
      <c r="A6139" s="1">
        <v>7377.0</v>
      </c>
      <c r="B6139" s="1" t="s">
        <v>15</v>
      </c>
      <c r="C6139" s="1" t="s">
        <v>5061</v>
      </c>
      <c r="D6139" s="1" t="str">
        <f>IFERROR(__xludf.DUMMYFUNCTION("CONCATENATE(GOOGLETRANSLATE(C6139, ""en"", ""zh-cn""))"),"36 英寸浴室柜，不带水槽 Takason 基色：白色")</f>
        <v>36 英寸浴室柜，不带水槽 Takason 基色：白色</v>
      </c>
      <c r="E6139" s="1" t="str">
        <f>IFERROR(__xludf.DUMMYFUNCTION("CONCATENATE(GOOGLETRANSLATE(C6139, ""en"", ""ko""))"),"세면대 없는 36인치 욕실 세면대 Takason 기본 색상: 흰색")</f>
        <v>세면대 없는 36인치 욕실 세면대 Takason 기본 색상: 흰색</v>
      </c>
      <c r="F6139" s="1" t="str">
        <f>IFERROR(__xludf.DUMMYFUNCTION("CONCATENATE(GOOGLETRANSLATE(C6139, ""en"", ""ja""))"),"36 インチ 洗面化粧台 シンクなし タカソン ベースカラー: ホワイト")</f>
        <v>36 インチ 洗面化粧台 シンクなし タカソン ベースカラー: ホワイト</v>
      </c>
    </row>
    <row r="6140" ht="15.75" customHeight="1">
      <c r="A6140" s="1">
        <v>7380.0</v>
      </c>
      <c r="B6140" s="1" t="s">
        <v>15</v>
      </c>
      <c r="C6140" s="1" t="s">
        <v>5062</v>
      </c>
      <c r="D6140" s="1" t="str">
        <f>IFERROR(__xludf.DUMMYFUNCTION("CONCATENATE(GOOGLETRANSLATE(C6140, ""en"", ""zh-cn""))"),"2 门独立式浴室柜，带抽屉和可调节搁板")</f>
        <v>2 门独立式浴室柜，带抽屉和可调节搁板</v>
      </c>
      <c r="E6140" s="1" t="str">
        <f>IFERROR(__xludf.DUMMYFUNCTION("CONCATENATE(GOOGLETRANSLATE(C6140, ""en"", ""ko""))"),"서랍과 조절 가능한 선반이 있는 2도어 독립형 욕실 캐비닛")</f>
        <v>서랍과 조절 가능한 선반이 있는 2도어 독립형 욕실 캐비닛</v>
      </c>
      <c r="F6140" s="1" t="str">
        <f>IFERROR(__xludf.DUMMYFUNCTION("CONCATENATE(GOOGLETRANSLATE(C6140, ""en"", ""ja""))"),"引き出しと調節可能な棚付きの2ドア自立型バスルームキャビネット")</f>
        <v>引き出しと調節可能な棚付きの2ドア自立型バスルームキャビネット</v>
      </c>
    </row>
    <row r="6141" ht="15.75" customHeight="1">
      <c r="A6141" s="1">
        <v>7383.0</v>
      </c>
      <c r="B6141" s="1" t="s">
        <v>15</v>
      </c>
      <c r="C6141" s="1" t="s">
        <v>5063</v>
      </c>
      <c r="D6141" s="1" t="str">
        <f>IFERROR(__xludf.DUMMYFUNCTION("CONCATENATE(GOOGLETRANSLATE(C6141, ""en"", ""zh-cn""))"),"Brita Hub 即时强大的台面水过滤")</f>
        <v>Brita Hub 即时强大的台面水过滤</v>
      </c>
      <c r="E6141" s="1" t="str">
        <f>IFERROR(__xludf.DUMMYFUNCTION("CONCATENATE(GOOGLETRANSLATE(C6141, ""en"", ""ko""))"),"브리타 허브 즉각적이고 강력한 조리대 물 여과")</f>
        <v>브리타 허브 즉각적이고 강력한 조리대 물 여과</v>
      </c>
      <c r="F6141" s="1" t="str">
        <f>IFERROR(__xludf.DUMMYFUNCTION("CONCATENATE(GOOGLETRANSLATE(C6141, ""en"", ""ja""))"),"Brita Hub インスタント強力なカウンタートップ水ろ過")</f>
        <v>Brita Hub インスタント強力なカウンタートップ水ろ過</v>
      </c>
    </row>
    <row r="6142" ht="15.75" customHeight="1">
      <c r="A6142" s="1">
        <v>7401.0</v>
      </c>
      <c r="B6142" s="1" t="s">
        <v>15</v>
      </c>
      <c r="C6142" s="1" t="s">
        <v>5064</v>
      </c>
      <c r="D6142" s="1" t="str">
        <f>IFERROR(__xludf.DUMMYFUNCTION("CONCATENATE(GOOGLETRANSLATE(C6142, ""en"", ""zh-cn""))"),"Brita Elite Tahoe 滤水器")</f>
        <v>Brita Elite Tahoe 滤水器</v>
      </c>
      <c r="E6142" s="1" t="str">
        <f>IFERROR(__xludf.DUMMYFUNCTION("CONCATENATE(GOOGLETRANSLATE(C6142, ""en"", ""ko""))"),"브리타 엘리트 타호 정수 필터 피처")</f>
        <v>브리타 엘리트 타호 정수 필터 피처</v>
      </c>
      <c r="F6142" s="1" t="str">
        <f>IFERROR(__xludf.DUMMYFUNCTION("CONCATENATE(GOOGLETRANSLATE(C6142, ""en"", ""ja""))"),"ブリタ エリート タホ ウォーター フィルター ピッチャー")</f>
        <v>ブリタ エリート タホ ウォーター フィルター ピッチャー</v>
      </c>
    </row>
    <row r="6143" ht="15.75" customHeight="1">
      <c r="A6143" s="1">
        <v>7404.0</v>
      </c>
      <c r="B6143" s="1" t="s">
        <v>15</v>
      </c>
      <c r="C6143" s="1" t="s">
        <v>5065</v>
      </c>
      <c r="D6143" s="1" t="str">
        <f>IFERROR(__xludf.DUMMYFUNCTION("CONCATENATE(GOOGLETRANSLATE(C6143, ""en"", ""zh-cn""))"),"Brita Pacifica 水壶，带 Longlast+ 过滤器")</f>
        <v>Brita Pacifica 水壶，带 Longlast+ 过滤器</v>
      </c>
      <c r="E6143" s="1" t="str">
        <f>IFERROR(__xludf.DUMMYFUNCTION("CONCATENATE(GOOGLETRANSLATE(C6143, ""en"", ""ko""))"),"브리타 퍼시피카 투수(롱라스트+ 필터 포함)")</f>
        <v>브리타 퍼시피카 투수(롱라스트+ 필터 포함)</v>
      </c>
      <c r="F6143" s="1" t="str">
        <f>IFERROR(__xludf.DUMMYFUNCTION("CONCATENATE(GOOGLETRANSLATE(C6143, ""en"", ""ja""))"),"ブリタ パシフィカ ピッチャー (Longlast+ フィルター付き)")</f>
        <v>ブリタ パシフィカ ピッチャー (Longlast+ フィルター付き)</v>
      </c>
    </row>
    <row r="6144" ht="15.75" customHeight="1">
      <c r="A6144" s="1">
        <v>7408.0</v>
      </c>
      <c r="B6144" s="1" t="s">
        <v>15</v>
      </c>
      <c r="C6144" s="1" t="s">
        <v>5066</v>
      </c>
      <c r="D6144" s="1" t="str">
        <f>IFERROR(__xludf.DUMMYFUNCTION("CONCATENATE(GOOGLETRANSLATE(C6144, ""en"", ""zh-cn""))"),"Brita Ultramax 大型饮水机")</f>
        <v>Brita Ultramax 大型饮水机</v>
      </c>
      <c r="E6144" s="1" t="str">
        <f>IFERROR(__xludf.DUMMYFUNCTION("CONCATENATE(GOOGLETRANSLATE(C6144, ""en"", ""ko""))"),"브리타 울트라맥스 대형 워터 디스펜서")</f>
        <v>브리타 울트라맥스 대형 워터 디스펜서</v>
      </c>
      <c r="F6144" s="1" t="str">
        <f>IFERROR(__xludf.DUMMYFUNCTION("CONCATENATE(GOOGLETRANSLATE(C6144, ""en"", ""ja""))"),"ブリタ ウルトラマックス 大型ウォーターディスペンサー")</f>
        <v>ブリタ ウルトラマックス 大型ウォーターディスペンサー</v>
      </c>
    </row>
    <row r="6145" ht="15.75" customHeight="1">
      <c r="A6145" s="1">
        <v>7424.0</v>
      </c>
      <c r="B6145" s="1" t="s">
        <v>15</v>
      </c>
      <c r="C6145" s="1" t="s">
        <v>5067</v>
      </c>
      <c r="D6145" s="1" t="str">
        <f>IFERROR(__xludf.DUMMYFUNCTION("CONCATENATE(GOOGLETRANSLATE(C6145, ""en"", ""zh-cn""))"),"霍尼韦尔 PUR 水罐过滤器 PPF900ZV1")</f>
        <v>霍尼韦尔 PUR 水罐过滤器 PPF900ZV1</v>
      </c>
      <c r="E6145" s="1" t="str">
        <f>IFERROR(__xludf.DUMMYFUNCTION("CONCATENATE(GOOGLETRANSLATE(C6145, ""en"", ""ko""))"),"하니웰 PUR 투수 필터 PPF900ZV1")</f>
        <v>하니웰 PUR 투수 필터 PPF900ZV1</v>
      </c>
      <c r="F6145" s="1" t="str">
        <f>IFERROR(__xludf.DUMMYFUNCTION("CONCATENATE(GOOGLETRANSLATE(C6145, ""en"", ""ja""))"),"ハネウェル PUR ピッチャーフィルター PPF900ZV1")</f>
        <v>ハネウェル PUR ピッチャーフィルター PPF900ZV1</v>
      </c>
    </row>
    <row r="6146" ht="15.75" customHeight="1">
      <c r="A6146" s="1">
        <v>7429.0</v>
      </c>
      <c r="B6146" s="1" t="s">
        <v>15</v>
      </c>
      <c r="C6146" s="1" t="s">
        <v>5068</v>
      </c>
      <c r="D6146" s="1" t="str">
        <f>IFERROR(__xludf.DUMMYFUNCTION("CONCATENATE(GOOGLETRANSLATE(C6146, ""en"", ""zh-cn""))"),"Giant 11 杯经典蓝色水罐过滤系统")</f>
        <v>Giant 11 杯经典蓝色水罐过滤系统</v>
      </c>
      <c r="E6146" s="1" t="str">
        <f>IFERROR(__xludf.DUMMYFUNCTION("CONCATENATE(GOOGLETRANSLATE(C6146, ""en"", ""ko""))"),"Giant 11 컵 클래식 블루 투수 여과 시스템")</f>
        <v>Giant 11 컵 클래식 블루 투수 여과 시스템</v>
      </c>
      <c r="F6146" s="1" t="str">
        <f>IFERROR(__xludf.DUMMYFUNCTION("CONCATENATE(GOOGLETRANSLATE(C6146, ""en"", ""ja""))"),"ジャイアント 11 カップ クラシック ブルー ピッチャー フィルター システム")</f>
        <v>ジャイアント 11 カップ クラシック ブルー ピッチャー フィルター システム</v>
      </c>
    </row>
    <row r="6147" ht="15.75" customHeight="1">
      <c r="A6147" s="1">
        <v>7435.0</v>
      </c>
      <c r="B6147" s="1" t="s">
        <v>15</v>
      </c>
      <c r="C6147" s="1" t="s">
        <v>5069</v>
      </c>
      <c r="D6147" s="1" t="str">
        <f>IFERROR(__xludf.DUMMYFUNCTION("CONCATENATE(GOOGLETRANSLATE(C6147, ""en"", ""zh-cn""))"),"PUR 7 杯蓝色水过滤壶")</f>
        <v>PUR 7 杯蓝色水过滤壶</v>
      </c>
      <c r="E6147" s="1" t="str">
        <f>IFERROR(__xludf.DUMMYFUNCTION("CONCATENATE(GOOGLETRANSLATE(C6147, ""en"", ""ko""))"),"PUR 7컵 블루 워터 여과 피처")</f>
        <v>PUR 7컵 블루 워터 여과 피처</v>
      </c>
      <c r="F6147" s="1" t="str">
        <f>IFERROR(__xludf.DUMMYFUNCTION("CONCATENATE(GOOGLETRANSLATE(C6147, ""en"", ""ja""))"),"PUR 7 カップ ブルー水ろ過ピッチャー")</f>
        <v>PUR 7 カップ ブルー水ろ過ピッチャー</v>
      </c>
    </row>
    <row r="6148" ht="15.75" customHeight="1">
      <c r="A6148" s="1">
        <v>7451.0</v>
      </c>
      <c r="B6148" s="1" t="s">
        <v>15</v>
      </c>
      <c r="C6148" s="1" t="s">
        <v>5070</v>
      </c>
      <c r="D6148" s="1" t="str">
        <f>IFERROR(__xludf.DUMMYFUNCTION("CONCATENATE(GOOGLETRANSLATE(C6148, ""en"", ""zh-cn""))"),"PUR Plus 水罐替换过滤器 3 件装")</f>
        <v>PUR Plus 水罐替换过滤器 3 件装</v>
      </c>
      <c r="E6148" s="1" t="str">
        <f>IFERROR(__xludf.DUMMYFUNCTION("CONCATENATE(GOOGLETRANSLATE(C6148, ""en"", ""ko""))"),"PUR 플러스 물 주전자 교체 필터 3팩")</f>
        <v>PUR 플러스 물 주전자 교체 필터 3팩</v>
      </c>
      <c r="F6148" s="1" t="str">
        <f>IFERROR(__xludf.DUMMYFUNCTION("CONCATENATE(GOOGLETRANSLATE(C6148, ""en"", ""ja""))"),"PUR Plus ウォーターピッチャー交換フィルター 3本パック")</f>
        <v>PUR Plus ウォーターピッチャー交換フィルター 3本パック</v>
      </c>
    </row>
    <row r="6149" ht="15.75" customHeight="1">
      <c r="A6149" s="1">
        <v>7462.0</v>
      </c>
      <c r="B6149" s="1" t="s">
        <v>15</v>
      </c>
      <c r="C6149" s="1" t="s">
        <v>5071</v>
      </c>
      <c r="D6149" s="1" t="str">
        <f>IFERROR(__xludf.DUMMYFUNCTION("CONCATENATE(GOOGLETRANSLATE(C6149, ""en"", ""zh-cn""))"),"Equate 米诺地尔局部溶液 5% 额外强度 2 盎司")</f>
        <v>Equate 米诺地尔局部溶液 5% 额外强度 2 盎司</v>
      </c>
      <c r="E6149" s="1" t="str">
        <f>IFERROR(__xludf.DUMMYFUNCTION("CONCATENATE(GOOGLETRANSLATE(C6149, ""en"", ""ko""))"),"Equate 미녹시딜 국소 용액 5% 추가 강도 2온스")</f>
        <v>Equate 미녹시딜 국소 용액 5% 추가 강도 2온스</v>
      </c>
      <c r="F6149" s="1" t="str">
        <f>IFERROR(__xludf.DUMMYFUNCTION("CONCATENATE(GOOGLETRANSLATE(C6149, ""en"", ""ja""))"),"Equate ミノキシジル局所ソリューション 5 パーセント エクストラ ストレングス 2 オンス")</f>
        <v>Equate ミノキシジル局所ソリューション 5 パーセント エクストラ ストレングス 2 オンス</v>
      </c>
    </row>
    <row r="6150" ht="15.75" customHeight="1">
      <c r="A6150" s="1">
        <v>7464.0</v>
      </c>
      <c r="B6150" s="1" t="s">
        <v>15</v>
      </c>
      <c r="C6150" s="1" t="s">
        <v>5072</v>
      </c>
      <c r="D6150" s="1" t="str">
        <f>IFERROR(__xludf.DUMMYFUNCTION("CONCATENATE(GOOGLETRANSLATE(C6150, ""en"", ""zh-cn""))"),"Equate 男士头发再生治疗 3 个月供应美国，（3 瓶")</f>
        <v>Equate 男士头发再生治疗 3 个月供应美国，（3 瓶</v>
      </c>
      <c r="E6150" s="1" t="str">
        <f>IFERROR(__xludf.DUMMYFUNCTION("CONCATENATE(GOOGLETRANSLATE(C6150, ""en"", ""ko""))"),"Eequate 남성용 모발 재성장 치료 3개월분 미국, (3병)")</f>
        <v>Eequate 남성용 모발 재성장 치료 3개월분 미국, (3병)</v>
      </c>
      <c r="F6150" s="1" t="str">
        <f>IFERROR(__xludf.DUMMYFUNCTION("CONCATENATE(GOOGLETRANSLATE(C6150, ""en"", ""ja""))"),"イクエイト 育毛トリートメント 男性用 3ヶ月分 アメリカ (3ボトル)")</f>
        <v>イクエイト 育毛トリートメント 男性用 3ヶ月分 アメリカ (3ボトル)</v>
      </c>
    </row>
    <row r="6151" ht="15.75" customHeight="1">
      <c r="A6151" s="1">
        <v>7468.0</v>
      </c>
      <c r="B6151" s="1" t="s">
        <v>15</v>
      </c>
      <c r="C6151" s="1" t="s">
        <v>5073</v>
      </c>
      <c r="D6151" s="1" t="str">
        <f>IFERROR(__xludf.DUMMYFUNCTION("CONCATENATE(GOOGLETRANSLATE(C6151, ""en"", ""zh-cn""))"),"Equate 女性头发再生局部解决方案，3 片")</f>
        <v>Equate 女性头发再生局部解决方案，3 片</v>
      </c>
      <c r="E6151" s="1" t="str">
        <f>IFERROR(__xludf.DUMMYFUNCTION("CONCATENATE(GOOGLETRANSLATE(C6151, ""en"", ""ko""))"),"Equate 모발 재성장 국소 솔루션 여성용, 3ct")</f>
        <v>Equate 모발 재성장 국소 솔루션 여성용, 3ct</v>
      </c>
      <c r="F6151" s="1" t="str">
        <f>IFERROR(__xludf.DUMMYFUNCTION("CONCATENATE(GOOGLETRANSLATE(C6151, ""en"", ""ja""))"),"イクエイト ヘア リグロース 局所ソリューション 女性用、3ct")</f>
        <v>イクエイト ヘア リグロース 局所ソリューション 女性用、3ct</v>
      </c>
    </row>
    <row r="6152" ht="15.75" customHeight="1">
      <c r="A6152" s="1">
        <v>7473.0</v>
      </c>
      <c r="B6152" s="1" t="s">
        <v>15</v>
      </c>
      <c r="C6152" s="1" t="s">
        <v>5074</v>
      </c>
      <c r="D6152" s="1" t="str">
        <f>IFERROR(__xludf.DUMMYFUNCTION("CONCATENATE(GOOGLETRANSLATE(C6152, ""en"", ""zh-cn""))"),"Equate 大便软化剂多库酯钠软胶囊")</f>
        <v>Equate 大便软化剂多库酯钠软胶囊</v>
      </c>
      <c r="E6152" s="1" t="str">
        <f>IFERROR(__xludf.DUMMYFUNCTION("CONCATENATE(GOOGLETRANSLATE(C6152, ""en"", ""ko""))"),"Equate 대변 연화제 Docusate 나트륨 소프트젤")</f>
        <v>Equate 대변 연화제 Docusate 나트륨 소프트젤</v>
      </c>
      <c r="F6152" s="1" t="str">
        <f>IFERROR(__xludf.DUMMYFUNCTION("CONCATENATE(GOOGLETRANSLATE(C6152, ""en"", ""ja""))"),"Equate 便軟化剤 Docusate ナトリウム ソフトジェル")</f>
        <v>Equate 便軟化剤 Docusate ナトリウム ソフトジェル</v>
      </c>
    </row>
    <row r="6153" ht="15.75" customHeight="1">
      <c r="A6153" s="1">
        <v>7485.0</v>
      </c>
      <c r="B6153" s="1" t="s">
        <v>15</v>
      </c>
      <c r="C6153" s="1" t="s">
        <v>5075</v>
      </c>
      <c r="D6153" s="1" t="str">
        <f>IFERROR(__xludf.DUMMYFUNCTION("CONCATENATE(GOOGLETRANSLATE(C6153, ""en"", ""zh-cn""))"),"Equate关节炎霜")</f>
        <v>Equate关节炎霜</v>
      </c>
      <c r="E6153" s="1" t="str">
        <f>IFERROR(__xludf.DUMMYFUNCTION("CONCATENATE(GOOGLETRANSLATE(C6153, ""en"", ""ko""))"),"동등한 관절염 크림")</f>
        <v>동등한 관절염 크림</v>
      </c>
      <c r="F6153" s="1" t="str">
        <f>IFERROR(__xludf.DUMMYFUNCTION("CONCATENATE(GOOGLETRANSLATE(C6153, ""en"", ""ja""))"),"エクエイト関節炎クリーム")</f>
        <v>エクエイト関節炎クリーム</v>
      </c>
    </row>
    <row r="6154" ht="15.75" customHeight="1">
      <c r="A6154" s="1">
        <v>7487.0</v>
      </c>
      <c r="B6154" s="1" t="s">
        <v>15</v>
      </c>
      <c r="C6154" s="1" t="s">
        <v>5076</v>
      </c>
      <c r="D6154" s="1" t="str">
        <f>IFERROR(__xludf.DUMMYFUNCTION("CONCATENATE(GOOGLETRANSLATE(C6154, ""en"", ""zh-cn""))"),"Equate 噻康唑 1 天治疗，阴道抗真菌药，4.6 克")</f>
        <v>Equate 噻康唑 1 天治疗，阴道抗真菌药，4.6 克</v>
      </c>
      <c r="E6154" s="1" t="str">
        <f>IFERROR(__xludf.DUMMYFUNCTION("CONCATENATE(GOOGLETRANSLATE(C6154, ""en"", ""ko""))"),"Equate Tioconazole 1일 치료, 질 항진균제, 4.6그램")</f>
        <v>Equate Tioconazole 1일 치료, 질 항진균제, 4.6그램</v>
      </c>
      <c r="F6154" s="1" t="str">
        <f>IFERROR(__xludf.DUMMYFUNCTION("CONCATENATE(GOOGLETRANSLATE(C6154, ""en"", ""ja""))"),"Equate チオコナゾール 1 日治療、膣用抗真菌薬、4.6 グラム")</f>
        <v>Equate チオコナゾール 1 日治療、膣用抗真菌薬、4.6 グラム</v>
      </c>
    </row>
    <row r="6155" ht="15.75" customHeight="1">
      <c r="A6155" s="1">
        <v>7489.0</v>
      </c>
      <c r="B6155" s="1" t="s">
        <v>15</v>
      </c>
      <c r="C6155" s="1" t="s">
        <v>5077</v>
      </c>
      <c r="D6155" s="1" t="str">
        <f>IFERROR(__xludf.DUMMYFUNCTION("CONCATENATE(GOOGLETRANSLATE(C6155, ""en"", ""zh-cn""))"),"2 件 Equate 女性头发再生护理泡沫，两个月用量")</f>
        <v>2 件 Equate 女性头发再生护理泡沫，两个月用量</v>
      </c>
      <c r="E6155" s="1" t="str">
        <f>IFERROR(__xludf.DUMMYFUNCTION("CONCATENATE(GOOGLETRANSLATE(C6155, ""en"", ""ko""))"),"2 X Equate 여성 모발 재성장 트리트먼트, 폼 2개월분")</f>
        <v>2 X Equate 여성 모발 재성장 트리트먼트, 폼 2개월분</v>
      </c>
      <c r="F6155" s="1" t="str">
        <f>IFERROR(__xludf.DUMMYFUNCTION("CONCATENATE(GOOGLETRANSLATE(C6155, ""en"", ""ja""))"),"2 X Equate 女性発毛トリートメント、フォーム 2 か月分")</f>
        <v>2 X Equate 女性発毛トリートメント、フォーム 2 か月分</v>
      </c>
    </row>
    <row r="6156" ht="15.75" customHeight="1">
      <c r="A6156" s="1">
        <v>7491.0</v>
      </c>
      <c r="B6156" s="1" t="s">
        <v>15</v>
      </c>
      <c r="C6156" s="1" t="s">
        <v>5078</v>
      </c>
      <c r="D6156" s="1" t="str">
        <f>IFERROR(__xludf.DUMMYFUNCTION("CONCATENATE(GOOGLETRANSLATE(C6156, ""en"", ""zh-cn""))"),"Equate 大便软化剂加刺激性泻药片治疗便秘，120 片")</f>
        <v>Equate 大便软化剂加刺激性泻药片治疗便秘，120 片</v>
      </c>
      <c r="E6156" s="1" t="str">
        <f>IFERROR(__xludf.DUMMYFUNCTION("CONCATENATE(GOOGLETRANSLATE(C6156, ""en"", ""ko""))"),"Equate 대변 연화제 및 변비용 자극 완하제 정제, 120개")</f>
        <v>Equate 대변 연화제 및 변비용 자극 완하제 정제, 120개</v>
      </c>
      <c r="F6156" s="1" t="str">
        <f>IFERROR(__xludf.DUMMYFUNCTION("CONCATENATE(GOOGLETRANSLATE(C6156, ""en"", ""ja""))"),"エクエイト 便軟化剤プラス刺激剤下剤便秘用錠剤、120 錠")</f>
        <v>エクエイト 便軟化剤プラス刺激剤下剤便秘用錠剤、120 錠</v>
      </c>
    </row>
    <row r="6157" ht="15.75" customHeight="1">
      <c r="A6157" s="1">
        <v>7494.0</v>
      </c>
      <c r="B6157" s="1" t="s">
        <v>15</v>
      </c>
      <c r="C6157" s="1" t="s">
        <v>5079</v>
      </c>
      <c r="D6157" s="1" t="str">
        <f>IFERROR(__xludf.DUMMYFUNCTION("CONCATENATE(GOOGLETRANSLATE(C6157, ""en"", ""zh-cn""))"),"同等最大强度胶囊可缓解严重鼻窦和充血，")</f>
        <v>同等最大强度胶囊可缓解严重鼻窦和充血，</v>
      </c>
      <c r="E6157" s="1" t="str">
        <f>IFERROR(__xludf.DUMMYFUNCTION("CONCATENATE(GOOGLETRANSLATE(C6157, ""en"", ""ko""))"),"심한 부비동염 및 혼잡 완화를 위해 최대 강도의 캐플릿을 동일시하십시오.")</f>
        <v>심한 부비동염 및 혼잡 완화를 위해 최대 강도의 캐플릿을 동일시하십시오.</v>
      </c>
      <c r="F6157" s="1" t="str">
        <f>IFERROR(__xludf.DUMMYFUNCTION("CONCATENATE(GOOGLETRANSLATE(C6157, ""en"", ""ja""))"),"重度の副鼻腔炎およびうっ血の緩和に最大強度のカプレットを同等とみなします。")</f>
        <v>重度の副鼻腔炎およびうっ血の緩和に最大強度のカプレットを同等とみなします。</v>
      </c>
    </row>
    <row r="6158" ht="15.75" customHeight="1">
      <c r="A6158" s="1">
        <v>7495.0</v>
      </c>
      <c r="B6158" s="1" t="s">
        <v>15</v>
      </c>
      <c r="C6158" s="1" t="s">
        <v>5080</v>
      </c>
      <c r="D6158" s="1" t="str">
        <f>IFERROR(__xludf.DUMMYFUNCTION("CONCATENATE(GOOGLETRANSLATE(C6158, ""en"", ""zh-cn""))"),"Equate Beauty无油深层清洁水杨酸收敛水")</f>
        <v>Equate Beauty无油深层清洁水杨酸收敛水</v>
      </c>
      <c r="E6158" s="1" t="str">
        <f>IFERROR(__xludf.DUMMYFUNCTION("CONCATENATE(GOOGLETRANSLATE(C6158, ""en"", ""ko""))"),"Equate Beauty 오일프리 딥 클리닝 살리실산 수렴제")</f>
        <v>Equate Beauty 오일프리 딥 클리닝 살리실산 수렴제</v>
      </c>
      <c r="F6158" s="1" t="str">
        <f>IFERROR(__xludf.DUMMYFUNCTION("CONCATENATE(GOOGLETRANSLATE(C6158, ""en"", ""ja""))"),"Equate Beauty オイルフリーディープクリーニング サリチル酸収斂剤")</f>
        <v>Equate Beauty オイルフリーディープクリーニング サリチル酸収斂剤</v>
      </c>
    </row>
    <row r="6159" ht="15.75" customHeight="1">
      <c r="A6159" s="1">
        <v>7499.0</v>
      </c>
      <c r="B6159" s="1" t="s">
        <v>15</v>
      </c>
      <c r="C6159" s="1" t="s">
        <v>5081</v>
      </c>
      <c r="D6159" s="1" t="str">
        <f>IFERROR(__xludf.DUMMYFUNCTION("CONCATENATE(GOOGLETRANSLATE(C6159, ""en"", ""zh-cn""))"),"Equate 氢化可的松强效修复霜，2 盎司")</f>
        <v>Equate 氢化可的松强效修复霜，2 盎司</v>
      </c>
      <c r="E6159" s="1" t="str">
        <f>IFERROR(__xludf.DUMMYFUNCTION("CONCATENATE(GOOGLETRANSLATE(C6159, ""en"", ""ko""))"),"Equate 하이드로코르티손 인텐스 힐링 크림, 2온스")</f>
        <v>Equate 하이드로코르티손 인텐스 힐링 크림, 2온스</v>
      </c>
      <c r="F6159" s="1" t="str">
        <f>IFERROR(__xludf.DUMMYFUNCTION("CONCATENATE(GOOGLETRANSLATE(C6159, ""en"", ""ja""))"),"Equate ヒドロコルチゾン インテンス ヒーリング クリーム、2 オンス")</f>
        <v>Equate ヒドロコルチゾン インテンス ヒーリング クリーム、2 オンス</v>
      </c>
    </row>
    <row r="6160" ht="15.75" customHeight="1">
      <c r="A6160" s="1">
        <v>7502.0</v>
      </c>
      <c r="B6160" s="1" t="s">
        <v>15</v>
      </c>
      <c r="C6160" s="1" t="s">
        <v>2044</v>
      </c>
      <c r="D6160" s="1" t="str">
        <f>IFERROR(__xludf.DUMMYFUNCTION("CONCATENATE(GOOGLETRANSLATE(C6160, ""en"", ""zh-cn""))"),"Hi Pro Pac 极度受损头发强效蛋白质护理")</f>
        <v>Hi Pro Pac 极度受损头发强效蛋白质护理</v>
      </c>
      <c r="E6160" s="1" t="str">
        <f>IFERROR(__xludf.DUMMYFUNCTION("CONCATENATE(GOOGLETRANSLATE(C6160, ""en"", ""ko""))"),"하이프로팩 ​​극손상 모발 인텐스 프로틴 트리트먼트")</f>
        <v>하이프로팩 ​​극손상 모발 인텐스 프로틴 트리트먼트</v>
      </c>
      <c r="F6160" s="1" t="str">
        <f>IFERROR(__xludf.DUMMYFUNCTION("CONCATENATE(GOOGLETRANSLATE(C6160, ""en"", ""ja""))"),"Hi Pro Pac 極度ダメージヘア インテンス プロテイン トリートメント")</f>
        <v>Hi Pro Pac 極度ダメージヘア インテンス プロテイン トリートメント</v>
      </c>
    </row>
    <row r="6161" ht="15.75" customHeight="1">
      <c r="A6161" s="1">
        <v>7509.0</v>
      </c>
      <c r="B6161" s="1" t="s">
        <v>15</v>
      </c>
      <c r="C6161" s="1" t="s">
        <v>5082</v>
      </c>
      <c r="D6161" s="1" t="str">
        <f>IFERROR(__xludf.DUMMYFUNCTION("CONCATENATE(GOOGLETRANSLATE(C6161, ""en"", ""zh-cn""))"),"Hi Pro Pac 深层修复发膜摩洛哥修复摩洛哥坚果油")</f>
        <v>Hi Pro Pac 深层修复发膜摩洛哥修复摩洛哥坚果油</v>
      </c>
      <c r="E6161" s="1" t="str">
        <f>IFERROR(__xludf.DUMMYFUNCTION("CONCATENATE(GOOGLETRANSLATE(C6161, ""en"", ""ko""))"),"하이프로팩 ​​딥 리페어 헤어 마스크 모로칸 멘드 아르간 오일")</f>
        <v>하이프로팩 ​​딥 리페어 헤어 마스크 모로칸 멘드 아르간 오일</v>
      </c>
      <c r="F6161" s="1" t="str">
        <f>IFERROR(__xludf.DUMMYFUNCTION("CONCATENATE(GOOGLETRANSLATE(C6161, ""en"", ""ja""))"),"ハイプロパックディープリペアヘアマスクモロッカンメンドアルガンオイル")</f>
        <v>ハイプロパックディープリペアヘアマスクモロッカンメンドアルガンオイル</v>
      </c>
    </row>
    <row r="6162" ht="15.75" customHeight="1">
      <c r="A6162" s="1">
        <v>7513.0</v>
      </c>
      <c r="B6162" s="1" t="s">
        <v>15</v>
      </c>
      <c r="C6162" s="1" t="s">
        <v>5083</v>
      </c>
      <c r="D6162" s="1" t="str">
        <f>IFERROR(__xludf.DUMMYFUNCTION("CONCATENATE(GOOGLETRANSLATE(C6162, ""en"", ""zh-cn""))"),"Hi-pro-pac 强效蛋白质护理修复极度受损的头发")</f>
        <v>Hi-pro-pac 强效蛋白质护理修复极度受损的头发</v>
      </c>
      <c r="E6162" s="1" t="str">
        <f>IFERROR(__xludf.DUMMYFUNCTION("CONCATENATE(GOOGLETRANSLATE(C6162, ""en"", ""ko""))"),"극도로 손상된 모발을 복구하는 하이프로팩 ​​인텐스 프로틴 트리트먼트")</f>
        <v>극도로 손상된 모발을 복구하는 하이프로팩 ​​인텐스 프로틴 트리트먼트</v>
      </c>
      <c r="F6162" s="1" t="str">
        <f>IFERROR(__xludf.DUMMYFUNCTION("CONCATENATE(GOOGLETRANSLATE(C6162, ""en"", ""ja""))"),"極度にダメージを受けた髪を補修するハイプロパック インテンス プロテイン トリートメント")</f>
        <v>極度にダメージを受けた髪を補修するハイプロパック インテンス プロテイン トリートメント</v>
      </c>
    </row>
    <row r="6163" ht="15.75" customHeight="1">
      <c r="A6163" s="1">
        <v>7514.0</v>
      </c>
      <c r="B6163" s="1" t="s">
        <v>15</v>
      </c>
      <c r="C6163" s="1" t="s">
        <v>5084</v>
      </c>
      <c r="D6163" s="1" t="str">
        <f>IFERROR(__xludf.DUMMYFUNCTION("CONCATENATE(GOOGLETRANSLATE(C6163, ""en"", ""zh-cn""))"),"Hi Pro Pac 极度受损头发修复强效蛋白质护发素，8 液体盎司")</f>
        <v>Hi Pro Pac 极度受损头发修复强效蛋白质护发素，8 液体盎司</v>
      </c>
      <c r="E6163" s="1" t="str">
        <f>IFERROR(__xludf.DUMMYFUNCTION("CONCATENATE(GOOGLETRANSLATE(C6163, ""en"", ""ko""))"),"Hi Pro Pac 극도로 손상된 헤어 리페어 인텐스 프로틴 헤어 트리트먼트, 8 Fl Oz")</f>
        <v>Hi Pro Pac 극도로 손상된 헤어 리페어 인텐스 프로틴 헤어 트리트먼트, 8 Fl Oz</v>
      </c>
      <c r="F6163" s="1" t="str">
        <f>IFERROR(__xludf.DUMMYFUNCTION("CONCATENATE(GOOGLETRANSLATE(C6163, ""en"", ""ja""))"),"Hi Pro Pac 極度にダメージを受けたヘアリペア インテンス プロテイン ヘア トリートメント、8 液量オンス")</f>
        <v>Hi Pro Pac 極度にダメージを受けたヘアリペア インテンス プロテイン ヘア トリートメント、8 液量オンス</v>
      </c>
    </row>
    <row r="6164" ht="15.75" customHeight="1">
      <c r="A6164" s="1">
        <v>7515.0</v>
      </c>
      <c r="B6164" s="1" t="s">
        <v>15</v>
      </c>
      <c r="C6164" s="1" t="s">
        <v>5085</v>
      </c>
      <c r="D6164" s="1" t="str">
        <f>IFERROR(__xludf.DUMMYFUNCTION("CONCATENATE(GOOGLETRANSLATE(C6164, ""en"", ""zh-cn""))"),"Hi-Pro-Pac 颜色处理和高亮强化蛋白质处理（6 件装）")</f>
        <v>Hi-Pro-Pac 颜色处理和高亮强化蛋白质处理（6 件装）</v>
      </c>
      <c r="E6164" s="1" t="str">
        <f>IFERROR(__xludf.DUMMYFUNCTION("CONCATENATE(GOOGLETRANSLATE(C6164, ""en"", ""ko""))"),"하이프로팩 ​​컬러 트리티드 &amp; 하이라이티드 인텐스 프로틴 트리트먼트 (6팩)")</f>
        <v>하이프로팩 ​​컬러 트리티드 &amp; 하이라이티드 인텐스 프로틴 트리트먼트 (6팩)</v>
      </c>
      <c r="F6164" s="1" t="str">
        <f>IFERROR(__xludf.DUMMYFUNCTION("CONCATENATE(GOOGLETRANSLATE(C6164, ""en"", ""ja""))"),"Hi-Pro-Pac カラー トリートメント &amp; ハイライト インテンス プロテイン トリートメント (6 個パック)")</f>
        <v>Hi-Pro-Pac カラー トリートメント &amp; ハイライト インテンス プロテイン トリートメント (6 個パック)</v>
      </c>
    </row>
    <row r="6165" ht="15.75" customHeight="1">
      <c r="A6165" s="1">
        <v>7522.0</v>
      </c>
      <c r="B6165" s="1" t="s">
        <v>15</v>
      </c>
      <c r="C6165" s="1" t="s">
        <v>5086</v>
      </c>
      <c r="D6165" s="1" t="str">
        <f>IFERROR(__xludf.DUMMYFUNCTION("CONCATENATE(GOOGLETRANSLATE(C6165, ""en"", ""zh-cn""))"),"Demert Hi-Pro-Pac 椰子油和非洲乳木果油发膜")</f>
        <v>Demert Hi-Pro-Pac 椰子油和非洲乳木果油发膜</v>
      </c>
      <c r="E6165" s="1" t="str">
        <f>IFERROR(__xludf.DUMMYFUNCTION("CONCATENATE(GOOGLETRANSLATE(C6165, ""en"", ""ko""))"),"Demert Hi-Pro-Pac 코코넛 오일 &amp; 아프리카 시어 버터 헤어 마스크")</f>
        <v>Demert Hi-Pro-Pac 코코넛 오일 &amp; 아프리카 시어 버터 헤어 마스크</v>
      </c>
      <c r="F6165" s="1" t="str">
        <f>IFERROR(__xludf.DUMMYFUNCTION("CONCATENATE(GOOGLETRANSLATE(C6165, ""en"", ""ja""))"),"デマート ハイプロパック ココナッツオイル &amp; アフリカン シアバター ヘアマスク")</f>
        <v>デマート ハイプロパック ココナッツオイル &amp; アフリカン シアバター ヘアマスク</v>
      </c>
    </row>
    <row r="6166" ht="15.75" customHeight="1">
      <c r="A6166" s="1">
        <v>7525.0</v>
      </c>
      <c r="B6166" s="1" t="s">
        <v>15</v>
      </c>
      <c r="C6166" s="1" t="s">
        <v>5087</v>
      </c>
      <c r="D6166" s="1" t="str">
        <f>IFERROR(__xludf.DUMMYFUNCTION("CONCATENATE(GOOGLETRANSLATE(C6166, ""en"", ""zh-cn""))"),"Hi-Pro-Pac 摩洛哥坚果油深层修复面膜")</f>
        <v>Hi-Pro-Pac 摩洛哥坚果油深层修复面膜</v>
      </c>
      <c r="E6166" s="1" t="str">
        <f>IFERROR(__xludf.DUMMYFUNCTION("CONCATENATE(GOOGLETRANSLATE(C6166, ""en"", ""ko""))"),"하이프로팩 ​​모로칸 아르간 오일 딥 리페어 마스크")</f>
        <v>하이프로팩 ​​모로칸 아르간 오일 딥 리페어 마스크</v>
      </c>
      <c r="F6166" s="1" t="str">
        <f>IFERROR(__xludf.DUMMYFUNCTION("CONCATENATE(GOOGLETRANSLATE(C6166, ""en"", ""ja""))"),"ハイプロパック モロッカン アルガン オイル ディープ リペア マスク")</f>
        <v>ハイプロパック モロッカン アルガン オイル ディープ リペア マスク</v>
      </c>
    </row>
    <row r="6167" ht="15.75" customHeight="1">
      <c r="A6167" s="1">
        <v>7537.0</v>
      </c>
      <c r="B6167" s="1" t="s">
        <v>15</v>
      </c>
      <c r="C6167" s="1" t="s">
        <v>5088</v>
      </c>
      <c r="D6167" s="1" t="str">
        <f>IFERROR(__xludf.DUMMYFUNCTION("CONCATENATE(GOOGLETRANSLATE(C6167, ""en"", ""zh-cn""))"),"Hi-Pro-Pac 极度受损头发修复 - 8 液量盎司 - 强效蛋白质护理发膜 - 深层调理头发，强化头发并帮助预防")</f>
        <v>Hi-Pro-Pac 极度受损头发修复 - 8 液量盎司 - 强效蛋白质护理发膜 - 深层调理头发，强化头发并帮助预防</v>
      </c>
      <c r="E6167" s="1" t="str">
        <f>IFERROR(__xludf.DUMMYFUNCTION("CONCATENATE(GOOGLETRANSLATE(C6167, ""en"", ""ko""))"),"Hi-Pro-Pac 극도로 손상된 헤어 리페어 - 8 액량 온스 - 강렬한 단백질 트리트먼트 헤어 마스크 - 모발 깊숙히 컨디셔닝하여 모발을 강화하고 예방에 도움")</f>
        <v>Hi-Pro-Pac 극도로 손상된 헤어 리페어 - 8 액량 온스 - 강렬한 단백질 트리트먼트 헤어 마스크 - 모발 깊숙히 컨디셔닝하여 모발을 강화하고 예방에 도움</v>
      </c>
      <c r="F6167" s="1" t="str">
        <f>IFERROR(__xludf.DUMMYFUNCTION("CONCATENATE(GOOGLETRANSLATE(C6167, ""en"", ""ja""))"),"Hi-Pro-Pac 極度にダメージを受けた髪の修復 - 8 液量オンス - 強力なプロテイン トリートメント ヘアマスク - 髪を深くコンディショニングし、髪を強化し、髪のダメージを防ぎます。")</f>
        <v>Hi-Pro-Pac 極度にダメージを受けた髪の修復 - 8 液量オンス - 強力なプロテイン トリートメント ヘアマスク - 髪を深くコンディショニングし、髪を強化し、髪のダメージを防ぎます。</v>
      </c>
    </row>
    <row r="6168" ht="15.75" customHeight="1">
      <c r="A6168" s="1">
        <v>7544.0</v>
      </c>
      <c r="B6168" s="1" t="s">
        <v>15</v>
      </c>
      <c r="C6168" s="1" t="s">
        <v>2981</v>
      </c>
      <c r="D6168" s="1" t="str">
        <f>IFERROR(__xludf.DUMMYFUNCTION("CONCATENATE(GOOGLETRANSLATE(C6168, ""en"", ""zh-cn""))"),"露得清 Hydro Boost 水凝胶")</f>
        <v>露得清 Hydro Boost 水凝胶</v>
      </c>
      <c r="E6168" s="1" t="str">
        <f>IFERROR(__xludf.DUMMYFUNCTION("CONCATENATE(GOOGLETRANSLATE(C6168, ""en"", ""ko""))"),"하이드로 부스트 워터 젤 뉴트로지나")</f>
        <v>하이드로 부스트 워터 젤 뉴트로지나</v>
      </c>
      <c r="F6168" s="1" t="str">
        <f>IFERROR(__xludf.DUMMYFUNCTION("CONCATENATE(GOOGLETRANSLATE(C6168, ""en"", ""ja""))"),"ハイドロ ブースト ウォーター ジェル ニュートロジーナ")</f>
        <v>ハイドロ ブースト ウォーター ジェル ニュートロジーナ</v>
      </c>
    </row>
    <row r="6169" ht="15.75" customHeight="1">
      <c r="A6169" s="1">
        <v>7546.0</v>
      </c>
      <c r="B6169" s="1" t="s">
        <v>15</v>
      </c>
      <c r="C6169" s="1" t="s">
        <v>2982</v>
      </c>
      <c r="D6169" s="1" t="str">
        <f>IFERROR(__xludf.DUMMYFUNCTION("CONCATENATE(GOOGLETRANSLATE(C6169, ""en"", ""zh-cn""))"),"露得清 (Neutrogena) 顽固疤痕 PM 治疗")</f>
        <v>露得清 (Neutrogena) 顽固疤痕 PM 治疗</v>
      </c>
      <c r="E6169" s="1" t="str">
        <f>IFERROR(__xludf.DUMMYFUNCTION("CONCATENATE(GOOGLETRANSLATE(C6169, ""en"", ""ko""))"),"뉴트로지나 스터번 마크 PM 트리트먼트")</f>
        <v>뉴트로지나 스터번 마크 PM 트리트먼트</v>
      </c>
      <c r="F6169" s="1" t="str">
        <f>IFERROR(__xludf.DUMMYFUNCTION("CONCATENATE(GOOGLETRANSLATE(C6169, ""en"", ""ja""))"),"ニュートロジーナ 頑固なマーク PM トリートメント")</f>
        <v>ニュートロジーナ 頑固なマーク PM トリートメント</v>
      </c>
    </row>
    <row r="6170" ht="15.75" customHeight="1">
      <c r="A6170" s="1">
        <v>7548.0</v>
      </c>
      <c r="B6170" s="1" t="s">
        <v>15</v>
      </c>
      <c r="C6170" s="1" t="s">
        <v>4270</v>
      </c>
      <c r="D6170" s="1" t="str">
        <f>IFERROR(__xludf.DUMMYFUNCTION("CONCATENATE(GOOGLETRANSLATE(C6170, ""en"", ""zh-cn""))"),"露得清顽固身体痤疮治疗喷雾")</f>
        <v>露得清顽固身体痤疮治疗喷雾</v>
      </c>
      <c r="E6170" s="1" t="str">
        <f>IFERROR(__xludf.DUMMYFUNCTION("CONCATENATE(GOOGLETRANSLATE(C6170, ""en"", ""ko""))"),"뉴트로지나 스터번 바디 아크네 트리트먼트 스프레이")</f>
        <v>뉴트로지나 스터번 바디 아크네 트리트먼트 스프레이</v>
      </c>
      <c r="F6170" s="1" t="str">
        <f>IFERROR(__xludf.DUMMYFUNCTION("CONCATENATE(GOOGLETRANSLATE(C6170, ""en"", ""ja""))"),"ニュートロジーナ 頑固なボディニキビ治療スプレー")</f>
        <v>ニュートロジーナ 頑固なボディニキビ治療スプレー</v>
      </c>
    </row>
    <row r="6171" ht="15.75" customHeight="1">
      <c r="A6171" s="1">
        <v>7558.0</v>
      </c>
      <c r="B6171" s="1" t="s">
        <v>15</v>
      </c>
      <c r="C6171" s="1" t="s">
        <v>2979</v>
      </c>
      <c r="D6171" s="1" t="str">
        <f>IFERROR(__xludf.DUMMYFUNCTION("CONCATENATE(GOOGLETRANSLATE(C6171, ""en"", ""zh-cn""))"),"露得清强效修复积雪草膏")</f>
        <v>露得清强效修复积雪草膏</v>
      </c>
      <c r="E6171" s="1" t="str">
        <f>IFERROR(__xludf.DUMMYFUNCTION("CONCATENATE(GOOGLETRANSLATE(C6171, ""en"", ""ko""))"),"뉴트로지나 인텐스 리페어 시카 밤")</f>
        <v>뉴트로지나 인텐스 리페어 시카 밤</v>
      </c>
      <c r="F6171" s="1" t="str">
        <f>IFERROR(__xludf.DUMMYFUNCTION("CONCATENATE(GOOGLETRANSLATE(C6171, ""en"", ""ja""))"),"ニュートロジーナ インテンスリペア シカバーム")</f>
        <v>ニュートロジーナ インテンスリペア シカバーム</v>
      </c>
    </row>
    <row r="6172" ht="15.75" customHeight="1">
      <c r="A6172" s="1">
        <v>7565.0</v>
      </c>
      <c r="B6172" s="1" t="s">
        <v>15</v>
      </c>
      <c r="C6172" s="1" t="s">
        <v>2536</v>
      </c>
      <c r="D6172" s="1" t="str">
        <f>IFERROR(__xludf.DUMMYFUNCTION("CONCATENATE(GOOGLETRANSLATE(C6172, ""en"", ""zh-cn""))"),"露得清可见修复视黄醇精华液")</f>
        <v>露得清可见修复视黄醇精华液</v>
      </c>
      <c r="E6172" s="1" t="str">
        <f>IFERROR(__xludf.DUMMYFUNCTION("CONCATENATE(GOOGLETRANSLATE(C6172, ""en"", ""ko""))"),"뉴트로지나 비저블 리페어 레티놀 세럼")</f>
        <v>뉴트로지나 비저블 리페어 레티놀 세럼</v>
      </c>
      <c r="F6172" s="1" t="str">
        <f>IFERROR(__xludf.DUMMYFUNCTION("CONCATENATE(GOOGLETRANSLATE(C6172, ""en"", ""ja""))"),"ニュートロジーナ ビジブル リペア レチノール セラム")</f>
        <v>ニュートロジーナ ビジブル リペア レチノール セラム</v>
      </c>
    </row>
    <row r="6173" ht="15.75" customHeight="1">
      <c r="A6173" s="1">
        <v>7566.0</v>
      </c>
      <c r="B6173" s="1" t="s">
        <v>15</v>
      </c>
      <c r="C6173" s="1" t="s">
        <v>2054</v>
      </c>
      <c r="D6173" s="1" t="str">
        <f>IFERROR(__xludf.DUMMYFUNCTION("CONCATENATE(GOOGLETRANSLATE(C6173, ""en"", ""zh-cn""))"),"露得清 Hydro Boost 身体凝胶霜")</f>
        <v>露得清 Hydro Boost 身体凝胶霜</v>
      </c>
      <c r="E6173" s="1" t="str">
        <f>IFERROR(__xludf.DUMMYFUNCTION("CONCATENATE(GOOGLETRANSLATE(C6173, ""en"", ""ko""))"),"뉴트로지나 하이드로 부스트 바디 젤 크림")</f>
        <v>뉴트로지나 하이드로 부스트 바디 젤 크림</v>
      </c>
      <c r="F6173" s="1" t="str">
        <f>IFERROR(__xludf.DUMMYFUNCTION("CONCATENATE(GOOGLETRANSLATE(C6173, ""en"", ""ja""))"),"ニュートロジーナ ハイドロ ブースト ボディ ジェル クリーム")</f>
        <v>ニュートロジーナ ハイドロ ブースト ボディ ジェル クリーム</v>
      </c>
    </row>
    <row r="6174" ht="15.75" customHeight="1">
      <c r="A6174" s="1">
        <v>7578.0</v>
      </c>
      <c r="B6174" s="1" t="s">
        <v>15</v>
      </c>
      <c r="C6174" s="1" t="s">
        <v>2533</v>
      </c>
      <c r="D6174" s="1" t="str">
        <f>IFERROR(__xludf.DUMMYFUNCTION("CONCATENATE(GOOGLETRANSLATE(C6174, ""en"", ""zh-cn""))"),"露得清痤疮 AM 治疗，2 盎司 - 每箱 12 颗")</f>
        <v>露得清痤疮 AM 治疗，2 盎司 - 每箱 12 颗</v>
      </c>
      <c r="E6174" s="1" t="str">
        <f>IFERROR(__xludf.DUMMYFUNCTION("CONCATENATE(GOOGLETRANSLATE(C6174, ""en"", ""ko""))"),"뉴트로지나 아크네 AM 트리트먼트, 2온스 - 케이스당 12개")</f>
        <v>뉴트로지나 아크네 AM 트리트먼트, 2온스 - 케이스당 12개</v>
      </c>
      <c r="F6174" s="1" t="str">
        <f>IFERROR(__xludf.DUMMYFUNCTION("CONCATENATE(GOOGLETRANSLATE(C6174, ""en"", ""ja""))"),"ニュートロジーナ アクネ AM トリートメント、2 オンス -- 1 ケースあたり 12 個")</f>
        <v>ニュートロジーナ アクネ AM トリートメント、2 オンス -- 1 ケースあたり 12 個</v>
      </c>
    </row>
    <row r="6175" ht="15.75" customHeight="1">
      <c r="A6175" s="1">
        <v>7583.0</v>
      </c>
      <c r="B6175" s="1" t="s">
        <v>15</v>
      </c>
      <c r="C6175" s="1" t="s">
        <v>4681</v>
      </c>
      <c r="D6175" s="1" t="str">
        <f>IFERROR(__xludf.DUMMYFUNCTION("CONCATENATE(GOOGLETRANSLATE(C6175, ""en"", ""zh-cn""))"),"Neutrogena Clear &amp; DEFEND+ 每日精华液")</f>
        <v>Neutrogena Clear &amp; DEFEND+ 每日精华液</v>
      </c>
      <c r="E6175" s="1" t="str">
        <f>IFERROR(__xludf.DUMMYFUNCTION("CONCATENATE(GOOGLETRANSLATE(C6175, ""en"", ""ko""))"),"뉴트로지나 클리어 &amp; 디펜스+ 데일리 세럼")</f>
        <v>뉴트로지나 클리어 &amp; 디펜스+ 데일리 세럼</v>
      </c>
      <c r="F6175" s="1" t="str">
        <f>IFERROR(__xludf.DUMMYFUNCTION("CONCATENATE(GOOGLETRANSLATE(C6175, ""en"", ""ja""))"),"ニュートロジーナ クリア &amp; DEFEND+ デイリー セラム")</f>
        <v>ニュートロジーナ クリア &amp; DEFEND+ デイリー セラム</v>
      </c>
    </row>
    <row r="6176" ht="15.75" customHeight="1">
      <c r="A6176" s="1">
        <v>7592.0</v>
      </c>
      <c r="B6176" s="1" t="s">
        <v>15</v>
      </c>
      <c r="C6176" s="1" t="s">
        <v>3854</v>
      </c>
      <c r="D6176" s="1" t="str">
        <f>IFERROR(__xludf.DUMMYFUNCTION("CONCATENATE(GOOGLETRANSLATE(C6176, ""en"", ""zh-cn""))"),"露得清非常干燥和受损的脚霜")</f>
        <v>露得清非常干燥和受损的脚霜</v>
      </c>
      <c r="E6176" s="1" t="str">
        <f>IFERROR(__xludf.DUMMYFUNCTION("CONCATENATE(GOOGLETRANSLATE(C6176, ""en"", ""ko""))"),"뉴트로지나 베리 드라이 앤 데미지 피트 크림")</f>
        <v>뉴트로지나 베리 드라이 앤 데미지 피트 크림</v>
      </c>
      <c r="F6176" s="1" t="str">
        <f>IFERROR(__xludf.DUMMYFUNCTION("CONCATENATE(GOOGLETRANSLATE(C6176, ""en"", ""ja""))"),"ニュートロジーナ ベリードライ＆ダメージフィートクリーム")</f>
        <v>ニュートロジーナ ベリードライ＆ダメージフィートクリーム</v>
      </c>
    </row>
    <row r="6177" ht="15.75" customHeight="1">
      <c r="A6177" s="1">
        <v>7595.0</v>
      </c>
      <c r="B6177" s="1" t="s">
        <v>15</v>
      </c>
      <c r="C6177" s="1" t="s">
        <v>2054</v>
      </c>
      <c r="D6177" s="1" t="str">
        <f>IFERROR(__xludf.DUMMYFUNCTION("CONCATENATE(GOOGLETRANSLATE(C6177, ""en"", ""zh-cn""))"),"露得清 Hydro Boost 身体凝胶霜")</f>
        <v>露得清 Hydro Boost 身体凝胶霜</v>
      </c>
      <c r="E6177" s="1" t="str">
        <f>IFERROR(__xludf.DUMMYFUNCTION("CONCATENATE(GOOGLETRANSLATE(C6177, ""en"", ""ko""))"),"뉴트로지나 하이드로 부스트 바디 젤 크림")</f>
        <v>뉴트로지나 하이드로 부스트 바디 젤 크림</v>
      </c>
      <c r="F6177" s="1" t="str">
        <f>IFERROR(__xludf.DUMMYFUNCTION("CONCATENATE(GOOGLETRANSLATE(C6177, ""en"", ""ja""))"),"ニュートロジーナ ハイドロ ブースト ボディ ジェル クリーム")</f>
        <v>ニュートロジーナ ハイドロ ブースト ボディ ジェル クリーム</v>
      </c>
    </row>
    <row r="6178" ht="15.75" customHeight="1">
      <c r="A6178" s="1">
        <v>7596.0</v>
      </c>
      <c r="B6178" s="1" t="s">
        <v>15</v>
      </c>
      <c r="C6178" s="1" t="s">
        <v>2975</v>
      </c>
      <c r="D6178" s="1" t="str">
        <f>IFERROR(__xludf.DUMMYFUNCTION("CONCATENATE(GOOGLETRANSLATE(C6178, ""en"", ""zh-cn""))"),"露得清透明防御快速凝胶")</f>
        <v>露得清透明防御快速凝胶</v>
      </c>
      <c r="E6178" s="1" t="str">
        <f>IFERROR(__xludf.DUMMYFUNCTION("CONCATENATE(GOOGLETRANSLATE(C6178, ""en"", ""ko""))"),"뉴트로지나 클리어 앤 디펜드 래피드 젤")</f>
        <v>뉴트로지나 클리어 앤 디펜드 래피드 젤</v>
      </c>
      <c r="F6178" s="1" t="str">
        <f>IFERROR(__xludf.DUMMYFUNCTION("CONCATENATE(GOOGLETRANSLATE(C6178, ""en"", ""ja""))"),"ニュートロジーナ クリア＆ディフェンド ラピッドジェル")</f>
        <v>ニュートロジーナ クリア＆ディフェンド ラピッドジェル</v>
      </c>
    </row>
    <row r="6179" ht="15.75" customHeight="1">
      <c r="A6179" s="1">
        <v>7597.0</v>
      </c>
      <c r="B6179" s="1" t="s">
        <v>15</v>
      </c>
      <c r="C6179" s="1" t="s">
        <v>3854</v>
      </c>
      <c r="D6179" s="1" t="str">
        <f>IFERROR(__xludf.DUMMYFUNCTION("CONCATENATE(GOOGLETRANSLATE(C6179, ""en"", ""zh-cn""))"),"露得清非常干燥和受损的脚霜")</f>
        <v>露得清非常干燥和受损的脚霜</v>
      </c>
      <c r="E6179" s="1" t="str">
        <f>IFERROR(__xludf.DUMMYFUNCTION("CONCATENATE(GOOGLETRANSLATE(C6179, ""en"", ""ko""))"),"뉴트로지나 베리 드라이 앤 데미지 피트 크림")</f>
        <v>뉴트로지나 베리 드라이 앤 데미지 피트 크림</v>
      </c>
      <c r="F6179" s="1" t="str">
        <f>IFERROR(__xludf.DUMMYFUNCTION("CONCATENATE(GOOGLETRANSLATE(C6179, ""en"", ""ja""))"),"ニュートロジーナ ベリードライ＆ダメージフィートクリーム")</f>
        <v>ニュートロジーナ ベリードライ＆ダメージフィートクリーム</v>
      </c>
    </row>
    <row r="6180" ht="15.75" customHeight="1">
      <c r="A6180" s="1">
        <v>7600.0</v>
      </c>
      <c r="B6180" s="1" t="s">
        <v>15</v>
      </c>
      <c r="C6180" s="1" t="s">
        <v>3421</v>
      </c>
      <c r="D6180" s="1" t="str">
        <f>IFERROR(__xludf.DUMMYFUNCTION("CONCATENATE(GOOGLETRANSLATE(C6180, ""en"", ""zh-cn""))"),"Neutrogena Hydro Boost 保湿水凝胶面膜")</f>
        <v>Neutrogena Hydro Boost 保湿水凝胶面膜</v>
      </c>
      <c r="E6180" s="1" t="str">
        <f>IFERROR(__xludf.DUMMYFUNCTION("CONCATENATE(GOOGLETRANSLATE(C6180, ""en"", ""ko""))"),"뉴트로지나 하이드로 부스트 하이드레이팅 하이드로겔 마스크")</f>
        <v>뉴트로지나 하이드로 부스트 하이드레이팅 하이드로겔 마스크</v>
      </c>
      <c r="F6180" s="1" t="str">
        <f>IFERROR(__xludf.DUMMYFUNCTION("CONCATENATE(GOOGLETRANSLATE(C6180, ""en"", ""ja""))"),"ニュートロジーナ ハイドロ ブースト ハイドレーティング ハイドロゲル マスク")</f>
        <v>ニュートロジーナ ハイドロ ブースト ハイドレーティング ハイドロゲル マスク</v>
      </c>
    </row>
    <row r="6181" ht="15.75" customHeight="1">
      <c r="A6181" s="1">
        <v>7605.0</v>
      </c>
      <c r="B6181" s="1" t="s">
        <v>15</v>
      </c>
      <c r="C6181" s="1" t="s">
        <v>2530</v>
      </c>
      <c r="D6181" s="1" t="str">
        <f>IFERROR(__xludf.DUMMYFUNCTION("CONCATENATE(GOOGLETRANSLATE(C6181, ""en"", ""zh-cn""))"),"露得清 Hydro Boost 皮肤救援膏")</f>
        <v>露得清 Hydro Boost 皮肤救援膏</v>
      </c>
      <c r="E6181" s="1" t="str">
        <f>IFERROR(__xludf.DUMMYFUNCTION("CONCATENATE(GOOGLETRANSLATE(C6181, ""en"", ""ko""))"),"뉴트로지나 하이드로 부스트 스킨 레스큐 밤")</f>
        <v>뉴트로지나 하이드로 부스트 스킨 레스큐 밤</v>
      </c>
      <c r="F6181" s="1" t="str">
        <f>IFERROR(__xludf.DUMMYFUNCTION("CONCATENATE(GOOGLETRANSLATE(C6181, ""en"", ""ja""))"),"ニュートロジーナ ハイドロ ブースト スキン レスキュー バーム")</f>
        <v>ニュートロジーナ ハイドロ ブースト スキン レスキュー バーム</v>
      </c>
    </row>
    <row r="6182" ht="15.75" customHeight="1">
      <c r="A6182" s="1">
        <v>7612.0</v>
      </c>
      <c r="B6182" s="1" t="s">
        <v>15</v>
      </c>
      <c r="C6182" s="1" t="s">
        <v>2976</v>
      </c>
      <c r="D6182" s="1" t="str">
        <f>IFERROR(__xludf.DUMMYFUNCTION("CONCATENATE(GOOGLETRANSLATE(C6182, ""en"", ""zh-cn""))"),"露得清细胞面部护理")</f>
        <v>露得清细胞面部护理</v>
      </c>
      <c r="E6182" s="1" t="str">
        <f>IFERROR(__xludf.DUMMYFUNCTION("CONCATENATE(GOOGLETRANSLATE(C6182, ""en"", ""ko""))"),"뉴트로지나 셀룰러 페이셜 트리트먼트")</f>
        <v>뉴트로지나 셀룰러 페이셜 트리트먼트</v>
      </c>
      <c r="F6182" s="1" t="str">
        <f>IFERROR(__xludf.DUMMYFUNCTION("CONCATENATE(GOOGLETRANSLATE(C6182, ""en"", ""ja""))"),"ニュートロジーナ セルラー フェイシャル トリートメント")</f>
        <v>ニュートロジーナ セルラー フェイシャル トリートメント</v>
      </c>
    </row>
    <row r="6183" ht="15.75" customHeight="1">
      <c r="A6183" s="1">
        <v>7620.0</v>
      </c>
      <c r="B6183" s="1" t="s">
        <v>15</v>
      </c>
      <c r="C6183" s="1" t="s">
        <v>3852</v>
      </c>
      <c r="D6183" s="1" t="str">
        <f>IFERROR(__xludf.DUMMYFUNCTION("CONCATENATE(GOOGLETRANSLATE(C6183, ""en"", ""zh-cn""))"),"露得清 (Neutrogena) 可见修复再生霜，含视黄醇 + 肽，用于抗衰老、皱纹和细纹 - 50 克")</f>
        <v>露得清 (Neutrogena) 可见修复再生霜，含视黄醇 + 肽，用于抗衰老、皱纹和细纹 - 50 克</v>
      </c>
      <c r="E6183" s="1" t="str">
        <f>IFERROR(__xludf.DUMMYFUNCTION("CONCATENATE(GOOGLETRANSLATE(C6183, ""en"", ""ko""))"),"뉴트로지나 비저블 리페어 재생 크림(레티놀 + 펩타이드 포함) 노화 방지, 주름 및 잔주름 개선 - 50 gm")</f>
        <v>뉴트로지나 비저블 리페어 재생 크림(레티놀 + 펩타이드 포함) 노화 방지, 주름 및 잔주름 개선 - 50 gm</v>
      </c>
      <c r="F6183" s="1" t="str">
        <f>IFERROR(__xludf.DUMMYFUNCTION("CONCATENATE(GOOGLETRANSLATE(C6183, ""en"", ""ja""))"),"ニュートロジーナ アンチエイジング、シワ、小じわのためのレチノール + ペプチド配合のビジブルリペア再生クリーム - 50 gm")</f>
        <v>ニュートロジーナ アンチエイジング、シワ、小じわのためのレチノール + ペプチド配合のビジブルリペア再生クリーム - 50 gm</v>
      </c>
    </row>
    <row r="6184" ht="15.75" customHeight="1">
      <c r="A6184" s="1">
        <v>7628.0</v>
      </c>
      <c r="B6184" s="1" t="s">
        <v>15</v>
      </c>
      <c r="C6184" s="1" t="s">
        <v>4681</v>
      </c>
      <c r="D6184" s="1" t="str">
        <f>IFERROR(__xludf.DUMMYFUNCTION("CONCATENATE(GOOGLETRANSLATE(C6184, ""en"", ""zh-cn""))"),"Neutrogena Clear &amp; DEFEND+ 每日精华液")</f>
        <v>Neutrogena Clear &amp; DEFEND+ 每日精华液</v>
      </c>
      <c r="E6184" s="1" t="str">
        <f>IFERROR(__xludf.DUMMYFUNCTION("CONCATENATE(GOOGLETRANSLATE(C6184, ""en"", ""ko""))"),"뉴트로지나 클리어 &amp; 디펜스+ 데일리 세럼")</f>
        <v>뉴트로지나 클리어 &amp; 디펜스+ 데일리 세럼</v>
      </c>
      <c r="F6184" s="1" t="str">
        <f>IFERROR(__xludf.DUMMYFUNCTION("CONCATENATE(GOOGLETRANSLATE(C6184, ""en"", ""ja""))"),"ニュートロジーナ クリア &amp; DEFEND+ デイリー セラム")</f>
        <v>ニュートロジーナ クリア &amp; DEFEND+ デイリー セラム</v>
      </c>
    </row>
    <row r="6185" ht="15.75" customHeight="1">
      <c r="A6185" s="1">
        <v>7642.0</v>
      </c>
      <c r="B6185" s="1" t="s">
        <v>15</v>
      </c>
      <c r="C6185" s="1" t="s">
        <v>5089</v>
      </c>
      <c r="D6185" s="1" t="str">
        <f>IFERROR(__xludf.DUMMYFUNCTION("CONCATENATE(GOOGLETRANSLATE(C6185, ""en"", ""zh-cn""))"),"Arm &amp; Hammer 小猫清新口气牙科套件 |猫牙刷和牙膏加小苏打 |猫口腔护理、小猫牙科套装，金枪鱼味和新鲜薄荷香味，3 件套 | 72包")</f>
        <v>Arm &amp; Hammer 小猫清新口气牙科套件 |猫牙刷和牙膏加小苏打 |猫口腔护理、小猫牙科套装，金枪鱼味和新鲜薄荷香味，3 件套 | 72包</v>
      </c>
      <c r="E6185" s="1" t="str">
        <f>IFERROR(__xludf.DUMMYFUNCTION("CONCATENATE(GOOGLETRANSLATE(C6185, ""en"", ""ko""))"),"새끼 고양이를 위한 암 앤 해머 프레쉬 브레스 덴탈 키트 | 베이킹소다를 함유한 고양이 칫솔과 치약 | 고양이 구강 관리, 새끼 고양이를 위한 참치 맛 및 신선한 민트 향의 고양이 치과용 키트, 3피스 키트 | 72 팩")</f>
        <v>새끼 고양이를 위한 암 앤 해머 프레쉬 브레스 덴탈 키트 | 베이킹소다를 함유한 고양이 칫솔과 치약 | 고양이 구강 관리, 새끼 고양이를 위한 참치 맛 및 신선한 민트 향의 고양이 치과용 키트, 3피스 키트 | 72 팩</v>
      </c>
      <c r="F6185" s="1" t="str">
        <f>IFERROR(__xludf.DUMMYFUNCTION("CONCATENATE(GOOGLETRANSLATE(C6185, ""en"", ""ja""))"),"アーム＆ハンマー子猫用フレッシュブレスデンタルキット |猫の歯ブラシと重曹入り歯磨き粉 |猫のオーラルケア、子猫用猫用デンタルキット、マグロ味＆フレッシュミントの香り、3点キット | 猫の口腔ケア72パック")</f>
        <v>アーム＆ハンマー子猫用フレッシュブレスデンタルキット |猫の歯ブラシと重曹入り歯磨き粉 |猫のオーラルケア、子猫用猫用デンタルキット、マグロ味＆フレッシュミントの香り、3点キット | 猫の口腔ケア72パック</v>
      </c>
    </row>
    <row r="6186" ht="15.75" customHeight="1">
      <c r="A6186" s="1">
        <v>7645.0</v>
      </c>
      <c r="B6186" s="1" t="s">
        <v>15</v>
      </c>
      <c r="C6186" s="1" t="s">
        <v>5090</v>
      </c>
      <c r="D6186" s="1" t="str">
        <f>IFERROR(__xludf.DUMMYFUNCTION("CONCATENATE(GOOGLETRANSLATE(C6186, ""en"", ""zh-cn""))"),"Arm &amp; Hammer Clump &amp; Seal 轻质猫砂，清新香味，14 磅")</f>
        <v>Arm &amp; Hammer Clump &amp; Seal 轻质猫砂，清新香味，14 磅</v>
      </c>
      <c r="E6186" s="1" t="str">
        <f>IFERROR(__xludf.DUMMYFUNCTION("CONCATENATE(GOOGLETRANSLATE(C6186, ""en"", ""ko""))"),"암 앤 해머 클럼프 앤 씰 경량 쓰레기, 신선한 향기, 14파운드")</f>
        <v>암 앤 해머 클럼프 앤 씰 경량 쓰레기, 신선한 향기, 14파운드</v>
      </c>
      <c r="F6186" s="1" t="str">
        <f>IFERROR(__xludf.DUMMYFUNCTION("CONCATENATE(GOOGLETRANSLATE(C6186, ""en"", ""ja""))"),"アーム＆ハンマー クランプ＆シール 軽量トイレ砂、フレッシュな香り、14ポンド")</f>
        <v>アーム＆ハンマー クランプ＆シール 軽量トイレ砂、フレッシュな香り、14ポンド</v>
      </c>
    </row>
    <row r="6187" ht="15.75" customHeight="1">
      <c r="A6187" s="1">
        <v>7647.0</v>
      </c>
      <c r="B6187" s="1" t="s">
        <v>15</v>
      </c>
      <c r="C6187" s="1" t="s">
        <v>5091</v>
      </c>
      <c r="D6187" s="1" t="str">
        <f>IFERROR(__xludf.DUMMYFUNCTION("CONCATENATE(GOOGLETRANSLATE(C6187, ""en"", ""zh-cn""))"),"Arm &amp; Hammer 超级勺结块猫砂清新香味 14 磅")</f>
        <v>Arm &amp; Hammer 超级勺结块猫砂清新香味 14 磅</v>
      </c>
      <c r="E6187" s="1" t="str">
        <f>IFERROR(__xludf.DUMMYFUNCTION("CONCATENATE(GOOGLETRANSLATE(C6187, ""en"", ""ko""))"),"암 앤 해머 슈퍼 스쿠프 클럼핑 리터 프레쉬 향기 14파운드")</f>
        <v>암 앤 해머 슈퍼 스쿠프 클럼핑 리터 프레쉬 향기 14파운드</v>
      </c>
      <c r="F6187" s="1" t="str">
        <f>IFERROR(__xludf.DUMMYFUNCTION("CONCATENATE(GOOGLETRANSLATE(C6187, ""en"", ""ja""))"),"アーム＆ハンマー スーパー スクープ クランピング リッター フレッシュ セント 14ポンド")</f>
        <v>アーム＆ハンマー スーパー スクープ クランピング リッター フレッシュ セント 14ポンド</v>
      </c>
    </row>
    <row r="6188" ht="15.75" customHeight="1">
      <c r="A6188" s="1">
        <v>7652.0</v>
      </c>
      <c r="B6188" s="1" t="s">
        <v>15</v>
      </c>
      <c r="C6188" s="1" t="s">
        <v>5092</v>
      </c>
      <c r="D6188" s="1" t="str">
        <f>IFERROR(__xludf.DUMMYFUNCTION("CONCATENATE(GOOGLETRANSLATE(C6188, ""en"", ""zh-cn""))"),"宠物用手臂和锤子 猫用牙科套件 |消除口臭 | 3 件套包括猫牙膏、猫牙刷和猫手指刷，美味金枪鱼味，2.5 盎司")</f>
        <v>宠物用手臂和锤子 猫用牙科套件 |消除口臭 | 3 件套包括猫牙膏、猫牙刷和猫手指刷，美味金枪鱼味，2.5 盎司</v>
      </c>
      <c r="E6188" s="1" t="str">
        <f>IFERROR(__xludf.DUMMYFUNCTION("CONCATENATE(GOOGLETRANSLATE(C6188, ""en"", ""ko""))"),"Arm &amp; Hammer for Pets 고양이용 치과용 키트 | 구취를 제거합니다 | 3피스 세트에는 맛있는 참치 맛의 고양이 치약, 고양이 칫솔, 고양이 손가락 브러시가 포함되어 있습니다(2.5온스).")</f>
        <v>Arm &amp; Hammer for Pets 고양이용 치과용 키트 | 구취를 제거합니다 | 3피스 세트에는 맛있는 참치 맛의 고양이 치약, 고양이 칫솔, 고양이 손가락 브러시가 포함되어 있습니다(2.5온스).</v>
      </c>
      <c r="F6188" s="1" t="str">
        <f>IFERROR(__xludf.DUMMYFUNCTION("CONCATENATE(GOOGLETRANSLATE(C6188, ""en"", ""ja""))"),"ペット用アーム＆ハンマー 猫用デンタルキット |口臭をなくします |猫用歯磨き粉、猫用歯ブラシ、猫用フィンガーブラシの3点セット、おいしいマグロ味、2.5オンス")</f>
        <v>ペット用アーム＆ハンマー 猫用デンタルキット |口臭をなくします |猫用歯磨き粉、猫用歯ブラシ、猫用フィンガーブラシの3点セット、おいしいマグロ味、2.5オンス</v>
      </c>
    </row>
    <row r="6189" ht="15.75" customHeight="1">
      <c r="A6189" s="1">
        <v>7695.0</v>
      </c>
      <c r="B6189" s="1" t="s">
        <v>15</v>
      </c>
      <c r="C6189" s="1" t="s">
        <v>5093</v>
      </c>
      <c r="D6189" s="1" t="str">
        <f>IFERROR(__xludf.DUMMYFUNCTION("CONCATENATE(GOOGLETRANSLATE(C6189, ""en"", ""zh-cn""))"),"MidWest Homes for Pets Cinnamon 18 英寸宠物床带舒适垫 |非常适合小型犬种，适合 18 英寸板条箱 |易于维护 机洗和烘干")</f>
        <v>MidWest Homes for Pets Cinnamon 18 英寸宠物床带舒适垫 |非常适合小型犬种，适合 18 英寸板条箱 |易于维护 机洗和烘干</v>
      </c>
      <c r="E6189" s="1" t="str">
        <f>IFERROR(__xludf.DUMMYFUNCTION("CONCATENATE(GOOGLETRANSLATE(C6189, ""en"", ""ko""))"),"MidWest 애완 동물용 주택 시나몬 18인치 애완 동물 침대 및 편안한 받침대 | 소형 품종에 적합하며 18인치 상자에 적합 | 손쉬운 유지 관리 기계 세탁 및 건조")</f>
        <v>MidWest 애완 동물용 주택 시나몬 18인치 애완 동물 침대 및 편안한 받침대 | 소형 품종에 적합하며 18인치 상자에 적합 | 손쉬운 유지 관리 기계 세탁 및 건조</v>
      </c>
      <c r="F6189" s="1" t="str">
        <f>IFERROR(__xludf.DUMMYFUNCTION("CONCATENATE(GOOGLETRANSLATE(C6189, ""en"", ""ja""))"),"MidWest Homes for Pets シナモン 18 インチ ペット ベッド 快適なボルスター付き |小型犬に最適 &amp; 18 インチのクレートに適合 |簡単なメンテナンス 洗濯機で洗って乾燥")</f>
        <v>MidWest Homes for Pets シナモン 18 インチ ペット ベッド 快適なボルスター付き |小型犬に最適 &amp; 18 インチのクレートに適合 |簡単なメンテナンス 洗濯機で洗って乾燥</v>
      </c>
    </row>
    <row r="6190" ht="15.75" customHeight="1">
      <c r="A6190" s="1">
        <v>7711.0</v>
      </c>
      <c r="B6190" s="1" t="s">
        <v>15</v>
      </c>
      <c r="C6190" s="1" t="s">
        <v>5094</v>
      </c>
      <c r="D6190" s="1" t="str">
        <f>IFERROR(__xludf.DUMMYFUNCTION("CONCATENATE(GOOGLETRANSLATE(C6190, ""en"", ""zh-cn""))"),"MidWest Homes for Pets 双门狗笼套件包括一张两门配套灰色床和板条箱盖，30 英寸套件非常适合中型犬种")</f>
        <v>MidWest Homes for Pets 双门狗笼套件包括一张两门配套灰色床和板条箱盖，30 英寸套件非常适合中型犬种</v>
      </c>
      <c r="E6190" s="1" t="str">
        <f>IFERROR(__xludf.DUMMYFUNCTION("CONCATENATE(GOOGLETRANSLATE(C6190, ""en"", ""ko""))"),"애완 동물을 위한 MidWest 주택 이중 문 개 상자 키트에는 1개의 2도어 일치하는 회색 침대 및 상자 커버, 중형견 품종에 이상적인 30인치 키트가 포함되어 있습니다.")</f>
        <v>애완 동물을 위한 MidWest 주택 이중 문 개 상자 키트에는 1개의 2도어 일치하는 회색 침대 및 상자 커버, 중형견 품종에 이상적인 30인치 키트가 포함되어 있습니다.</v>
      </c>
      <c r="F6190" s="1" t="str">
        <f>IFERROR(__xludf.DUMMYFUNCTION("CONCATENATE(GOOGLETRANSLATE(C6190, ""en"", ""ja""))"),"MidWest Homes for Pets ダブルドア犬クレートキット 2 ドアマッチンググレーベッド &amp; クレートカバー 1 つ、中型犬の品種に最適な 30 インチキットが含まれています")</f>
        <v>MidWest Homes for Pets ダブルドア犬クレートキット 2 ドアマッチンググレーベッド &amp; クレートカバー 1 つ、中型犬の品種に最適な 30 インチキットが含まれています</v>
      </c>
    </row>
    <row r="6191" ht="15.75" customHeight="1">
      <c r="A6191" s="1">
        <v>7713.0</v>
      </c>
      <c r="B6191" s="1" t="s">
        <v>15</v>
      </c>
      <c r="C6191" s="1" t="s">
        <v>5095</v>
      </c>
      <c r="D6191" s="1" t="str">
        <f>IFERROR(__xludf.DUMMYFUNCTION("CONCATENATE(GOOGLETRANSLATE(C6191, ""en"", ""zh-cn""))"),"MidWest Homes for Pets 狗狗运动围栏和游戏围栏，24 英寸宽 x 30 英寸宽，无门，黑色")</f>
        <v>MidWest Homes for Pets 狗狗运动围栏和游戏围栏，24 英寸宽 x 30 英寸宽，无门，黑色</v>
      </c>
      <c r="E6191" s="1" t="str">
        <f>IFERROR(__xludf.DUMMYFUNCTION("CONCATENATE(GOOGLETRANSLATE(C6191, ""en"", ""ko""))"),"MidWest 애완견용 주택 개 운동용 펜 및 놀이터, 24""W x 30""W, 문 없음, 검정색")</f>
        <v>MidWest 애완견용 주택 개 운동용 펜 및 놀이터, 24"W x 30"W, 문 없음, 검정색</v>
      </c>
      <c r="F6191" s="1" t="str">
        <f>IFERROR(__xludf.DUMMYFUNCTION("CONCATENATE(GOOGLETRANSLATE(C6191, ""en"", ""ja""))"),"MidWest Homes for Pets 犬用エクササイズペン&amp;ベビーサークル、幅24インチ x 幅30インチ、ドアなし、ブラック")</f>
        <v>MidWest Homes for Pets 犬用エクササイズペン&amp;ベビーサークル、幅24インチ x 幅30インチ、ドアなし、ブラック</v>
      </c>
    </row>
    <row r="6192" ht="15.75" customHeight="1">
      <c r="A6192" s="1">
        <v>7718.0</v>
      </c>
      <c r="B6192" s="1" t="s">
        <v>15</v>
      </c>
      <c r="C6192" s="1" t="s">
        <v>5096</v>
      </c>
      <c r="D6192" s="1" t="str">
        <f>IFERROR(__xludf.DUMMYFUNCTION("CONCATENATE(GOOGLETRANSLATE(C6192, ""en"", ""zh-cn""))"),"MidWest Homes for Pets 全新增强型单门 iCrate 狗笼，包括防漏盘、地板保护脚、分隔板和新专利功能，黑色")</f>
        <v>MidWest Homes for Pets 全新增强型单门 iCrate 狗笼，包括防漏盘、地板保护脚、分隔板和新专利功能，黑色</v>
      </c>
      <c r="E6192" s="1" t="str">
        <f>IFERROR(__xludf.DUMMYFUNCTION("CONCATENATE(GOOGLETRANSLATE(C6192, ""en"", ""ko""))"),"애완 동물을 위한 MidWest 주택 새로 강화된 단일 도어 iCrate 개 상자, 누출 방지 팬, 바닥 보호 발, 칸막이 패널 및 새로운 특허 기능 포함, 검정색")</f>
        <v>애완 동물을 위한 MidWest 주택 새로 강화된 단일 도어 iCrate 개 상자, 누출 방지 팬, 바닥 보호 발, 칸막이 패널 및 새로운 특허 기능 포함, 검정색</v>
      </c>
      <c r="F6192" s="1" t="str">
        <f>IFERROR(__xludf.DUMMYFUNCTION("CONCATENATE(GOOGLETRANSLATE(C6192, ""en"", ""ja""))"),"MidWest Homes for Pets 新しく強化されたシングルドア iCrate 犬用クレート、漏れ防止パン、床保護脚、仕切りパネルと新しい特許取得機能が含まれます、ブラック")</f>
        <v>MidWest Homes for Pets 新しく強化されたシングルドア iCrate 犬用クレート、漏れ防止パン、床保護脚、仕切りパネルと新しい特許取得機能が含まれます、ブラック</v>
      </c>
    </row>
    <row r="6193" ht="15.75" customHeight="1">
      <c r="A6193" s="1">
        <v>7723.0</v>
      </c>
      <c r="B6193" s="1" t="s">
        <v>15</v>
      </c>
      <c r="C6193" s="1" t="s">
        <v>5097</v>
      </c>
      <c r="D6193" s="1" t="str">
        <f>IFERROR(__xludf.DUMMYFUNCTION("CONCATENATE(GOOGLETRANSLATE(C6193, ""en"", ""zh-cn""))"),"PetSafe 基本止吠项圈，适用于 8 磅及以上的狗狗，防吠训练，小型、中型、大型品种，静态校正，犬类 - 自动狗狗训练项圈，可减少吠叫，PBC-102")</f>
        <v>PetSafe 基本止吠项圈，适用于 8 磅及以上的狗狗，防吠训练，小型、中型、大型品种，静态校正，犬类 - 自动狗狗训练项圈，可减少吠叫，PBC-102</v>
      </c>
      <c r="E6193" s="1" t="str">
        <f>IFERROR(__xludf.DUMMYFUNCTION("CONCATENATE(GOOGLETRANSLATE(C6193, ""en"", ""ko""))"),"8파운드 이상의 개를 위한 PetSafe 기본 껍질 제어 칼라, 짖음 방지 훈련, 소형, 중형, 대형 품종, 정적 교정, 송곳니 - 짖는 소리를 줄이기 위한 자동 개 훈련 칼라, PBC-102")</f>
        <v>8파운드 이상의 개를 위한 PetSafe 기본 껍질 제어 칼라, 짖음 방지 훈련, 소형, 중형, 대형 품종, 정적 교정, 송곳니 - 짖는 소리를 줄이기 위한 자동 개 훈련 칼라, PBC-102</v>
      </c>
      <c r="F6193" s="1" t="str">
        <f>IFERROR(__xludf.DUMMYFUNCTION("CONCATENATE(GOOGLETRANSLATE(C6193, ""en"", ""ja""))"),"PetSafe ベーシック バーク コントロール 首輪 8 ポンド以上の犬用、無駄吠え防止トレーニング、小型、中型、大型犬用、静電気補正、犬 - 無駄吠えを軽減する自動犬用トレーニング首輪、PBC-102")</f>
        <v>PetSafe ベーシック バーク コントロール 首輪 8 ポンド以上の犬用、無駄吠え防止トレーニング、小型、中型、大型犬用、静電気補正、犬 - 無駄吠えを軽減する自動犬用トレーニング首輪、PBC-102</v>
      </c>
    </row>
    <row r="6194" ht="15.75" customHeight="1">
      <c r="A6194" s="1">
        <v>7729.0</v>
      </c>
      <c r="B6194" s="1" t="s">
        <v>15</v>
      </c>
      <c r="C6194" s="1" t="s">
        <v>5098</v>
      </c>
      <c r="D6194" s="1" t="str">
        <f>IFERROR(__xludf.DUMMYFUNCTION("CONCATENATE(GOOGLETRANSLATE(C6194, ""en"", ""zh-cn""))"),"PetSafe 尼龙狗牵引绳坚固、耐用、传统风格牵引绳，带有易于使用的螺栓按扣，适用于小型、中型和大型犬 3/8 英寸 x 6 英寸，宝蓝色")</f>
        <v>PetSafe 尼龙狗牵引绳坚固、耐用、传统风格牵引绳，带有易于使用的螺栓按扣，适用于小型、中型和大型犬 3/8 英寸 x 6 英寸，宝蓝色</v>
      </c>
      <c r="E6194" s="1" t="str">
        <f>IFERROR(__xludf.DUMMYFUNCTION("CONCATENATE(GOOGLETRANSLATE(C6194, ""en"", ""ko""))"),"PetSafe 나일론 개 줄 소형, 중형 및 대형견을 위한 사용하기 쉬운 볼트 스냅이 있는 강력하고 내구성이 있으며 전통적인 스타일의 줄 3/8"" x 6', 로얄 블루")</f>
        <v>PetSafe 나일론 개 줄 소형, 중형 및 대형견을 위한 사용하기 쉬운 볼트 스냅이 있는 강력하고 내구성이 있으며 전통적인 스타일의 줄 3/8" x 6', 로얄 블루</v>
      </c>
      <c r="F6194" s="1" t="str">
        <f>IFERROR(__xludf.DUMMYFUNCTION("CONCATENATE(GOOGLETRANSLATE(C6194, ""en"", ""ja""))"),"PetSafe ナイロン犬用リード 強力で耐久性のある伝統的なスタイルのリード 使いやすいボルトスナップ付き 小型犬、中型犬、大型犬用 3/8インチ x 6フィート、ロイヤルブルー")</f>
        <v>PetSafe ナイロン犬用リード 強力で耐久性のある伝統的なスタイルのリード 使いやすいボルトスナップ付き 小型犬、中型犬、大型犬用 3/8インチ x 6フィート、ロイヤルブルー</v>
      </c>
    </row>
    <row r="6195" ht="15.75" customHeight="1">
      <c r="A6195" s="1">
        <v>7731.0</v>
      </c>
      <c r="B6195" s="1" t="s">
        <v>15</v>
      </c>
      <c r="C6195" s="1" t="s">
        <v>5099</v>
      </c>
      <c r="D6195" s="1" t="str">
        <f>IFERROR(__xludf.DUMMYFUNCTION("CONCATENATE(GOOGLETRANSLATE(C6195, ""en"", ""zh-cn""))"),"PetSafe Stubborn 狗围栏项圈 - 狗电动项圈防水接收器，电池供电，用于宠物地面封闭，来自 Invisible Fence 品牌母公司")</f>
        <v>PetSafe Stubborn 狗围栏项圈 - 狗电动项圈防水接收器，电池供电，用于宠物地面封闭，来自 Invisible Fence 品牌母公司</v>
      </c>
      <c r="E6195" s="1" t="str">
        <f>IFERROR(__xludf.DUMMYFUNCTION("CONCATENATE(GOOGLETRANSLATE(C6195, ""en"", ""ko""))"),"PetSafe 완고한 개 울타리 고리 - 개 전기 고리 방수 수신기, 배터리로 작동, 애완동물을 위한 지상 격리, 보이지 않는 울타리 브랜드의 모회사")</f>
        <v>PetSafe 완고한 개 울타리 고리 - 개 전기 고리 방수 수신기, 배터리로 작동, 애완동물을 위한 지상 격리, 보이지 않는 울타리 브랜드의 모회사</v>
      </c>
      <c r="F6195" s="1" t="str">
        <f>IFERROR(__xludf.DUMMYFUNCTION("CONCATENATE(GOOGLETRANSLATE(C6195, ""en"", ""ja""))"),"PetSafe 頑固な犬用フェンス首輪 - 犬用電気首輪防水受信機、電池式、ペット用地上封じ込め、Invisible Fence ブランドの親会社より")</f>
        <v>PetSafe 頑固な犬用フェンス首輪 - 犬用電気首輪防水受信機、電池式、ペット用地上封じ込め、Invisible Fence ブランドの親会社より</v>
      </c>
    </row>
    <row r="6196" ht="15.75" customHeight="1">
      <c r="A6196" s="1">
        <v>7735.0</v>
      </c>
      <c r="B6196" s="1" t="s">
        <v>15</v>
      </c>
      <c r="C6196" s="1" t="s">
        <v>5100</v>
      </c>
      <c r="D6196" s="1" t="str">
        <f>IFERROR(__xludf.DUMMYFUNCTION("CONCATENATE(GOOGLETRANSLATE(C6196, ""en"", ""zh-cn""))"),"PetSafe 永不生锈塑料小狗门，适合安装在室内外门或墙壁上，可涂漆，易于安装，包括关闭面板，适合体重不超过 40 磅的宠物，（中号）")</f>
        <v>PetSafe 永不生锈塑料小狗门，适合安装在室内外门或墙壁上，可涂漆，易于安装，包括关闭面板，适合体重不超过 40 磅的宠物，（中号）</v>
      </c>
      <c r="E6196" s="1" t="str">
        <f>IFERROR(__xludf.DUMMYFUNCTION("CONCATENATE(GOOGLETRANSLATE(C6196, ""en"", ""ko""))"),"PetSafe는 내부 및 외부 문이나 벽에 설치하기 위한 녹슬지 않는 플라스틱 강아지 도어, 도장 가능, 쉬운 설치, 닫는 패널 포함, 최대 40lb의 애완동물용(중형)")</f>
        <v>PetSafe는 내부 및 외부 문이나 벽에 설치하기 위한 녹슬지 않는 플라스틱 강아지 도어, 도장 가능, 쉬운 설치, 닫는 패널 포함, 최대 40lb의 애완동물용(중형)</v>
      </c>
      <c r="F6196" s="1" t="str">
        <f>IFERROR(__xludf.DUMMYFUNCTION("CONCATENATE(GOOGLETRANSLATE(C6196, ""en"", ""ja""))"),"PetSafe 錆びないプラスチック製の犬用ドア、屋内外のドアまたは壁に取り付け可能、塗装可能、取り付け簡単、閉鎖パネル付き、最大40ポンドのペット用、(中型)")</f>
        <v>PetSafe 錆びないプラスチック製の犬用ドア、屋内外のドアまたは壁に取り付け可能、塗装可能、取り付け簡単、閉鎖パネル付き、最大40ポンドのペット用、(中型)</v>
      </c>
    </row>
    <row r="6197" ht="15.75" customHeight="1">
      <c r="A6197" s="1">
        <v>7736.0</v>
      </c>
      <c r="B6197" s="1" t="s">
        <v>15</v>
      </c>
      <c r="C6197" s="1" t="s">
        <v>5101</v>
      </c>
      <c r="D6197" s="1" t="str">
        <f>IFERROR(__xludf.DUMMYFUNCTION("CONCATENATE(GOOGLETRANSLATE(C6197, ""en"", ""zh-cn""))"),"PetSafe 无线宠物围护系统狗用接收项圈，无线狗项圈防水材料，适合小型、中型、大型宠物，电围栏接收项圈（红色和黑色）")</f>
        <v>PetSafe 无线宠物围护系统狗用接收项圈，无线狗项圈防水材料，适合小型、中型、大型宠物，电围栏接收项圈（红色和黑色）</v>
      </c>
      <c r="E6197" s="1" t="str">
        <f>IFERROR(__xludf.DUMMYFUNCTION("CONCATENATE(GOOGLETRANSLATE(C6197, ""en"", ""ko""))"),"PetSafe 무선 애완동물 격리 시스템 개용 수신기 목줄, 무선 개 목줄 방수 소재, 소형, 중형, 대형 애완동물에 적합, 전기 울타리 수신기 목줄(빨간색 및 검정색)")</f>
        <v>PetSafe 무선 애완동물 격리 시스템 개용 수신기 목줄, 무선 개 목줄 방수 소재, 소형, 중형, 대형 애완동물에 적합, 전기 울타리 수신기 목줄(빨간색 및 검정색)</v>
      </c>
      <c r="F6197" s="1" t="str">
        <f>IFERROR(__xludf.DUMMYFUNCTION("CONCATENATE(GOOGLETRANSLATE(C6197, ""en"", ""ja""))"),"PetSafe 犬用ワイヤレスペット封じ込めシステム受信機首輪、ワイヤレス犬首輪防水素材、小型、中型、大型のペットに適合、電気柵受信機首輪 (赤と黒)")</f>
        <v>PetSafe 犬用ワイヤレスペット封じ込めシステム受信機首輪、ワイヤレス犬首輪防水素材、小型、中型、大型のペットに適合、電気柵受信機首輪 (赤と黒)</v>
      </c>
    </row>
    <row r="6198" ht="15.75" customHeight="1">
      <c r="A6198" s="1">
        <v>7738.0</v>
      </c>
      <c r="B6198" s="1" t="s">
        <v>15</v>
      </c>
      <c r="C6198" s="1" t="s">
        <v>5102</v>
      </c>
      <c r="D6198" s="1" t="str">
        <f>IFERROR(__xludf.DUMMYFUNCTION("CONCATENATE(GOOGLETRANSLATE(C6198, ""en"", ""zh-cn""))"),"PetSafe ScatMat 猫狗室内电动训练垫、沙发，60 英寸 x 12 英寸")</f>
        <v>PetSafe ScatMat 猫狗室内电动训练垫、沙发，60 英寸 x 12 英寸</v>
      </c>
      <c r="E6198" s="1" t="str">
        <f>IFERROR(__xludf.DUMMYFUNCTION("CONCATENATE(GOOGLETRANSLATE(C6198, ""en"", ""ko""))"),"PetSafe ScatMat 고양이와 개를 위한 실내 전기 훈련 매트, 소파, 60"" x 12""")</f>
        <v>PetSafe ScatMat 고양이와 개를 위한 실내 전기 훈련 매트, 소파, 60" x 12"</v>
      </c>
      <c r="F6198" s="1" t="str">
        <f>IFERROR(__xludf.DUMMYFUNCTION("CONCATENATE(GOOGLETRANSLATE(C6198, ""en"", ""ja""))"),"PetSafe ScatMat 猫と犬用屋内電気トレーニングマット、ソファ、60インチ x 12インチ")</f>
        <v>PetSafe ScatMat 猫と犬用屋内電気トレーニングマット、ソファ、60インチ x 12インチ</v>
      </c>
    </row>
    <row r="6199" ht="15.75" customHeight="1">
      <c r="A6199" s="1">
        <v>7745.0</v>
      </c>
      <c r="B6199" s="1" t="s">
        <v>15</v>
      </c>
      <c r="C6199" s="1" t="s">
        <v>5103</v>
      </c>
      <c r="D6199" s="1" t="str">
        <f>IFERROR(__xludf.DUMMYFUNCTION("CONCATENATE(GOOGLETRANSLATE(C6199, ""en"", ""zh-cn""))"),"Aqueon 标准玻璃矩形水族箱 60 加仑饲养员")</f>
        <v>Aqueon 标准玻璃矩形水族箱 60 加仑饲养员</v>
      </c>
      <c r="E6199" s="1" t="str">
        <f>IFERROR(__xludf.DUMMYFUNCTION("CONCATENATE(GOOGLETRANSLATE(C6199, ""en"", ""ko""))"),"Aqueon 표준 유리 직사각형 수족관 60갤런 브리더")</f>
        <v>Aqueon 표준 유리 직사각형 수족관 60갤런 브리더</v>
      </c>
      <c r="F6199" s="1" t="str">
        <f>IFERROR(__xludf.DUMMYFUNCTION("CONCATENATE(GOOGLETRANSLATE(C6199, ""en"", ""ja""))"),"Aqueon スタンダード ガラス レクタングル アクアリウム 60 ガロン ブリーダー")</f>
        <v>Aqueon スタンダード ガラス レクタングル アクアリウム 60 ガロン ブリーダー</v>
      </c>
    </row>
    <row r="6200" ht="15.75" customHeight="1">
      <c r="A6200" s="1">
        <v>7751.0</v>
      </c>
      <c r="B6200" s="1" t="s">
        <v>15</v>
      </c>
      <c r="C6200" s="1" t="s">
        <v>5104</v>
      </c>
      <c r="D6200" s="1" t="str">
        <f>IFERROR(__xludf.DUMMYFUNCTION("CONCATENATE(GOOGLETRANSLATE(C6200, ""en"", ""zh-cn""))"),"Aqueon 标准水族箱")</f>
        <v>Aqueon 标准水族箱</v>
      </c>
      <c r="E6200" s="1" t="str">
        <f>IFERROR(__xludf.DUMMYFUNCTION("CONCATENATE(GOOGLETRANSLATE(C6200, ""en"", ""ko""))"),"아케온 스탠다드 수족관")</f>
        <v>아케온 스탠다드 수족관</v>
      </c>
      <c r="F6200" s="1" t="str">
        <f>IFERROR(__xludf.DUMMYFUNCTION("CONCATENATE(GOOGLETRANSLATE(C6200, ""en"", ""ja""))"),"アクアリウムスタンダードアクアリウム")</f>
        <v>アクアリウムスタンダードアクアリウム</v>
      </c>
    </row>
    <row r="6201" ht="15.75" customHeight="1">
      <c r="A6201" s="1">
        <v>7763.0</v>
      </c>
      <c r="B6201" s="1" t="s">
        <v>15</v>
      </c>
      <c r="C6201" s="1" t="s">
        <v>5105</v>
      </c>
      <c r="D6201" s="1" t="str">
        <f>IFERROR(__xludf.DUMMYFUNCTION("CONCATENATE(GOOGLETRANSLATE(C6201, ""en"", ""zh-cn""))"),"Aqueon 无框水族箱 10 加仑")</f>
        <v>Aqueon 无框水族箱 10 加仑</v>
      </c>
      <c r="E6201" s="1" t="str">
        <f>IFERROR(__xludf.DUMMYFUNCTION("CONCATENATE(GOOGLETRANSLATE(C6201, ""en"", ""ko""))"),"Aqueon 무테 수족관 10갤런")</f>
        <v>Aqueon 무테 수족관 10갤런</v>
      </c>
      <c r="F6201" s="1" t="str">
        <f>IFERROR(__xludf.DUMMYFUNCTION("CONCATENATE(GOOGLETRANSLATE(C6201, ""en"", ""ja""))"),"Aqueon リムレスアクアリウム 10 ガロン")</f>
        <v>Aqueon リムレスアクアリウム 10 ガロン</v>
      </c>
    </row>
    <row r="6202" ht="15.75" customHeight="1">
      <c r="A6202" s="1">
        <v>7764.0</v>
      </c>
      <c r="B6202" s="1" t="s">
        <v>15</v>
      </c>
      <c r="C6202" s="1" t="s">
        <v>5106</v>
      </c>
      <c r="D6202" s="1" t="str">
        <f>IFERROR(__xludf.DUMMYFUNCTION("CONCATENATE(GOOGLETRANSLATE(C6202, ""en"", ""zh-cn""))"),"Aqueon 基本水族箱套件 10 加仑")</f>
        <v>Aqueon 基本水族箱套件 10 加仑</v>
      </c>
      <c r="E6202" s="1" t="str">
        <f>IFERROR(__xludf.DUMMYFUNCTION("CONCATENATE(GOOGLETRANSLATE(C6202, ""en"", ""ko""))"),"Aqueon 기본 수족관 키트 10갤런")</f>
        <v>Aqueon 기본 수족관 키트 10갤런</v>
      </c>
      <c r="F6202" s="1" t="str">
        <f>IFERROR(__xludf.DUMMYFUNCTION("CONCATENATE(GOOGLETRANSLATE(C6202, ""en"", ""ja""))"),"Aqueon ベーシック水族館キット 10 ガロン")</f>
        <v>Aqueon ベーシック水族館キット 10 ガロン</v>
      </c>
    </row>
    <row r="6203" ht="15.75" customHeight="1">
      <c r="A6203" s="1">
        <v>7767.0</v>
      </c>
      <c r="B6203" s="1" t="s">
        <v>15</v>
      </c>
      <c r="C6203" s="1" t="s">
        <v>5107</v>
      </c>
      <c r="D6203" s="1" t="str">
        <f>IFERROR(__xludf.DUMMYFUNCTION("CONCATENATE(GOOGLETRANSLATE(C6203, ""en"", ""zh-cn""))"),"阿奎翁水族馆")</f>
        <v>阿奎翁水族馆</v>
      </c>
      <c r="E6203" s="1" t="str">
        <f>IFERROR(__xludf.DUMMYFUNCTION("CONCATENATE(GOOGLETRANSLATE(C6203, ""en"", ""ko""))"),"아케온 수족관")</f>
        <v>아케온 수족관</v>
      </c>
      <c r="F6203" s="1" t="str">
        <f>IFERROR(__xludf.DUMMYFUNCTION("CONCATENATE(GOOGLETRANSLATE(C6203, ""en"", ""ja""))"),"アクアリウム水族館")</f>
        <v>アクアリウム水族館</v>
      </c>
    </row>
    <row r="6204" ht="15.75" customHeight="1">
      <c r="A6204" s="1">
        <v>7773.0</v>
      </c>
      <c r="B6204" s="1" t="s">
        <v>15</v>
      </c>
      <c r="C6204" s="1" t="s">
        <v>5108</v>
      </c>
      <c r="D6204" s="1" t="str">
        <f>IFERROR(__xludf.DUMMYFUNCTION("CONCATENATE(GOOGLETRANSLATE(C6204, ""en"", ""zh-cn""))"),"Aqueon 33 加仑长水族箱")</f>
        <v>Aqueon 33 加仑长水族箱</v>
      </c>
      <c r="E6204" s="1" t="str">
        <f>IFERROR(__xludf.DUMMYFUNCTION("CONCATENATE(GOOGLETRANSLATE(C6204, ""en"", ""ko""))"),"Aqueon 33 갤런 롱 수족관")</f>
        <v>Aqueon 33 갤런 롱 수족관</v>
      </c>
      <c r="F6204" s="1" t="str">
        <f>IFERROR(__xludf.DUMMYFUNCTION("CONCATENATE(GOOGLETRANSLATE(C6204, ""en"", ""ja""))"),"Aqueon 33 ガロンロング水族館")</f>
        <v>Aqueon 33 ガロンロング水族館</v>
      </c>
    </row>
    <row r="6205" ht="15.75" customHeight="1">
      <c r="A6205" s="1">
        <v>7792.0</v>
      </c>
      <c r="B6205" s="1" t="s">
        <v>15</v>
      </c>
      <c r="C6205" s="1" t="s">
        <v>5109</v>
      </c>
      <c r="D6205" s="1" t="str">
        <f>IFERROR(__xludf.DUMMYFUNCTION("CONCATENATE(GOOGLETRANSLATE(C6205, ""en"", ""zh-cn""))"),"Tetra EasyStrips，完整的水族箱测试条，水质测试，25 片")</f>
        <v>Tetra EasyStrips，完整的水族箱测试条，水质测试，25 片</v>
      </c>
      <c r="E6205" s="1" t="str">
        <f>IFERROR(__xludf.DUMMYFUNCTION("CONCATENATE(GOOGLETRANSLATE(C6205, ""en"", ""ko""))"),"Tetra EasyStrips, 완전한 수족관 테스트 스트립, 수질 테스트, 25개")</f>
        <v>Tetra EasyStrips, 완전한 수족관 테스트 스트립, 수질 테스트, 25개</v>
      </c>
      <c r="F6205" s="1" t="str">
        <f>IFERROR(__xludf.DUMMYFUNCTION("CONCATENATE(GOOGLETRANSLATE(C6205, ""en"", ""ja""))"),"Tetra EasyStrips、完全な水族館テストストリップ、水質検査、25 個")</f>
        <v>Tetra EasyStrips、完全な水族館テストストリップ、水質検査、25 個</v>
      </c>
    </row>
    <row r="6206" ht="15.75" customHeight="1">
      <c r="A6206" s="1">
        <v>7793.0</v>
      </c>
      <c r="B6206" s="1" t="s">
        <v>15</v>
      </c>
      <c r="C6206" s="1" t="s">
        <v>5110</v>
      </c>
      <c r="D6206" s="1" t="str">
        <f>IFERROR(__xludf.DUMMYFUNCTION("CONCATENATE(GOOGLETRANSLATE(C6206, ""en"", ""zh-cn""))"),"Tetra Whisper EX 70 过滤器适用于 45 至 70 加仑水族箱，静音多级过滤，白色")</f>
        <v>Tetra Whisper EX 70 过滤器适用于 45 至 70 加仑水族箱，静音多级过滤，白色</v>
      </c>
      <c r="E6206" s="1" t="str">
        <f>IFERROR(__xludf.DUMMYFUNCTION("CONCATENATE(GOOGLETRANSLATE(C6206, ""en"", ""ko""))"),"45~70갤런 수족관용 Tetra Whisper EX 70 필터, 자동 다단계 여과, 흰색")</f>
        <v>45~70갤런 수족관용 Tetra Whisper EX 70 필터, 자동 다단계 여과, 흰색</v>
      </c>
      <c r="F6206" s="1" t="str">
        <f>IFERROR(__xludf.DUMMYFUNCTION("CONCATENATE(GOOGLETRANSLATE(C6206, ""en"", ""ja""))"),"Tetra Whisper EX 70 フィルター 45 ～ 70 ガロン水槽用、サイレント多段階ろ過、ホワイト")</f>
        <v>Tetra Whisper EX 70 フィルター 45 ～ 70 ガロン水槽用、サイレント多段階ろ過、ホワイト</v>
      </c>
    </row>
    <row r="6207" ht="15.75" customHeight="1">
      <c r="A6207" s="1">
        <v>7796.0</v>
      </c>
      <c r="B6207" s="1" t="s">
        <v>15</v>
      </c>
      <c r="C6207" s="1" t="s">
        <v>5111</v>
      </c>
      <c r="D6207" s="1" t="str">
        <f>IFERROR(__xludf.DUMMYFUNCTION("CONCATENATE(GOOGLETRANSLATE(C6207, ""en"", ""zh-cn""))"),"Tetra 藻类控制液，3.38 盎司，控制水族箱中的藻类")</f>
        <v>Tetra 藻类控制液，3.38 盎司，控制水族箱中的藻类</v>
      </c>
      <c r="E6207" s="1" t="str">
        <f>IFERROR(__xludf.DUMMYFUNCTION("CONCATENATE(GOOGLETRANSLATE(C6207, ""en"", ""ko""))"),"테트라 조류 제어 액체, 3.38 온스, 수족관의 조류 제어")</f>
        <v>테트라 조류 제어 액체, 3.38 온스, 수족관의 조류 제어</v>
      </c>
      <c r="F6207" s="1" t="str">
        <f>IFERROR(__xludf.DUMMYFUNCTION("CONCATENATE(GOOGLETRANSLATE(C6207, ""en"", ""ja""))"),"Tetra Algae Control Liquid、3.38 オンス、水族館の藻類を制御します")</f>
        <v>Tetra Algae Control Liquid、3.38 オンス、水族館の藻類を制御します</v>
      </c>
    </row>
    <row r="6208" ht="15.75" customHeight="1">
      <c r="A6208" s="1">
        <v>7800.0</v>
      </c>
      <c r="B6208" s="1" t="s">
        <v>15</v>
      </c>
      <c r="C6208" s="1" t="s">
        <v>5112</v>
      </c>
      <c r="D6208" s="1" t="str">
        <f>IFERROR(__xludf.DUMMYFUNCTION("CONCATENATE(GOOGLETRANSLATE(C6208, ""en"", ""zh-cn""))"),"Tetra 77140 EasyBalance PLUS 水调节器，16.9 盎司")</f>
        <v>Tetra 77140 EasyBalance PLUS 水调节器，16.9 盎司</v>
      </c>
      <c r="E6208" s="1" t="str">
        <f>IFERROR(__xludf.DUMMYFUNCTION("CONCATENATE(GOOGLETRANSLATE(C6208, ""en"", ""ko""))"),"Tetra 77140 EasyBalance PLUS 정수기, 16.9온스")</f>
        <v>Tetra 77140 EasyBalance PLUS 정수기, 16.9온스</v>
      </c>
      <c r="F6208" s="1" t="str">
        <f>IFERROR(__xludf.DUMMYFUNCTION("CONCATENATE(GOOGLETRANSLATE(C6208, ""en"", ""ja""))"),"Tetra 77140 EasyBalance PLUS ウォーターコンディショナー、16.9 オンス")</f>
        <v>Tetra 77140 EasyBalance PLUS ウォーターコンディショナー、16.9 オンス</v>
      </c>
    </row>
    <row r="6209" ht="15.75" customHeight="1">
      <c r="A6209" s="1">
        <v>7801.0</v>
      </c>
      <c r="B6209" s="1" t="s">
        <v>15</v>
      </c>
      <c r="C6209" s="1" t="s">
        <v>5113</v>
      </c>
      <c r="D6209" s="1" t="str">
        <f>IFERROR(__xludf.DUMMYFUNCTION("CONCATENATE(GOOGLETRANSLATE(C6209, ""en"", ""zh-cn""))"),"Tetra Whisper 内部动力过滤器 5 至 10 加仑，适用于水族箱，带气泵的罐内过滤，黑色")</f>
        <v>Tetra Whisper 内部动力过滤器 5 至 10 加仑，适用于水族箱，带气泵的罐内过滤，黑色</v>
      </c>
      <c r="E6209" s="1" t="str">
        <f>IFERROR(__xludf.DUMMYFUNCTION("CONCATENATE(GOOGLETRANSLATE(C6209, ""en"", ""ko""))"),"Tetra Whisper 내부 전력 필터 5 ~ 10 갤런, 수족관용, 공기 펌프를 사용한 탱크 내 여과, 검정색")</f>
        <v>Tetra Whisper 내부 전력 필터 5 ~ 10 갤런, 수족관용, 공기 펌프를 사용한 탱크 내 여과, 검정색</v>
      </c>
      <c r="F6209" s="1" t="str">
        <f>IFERROR(__xludf.DUMMYFUNCTION("CONCATENATE(GOOGLETRANSLATE(C6209, ""en"", ""ja""))"),"Tetra Whisper 内部パワーフィルター 5 ～ 10 ガロン 水槽用 タンク内ろ過 エアポンプ付き ブラック")</f>
        <v>Tetra Whisper 内部パワーフィルター 5 ～ 10 ガロン 水槽用 タンク内ろ過 エアポンプ付き ブラック</v>
      </c>
    </row>
    <row r="6210" ht="15.75" customHeight="1">
      <c r="A6210" s="1">
        <v>7811.0</v>
      </c>
      <c r="B6210" s="1" t="s">
        <v>15</v>
      </c>
      <c r="C6210" s="1" t="s">
        <v>5114</v>
      </c>
      <c r="D6210" s="1" t="str">
        <f>IFERROR(__xludf.DUMMYFUNCTION("CONCATENATE(GOOGLETRANSLATE(C6210, ""en"", ""zh-cn""))"),"Melissa &amp; Doug 儿童储物活动桌")</f>
        <v>Melissa &amp; Doug 儿童储物活动桌</v>
      </c>
      <c r="E6210" s="1" t="str">
        <f>IFERROR(__xludf.DUMMYFUNCTION("CONCATENATE(GOOGLETRANSLATE(C6210, ""en"", ""ko""))"),"Melissa &amp; Doug 어린이 보관 활동 표")</f>
        <v>Melissa &amp; Doug 어린이 보관 활동 표</v>
      </c>
      <c r="F6210" s="1" t="str">
        <f>IFERROR(__xludf.DUMMYFUNCTION("CONCATENATE(GOOGLETRANSLATE(C6210, ""en"", ""ja""))"),"メリッサ &amp; ダグ キッズ ストレージ アクティビティ テーブル")</f>
        <v>メリッサ &amp; ダグ キッズ ストレージ アクティビティ テーブル</v>
      </c>
    </row>
    <row r="6211" ht="15.75" customHeight="1">
      <c r="A6211" s="1">
        <v>7812.0</v>
      </c>
      <c r="B6211" s="1" t="s">
        <v>15</v>
      </c>
      <c r="C6211" s="1" t="s">
        <v>5115</v>
      </c>
      <c r="D6211" s="1" t="str">
        <f>IFERROR(__xludf.DUMMYFUNCTION("CONCATENATE(GOOGLETRANSLATE(C6211, ""en"", ""zh-cn""))"),"Humble Crew 二合一活动桌和 2 张椅子套装")</f>
        <v>Humble Crew 二合一活动桌和 2 张椅子套装</v>
      </c>
      <c r="E6211" s="1" t="str">
        <f>IFERROR(__xludf.DUMMYFUNCTION("CONCATENATE(GOOGLETRANSLATE(C6211, ""en"", ""ko""))"),"Humble Crew 2-in-1 활동 테이블 및 의자 2개 세트")</f>
        <v>Humble Crew 2-in-1 활동 테이블 및 의자 2개 세트</v>
      </c>
      <c r="F6211" s="1" t="str">
        <f>IFERROR(__xludf.DUMMYFUNCTION("CONCATENATE(GOOGLETRANSLATE(C6211, ""en"", ""ja""))"),"Humble Crew 2-in-1 アクティビティ テーブルとチェア 2 脚セット")</f>
        <v>Humble Crew 2-in-1 アクティビティ テーブルとチェア 2 脚セット</v>
      </c>
    </row>
    <row r="6212" ht="15.75" customHeight="1">
      <c r="A6212" s="1">
        <v>7813.0</v>
      </c>
      <c r="B6212" s="1" t="s">
        <v>15</v>
      </c>
      <c r="C6212" s="1" t="s">
        <v>5116</v>
      </c>
      <c r="D6212" s="1" t="str">
        <f>IFERROR(__xludf.DUMMYFUNCTION("CONCATENATE(GOOGLETRANSLATE(C6212, ""en"", ""zh-cn""))"),"KidKraft 活动游戏桌")</f>
        <v>KidKraft 活动游戏桌</v>
      </c>
      <c r="E6212" s="1" t="str">
        <f>IFERROR(__xludf.DUMMYFUNCTION("CONCATENATE(GOOGLETRANSLATE(C6212, ""en"", ""ko""))"),"KidKraft 활동 놀이 테이블")</f>
        <v>KidKraft 활동 놀이 테이블</v>
      </c>
      <c r="F6212" s="1" t="str">
        <f>IFERROR(__xludf.DUMMYFUNCTION("CONCATENATE(GOOGLETRANSLATE(C6212, ""en"", ""ja""))"),"KidKraft アクティビティ プレイ テーブル")</f>
        <v>KidKraft アクティビティ プレイ テーブル</v>
      </c>
    </row>
    <row r="6213" ht="15.75" customHeight="1">
      <c r="A6213" s="1">
        <v>7830.0</v>
      </c>
      <c r="B6213" s="1" t="s">
        <v>15</v>
      </c>
      <c r="C6213" s="1" t="s">
        <v>5117</v>
      </c>
      <c r="D6213" s="1" t="str">
        <f>IFERROR(__xludf.DUMMYFUNCTION("CONCATENATE(GOOGLETRANSLATE(C6213, ""en"", ""zh-cn""))"),"Flash家具长方形活动桌")</f>
        <v>Flash家具长方形活动桌</v>
      </c>
      <c r="E6213" s="1" t="str">
        <f>IFERROR(__xludf.DUMMYFUNCTION("CONCATENATE(GOOGLETRANSLATE(C6213, ""en"", ""ko""))"),"플래시 가구 직사각형 활동 테이블")</f>
        <v>플래시 가구 직사각형 활동 테이블</v>
      </c>
      <c r="F6213" s="1" t="str">
        <f>IFERROR(__xludf.DUMMYFUNCTION("CONCATENATE(GOOGLETRANSLATE(C6213, ""en"", ""ja""))"),"フラッシュファニチャー長方形アクティビティテーブル")</f>
        <v>フラッシュファニチャー長方形アクティビティテーブル</v>
      </c>
    </row>
    <row r="6214" ht="15.75" customHeight="1">
      <c r="A6214" s="1">
        <v>7843.0</v>
      </c>
      <c r="B6214" s="1" t="s">
        <v>15</v>
      </c>
      <c r="C6214" s="1" t="s">
        <v>5118</v>
      </c>
      <c r="D6214" s="1" t="str">
        <f>IFERROR(__xludf.DUMMYFUNCTION("CONCATENATE(GOOGLETRANSLATE(C6214, ""en"", ""zh-cn""))"),"Melissa &amp; Doug 多功能训练桌")</f>
        <v>Melissa &amp; Doug 多功能训练桌</v>
      </c>
      <c r="E6214" s="1" t="str">
        <f>IFERROR(__xludf.DUMMYFUNCTION("CONCATENATE(GOOGLETRANSLATE(C6214, ""en"", ""ko""))"),"Melissa &amp; Doug 다중 활동 기차 테이블")</f>
        <v>Melissa &amp; Doug 다중 활동 기차 테이블</v>
      </c>
      <c r="F6214" s="1" t="str">
        <f>IFERROR(__xludf.DUMMYFUNCTION("CONCATENATE(GOOGLETRANSLATE(C6214, ""en"", ""ja""))"),"メリッサ &amp; ダグ マルチアクティビティ トレイン テーブル")</f>
        <v>メリッサ &amp; ダグ マルチアクティビティ トレイン テーブル</v>
      </c>
    </row>
    <row r="6215" ht="15.75" customHeight="1">
      <c r="A6215" s="1">
        <v>7854.0</v>
      </c>
      <c r="B6215" s="1" t="s">
        <v>15</v>
      </c>
      <c r="C6215" s="1" t="s">
        <v>5119</v>
      </c>
      <c r="D6215" s="1" t="str">
        <f>IFERROR(__xludf.DUMMYFUNCTION("CONCATENATE(GOOGLETRANSLATE(C6215, ""en"", ""zh-cn""))"),"Blackstone Adventure Ready 14 英寸丙烷野营烤盘，带侧燃烧器")</f>
        <v>Blackstone Adventure Ready 14 英寸丙烷野营烤盘，带侧燃烧器</v>
      </c>
      <c r="E6215" s="1" t="str">
        <f>IFERROR(__xludf.DUMMYFUNCTION("CONCATENATE(GOOGLETRANSLATE(C6215, ""en"", ""ko""))"),"Blackstone Adventure Ready 14인치 프로판 캠핑 그리들(사이드 버너 포함)")</f>
        <v>Blackstone Adventure Ready 14인치 프로판 캠핑 그리들(사이드 버너 포함)</v>
      </c>
      <c r="F6215" s="1" t="str">
        <f>IFERROR(__xludf.DUMMYFUNCTION("CONCATENATE(GOOGLETRANSLATE(C6215, ""en"", ""ja""))"),"Blackstone Adventure Ready 14 インチ プロパン キャンプ グリドル サイド バーナー付き")</f>
        <v>Blackstone Adventure Ready 14 インチ プロパン キャンプ グリドル サイド バーナー付き</v>
      </c>
    </row>
    <row r="6216" ht="15.75" customHeight="1">
      <c r="A6216" s="1">
        <v>7856.0</v>
      </c>
      <c r="B6216" s="1" t="s">
        <v>15</v>
      </c>
      <c r="C6216" s="1" t="s">
        <v>5120</v>
      </c>
      <c r="D6216" s="1" t="str">
        <f>IFERROR(__xludf.DUMMYFUNCTION("CONCATENATE(GOOGLETRANSLATE(C6216, ""en"", ""zh-cn""))"),"凝灰岩材料陆上淋浴帐篷 TS-SHOWER-TENT")</f>
        <v>凝灰岩材料陆上淋浴帐篷 TS-SHOWER-TENT</v>
      </c>
      <c r="E6216" s="1" t="str">
        <f>IFERROR(__xludf.DUMMYFUNCTION("CONCATENATE(GOOGLETRANSLATE(C6216, ""en"", ""ko""))"),"Tuff Stuff 오버랜드 샤워 텐트 TS-SHOWER-TENT")</f>
        <v>Tuff Stuff 오버랜드 샤워 텐트 TS-SHOWER-TENT</v>
      </c>
      <c r="F6216" s="1" t="str">
        <f>IFERROR(__xludf.DUMMYFUNCTION("CONCATENATE(GOOGLETRANSLATE(C6216, ""en"", ""ja""))"),"タフスタッフ オーバーランド シャワーテント TS-SHOWER-TENT")</f>
        <v>タフスタッフ オーバーランド シャワーテント TS-SHOWER-TENT</v>
      </c>
    </row>
    <row r="6217" ht="15.75" customHeight="1">
      <c r="A6217" s="1">
        <v>7858.0</v>
      </c>
      <c r="B6217" s="1" t="s">
        <v>15</v>
      </c>
      <c r="C6217" s="1" t="s">
        <v>5121</v>
      </c>
      <c r="D6217" s="1" t="str">
        <f>IFERROR(__xludf.DUMMYFUNCTION("CONCATENATE(GOOGLETRANSLATE(C6217, ""en"", ""zh-cn""))"),"NEMO乔戈里帐篷")</f>
        <v>NEMO乔戈里帐篷</v>
      </c>
      <c r="E6217" s="1" t="str">
        <f>IFERROR(__xludf.DUMMYFUNCTION("CONCATENATE(GOOGLETRANSLATE(C6217, ""en"", ""ko""))"),"NEMO 초고리 텐트")</f>
        <v>NEMO 초고리 텐트</v>
      </c>
      <c r="F6217" s="1" t="str">
        <f>IFERROR(__xludf.DUMMYFUNCTION("CONCATENATE(GOOGLETRANSLATE(C6217, ""en"", ""ja""))"),"NEMOチョゴリテント")</f>
        <v>NEMOチョゴリテント</v>
      </c>
    </row>
    <row r="6218" ht="15.75" customHeight="1">
      <c r="A6218" s="1">
        <v>7860.0</v>
      </c>
      <c r="B6218" s="1" t="s">
        <v>15</v>
      </c>
      <c r="C6218" s="1" t="s">
        <v>5122</v>
      </c>
      <c r="D6218" s="1" t="str">
        <f>IFERROR(__xludf.DUMMYFUNCTION("CONCATENATE(GOOGLETRANSLATE(C6218, ""en"", ""zh-cn""))"),"科迪亚克帆布小屋小屋帐篷")</f>
        <v>科迪亚克帆布小屋小屋帐篷</v>
      </c>
      <c r="E6218" s="1" t="str">
        <f>IFERROR(__xludf.DUMMYFUNCTION("CONCATENATE(GOOGLETRANSLATE(C6218, ""en"", ""ko""))"),"코디악 캔버스 캐빈 로지 텐트")</f>
        <v>코디악 캔버스 캐빈 로지 텐트</v>
      </c>
      <c r="F6218" s="1" t="str">
        <f>IFERROR(__xludf.DUMMYFUNCTION("CONCATENATE(GOOGLETRANSLATE(C6218, ""en"", ""ja""))"),"コディアック キャンバス キャビン ロッジ テント")</f>
        <v>コディアック キャンバス キャビン ロッジ テント</v>
      </c>
    </row>
    <row r="6219" ht="15.75" customHeight="1">
      <c r="A6219" s="1">
        <v>7862.0</v>
      </c>
      <c r="B6219" s="1" t="s">
        <v>15</v>
      </c>
      <c r="C6219" s="1" t="s">
        <v>5123</v>
      </c>
      <c r="D6219" s="1" t="str">
        <f>IFERROR(__xludf.DUMMYFUNCTION("CONCATENATE(GOOGLETRANSLATE(C6219, ""en"", ""zh-cn""))"),"Kamp-Rite 原创快速安装 1 人婴儿床、休闲椅和帐篷")</f>
        <v>Kamp-Rite 原创快速安装 1 人婴儿床、休闲椅和帐篷</v>
      </c>
      <c r="E6219" s="1" t="str">
        <f>IFERROR(__xludf.DUMMYFUNCTION("CONCATENATE(GOOGLETRANSLATE(C6219, ""en"", ""ko""))"),"Kamp-Rite 오리지널 빠른 설정 1인용 유아용 침대, 라운지 의자 및 텐트")</f>
        <v>Kamp-Rite 오리지널 빠른 설정 1인용 유아용 침대, 라운지 의자 및 텐트</v>
      </c>
      <c r="F6219" s="1" t="str">
        <f>IFERROR(__xludf.DUMMYFUNCTION("CONCATENATE(GOOGLETRANSLATE(C6219, ""en"", ""ja""))"),"Kamp-Rite オリジナル クイックセットアップ 1 人用コット、ラウンジチェア、テント")</f>
        <v>Kamp-Rite オリジナル クイックセットアップ 1 人用コット、ラウンジチェア、テント</v>
      </c>
    </row>
    <row r="6220" ht="15.75" customHeight="1">
      <c r="A6220" s="1">
        <v>7893.0</v>
      </c>
      <c r="B6220" s="1" t="s">
        <v>15</v>
      </c>
      <c r="C6220" s="1" t="s">
        <v>5124</v>
      </c>
      <c r="D6220" s="1" t="str">
        <f>IFERROR(__xludf.DUMMYFUNCTION("CONCATENATE(GOOGLETRANSLATE(C6220, ""en"", ""zh-cn""))"),"10' x 9' Ozark Trail 六人黑暗休息小屋家庭露营和探险帐篷，包括装备阁楼、悬挂式收纳盒和电源端口")</f>
        <v>10' x 9' Ozark Trail 六人黑暗休息小屋家庭露营和探险帐篷，包括装备阁楼、悬挂式收纳盒和电源端口</v>
      </c>
      <c r="E6220" s="1" t="str">
        <f>IFERROR(__xludf.DUMMYFUNCTION("CONCATENATE(GOOGLETRANSLATE(C6220, ""en"", ""ko""))"),"10' x 9' Ozark Trail 6인용 다크 레스트 캐빈 가족 캠핑 및 어드벤처 텐트, 기어 로프트, 행잉 정리함 및 전기 포트 포함")</f>
        <v>10' x 9' Ozark Trail 6인용 다크 레스트 캐빈 가족 캠핑 및 어드벤처 텐트, 기어 로프트, 행잉 정리함 및 전기 포트 포함</v>
      </c>
      <c r="F6220" s="1" t="str">
        <f>IFERROR(__xludf.DUMMYFUNCTION("CONCATENATE(GOOGLETRANSLATE(C6220, ""en"", ""ja""))"),"10フィート x 9フィート オザークトレイル 6人用 ダークレストキャビン ファミリーキャンプとアドベンチャーテント、ギアロフト、ハンギングオーガナイザー、電気ポート付き")</f>
        <v>10フィート x 9フィート オザークトレイル 6人用 ダークレストキャビン ファミリーキャンプとアドベンチャーテント、ギアロフト、ハンギングオーガナイザー、電気ポート付き</v>
      </c>
    </row>
    <row r="6221" ht="15.75" customHeight="1">
      <c r="A6221" s="1">
        <v>7900.0</v>
      </c>
      <c r="B6221" s="1" t="s">
        <v>15</v>
      </c>
      <c r="C6221" s="1" t="s">
        <v>5125</v>
      </c>
      <c r="D6221" s="1" t="str">
        <f>IFERROR(__xludf.DUMMYFUNCTION("CONCATENATE(GOOGLETRANSLATE(C6221, ""en"", ""zh-cn""))"),"Oztrail Hazel Creek 12 人小屋帐篷")</f>
        <v>Oztrail Hazel Creek 12 人小屋帐篷</v>
      </c>
      <c r="E6221" s="1" t="str">
        <f>IFERROR(__xludf.DUMMYFUNCTION("CONCATENATE(GOOGLETRANSLATE(C6221, ""en"", ""ko""))"),"Oztrail 헤이즐 크릭 12인용 캐빈 텐트")</f>
        <v>Oztrail 헤이즐 크릭 12인용 캐빈 텐트</v>
      </c>
      <c r="F6221" s="1" t="str">
        <f>IFERROR(__xludf.DUMMYFUNCTION("CONCATENATE(GOOGLETRANSLATE(C6221, ""en"", ""ja""))"),"オズトレイル ヘーゼル クリーク 12 人用キャビン テント")</f>
        <v>オズトレイル ヘーゼル クリーク 12 人用キャビン テント</v>
      </c>
    </row>
    <row r="6222" ht="15.75" customHeight="1">
      <c r="A6222" s="1">
        <v>7908.0</v>
      </c>
      <c r="B6222" s="1" t="s">
        <v>15</v>
      </c>
      <c r="C6222" s="1" t="s">
        <v>5126</v>
      </c>
      <c r="D6222" s="1" t="str">
        <f>IFERROR(__xludf.DUMMYFUNCTION("CONCATENATE(GOOGLETRANSLATE(C6222, ""en"", ""zh-cn""))"),"Ozark Trail 简易快速搭建 3 人户外露营圆顶帐篷")</f>
        <v>Ozark Trail 简易快速搭建 3 人户外露营圆顶帐篷</v>
      </c>
      <c r="E6222" s="1" t="str">
        <f>IFERROR(__xludf.DUMMYFUNCTION("CONCATENATE(GOOGLETRANSLATE(C6222, ""en"", ""ko""))"),"Ozark Trail 쉬운 빠른 설정 3인용 야외 캠핑 돔 텐트")</f>
        <v>Ozark Trail 쉬운 빠른 설정 3인용 야외 캠핑 돔 텐트</v>
      </c>
      <c r="F6222" s="1" t="str">
        <f>IFERROR(__xludf.DUMMYFUNCTION("CONCATENATE(GOOGLETRANSLATE(C6222, ""en"", ""ja""))"),"オザークトレイル 簡単クイックセットアップ 3人用アウトドアキャンプドームテント")</f>
        <v>オザークトレイル 簡単クイックセットアップ 3人用アウトドアキャンプドームテント</v>
      </c>
    </row>
    <row r="6223" ht="15.75" customHeight="1">
      <c r="A6223" s="1">
        <v>7913.0</v>
      </c>
      <c r="B6223" s="1" t="s">
        <v>15</v>
      </c>
      <c r="C6223" s="1" t="s">
        <v>5127</v>
      </c>
      <c r="D6223" s="1" t="str">
        <f>IFERROR(__xludf.DUMMYFUNCTION("CONCATENATE(GOOGLETRANSLATE(C6223, ""en"", ""zh-cn""))"),"奥扎克步道 16 人 3 室家庭小屋帐篷")</f>
        <v>奥扎克步道 16 人 3 室家庭小屋帐篷</v>
      </c>
      <c r="E6223" s="1" t="str">
        <f>IFERROR(__xludf.DUMMYFUNCTION("CONCATENATE(GOOGLETRANSLATE(C6223, ""en"", ""ko""))"),"오자크 트레일 16인용 3룸 패밀리 캐빈 텐트")</f>
        <v>오자크 트레일 16인용 3룸 패밀리 캐빈 텐트</v>
      </c>
      <c r="F6223" s="1" t="str">
        <f>IFERROR(__xludf.DUMMYFUNCTION("CONCATENATE(GOOGLETRANSLATE(C6223, ""en"", ""ja""))"),"オザーク トレイル 16 人用 3 ルーム ファミリー キャビン テント")</f>
        <v>オザーク トレイル 16 人用 3 ルーム ファミリー キャビン テント</v>
      </c>
    </row>
    <row r="6224" ht="15.75" customHeight="1">
      <c r="A6224" s="1">
        <v>7915.0</v>
      </c>
      <c r="B6224" s="1" t="s">
        <v>15</v>
      </c>
      <c r="C6224" s="1" t="s">
        <v>5128</v>
      </c>
      <c r="D6224" s="1" t="str">
        <f>IFERROR(__xludf.DUMMYFUNCTION("CONCATENATE(GOOGLETRANSLATE(C6224, ""en"", ""zh-cn""))"),"Ozark Trail 10' x 10' 直腿顶篷")</f>
        <v>Ozark Trail 10' x 10' 直腿顶篷</v>
      </c>
      <c r="E6224" s="1" t="str">
        <f>IFERROR(__xludf.DUMMYFUNCTION("CONCATENATE(GOOGLETRANSLATE(C6224, ""en"", ""ko""))"),"Ozark Trail 10' x 10' 직선 다리 캐노피")</f>
        <v>Ozark Trail 10' x 10' 직선 다리 캐노피</v>
      </c>
      <c r="F6224" s="1" t="str">
        <f>IFERROR(__xludf.DUMMYFUNCTION("CONCATENATE(GOOGLETRANSLATE(C6224, ""en"", ""ja""))"),"オザーク トレイル 10 フィート x 10 フィート ストレート レッグ キャノピー")</f>
        <v>オザーク トレイル 10 フィート x 10 フィート ストレート レッグ キャノピー</v>
      </c>
    </row>
    <row r="6225" ht="15.75" customHeight="1">
      <c r="A6225" s="1">
        <v>7919.0</v>
      </c>
      <c r="B6225" s="1" t="s">
        <v>15</v>
      </c>
      <c r="C6225" s="1" t="s">
        <v>5129</v>
      </c>
      <c r="D6225" s="1" t="str">
        <f>IFERROR(__xludf.DUMMYFUNCTION("CONCATENATE(GOOGLETRANSLATE(C6225, ""en"", ""zh-cn""))"),"Ozark Trail 14' X 10' 10 人即时小屋帐篷，31.86 磅")</f>
        <v>Ozark Trail 14' X 10' 10 人即时小屋帐篷，31.86 磅</v>
      </c>
      <c r="E6225" s="1" t="str">
        <f>IFERROR(__xludf.DUMMYFUNCTION("CONCATENATE(GOOGLETRANSLATE(C6225, ""en"", ""ko""))"),"Ozark Trail 14' X 10' 10인용 인스턴트 캐빈 텐트, 31.86파운드")</f>
        <v>Ozark Trail 14' X 10' 10인용 인스턴트 캐빈 텐트, 31.86파운드</v>
      </c>
      <c r="F6225" s="1" t="str">
        <f>IFERROR(__xludf.DUMMYFUNCTION("CONCATENATE(GOOGLETRANSLATE(C6225, ""en"", ""ja""))"),"オザーク トレイル 14 フィート X 10 フィート 10 人用インスタント キャビン テント、31.86 ポンド")</f>
        <v>オザーク トレイル 14 フィート X 10 フィート 10 人用インスタント キャビン テント、31.86 ポンド</v>
      </c>
    </row>
    <row r="6226" ht="15.75" customHeight="1">
      <c r="A6226" s="1">
        <v>7920.0</v>
      </c>
      <c r="B6226" s="1" t="s">
        <v>15</v>
      </c>
      <c r="C6226" s="1" t="s">
        <v>5130</v>
      </c>
      <c r="D6226" s="1" t="str">
        <f>IFERROR(__xludf.DUMMYFUNCTION("CONCATENATE(GOOGLETRANSLATE(C6226, ""en"", ""zh-cn""))"),"Ozark Trail 超大网状露营椅，带冷却器")</f>
        <v>Ozark Trail 超大网状露营椅，带冷却器</v>
      </c>
      <c r="E6226" s="1" t="str">
        <f>IFERROR(__xludf.DUMMYFUNCTION("CONCATENATE(GOOGLETRANSLATE(C6226, ""en"", ""ko""))"),"Ozark Trail 대형 메쉬 캠프 의자(쿨러 포함)")</f>
        <v>Ozark Trail 대형 메쉬 캠프 의자(쿨러 포함)</v>
      </c>
      <c r="F6226" s="1" t="str">
        <f>IFERROR(__xludf.DUMMYFUNCTION("CONCATENATE(GOOGLETRANSLATE(C6226, ""en"", ""ja""))"),"オザーク トレイル オーバーサイズ メッシュ キャンプ チェア クーラー付き")</f>
        <v>オザーク トレイル オーバーサイズ メッシュ キャンプ チェア クーラー付き</v>
      </c>
    </row>
    <row r="6227" ht="15.75" customHeight="1">
      <c r="A6227" s="1">
        <v>7925.0</v>
      </c>
      <c r="B6227" s="1" t="s">
        <v>15</v>
      </c>
      <c r="C6227" s="1" t="s">
        <v>5131</v>
      </c>
      <c r="D6227" s="1" t="str">
        <f>IFERROR(__xludf.DUMMYFUNCTION("CONCATENATE(GOOGLETRANSLATE(C6227, ""en"", ""zh-cn""))"),"奥扎克其他| Ozark Trail 红色睡袋，带 Ozark Trail 旅行和露营枕头 | SHOPBOP颜色： 红色 |尺寸：Os |吉布森戈尔德销售的衣柜")</f>
        <v>奥扎克其他| Ozark Trail 红色睡袋，带 Ozark Trail 旅行和露营枕头 | SHOPBOP颜色： 红色 |尺寸：Os |吉布森戈尔德销售的衣柜</v>
      </c>
      <c r="E6227" s="1" t="str">
        <f>IFERROR(__xludf.DUMMYFUNCTION("CONCATENATE(GOOGLETRANSLATE(C6227, ""en"", ""ko""))"),"오자크 기타 | Ozark Trail 여행 및 캠프 베개가 포함된 Ozark Trail 빨간색 침낭 | 색상: 레드 | 크기: OS | Gibsongoldsales의 옷장")</f>
        <v>오자크 기타 | Ozark Trail 여행 및 캠프 베개가 포함된 Ozark Trail 빨간색 침낭 | 색상: 레드 | 크기: OS | Gibsongoldsales의 옷장</v>
      </c>
      <c r="F6227" s="1" t="str">
        <f>IFERROR(__xludf.DUMMYFUNCTION("CONCATENATE(GOOGLETRANSLATE(C6227, ""en"", ""ja""))"),"オザークその他 |オザーク トレイル レッド スリーピングバッグ オザーク トレイル トラベル &amp; キャンプ枕付き |色: 赤 |サイズ: オス |ギブソンゴールドセールスのクローゼット")</f>
        <v>オザークその他 |オザーク トレイル レッド スリーピングバッグ オザーク トレイル トラベル &amp; キャンプ枕付き |色: 赤 |サイズ: オス |ギブソンゴールドセールスのクローゼット</v>
      </c>
    </row>
    <row r="6228" ht="15.75" customHeight="1">
      <c r="A6228" s="1">
        <v>7931.0</v>
      </c>
      <c r="B6228" s="1" t="s">
        <v>15</v>
      </c>
      <c r="C6228" s="1" t="s">
        <v>5132</v>
      </c>
      <c r="D6228" s="1" t="str">
        <f>IFERROR(__xludf.DUMMYFUNCTION("CONCATENATE(GOOGLETRANSLATE(C6228, ""en"", ""zh-cn""))"),"自动驾驶黑色侧遮光罩")</f>
        <v>自动驾驶黑色侧遮光罩</v>
      </c>
      <c r="E6228" s="1" t="str">
        <f>IFERROR(__xludf.DUMMYFUNCTION("CONCATENATE(GOOGLETRANSLATE(C6228, ""en"", ""ko""))"),"오토드라이브 블랙 사이드 쉐이드")</f>
        <v>오토드라이브 블랙 사이드 쉐이드</v>
      </c>
      <c r="F6228" s="1" t="str">
        <f>IFERROR(__xludf.DUMMYFUNCTION("CONCATENATE(GOOGLETRANSLATE(C6228, ""en"", ""ja""))"),"オートドライブ ブラックサイドシェード")</f>
        <v>オートドライブ ブラックサイドシェード</v>
      </c>
    </row>
    <row r="6229" ht="15.75" customHeight="1">
      <c r="A6229" s="1">
        <v>7934.0</v>
      </c>
      <c r="B6229" s="1" t="s">
        <v>15</v>
      </c>
      <c r="C6229" s="1" t="s">
        <v>5133</v>
      </c>
      <c r="D6229" s="1" t="str">
        <f>IFERROR(__xludf.DUMMYFUNCTION("CONCATENATE(GOOGLETRANSLATE(C6229, ""en"", ""zh-cn""))"),"Auto Drive 汽车办公室收纳盒，黑色 Ref 924")</f>
        <v>Auto Drive 汽车办公室收纳盒，黑色 Ref 924</v>
      </c>
      <c r="E6229" s="1" t="str">
        <f>IFERROR(__xludf.DUMMYFUNCTION("CONCATENATE(GOOGLETRANSLATE(C6229, ""en"", ""ko""))"),"오토 드라이브 카 오피스 정리함, 블랙 컬러 Ref 924")</f>
        <v>오토 드라이브 카 오피스 정리함, 블랙 컬러 Ref 924</v>
      </c>
      <c r="F6229" s="1" t="str">
        <f>IFERROR(__xludf.DUMMYFUNCTION("CONCATENATE(GOOGLETRANSLATE(C6229, ""en"", ""ja""))"),"Auto Drive カーオフィスオーガナイザー、ブラックカラー Ref 924")</f>
        <v>Auto Drive カーオフィスオーガナイザー、ブラックカラー Ref 924</v>
      </c>
    </row>
    <row r="6230" ht="15.75" customHeight="1">
      <c r="A6230" s="1">
        <v>7953.0</v>
      </c>
      <c r="B6230" s="1" t="s">
        <v>15</v>
      </c>
      <c r="C6230" s="1" t="s">
        <v>5134</v>
      </c>
      <c r="D6230" s="1" t="str">
        <f>IFERROR(__xludf.DUMMYFUNCTION("CONCATENATE(GOOGLETRANSLATE(C6230, ""en"", ""zh-cn""))"),"Shein 27 件闪亮汽车配件套装")</f>
        <v>Shein 27 件闪亮汽车配件套装</v>
      </c>
      <c r="E6230" s="1" t="str">
        <f>IFERROR(__xludf.DUMMYFUNCTION("CONCATENATE(GOOGLETRANSLATE(C6230, ""en"", ""ko""))"),"Shein 27피스 블링 자동차 액세서리 세트")</f>
        <v>Shein 27피스 블링 자동차 액세서리 세트</v>
      </c>
      <c r="F6230" s="1" t="str">
        <f>IFERROR(__xludf.DUMMYFUNCTION("CONCATENATE(GOOGLETRANSLATE(C6230, ""en"", ""ja""))"),"Shein 27 ピース キラキラ カー アクセサリー セット")</f>
        <v>Shein 27 ピース キラキラ カー アクセサリー セット</v>
      </c>
    </row>
    <row r="6231" ht="15.75" customHeight="1">
      <c r="A6231" s="1">
        <v>7960.0</v>
      </c>
      <c r="B6231" s="1" t="s">
        <v>15</v>
      </c>
      <c r="C6231" s="1" t="s">
        <v>5135</v>
      </c>
      <c r="D6231" s="1" t="str">
        <f>IFERROR(__xludf.DUMMYFUNCTION("CONCATENATE(GOOGLETRANSLATE(C6231, ""en"", ""zh-cn""))"),"AutoCraft 蓬松方向盘套")</f>
        <v>AutoCraft 蓬松方向盘套</v>
      </c>
      <c r="E6231" s="1" t="str">
        <f>IFERROR(__xludf.DUMMYFUNCTION("CONCATENATE(GOOGLETRANSLATE(C6231, ""en"", ""ko""))"),"AutoCraft 푹신한 스티어링 휠 커버")</f>
        <v>AutoCraft 푹신한 스티어링 휠 커버</v>
      </c>
      <c r="F6231" s="1" t="str">
        <f>IFERROR(__xludf.DUMMYFUNCTION("CONCATENATE(GOOGLETRANSLATE(C6231, ""en"", ""ja""))"),"オートクラフト ふわふわハンドルカバー")</f>
        <v>オートクラフト ふわふわハンドルカバー</v>
      </c>
    </row>
    <row r="6232" ht="15.75" customHeight="1">
      <c r="A6232" s="1">
        <v>7969.0</v>
      </c>
      <c r="B6232" s="1" t="s">
        <v>15</v>
      </c>
      <c r="C6232" s="1" t="s">
        <v>5136</v>
      </c>
      <c r="D6232" s="1" t="str">
        <f>IFERROR(__xludf.DUMMYFUNCTION("CONCATENATE(GOOGLETRANSLATE(C6232, ""en"", ""zh-cn""))"),"Armor All 终极汽车护理细节套件")</f>
        <v>Armor All 终极汽车护理细节套件</v>
      </c>
      <c r="E6232" s="1" t="str">
        <f>IFERROR(__xludf.DUMMYFUNCTION("CONCATENATE(GOOGLETRANSLATE(C6232, ""en"", ""ko""))"),"Armor All Ultimate Car Care 디테일링 키트")</f>
        <v>Armor All Ultimate Car Care 디테일링 키트</v>
      </c>
      <c r="F6232" s="1" t="str">
        <f>IFERROR(__xludf.DUMMYFUNCTION("CONCATENATE(GOOGLETRANSLATE(C6232, ""en"", ""ja""))"),"Armor All アルティメット カー ケア ディテイリング キット")</f>
        <v>Armor All アルティメット カー ケア ディテイリング キット</v>
      </c>
    </row>
    <row r="6233" ht="15.75" customHeight="1">
      <c r="A6233" s="1">
        <v>7972.0</v>
      </c>
      <c r="B6233" s="1" t="s">
        <v>15</v>
      </c>
      <c r="C6233" s="1" t="s">
        <v>5137</v>
      </c>
      <c r="D6233" s="1" t="str">
        <f>IFERROR(__xludf.DUMMYFUNCTION("CONCATENATE(GOOGLETRANSLATE(C6233, ""en"", ""zh-cn""))"),"ARMOR ALL 原装防护剂")</f>
        <v>ARMOR ALL 原装防护剂</v>
      </c>
      <c r="E6233" s="1" t="str">
        <f>IFERROR(__xludf.DUMMYFUNCTION("CONCATENATE(GOOGLETRANSLATE(C6233, ""en"", ""ko""))"),"ARMOR ALL 오리지널 보호제")</f>
        <v>ARMOR ALL 오리지널 보호제</v>
      </c>
      <c r="F6233" s="1" t="str">
        <f>IFERROR(__xludf.DUMMYFUNCTION("CONCATENATE(GOOGLETRANSLATE(C6233, ""en"", ""ja""))"),"ARMOR ALL オリジナル保護剤")</f>
        <v>ARMOR ALL オリジナル保護剤</v>
      </c>
    </row>
    <row r="6234" ht="15.75" customHeight="1">
      <c r="A6234" s="1">
        <v>7986.0</v>
      </c>
      <c r="B6234" s="1" t="s">
        <v>15</v>
      </c>
      <c r="C6234" s="1" t="s">
        <v>5138</v>
      </c>
      <c r="D6234" s="1" t="str">
        <f>IFERROR(__xludf.DUMMYFUNCTION("CONCATENATE(GOOGLETRANSLATE(C6234, ""en"", ""zh-cn""))"),"Armor All Outlast 装饰和塑料修复器")</f>
        <v>Armor All Outlast 装饰和塑料修复器</v>
      </c>
      <c r="E6234" s="1" t="str">
        <f>IFERROR(__xludf.DUMMYFUNCTION("CONCATENATE(GOOGLETRANSLATE(C6234, ""en"", ""ko""))"),"Armor All Outlast 트림 및 플라스틱 복원제")</f>
        <v>Armor All Outlast 트림 및 플라스틱 복원제</v>
      </c>
      <c r="F6234" s="1" t="str">
        <f>IFERROR(__xludf.DUMMYFUNCTION("CONCATENATE(GOOGLETRANSLATE(C6234, ""en"", ""ja""))"),"アーマー オール アウトラスト トリム &amp; プラスチック リストアラー")</f>
        <v>アーマー オール アウトラスト トリム &amp; プラスチック リストアラー</v>
      </c>
    </row>
    <row r="6235" ht="15.75" customHeight="1">
      <c r="A6235" s="1">
        <v>7995.0</v>
      </c>
      <c r="B6235" s="1" t="s">
        <v>15</v>
      </c>
      <c r="C6235" s="1" t="s">
        <v>5139</v>
      </c>
      <c r="D6235" s="1" t="str">
        <f>IFERROR(__xludf.DUMMYFUNCTION("CONCATENATE(GOOGLETRANSLATE(C6235, ""en"", ""zh-cn""))"),"Armor All 完整汽车护理套件 13703C")</f>
        <v>Armor All 完整汽车护理套件 13703C</v>
      </c>
      <c r="E6235" s="1" t="str">
        <f>IFERROR(__xludf.DUMMYFUNCTION("CONCATENATE(GOOGLETRANSLATE(C6235, ""en"", ""ko""))"),"Armor All 완전한 자동차 관리 키트 13703C")</f>
        <v>Armor All 완전한 자동차 관리 키트 13703C</v>
      </c>
      <c r="F6235" s="1" t="str">
        <f>IFERROR(__xludf.DUMMYFUNCTION("CONCATENATE(GOOGLETRANSLATE(C6235, ""en"", ""ja""))"),"アーマーオール コンプリートカーケアキット 13703C")</f>
        <v>アーマーオール コンプリートカーケアキット 13703C</v>
      </c>
    </row>
    <row r="6236" ht="15.75" customHeight="1">
      <c r="A6236" s="1">
        <v>8004.0</v>
      </c>
      <c r="B6236" s="1" t="s">
        <v>15</v>
      </c>
      <c r="C6236" s="1" t="s">
        <v>5140</v>
      </c>
      <c r="D6236" s="1" t="str">
        <f>IFERROR(__xludf.DUMMYFUNCTION("CONCATENATE(GOOGLETRANSLATE(C6236, ""en"", ""zh-cn""))"),"Armor 所有重型清洁湿巾")</f>
        <v>Armor 所有重型清洁湿巾</v>
      </c>
      <c r="E6236" s="1" t="str">
        <f>IFERROR(__xludf.DUMMYFUNCTION("CONCATENATE(GOOGLETRANSLATE(C6236, ""en"", ""ko""))"),"Armor 모든 헤비 듀티 클리닝 와이프")</f>
        <v>Armor 모든 헤비 듀티 클리닝 와이프</v>
      </c>
      <c r="F6236" s="1" t="str">
        <f>IFERROR(__xludf.DUMMYFUNCTION("CONCATENATE(GOOGLETRANSLATE(C6236, ""en"", ""ja""))"),"Armor All ヘビーデューティ クリーニング ワイプ")</f>
        <v>Armor All ヘビーデューティ クリーニング ワイプ</v>
      </c>
    </row>
    <row r="6237" ht="15.75" customHeight="1">
      <c r="A6237" s="1">
        <v>8015.0</v>
      </c>
      <c r="B6237" s="1" t="s">
        <v>15</v>
      </c>
      <c r="C6237" s="1" t="s">
        <v>5141</v>
      </c>
      <c r="D6237" s="1" t="str">
        <f>IFERROR(__xludf.DUMMYFUNCTION("CONCATENATE(GOOGLETRANSLATE(C6237, ""en"", ""zh-cn""))"),"佳得乐解渴瓶装饮料 20 液量盎司")</f>
        <v>佳得乐解渴瓶装饮料 20 液量盎司</v>
      </c>
      <c r="E6237" s="1" t="str">
        <f>IFERROR(__xludf.DUMMYFUNCTION("CONCATENATE(GOOGLETRANSLATE(C6237, ""en"", ""ko""))"),"게토레이 갈증 해소제 병 음료 20 fl oz")</f>
        <v>게토레이 갈증 해소제 병 음료 20 fl oz</v>
      </c>
      <c r="F6237" s="1" t="str">
        <f>IFERROR(__xludf.DUMMYFUNCTION("CONCATENATE(GOOGLETRANSLATE(C6237, ""en"", ""ja""))"),"ゲータレード サースト クエンチャー ボトル入りドリンク 20 液量オンス")</f>
        <v>ゲータレード サースト クエンチャー ボトル入りドリンク 20 液量オンス</v>
      </c>
    </row>
    <row r="6238" ht="15.75" customHeight="1">
      <c r="A6238" s="1">
        <v>8016.0</v>
      </c>
      <c r="B6238" s="1" t="s">
        <v>15</v>
      </c>
      <c r="C6238" s="1" t="s">
        <v>5142</v>
      </c>
      <c r="D6238" s="1" t="str">
        <f>IFERROR(__xludf.DUMMYFUNCTION("CONCATENATE(GOOGLETRANSLATE(C6238, ""en"", ""zh-cn""))"),"佳得乐冰霜冰川解渴剂")</f>
        <v>佳得乐冰霜冰川解渴剂</v>
      </c>
      <c r="E6238" s="1" t="str">
        <f>IFERROR(__xludf.DUMMYFUNCTION("CONCATENATE(GOOGLETRANSLATE(C6238, ""en"", ""ko""))"),"게토레이 프로스트 빙하 프리즈 갈증 해소제")</f>
        <v>게토레이 프로스트 빙하 프리즈 갈증 해소제</v>
      </c>
      <c r="F6238" s="1" t="str">
        <f>IFERROR(__xludf.DUMMYFUNCTION("CONCATENATE(GOOGLETRANSLATE(C6238, ""en"", ""ja""))"),"ゲータレード フロスト グレイシャー フリーズ サースト クエンチャー")</f>
        <v>ゲータレード フロスト グレイシャー フリーズ サースト クエンチャー</v>
      </c>
    </row>
    <row r="6239" ht="15.75" customHeight="1">
      <c r="A6239" s="1">
        <v>8021.0</v>
      </c>
      <c r="B6239" s="1" t="s">
        <v>15</v>
      </c>
      <c r="C6239" s="1" t="s">
        <v>5143</v>
      </c>
      <c r="D6239" s="1" t="str">
        <f>IFERROR(__xludf.DUMMYFUNCTION("CONCATENATE(GOOGLETRANSLATE(C6239, ""en"", ""zh-cn""))"),"佳得乐 G2 多种装解渴剂")</f>
        <v>佳得乐 G2 多种装解渴剂</v>
      </c>
      <c r="E6239" s="1" t="str">
        <f>IFERROR(__xludf.DUMMYFUNCTION("CONCATENATE(GOOGLETRANSLATE(C6239, ""en"", ""ko""))"),"게토레이 G2 버라이어티 팩 갈증 해소제")</f>
        <v>게토레이 G2 버라이어티 팩 갈증 해소제</v>
      </c>
      <c r="F6239" s="1" t="str">
        <f>IFERROR(__xludf.DUMMYFUNCTION("CONCATENATE(GOOGLETRANSLATE(C6239, ""en"", ""ja""))"),"ゲータレード G2 バラエティ パック サースト クエンチャー")</f>
        <v>ゲータレード G2 バラエティ パック サースト クエンチャー</v>
      </c>
    </row>
    <row r="6240" ht="15.75" customHeight="1">
      <c r="A6240" s="1">
        <v>8027.0</v>
      </c>
      <c r="B6240" s="1" t="s">
        <v>15</v>
      </c>
      <c r="C6240" s="1" t="s">
        <v>5144</v>
      </c>
      <c r="D6240" s="1" t="str">
        <f>IFERROR(__xludf.DUMMYFUNCTION("CONCATENATE(GOOGLETRANSLATE(C6240, ""en"", ""zh-cn""))"),"佳得乐 G 水果宾治解渴剂")</f>
        <v>佳得乐 G 水果宾治解渴剂</v>
      </c>
      <c r="E6240" s="1" t="str">
        <f>IFERROR(__xludf.DUMMYFUNCTION("CONCATENATE(GOOGLETRANSLATE(C6240, ""en"", ""ko""))"),"게토레이 G 과일 펀치 갈증 해소제")</f>
        <v>게토레이 G 과일 펀치 갈증 해소제</v>
      </c>
      <c r="F6240" s="1" t="str">
        <f>IFERROR(__xludf.DUMMYFUNCTION("CONCATENATE(GOOGLETRANSLATE(C6240, ""en"", ""ja""))"),"ゲータレード G フルーツポンチ サースト クエンチャー")</f>
        <v>ゲータレード G フルーツポンチ サースト クエンチャー</v>
      </c>
    </row>
    <row r="6241" ht="15.75" customHeight="1">
      <c r="A6241" s="1">
        <v>8029.0</v>
      </c>
      <c r="B6241" s="1" t="s">
        <v>15</v>
      </c>
      <c r="C6241" s="1" t="s">
        <v>5145</v>
      </c>
      <c r="D6241" s="1" t="str">
        <f>IFERROR(__xludf.DUMMYFUNCTION("CONCATENATE(GOOGLETRANSLATE(C6241, ""en"", ""zh-cn""))"),"佳得乐解渴青柠黄瓜运动饮料")</f>
        <v>佳得乐解渴青柠黄瓜运动饮料</v>
      </c>
      <c r="E6241" s="1" t="str">
        <f>IFERROR(__xludf.DUMMYFUNCTION("CONCATENATE(GOOGLETRANSLATE(C6241, ""en"", ""ko""))"),"게토레이 갈증 해소 라임 오이 스포츠 음료")</f>
        <v>게토레이 갈증 해소 라임 오이 스포츠 음료</v>
      </c>
      <c r="F6241" s="1" t="str">
        <f>IFERROR(__xludf.DUMMYFUNCTION("CONCATENATE(GOOGLETRANSLATE(C6241, ""en"", ""ja""))"),"ゲータレード サースト クエンチャー ライム キュウリ スポーツドリンク")</f>
        <v>ゲータレード サースト クエンチャー ライム キュウリ スポーツドリンク</v>
      </c>
    </row>
    <row r="6242" ht="15.75" customHeight="1">
      <c r="A6242" s="1">
        <v>8030.0</v>
      </c>
      <c r="B6242" s="1" t="s">
        <v>15</v>
      </c>
      <c r="C6242" s="1" t="s">
        <v>5146</v>
      </c>
      <c r="D6242" s="1" t="str">
        <f>IFERROR(__xludf.DUMMYFUNCTION("CONCATENATE(GOOGLETRANSLATE(C6242, ""en"", ""zh-cn""))"),"佳得乐解渴柠檬青柠味")</f>
        <v>佳得乐解渴柠檬青柠味</v>
      </c>
      <c r="E6242" s="1" t="str">
        <f>IFERROR(__xludf.DUMMYFUNCTION("CONCATENATE(GOOGLETRANSLATE(C6242, ""en"", ""ko""))"),"게토레이 갈증 해소제 레몬라임 맛")</f>
        <v>게토레이 갈증 해소제 레몬라임 맛</v>
      </c>
      <c r="F6242" s="1" t="str">
        <f>IFERROR(__xludf.DUMMYFUNCTION("CONCATENATE(GOOGLETRANSLATE(C6242, ""en"", ""ja""))"),"ゲータレード サースト クエンチャー レモンライム風味")</f>
        <v>ゲータレード サースト クエンチャー レモンライム風味</v>
      </c>
    </row>
    <row r="6243" ht="15.75" customHeight="1">
      <c r="A6243" s="1">
        <v>8034.0</v>
      </c>
      <c r="B6243" s="1" t="s">
        <v>15</v>
      </c>
      <c r="C6243" s="1" t="s">
        <v>5147</v>
      </c>
      <c r="D6243" s="1" t="str">
        <f>IFERROR(__xludf.DUMMYFUNCTION("CONCATENATE(GOOGLETRANSLATE(C6243, ""en"", ""zh-cn""))"),"佳得乐柠檬青柠解渴剂")</f>
        <v>佳得乐柠檬青柠解渴剂</v>
      </c>
      <c r="E6243" s="1" t="str">
        <f>IFERROR(__xludf.DUMMYFUNCTION("CONCATENATE(GOOGLETRANSLATE(C6243, ""en"", ""ko""))"),"게토레이 레몬-라임 갈증 해소제")</f>
        <v>게토레이 레몬-라임 갈증 해소제</v>
      </c>
      <c r="F6243" s="1" t="str">
        <f>IFERROR(__xludf.DUMMYFUNCTION("CONCATENATE(GOOGLETRANSLATE(C6243, ""en"", ""ja""))"),"ゲータレード レモンライム 喉の渇きを潤すもの")</f>
        <v>ゲータレード レモンライム 喉の渇きを潤すもの</v>
      </c>
    </row>
    <row r="6244" ht="15.75" customHeight="1">
      <c r="A6244" s="1">
        <v>8036.0</v>
      </c>
      <c r="B6244" s="1" t="s">
        <v>15</v>
      </c>
      <c r="C6244" s="1" t="s">
        <v>5148</v>
      </c>
      <c r="D6244" s="1" t="str">
        <f>IFERROR(__xludf.DUMMYFUNCTION("CONCATENATE(GOOGLETRANSLATE(C6244, ""en"", ""zh-cn""))"),"佳得乐柠檬水解渴剂")</f>
        <v>佳得乐柠檬水解渴剂</v>
      </c>
      <c r="E6244" s="1" t="str">
        <f>IFERROR(__xludf.DUMMYFUNCTION("CONCATENATE(GOOGLETRANSLATE(C6244, ""en"", ""ko""))"),"게토레이 레모네이드 갈증 해소제")</f>
        <v>게토레이 레모네이드 갈증 해소제</v>
      </c>
      <c r="F6244" s="1" t="str">
        <f>IFERROR(__xludf.DUMMYFUNCTION("CONCATENATE(GOOGLETRANSLATE(C6244, ""en"", ""ja""))"),"ゲータレード レモネード 喉の渇きを潤すもの")</f>
        <v>ゲータレード レモネード 喉の渇きを潤すもの</v>
      </c>
    </row>
    <row r="6245" ht="15.75" customHeight="1">
      <c r="A6245" s="1">
        <v>8044.0</v>
      </c>
      <c r="B6245" s="1" t="s">
        <v>15</v>
      </c>
      <c r="C6245" s="1" t="s">
        <v>5149</v>
      </c>
      <c r="D6245" s="1" t="str">
        <f>IFERROR(__xludf.DUMMYFUNCTION("CONCATENATE(GOOGLETRANSLATE(C6245, ""en"", ""zh-cn""))"),"佳得乐 G 系列解渴霜冰川樱桃 - 6 瓶")</f>
        <v>佳得乐 G 系列解渴霜冰川樱桃 - 6 瓶</v>
      </c>
      <c r="E6245" s="1" t="str">
        <f>IFERROR(__xludf.DUMMYFUNCTION("CONCATENATE(GOOGLETRANSLATE(C6245, ""en"", ""ko""))"),"게토레이 G 시리즈 갈증 해소제 프로스트 빙하 체리 - 6병")</f>
        <v>게토레이 G 시리즈 갈증 해소제 프로스트 빙하 체리 - 6병</v>
      </c>
      <c r="F6245" s="1" t="str">
        <f>IFERROR(__xludf.DUMMYFUNCTION("CONCATENATE(GOOGLETRANSLATE(C6245, ""en"", ""ja""))"),"ゲータレード G シリーズ サースト クエンチャー フロスト グレイシャー チェリー - 6 ボトル")</f>
        <v>ゲータレード G シリーズ サースト クエンチャー フロスト グレイシャー チェリー - 6 ボトル</v>
      </c>
    </row>
    <row r="6246" ht="15.75" customHeight="1">
      <c r="A6246" s="1">
        <v>8054.0</v>
      </c>
      <c r="B6246" s="1" t="s">
        <v>15</v>
      </c>
      <c r="C6246" s="1" t="s">
        <v>3031</v>
      </c>
      <c r="D6246" s="1" t="str">
        <f>IFERROR(__xludf.DUMMYFUNCTION("CONCATENATE(GOOGLETRANSLATE(C6246, ""en"", ""zh-cn""))"),"宴会经典肉饼餐")</f>
        <v>宴会经典肉饼餐</v>
      </c>
      <c r="E6246" s="1" t="str">
        <f>IFERROR(__xludf.DUMMYFUNCTION("CONCATENATE(GOOGLETRANSLATE(C6246, ""en"", ""ko""))"),"연회 클래식 미트로프 식사")</f>
        <v>연회 클래식 미트로프 식사</v>
      </c>
      <c r="F6246" s="1" t="str">
        <f>IFERROR(__xludf.DUMMYFUNCTION("CONCATENATE(GOOGLETRANSLATE(C6246, ""en"", ""ja""))"),"宴会クラシックミートローフミール")</f>
        <v>宴会クラシックミートローフミール</v>
      </c>
    </row>
    <row r="6247" ht="15.75" customHeight="1">
      <c r="A6247" s="1">
        <v>8057.0</v>
      </c>
      <c r="B6247" s="1" t="s">
        <v>15</v>
      </c>
      <c r="C6247" s="1" t="s">
        <v>5150</v>
      </c>
      <c r="D6247" s="1" t="str">
        <f>IFERROR(__xludf.DUMMYFUNCTION("CONCATENATE(GOOGLETRANSLATE(C6247, ""en"", ""zh-cn""))"),"宴会冷冻樱桃浆果派")</f>
        <v>宴会冷冻樱桃浆果派</v>
      </c>
      <c r="E6247" s="1" t="str">
        <f>IFERROR(__xludf.DUMMYFUNCTION("CONCATENATE(GOOGLETRANSLATE(C6247, ""en"", ""ko""))"),"연회 냉동 체리 베리 파이")</f>
        <v>연회 냉동 체리 베리 파이</v>
      </c>
      <c r="F6247" s="1" t="str">
        <f>IFERROR(__xludf.DUMMYFUNCTION("CONCATENATE(GOOGLETRANSLATE(C6247, ""en"", ""ja""))"),"バンケットフローズンチェリーベリーパイ")</f>
        <v>バンケットフローズンチェリーベリーパイ</v>
      </c>
    </row>
    <row r="6248" ht="15.75" customHeight="1">
      <c r="A6248" s="1">
        <v>8072.0</v>
      </c>
      <c r="B6248" s="1" t="s">
        <v>15</v>
      </c>
      <c r="C6248" s="1" t="s">
        <v>3910</v>
      </c>
      <c r="D6248" s="1" t="str">
        <f>IFERROR(__xludf.DUMMYFUNCTION("CONCATENATE(GOOGLETRANSLATE(C6248, ""en"", ""zh-cn""))"),"亚当斯家乡集市宴鸡条餐")</f>
        <v>亚当斯家乡集市宴鸡条餐</v>
      </c>
      <c r="E6248" s="1" t="str">
        <f>IFERROR(__xludf.DUMMYFUNCTION("CONCATENATE(GOOGLETRANSLATE(C6248, ""en"", ""ko""))"),"아담스 고향시장 연회 치킨 스트립 식사")</f>
        <v>아담스 고향시장 연회 치킨 스트립 식사</v>
      </c>
      <c r="F6248" s="1" t="str">
        <f>IFERROR(__xludf.DUMMYFUNCTION("CONCATENATE(GOOGLETRANSLATE(C6248, ""en"", ""ja""))"),"アダムズ ホームタウン マーケット バンケット チキン ストリップ料理")</f>
        <v>アダムズ ホームタウン マーケット バンケット チキン ストリップ料理</v>
      </c>
    </row>
    <row r="6249" ht="15.75" customHeight="1">
      <c r="A6249" s="1">
        <v>8097.0</v>
      </c>
      <c r="B6249" s="1" t="s">
        <v>15</v>
      </c>
      <c r="C6249" s="1" t="s">
        <v>5151</v>
      </c>
      <c r="D6249" s="1" t="str">
        <f>IFERROR(__xludf.DUMMYFUNCTION("CONCATENATE(GOOGLETRANSLATE(C6249, ""en"", ""zh-cn""))"),"宴会冷冻胡椒牛排肉饼餐")</f>
        <v>宴会冷冻胡椒牛排肉饼餐</v>
      </c>
      <c r="E6249" s="1" t="str">
        <f>IFERROR(__xludf.DUMMYFUNCTION("CONCATENATE(GOOGLETRANSLATE(C6249, ""en"", ""ko""))"),"연회 냉동 고추 스테이크 패티 식사")</f>
        <v>연회 냉동 고추 스테이크 패티 식사</v>
      </c>
      <c r="F6249" s="1" t="str">
        <f>IFERROR(__xludf.DUMMYFUNCTION("CONCATENATE(GOOGLETRANSLATE(C6249, ""en"", ""ja""))"),"宴会用冷凍ペッパーステーキパティセット")</f>
        <v>宴会用冷凍ペッパーステーキパティセット</v>
      </c>
    </row>
    <row r="6250" ht="15.75" customHeight="1">
      <c r="A6250" s="1">
        <v>8101.0</v>
      </c>
      <c r="B6250" s="1" t="s">
        <v>15</v>
      </c>
      <c r="C6250" s="1" t="s">
        <v>2131</v>
      </c>
      <c r="D6250" s="1" t="str">
        <f>IFERROR(__xludf.DUMMYFUNCTION("CONCATENATE(GOOGLETRANSLATE(C6250, ""en"", ""zh-cn""))"),"Wild Fork Foods 海鲜肉类组合各不相同")</f>
        <v>Wild Fork Foods 海鲜肉类组合各不相同</v>
      </c>
      <c r="E6250" s="1" t="str">
        <f>IFERROR(__xludf.DUMMYFUNCTION("CONCATENATE(GOOGLETRANSLATE(C6250, ""en"", ""ko""))"),"야생 포크 식품 해산물 고기 믹스는 다양합니다.")</f>
        <v>야생 포크 식품 해산물 고기 믹스는 다양합니다.</v>
      </c>
      <c r="F6250" s="1" t="str">
        <f>IFERROR(__xludf.DUMMYFUNCTION("CONCATENATE(GOOGLETRANSLATE(C6250, ""en"", ""ja""))"),"ワイルドフォークフーズ シーフード・ミートミックス各種")</f>
        <v>ワイルドフォークフーズ シーフード・ミートミックス各種</v>
      </c>
    </row>
    <row r="6251" ht="15.75" customHeight="1">
      <c r="A6251" s="1">
        <v>8108.0</v>
      </c>
      <c r="B6251" s="1" t="s">
        <v>15</v>
      </c>
      <c r="C6251" s="1" t="s">
        <v>3026</v>
      </c>
      <c r="D6251" s="1" t="str">
        <f>IFERROR(__xludf.DUMMYFUNCTION("CONCATENATE(GOOGLETRANSLATE(C6251, ""en"", ""zh-cn""))"),"宴会鸡胸肉")</f>
        <v>宴会鸡胸肉</v>
      </c>
      <c r="E6251" s="1" t="str">
        <f>IFERROR(__xludf.DUMMYFUNCTION("CONCATENATE(GOOGLETRANSLATE(C6251, ""en"", ""ko""))"),"연회 닭가슴살 텐더")</f>
        <v>연회 닭가슴살 텐더</v>
      </c>
      <c r="F6251" s="1" t="str">
        <f>IFERROR(__xludf.DUMMYFUNCTION("CONCATENATE(GOOGLETRANSLATE(C6251, ""en"", ""ja""))"),"宴会用鶏むね肉のささみ")</f>
        <v>宴会用鶏むね肉のささみ</v>
      </c>
    </row>
    <row r="6252" ht="15.75" customHeight="1">
      <c r="A6252" s="1">
        <v>8148.0</v>
      </c>
      <c r="B6252" s="1" t="s">
        <v>15</v>
      </c>
      <c r="C6252" s="1" t="s">
        <v>5152</v>
      </c>
      <c r="D6252" s="1" t="str">
        <f>IFERROR(__xludf.DUMMYFUNCTION("CONCATENATE(GOOGLETRANSLATE(C6252, ""en"", ""zh-cn""))"),"会员 - 终极海鲜套餐")</f>
        <v>会员 - 终极海鲜套餐</v>
      </c>
      <c r="E6252" s="1" t="str">
        <f>IFERROR(__xludf.DUMMYFUNCTION("CONCATENATE(GOOGLETRANSLATE(C6252, ""en"", ""ko""))"),"회원 - 최고의 해산물 번들")</f>
        <v>회원 - 최고의 해산물 번들</v>
      </c>
      <c r="F6252" s="1" t="str">
        <f>IFERROR(__xludf.DUMMYFUNCTION("CONCATENATE(GOOGLETRANSLATE(C6252, ""en"", ""ja""))"),"メンバー - 究極のシーフード バンドル")</f>
        <v>メンバー - 究極のシーフード バンドル</v>
      </c>
    </row>
    <row r="6253" ht="15.75" customHeight="1">
      <c r="A6253" s="1">
        <v>8151.0</v>
      </c>
      <c r="B6253" s="1" t="s">
        <v>15</v>
      </c>
      <c r="C6253" s="1" t="s">
        <v>5153</v>
      </c>
      <c r="D6253" s="1" t="str">
        <f>IFERROR(__xludf.DUMMYFUNCTION("CONCATENATE(GOOGLETRANSLATE(C6253, ""en"", ""zh-cn""))"),"超级块蟹肉|北海岸海鲜")</f>
        <v>超级块蟹肉|北海岸海鲜</v>
      </c>
      <c r="E6253" s="1" t="str">
        <f>IFERROR(__xludf.DUMMYFUNCTION("CONCATENATE(GOOGLETRANSLATE(C6253, ""en"", ""ko""))"),"슈퍼 덩어리 게살 | 노스 코스트 해산물")</f>
        <v>슈퍼 덩어리 게살 | 노스 코스트 해산물</v>
      </c>
      <c r="F6253" s="1" t="str">
        <f>IFERROR(__xludf.DUMMYFUNCTION("CONCATENATE(GOOGLETRANSLATE(C6253, ""en"", ""ja""))"),"スーパーランプカニ肉 |ノースコーストシーフード")</f>
        <v>スーパーランプカニ肉 |ノースコーストシーフード</v>
      </c>
    </row>
    <row r="6254" ht="15.75" customHeight="1">
      <c r="A6254" s="1">
        <v>8161.0</v>
      </c>
      <c r="B6254" s="1" t="s">
        <v>15</v>
      </c>
      <c r="C6254" s="1" t="s">
        <v>5154</v>
      </c>
      <c r="D6254" s="1" t="str">
        <f>IFERROR(__xludf.DUMMYFUNCTION("CONCATENATE(GOOGLETRANSLATE(C6254, ""en"", ""zh-cn""))"),"虎鲸湾黄金帝王蟹腿切")</f>
        <v>虎鲸湾黄金帝王蟹腿切</v>
      </c>
      <c r="E6254" s="1" t="str">
        <f>IFERROR(__xludf.DUMMYFUNCTION("CONCATENATE(GOOGLETRANSLATE(C6254, ""en"", ""ko""))"),"오르카 베이 골든 킹 크랩 다리 컷")</f>
        <v>오르카 베이 골든 킹 크랩 다리 컷</v>
      </c>
      <c r="F6254" s="1" t="str">
        <f>IFERROR(__xludf.DUMMYFUNCTION("CONCATENATE(GOOGLETRANSLATE(C6254, ""en"", ""ja""))"),"オルカ ベイ ゴールデンタラバガニの足のカット")</f>
        <v>オルカ ベイ ゴールデンタラバガニの足のカット</v>
      </c>
    </row>
    <row r="6255" ht="15.75" customHeight="1">
      <c r="A6255" s="1">
        <v>8164.0</v>
      </c>
      <c r="B6255" s="1" t="s">
        <v>15</v>
      </c>
      <c r="C6255" s="1" t="s">
        <v>5155</v>
      </c>
      <c r="D6255" s="1" t="str">
        <f>IFERROR(__xludf.DUMMYFUNCTION("CONCATENATE(GOOGLETRANSLATE(C6255, ""en"", ""zh-cn""))"),"海鲜拼盘")</f>
        <v>海鲜拼盘</v>
      </c>
      <c r="E6255" s="1" t="str">
        <f>IFERROR(__xludf.DUMMYFUNCTION("CONCATENATE(GOOGLETRANSLATE(C6255, ""en"", ""ko""))"),"해산물 메들리 믹스")</f>
        <v>해산물 메들리 믹스</v>
      </c>
      <c r="F6255" s="1" t="str">
        <f>IFERROR(__xludf.DUMMYFUNCTION("CONCATENATE(GOOGLETRANSLATE(C6255, ""en"", ""ja""))"),"シーフードメドレーミックス")</f>
        <v>シーフードメドレーミックス</v>
      </c>
    </row>
    <row r="6256" ht="15.75" customHeight="1">
      <c r="A6256" s="1">
        <v>8181.0</v>
      </c>
      <c r="B6256" s="1" t="s">
        <v>15</v>
      </c>
      <c r="C6256" s="1" t="s">
        <v>5156</v>
      </c>
      <c r="D6256" s="1" t="str">
        <f>IFERROR(__xludf.DUMMYFUNCTION("CONCATENATE(GOOGLETRANSLATE(C6256, ""en"", ""zh-cn""))"),"Dowinx LS-6689L 电竞椅")</f>
        <v>Dowinx LS-6689L 电竞椅</v>
      </c>
      <c r="E6256" s="1" t="str">
        <f>IFERROR(__xludf.DUMMYFUNCTION("CONCATENATE(GOOGLETRANSLATE(C6256, ""en"", ""ko""))"),"Dowinx LS-6689L 게이밍 의자")</f>
        <v>Dowinx LS-6689L 게이밍 의자</v>
      </c>
      <c r="F6256" s="1" t="str">
        <f>IFERROR(__xludf.DUMMYFUNCTION("CONCATENATE(GOOGLETRANSLATE(C6256, ""en"", ""ja""))"),"Dowinx LS-6689L ゲーミングチェア")</f>
        <v>Dowinx LS-6689L ゲーミングチェア</v>
      </c>
    </row>
    <row r="6257" ht="15.75" customHeight="1">
      <c r="A6257" s="1">
        <v>8184.0</v>
      </c>
      <c r="B6257" s="1" t="s">
        <v>15</v>
      </c>
      <c r="C6257" s="1" t="s">
        <v>5157</v>
      </c>
      <c r="D6257" s="1" t="str">
        <f>IFERROR(__xludf.DUMMYFUNCTION("CONCATENATE(GOOGLETRANSLATE(C6257, ""en"", ""zh-cn""))"),"Dowinx 游戏椅，带袋装弹簧垫，符合人体工程学的电脑椅，带脚踏板，高背游戏椅，带按摩腰部支撑，适合办公室 H")</f>
        <v>Dowinx 游戏椅，带袋装弹簧垫，符合人体工程学的电脑椅，带脚踏板，高背游戏椅，带按摩腰部支撑，适合办公室 H</v>
      </c>
      <c r="E6257" s="1" t="str">
        <f>IFERROR(__xludf.DUMMYFUNCTION("CONCATENATE(GOOGLETRANSLATE(C6257, ""en"", ""ko""))"),"포켓 스프링 쿠션이 있는 Dowinx 게이밍 의자, 발판이 있는 인체공학적 컴퓨터 의자, Office H용 마사지 요추 지지대가 있는 하이백 게임 의자")</f>
        <v>포켓 스프링 쿠션이 있는 Dowinx 게이밍 의자, 발판이 있는 인체공학적 컴퓨터 의자, Office H용 마사지 요추 지지대가 있는 하이백 게임 의자</v>
      </c>
      <c r="F6257" s="1" t="str">
        <f>IFERROR(__xludf.DUMMYFUNCTION("CONCATENATE(GOOGLETRANSLATE(C6257, ""en"", ""ja""))"),"Dowinx ポケットスプリングクッション付きゲーミングチェア、フットレスト付き人間工学に基づいたコンピューターチェア、オフィス用マッサージランバーサポート付きハイバックゲームチェア H")</f>
        <v>Dowinx ポケットスプリングクッション付きゲーミングチェア、フットレスト付き人間工学に基づいたコンピューターチェア、オフィス用マッサージランバーサポート付きハイバックゲームチェア H</v>
      </c>
    </row>
    <row r="6258" ht="15.75" customHeight="1">
      <c r="A6258" s="1">
        <v>8186.0</v>
      </c>
      <c r="B6258" s="1" t="s">
        <v>15</v>
      </c>
      <c r="C6258" s="1" t="s">
        <v>5158</v>
      </c>
      <c r="D6258" s="1" t="str">
        <f>IFERROR(__xludf.DUMMYFUNCTION("CONCATENATE(GOOGLETRANSLATE(C6258, ""en"", ""zh-cn""))"),"Dowinx 游戏椅面料，带袋装弹簧坐垫，高靠背")</f>
        <v>Dowinx 游戏椅面料，带袋装弹簧坐垫，高靠背</v>
      </c>
      <c r="E6258" s="1" t="str">
        <f>IFERROR(__xludf.DUMMYFUNCTION("CONCATENATE(GOOGLETRANSLATE(C6258, ""en"", ""ko""))"),"포켓 스프링 쿠션이 있는 Dowinx 게이밍 의자 패브릭, 하이백")</f>
        <v>포켓 스프링 쿠션이 있는 Dowinx 게이밍 의자 패브릭, 하이백</v>
      </c>
      <c r="F6258" s="1" t="str">
        <f>IFERROR(__xludf.DUMMYFUNCTION("CONCATENATE(GOOGLETRANSLATE(C6258, ""en"", ""ja""))"),"Dowinx ゲーミングチェア生地、ポケットスプリングクッション付き、ハイバック")</f>
        <v>Dowinx ゲーミングチェア生地、ポケットスプリングクッション付き、ハイバック</v>
      </c>
    </row>
    <row r="6259" ht="15.75" customHeight="1">
      <c r="A6259" s="1">
        <v>8191.0</v>
      </c>
      <c r="B6259" s="1" t="s">
        <v>15</v>
      </c>
      <c r="C6259" s="1" t="s">
        <v>5159</v>
      </c>
      <c r="D6259" s="1" t="str">
        <f>IFERROR(__xludf.DUMMYFUNCTION("CONCATENATE(GOOGLETRANSLATE(C6259, ""en"", ""zh-cn""))"),"Dowinx Gaming Stuhl LS-6689 Klassisches PU-Leder，黑色/4D 扶手")</f>
        <v>Dowinx Gaming Stuhl LS-6689 Klassisches PU-Leder，黑色/4D 扶手</v>
      </c>
      <c r="E6259" s="1" t="str">
        <f>IFERROR(__xludf.DUMMYFUNCTION("CONCATENATE(GOOGLETRANSLATE(C6259, ""en"", ""ko""))"),"Dowinx Gaming Stuhl LS-6689 Klassisches PU-가죽, 블랙/4D 팔걸이")</f>
        <v>Dowinx Gaming Stuhl LS-6689 Klassisches PU-가죽, 블랙/4D 팔걸이</v>
      </c>
      <c r="F6259" s="1" t="str">
        <f>IFERROR(__xludf.DUMMYFUNCTION("CONCATENATE(GOOGLETRANSLATE(C6259, ""en"", ""ja""))"),"Dowinx Gaming Stuhl LS-6689 Klassisches PU-Leder、ブラック / 4D アームレスト")</f>
        <v>Dowinx Gaming Stuhl LS-6689 Klassisches PU-Leder、ブラック / 4D アームレスト</v>
      </c>
    </row>
    <row r="6260" ht="15.75" customHeight="1">
      <c r="A6260" s="1">
        <v>8192.0</v>
      </c>
      <c r="B6260" s="1" t="s">
        <v>15</v>
      </c>
      <c r="C6260" s="1" t="s">
        <v>5160</v>
      </c>
      <c r="D6260" s="1" t="str">
        <f>IFERROR(__xludf.DUMMYFUNCTION("CONCATENATE(GOOGLETRANSLATE(C6260, ""en"", ""zh-cn""))"),"Dowinx 6689L-棕色电竞椅")</f>
        <v>Dowinx 6689L-棕色电竞椅</v>
      </c>
      <c r="E6260" s="1" t="str">
        <f>IFERROR(__xludf.DUMMYFUNCTION("CONCATENATE(GOOGLETRANSLATE(C6260, ""en"", ""ko""))"),"Dowinx 6689L-브라운 게이밍 의자")</f>
        <v>Dowinx 6689L-브라운 게이밍 의자</v>
      </c>
      <c r="F6260" s="1" t="str">
        <f>IFERROR(__xludf.DUMMYFUNCTION("CONCATENATE(GOOGLETRANSLATE(C6260, ""en"", ""ja""))"),"Dowinx 6689L-ブラウン ゲーミング チェア")</f>
        <v>Dowinx 6689L-ブラウン ゲーミング チェア</v>
      </c>
    </row>
    <row r="6261" ht="15.75" customHeight="1">
      <c r="A6261" s="1">
        <v>8195.0</v>
      </c>
      <c r="B6261" s="1" t="s">
        <v>15</v>
      </c>
      <c r="C6261" s="1" t="s">
        <v>5161</v>
      </c>
      <c r="D6261" s="1" t="str">
        <f>IFERROR(__xludf.DUMMYFUNCTION("CONCATENATE(GOOGLETRANSLATE(C6261, ""en"", ""zh-cn""))"),"Dowinx 游戏椅透气 PU 皮革游戏玩家椅，带袋装弹簧垫，符合人体工程学的电脑椅，带按摩腰部支撑，可调节")</f>
        <v>Dowinx 游戏椅透气 PU 皮革游戏玩家椅，带袋装弹簧垫，符合人体工程学的电脑椅，带按摩腰部支撑，可调节</v>
      </c>
      <c r="E6261" s="1" t="str">
        <f>IFERROR(__xludf.DUMMYFUNCTION("CONCATENATE(GOOGLETRANSLATE(C6261, ""en"", ""ko""))"),"Dowinx 게임 의자 포켓 스프링 쿠션이 있는 통기성 PU 가죽 게이머 의자, 마사지 요추 지지대가 있는 인체공학적 컴퓨터 의자, 조절 가능")</f>
        <v>Dowinx 게임 의자 포켓 스프링 쿠션이 있는 통기성 PU 가죽 게이머 의자, 마사지 요추 지지대가 있는 인체공학적 컴퓨터 의자, 조절 가능</v>
      </c>
      <c r="F6261" s="1" t="str">
        <f>IFERROR(__xludf.DUMMYFUNCTION("CONCATENATE(GOOGLETRANSLATE(C6261, ""en"", ""ja""))"),"Dowinx ゲーミングチェア 通気性のある PU レザー ゲーマーチェア ポケットスプリングクッション付き 人間工学に基づいたコンピュータチェア マッサージランバーサポート付き 調節可能")</f>
        <v>Dowinx ゲーミングチェア 通気性のある PU レザー ゲーマーチェア ポケットスプリングクッション付き 人間工学に基づいたコンピュータチェア マッサージランバーサポート付き 調節可能</v>
      </c>
    </row>
    <row r="6262" ht="15.75" customHeight="1">
      <c r="A6262" s="1">
        <v>8199.0</v>
      </c>
      <c r="B6262" s="1" t="s">
        <v>15</v>
      </c>
      <c r="C6262" s="1" t="s">
        <v>5162</v>
      </c>
      <c r="D6262" s="1" t="str">
        <f>IFERROR(__xludf.DUMMYFUNCTION("CONCATENATE(GOOGLETRANSLATE(C6262, ""en"", ""zh-cn""))"),"Dowinx 游戏椅面料，带袋装弹簧垫，高背人体工学电脑椅，带脚踏和按摩腰部支撑，非常适合办公室 G")</f>
        <v>Dowinx 游戏椅面料，带袋装弹簧垫，高背人体工学电脑椅，带脚踏和按摩腰部支撑，非常适合办公室 G</v>
      </c>
      <c r="E6262" s="1" t="str">
        <f>IFERROR(__xludf.DUMMYFUNCTION("CONCATENATE(GOOGLETRANSLATE(C6262, ""en"", ""ko""))"),"포켓 스프링 쿠션이 있는 Dowinx 게이밍 의자 패브릭, 발판 및 마사지 요추 지지대가 있는 높은 등받이 인체공학적 컴퓨터 의자, Office G에 이상적")</f>
        <v>포켓 스프링 쿠션이 있는 Dowinx 게이밍 의자 패브릭, 발판 및 마사지 요추 지지대가 있는 높은 등받이 인체공학적 컴퓨터 의자, Office G에 이상적</v>
      </c>
      <c r="F6262" s="1" t="str">
        <f>IFERROR(__xludf.DUMMYFUNCTION("CONCATENATE(GOOGLETRANSLATE(C6262, ""en"", ""ja""))"),"Dowinx ゲーミングチェア生地、ポケットスプリングクッション付き、フットレストとマッサージランバーサポート付きのハイバック人間工学に基づいたコンピューターチェア、オフィスGに最適")</f>
        <v>Dowinx ゲーミングチェア生地、ポケットスプリングクッション付き、フットレストとマッサージランバーサポート付きのハイバック人間工学に基づいたコンピューターチェア、オフィスGに最適</v>
      </c>
    </row>
    <row r="6263" ht="15.75" customHeight="1">
      <c r="A6263" s="1">
        <v>8205.0</v>
      </c>
      <c r="B6263" s="1" t="s">
        <v>15</v>
      </c>
      <c r="C6263" s="1" t="s">
        <v>5163</v>
      </c>
      <c r="D6263" s="1" t="str">
        <f>IFERROR(__xludf.DUMMYFUNCTION("CONCATENATE(GOOGLETRANSLATE(C6263, ""en"", ""zh-cn""))"),"Dowinx 游戏椅带袋装弹簧垫、透气布质电脑椅带凝胶垫、舒适办公椅带储物袋、按摩游戏")</f>
        <v>Dowinx 游戏椅带袋装弹簧垫、透气布质电脑椅带凝胶垫、舒适办公椅带储物袋、按摩游戏</v>
      </c>
      <c r="E6263" s="1" t="str">
        <f>IFERROR(__xludf.DUMMYFUNCTION("CONCATENATE(GOOGLETRANSLATE(C6263, ""en"", ""ko""))"),"포켓 스프링 쿠션이 있는 Dowinx 게임 의자, 젤 패드가 있는 통기성 직물 컴퓨터 의자, 보관 가방이 있는 편안한 사무실 의자, 마사지 게임")</f>
        <v>포켓 스프링 쿠션이 있는 Dowinx 게임 의자, 젤 패드가 있는 통기성 직물 컴퓨터 의자, 보관 가방이 있는 편안한 사무실 의자, 마사지 게임</v>
      </c>
      <c r="F6263" s="1" t="str">
        <f>IFERROR(__xludf.DUMMYFUNCTION("CONCATENATE(GOOGLETRANSLATE(C6263, ""en"", ""ja""))"),"Dowinx ポケットスプリングクッション付きゲーミングチェア、ジェルパッド付き通気性のある生地のコンピューターチェア、収納バッグ付きの快適なオフィスチェア、マッサージゲーム")</f>
        <v>Dowinx ポケットスプリングクッション付きゲーミングチェア、ジェルパッド付き通気性のある生地のコンピューターチェア、収納バッグ付きの快適なオフィスチェア、マッサージゲーム</v>
      </c>
    </row>
    <row r="6264" ht="15.75" customHeight="1">
      <c r="A6264" s="1">
        <v>8210.0</v>
      </c>
      <c r="B6264" s="1" t="s">
        <v>15</v>
      </c>
      <c r="C6264" s="1" t="s">
        <v>5164</v>
      </c>
      <c r="D6264" s="1" t="str">
        <f>IFERROR(__xludf.DUMMYFUNCTION("CONCATENATE(GOOGLETRANSLATE(C6264, ""en"", ""zh-cn""))"),"GR8FLEX 高性能健身房")</f>
        <v>GR8FLEX 高性能健身房</v>
      </c>
      <c r="E6264" s="1" t="str">
        <f>IFERROR(__xludf.DUMMYFUNCTION("CONCATENATE(GOOGLETRANSLATE(C6264, ""en"", ""ko""))"),"GR8FLEX 고성능 체육관")</f>
        <v>GR8FLEX 고성능 체육관</v>
      </c>
      <c r="F6264" s="1" t="str">
        <f>IFERROR(__xludf.DUMMYFUNCTION("CONCATENATE(GOOGLETRANSLATE(C6264, ""en"", ""ja""))"),"GR8FLEX ハイパフォーマンスジム")</f>
        <v>GR8FLEX ハイパフォーマンスジム</v>
      </c>
    </row>
    <row r="6265" ht="15.75" customHeight="1">
      <c r="A6265" s="1">
        <v>8212.0</v>
      </c>
      <c r="B6265" s="1" t="s">
        <v>15</v>
      </c>
      <c r="C6265" s="1" t="s">
        <v>5165</v>
      </c>
      <c r="D6265" s="1" t="str">
        <f>IFERROR(__xludf.DUMMYFUNCTION("CONCATENATE(GOOGLETRANSLATE(C6265, ""en"", ""zh-cn""))"),"Fitrx 颈部和背部按摩器，手持式敲击按摩枪，具有多种速度和附件")</f>
        <v>Fitrx 颈部和背部按摩器，手持式敲击按摩枪，具有多种速度和附件</v>
      </c>
      <c r="E6265" s="1" t="str">
        <f>IFERROR(__xludf.DUMMYFUNCTION("CONCATENATE(GOOGLETRANSLATE(C6265, ""en"", ""ko""))"),"Fitrx 목 및 등 마사지기, 다양한 속도와 부착 장치를 갖춘 휴대용 타악기 마사지 건")</f>
        <v>Fitrx 목 및 등 마사지기, 다양한 속도와 부착 장치를 갖춘 휴대용 타악기 마사지 건</v>
      </c>
      <c r="F6265" s="1" t="str">
        <f>IFERROR(__xludf.DUMMYFUNCTION("CONCATENATE(GOOGLETRANSLATE(C6265, ""en"", ""ja""))"),"Fitrx 首と背中のマッサージャー、複数の速度とアタッチメントを備えたハンドヘルドパーカッションマッサージガン")</f>
        <v>Fitrx 首と背中のマッサージャー、複数の速度とアタッチメントを備えたハンドヘルドパーカッションマッサージガン</v>
      </c>
    </row>
    <row r="6266" ht="15.75" customHeight="1">
      <c r="A6266" s="1">
        <v>8228.0</v>
      </c>
      <c r="B6266" s="1" t="s">
        <v>15</v>
      </c>
      <c r="C6266" s="1" t="s">
        <v>5166</v>
      </c>
      <c r="D6266" s="1" t="str">
        <f>IFERROR(__xludf.DUMMYFUNCTION("CONCATENATE(GOOGLETRANSLATE(C6266, ""en"", ""zh-cn""))"),"Ritkeep 2025 年新年促销家用健身房 1500 磅容量多功能可调节动力笼驱逐舰 M10")</f>
        <v>Ritkeep 2025 年新年促销家用健身房 1500 磅容量多功能可调节动力笼驱逐舰 M10</v>
      </c>
      <c r="E6266" s="1" t="str">
        <f>IFERROR(__xludf.DUMMYFUNCTION("CONCATENATE(GOOGLETRANSLATE(C6266, ""en"", ""ko""))"),"Ritkeep 2025 신년 세일 홈 체육관 1500lb 용량 다기능 조절 가능한 파워 케이지 파괴자 M10")</f>
        <v>Ritkeep 2025 신년 세일 홈 체육관 1500lb 용량 다기능 조절 가능한 파워 케이지 파괴자 M10</v>
      </c>
      <c r="F6266" s="1" t="str">
        <f>IFERROR(__xludf.DUMMYFUNCTION("CONCATENATE(GOOGLETRANSLATE(C6266, ""en"", ""ja""))"),"Ritkeep 2025 新年セール自宅ジム 1500 ポンド容量多機能調整可能なパワーケージデストロイヤー M10")</f>
        <v>Ritkeep 2025 新年セール自宅ジム 1500 ポンド容量多機能調整可能なパワーケージデストロイヤー M10</v>
      </c>
    </row>
    <row r="6267" ht="15.75" customHeight="1">
      <c r="A6267" s="1">
        <v>8234.0</v>
      </c>
      <c r="B6267" s="1" t="s">
        <v>15</v>
      </c>
      <c r="C6267" s="1" t="s">
        <v>5167</v>
      </c>
      <c r="D6267" s="1" t="str">
        <f>IFERROR(__xludf.DUMMYFUNCTION("CONCATENATE(GOOGLETRANSLATE(C6267, ""en"", ""zh-cn""))"),"Ritkeep 2025 年新年促销家用健身房 1500 磅容量多功能可调节动力笼组合驱逐舰 M10")</f>
        <v>Ritkeep 2025 年新年促销家用健身房 1500 磅容量多功能可调节动力笼组合驱逐舰 M10</v>
      </c>
      <c r="E6267" s="1" t="str">
        <f>IFERROR(__xludf.DUMMYFUNCTION("CONCATENATE(GOOGLETRANSLATE(C6267, ""en"", ""ko""))"),"Ritkeep 2025 신년 세일 홈 체육관 1500lb 용량 다기능 조절 가능한 파워 케이지 콤보 구축함 M10")</f>
        <v>Ritkeep 2025 신년 세일 홈 체육관 1500lb 용량 다기능 조절 가능한 파워 케이지 콤보 구축함 M10</v>
      </c>
      <c r="F6267" s="1" t="str">
        <f>IFERROR(__xludf.DUMMYFUNCTION("CONCATENATE(GOOGLETRANSLATE(C6267, ""en"", ""ja""))"),"Ritkeep 2025 新年セール自宅ジム 1500 ポンド容量多機能調整可能なパワーケージコンボデストロイヤー M10")</f>
        <v>Ritkeep 2025 新年セール自宅ジム 1500 ポンド容量多機能調整可能なパワーケージコンボデストロイヤー M10</v>
      </c>
    </row>
    <row r="6268" ht="15.75" customHeight="1">
      <c r="A6268" s="1">
        <v>8235.0</v>
      </c>
      <c r="B6268" s="1" t="s">
        <v>15</v>
      </c>
      <c r="C6268" s="1" t="s">
        <v>5168</v>
      </c>
      <c r="D6268" s="1" t="str">
        <f>IFERROR(__xludf.DUMMYFUNCTION("CONCATENATE(GOOGLETRANSLATE(C6268, ""en"", ""zh-cn""))"),"Major Fitness F22 一体式力量架")</f>
        <v>Major Fitness F22 一体式力量架</v>
      </c>
      <c r="E6268" s="1" t="str">
        <f>IFERROR(__xludf.DUMMYFUNCTION("CONCATENATE(GOOGLETRANSLATE(C6268, ""en"", ""ko""))"),"메이저피트니스 F22 올인원 파워랙")</f>
        <v>메이저피트니스 F22 올인원 파워랙</v>
      </c>
      <c r="F6268" s="1" t="str">
        <f>IFERROR(__xludf.DUMMYFUNCTION("CONCATENATE(GOOGLETRANSLATE(C6268, ""en"", ""ja""))"),"Major Fitness F22 オールインワン パワーラック")</f>
        <v>Major Fitness F22 オールインワン パワーラック</v>
      </c>
    </row>
    <row r="6269" ht="15.75" customHeight="1">
      <c r="A6269" s="1">
        <v>8237.0</v>
      </c>
      <c r="B6269" s="1" t="s">
        <v>15</v>
      </c>
      <c r="C6269" s="1" t="s">
        <v>5169</v>
      </c>
      <c r="D6269" s="1" t="str">
        <f>IFERROR(__xludf.DUMMYFUNCTION("CONCATENATE(GOOGLETRANSLATE(C6269, ""en"", ""zh-cn""))"),"Fitrx 热疗颈部和背部按摩器、手持式按摩枪，具有多种速度、附件和加热设置")</f>
        <v>Fitrx 热疗颈部和背部按摩器、手持式按摩枪，具有多种速度、附件和加热设置</v>
      </c>
      <c r="E6269" s="1" t="str">
        <f>IFERROR(__xludf.DUMMYFUNCTION("CONCATENATE(GOOGLETRANSLATE(C6269, ""en"", ""ko""))"),"Fitrx 열 치료 목 및 등 마사지기, 다양한 속도, 부착 장치 및 열 설정을 갖춘 휴대용 마사지 건")</f>
        <v>Fitrx 열 치료 목 및 등 마사지기, 다양한 속도, 부착 장치 및 열 설정을 갖춘 휴대용 마사지 건</v>
      </c>
      <c r="F6269" s="1" t="str">
        <f>IFERROR(__xludf.DUMMYFUNCTION("CONCATENATE(GOOGLETRANSLATE(C6269, ""en"", ""ja""))"),"Fitrx 温熱療法首と背中のマッサージャー、複数の速度、アタッチメント、および熱設定を備えた手持ち式マッサージガン")</f>
        <v>Fitrx 温熱療法首と背中のマッサージャー、複数の速度、アタッチメント、および熱設定を備えた手持ち式マッサージガン</v>
      </c>
    </row>
    <row r="6270" ht="15.75" customHeight="1">
      <c r="A6270" s="1">
        <v>8246.0</v>
      </c>
      <c r="B6270" s="1" t="s">
        <v>15</v>
      </c>
      <c r="C6270" s="1" t="s">
        <v>5170</v>
      </c>
      <c r="D6270" s="1" t="str">
        <f>IFERROR(__xludf.DUMMYFUNCTION("CONCATENATE(GOOGLETRANSLATE(C6270, ""en"", ""zh-cn""))"),"Rep Fitness PR-1100 力量架")</f>
        <v>Rep Fitness PR-1100 力量架</v>
      </c>
      <c r="E6270" s="1" t="str">
        <f>IFERROR(__xludf.DUMMYFUNCTION("CONCATENATE(GOOGLETRANSLATE(C6270, ""en"", ""ko""))"),"렙피트니스 PR-1100 파워랙")</f>
        <v>렙피트니스 PR-1100 파워랙</v>
      </c>
      <c r="F6270" s="1" t="str">
        <f>IFERROR(__xludf.DUMMYFUNCTION("CONCATENATE(GOOGLETRANSLATE(C6270, ""en"", ""ja""))"),"レップフィットネス パワーラック PR-1100")</f>
        <v>レップフィットネス パワーラック PR-1100</v>
      </c>
    </row>
    <row r="6271" ht="15.75" customHeight="1">
      <c r="A6271" s="1">
        <v>8250.0</v>
      </c>
      <c r="B6271" s="1" t="s">
        <v>15</v>
      </c>
      <c r="C6271" s="1" t="s">
        <v>5171</v>
      </c>
      <c r="D6271" s="1" t="str">
        <f>IFERROR(__xludf.DUMMYFUNCTION("CONCATENATE(GOOGLETRANSLATE(C6271, ""en"", ""zh-cn""))"),"Fitvids LX700 家庭健身房系统锻炼站")</f>
        <v>Fitvids LX700 家庭健身房系统锻炼站</v>
      </c>
      <c r="E6271" s="1" t="str">
        <f>IFERROR(__xludf.DUMMYFUNCTION("CONCATENATE(GOOGLETRANSLATE(C6271, ""en"", ""ko""))"),"Fitvids LX700 홈 짐 시스템 운동 스테이션")</f>
        <v>Fitvids LX700 홈 짐 시스템 운동 스테이션</v>
      </c>
      <c r="F6271" s="1" t="str">
        <f>IFERROR(__xludf.DUMMYFUNCTION("CONCATENATE(GOOGLETRANSLATE(C6271, ""en"", ""ja""))"),"Fitvids LX700 ホームジム システム ワークアウト ステーション")</f>
        <v>Fitvids LX700 ホームジム システム ワークアウト ステーション</v>
      </c>
    </row>
    <row r="6272" ht="15.75" customHeight="1">
      <c r="A6272" s="1">
        <v>8251.0</v>
      </c>
      <c r="B6272" s="1" t="s">
        <v>15</v>
      </c>
      <c r="C6272" s="1" t="s">
        <v>5172</v>
      </c>
      <c r="D6272" s="1" t="str">
        <f>IFERROR(__xludf.DUMMYFUNCTION("CONCATENATE(GOOGLETRANSLATE(C6272, ""en"", ""zh-cn""))"),"Fitvids LX750 多功能全套家用健身系统锻炼站，带 122.5 磅配重架，一个站，附带安装说明视频")</f>
        <v>Fitvids LX750 多功能全套家用健身系统锻炼站，带 122.5 磅配重架，一个站，附带安装说明视频</v>
      </c>
      <c r="E6272" s="1" t="str">
        <f>IFERROR(__xludf.DUMMYFUNCTION("CONCATENATE(GOOGLETRANSLATE(C6272, ""en"", ""ko""))"),"Fitvids LX750 다기능 풀 홈 짐 시스템 운동 스테이션(122.5파운드 중량 스택 포함), 스테이션 1개, 설치 지침 비디오 포함")</f>
        <v>Fitvids LX750 다기능 풀 홈 짐 시스템 운동 스테이션(122.5파운드 중량 스택 포함), 스테이션 1개, 설치 지침 비디오 포함</v>
      </c>
      <c r="F6272" s="1" t="str">
        <f>IFERROR(__xludf.DUMMYFUNCTION("CONCATENATE(GOOGLETRANSLATE(C6272, ""en"", ""ja""))"),"Fitvids LX750 多機能フルホームジムシステムワークアウトステーション、122.5ポンドのウェイトスタック、1ステーション、取り付け説明ビデオ付き")</f>
        <v>Fitvids LX750 多機能フルホームジムシステムワークアウトステーション、122.5ポンドのウェイトスタック、1ステーション、取り付け説明ビデオ付き</v>
      </c>
    </row>
    <row r="6273" ht="15.75" customHeight="1">
      <c r="A6273" s="1">
        <v>8266.0</v>
      </c>
      <c r="B6273" s="1" t="s">
        <v>15</v>
      </c>
      <c r="C6273" s="1" t="s">
        <v>5173</v>
      </c>
      <c r="D6273" s="1" t="str">
        <f>IFERROR(__xludf.DUMMYFUNCTION("CONCATENATE(GOOGLETRANSLATE(C6273, ""en"", ""zh-cn""))"),"Total Gym FIT 全身健身锻炼机")</f>
        <v>Total Gym FIT 全身健身锻炼机</v>
      </c>
      <c r="E6273" s="1" t="str">
        <f>IFERROR(__xludf.DUMMYFUNCTION("CONCATENATE(GOOGLETRANSLATE(C6273, ""en"", ""ko""))"),"토탈 짐 FIT 전신 피트니스 운동 머신")</f>
        <v>토탈 짐 FIT 전신 피트니스 운동 머신</v>
      </c>
      <c r="F6273" s="1" t="str">
        <f>IFERROR(__xludf.DUMMYFUNCTION("CONCATENATE(GOOGLETRANSLATE(C6273, ""en"", ""ja""))"),"Total Gym FIT 全身フィットネストレーニングマシン")</f>
        <v>Total Gym FIT 全身フィットネストレーニングマシン</v>
      </c>
    </row>
    <row r="6274" ht="15.75" customHeight="1">
      <c r="A6274" s="1">
        <v>8267.0</v>
      </c>
      <c r="B6274" s="1" t="s">
        <v>15</v>
      </c>
      <c r="C6274" s="1" t="s">
        <v>5174</v>
      </c>
      <c r="D6274" s="1" t="str">
        <f>IFERROR(__xludf.DUMMYFUNCTION("CONCATENATE(GOOGLETRANSLATE(C6274, ""en"", ""zh-cn""))"),"Fitvids LX600 可调节奥林匹克训练凳")</f>
        <v>Fitvids LX600 可调节奥林匹克训练凳</v>
      </c>
      <c r="E6274" s="1" t="str">
        <f>IFERROR(__xludf.DUMMYFUNCTION("CONCATENATE(GOOGLETRANSLATE(C6274, ""en"", ""ko""))"),"Fitvids LX600 조절 가능한 올림픽 운동 벤치")</f>
        <v>Fitvids LX600 조절 가능한 올림픽 운동 벤치</v>
      </c>
      <c r="F6274" s="1" t="str">
        <f>IFERROR(__xludf.DUMMYFUNCTION("CONCATENATE(GOOGLETRANSLATE(C6274, ""en"", ""ja""))"),"Fitvids LX600 調節可能なオリンピック ワークアウト ベンチ")</f>
        <v>Fitvids LX600 調節可能なオリンピック ワークアウト ベンチ</v>
      </c>
    </row>
    <row r="6275" ht="15.75" customHeight="1">
      <c r="A6275" s="1">
        <v>8277.0</v>
      </c>
      <c r="B6275" s="1" t="s">
        <v>15</v>
      </c>
      <c r="C6275" s="1" t="s">
        <v>1998</v>
      </c>
      <c r="D6275" s="1" t="str">
        <f>IFERROR(__xludf.DUMMYFUNCTION("CONCATENATE(GOOGLETRANSLATE(C6275, ""en"", ""zh-cn""))"),"Gymshark 训练护腿")</f>
        <v>Gymshark 训练护腿</v>
      </c>
      <c r="E6275" s="1" t="str">
        <f>IFERROR(__xludf.DUMMYFUNCTION("CONCATENATE(GOOGLETRANSLATE(C6275, ""en"", ""ko""))"),"Gymshark 트레이닝 레깅스")</f>
        <v>Gymshark 트레이닝 레깅스</v>
      </c>
      <c r="F6275" s="1" t="str">
        <f>IFERROR(__xludf.DUMMYFUNCTION("CONCATENATE(GOOGLETRANSLATE(C6275, ""en"", ""ja""))"),"Gymshark トレーニング レギンス")</f>
        <v>Gymshark トレーニング レギンス</v>
      </c>
    </row>
    <row r="6276" ht="15.75" customHeight="1">
      <c r="A6276" s="1">
        <v>8278.0</v>
      </c>
      <c r="B6276" s="1" t="s">
        <v>15</v>
      </c>
      <c r="C6276" s="1" t="s">
        <v>5175</v>
      </c>
      <c r="D6276" s="1" t="str">
        <f>IFERROR(__xludf.DUMMYFUNCTION("CONCATENATE(GOOGLETRANSLATE(C6276, ""en"", ""zh-cn""))"),"Signature Fitness SF-SS1 1,000 磅容量 3 英寸 x 3 英寸动力架深蹲架")</f>
        <v>Signature Fitness SF-SS1 1,000 磅容量 3 英寸 x 3 英寸动力架深蹲架</v>
      </c>
      <c r="E6276" s="1" t="str">
        <f>IFERROR(__xludf.DUMMYFUNCTION("CONCATENATE(GOOGLETRANSLATE(C6276, ""en"", ""ko""))"),"시그니처 피트니스 SF-SS1 1,000파운드 용량 3인치 x 3인치 파워 랙 스쿼트 스탠드")</f>
        <v>시그니처 피트니스 SF-SS1 1,000파운드 용량 3인치 x 3인치 파워 랙 스쿼트 스탠드</v>
      </c>
      <c r="F6276" s="1" t="str">
        <f>IFERROR(__xludf.DUMMYFUNCTION("CONCATENATE(GOOGLETRANSLATE(C6276, ""en"", ""ja""))"),"Signature Fitness SF-SS1 耐荷重 1,000 ポンド 3 インチ x 3 インチ パワーラック スクワット スタンド")</f>
        <v>Signature Fitness SF-SS1 耐荷重 1,000 ポンド 3 インチ x 3 インチ パワーラック スクワット スタンド</v>
      </c>
    </row>
    <row r="6277" ht="15.75" customHeight="1">
      <c r="A6277" s="1">
        <v>8280.0</v>
      </c>
      <c r="B6277" s="1" t="s">
        <v>15</v>
      </c>
      <c r="C6277" s="1" t="s">
        <v>5176</v>
      </c>
      <c r="D6277" s="1" t="str">
        <f>IFERROR(__xludf.DUMMYFUNCTION("CONCATENATE(GOOGLETRANSLATE(C6277, ""en"", ""zh-cn""))"),"Total Gym XLS 通用折叠家用健身房锻炼机")</f>
        <v>Total Gym XLS 通用折叠家用健身房锻炼机</v>
      </c>
      <c r="E6277" s="1" t="str">
        <f>IFERROR(__xludf.DUMMYFUNCTION("CONCATENATE(GOOGLETRANSLATE(C6277, ""en"", ""ko""))"),"총 체육관 XLS 범용 접이식 홈 체육관 운동 기계")</f>
        <v>총 체육관 XLS 범용 접이식 홈 체육관 운동 기계</v>
      </c>
      <c r="F6277" s="1" t="str">
        <f>IFERROR(__xludf.DUMMYFUNCTION("CONCATENATE(GOOGLETRANSLATE(C6277, ""en"", ""ja""))"),"Total Gym XLS ユニバーサル フォールド ホームジム トレーニング マシン")</f>
        <v>Total Gym XLS ユニバーサル フォールド ホームジム トレーニング マシン</v>
      </c>
    </row>
    <row r="6278" ht="15.75" customHeight="1">
      <c r="A6278" s="1">
        <v>8281.0</v>
      </c>
      <c r="B6278" s="1" t="s">
        <v>15</v>
      </c>
      <c r="C6278" s="1" t="s">
        <v>4222</v>
      </c>
      <c r="D6278" s="1" t="str">
        <f>IFERROR(__xludf.DUMMYFUNCTION("CONCATENATE(GOOGLETRANSLATE(C6278, ""en"", ""zh-cn""))"),"Gymshark Vital 无缝紧身裤")</f>
        <v>Gymshark Vital 无缝紧身裤</v>
      </c>
      <c r="E6278" s="1" t="str">
        <f>IFERROR(__xludf.DUMMYFUNCTION("CONCATENATE(GOOGLETRANSLATE(C6278, ""en"", ""ko""))"),"Gymshark 바이탈 심리스 레깅스")</f>
        <v>Gymshark 바이탈 심리스 레깅스</v>
      </c>
      <c r="F6278" s="1" t="str">
        <f>IFERROR(__xludf.DUMMYFUNCTION("CONCATENATE(GOOGLETRANSLATE(C6278, ""en"", ""ja""))"),"Gymshark Vital シームレス レギンス")</f>
        <v>Gymshark Vital シームレス レギンス</v>
      </c>
    </row>
    <row r="6279" ht="15.75" customHeight="1">
      <c r="A6279" s="1">
        <v>8305.0</v>
      </c>
      <c r="B6279" s="1" t="s">
        <v>15</v>
      </c>
      <c r="C6279" s="1" t="s">
        <v>5177</v>
      </c>
      <c r="D6279" s="1" t="str">
        <f>IFERROR(__xludf.DUMMYFUNCTION("CONCATENATE(GOOGLETRANSLATE(C6279, ""en"", ""zh-cn""))"),"邓斯坦美国板栗树种子")</f>
        <v>邓斯坦美国板栗树种子</v>
      </c>
      <c r="E6279" s="1" t="str">
        <f>IFERROR(__xludf.DUMMYFUNCTION("CONCATENATE(GOOGLETRANSLATE(C6279, ""en"", ""ko""))"),"Dunstan 미국 밤나무 씨앗")</f>
        <v>Dunstan 미국 밤나무 씨앗</v>
      </c>
      <c r="F6279" s="1" t="str">
        <f>IFERROR(__xludf.DUMMYFUNCTION("CONCATENATE(GOOGLETRANSLATE(C6279, ""en"", ""ja""))"),"ダンスタン アメリカ栗の木の種")</f>
        <v>ダンスタン アメリカ栗の木の種</v>
      </c>
    </row>
    <row r="6280" ht="15.75" customHeight="1">
      <c r="A6280" s="1">
        <v>8310.0</v>
      </c>
      <c r="B6280" s="1" t="s">
        <v>15</v>
      </c>
      <c r="C6280" s="1" t="s">
        <v>5178</v>
      </c>
      <c r="D6280" s="1" t="str">
        <f>IFERROR(__xludf.DUMMYFUNCTION("CONCATENATE(GOOGLETRANSLATE(C6280, ""en"", ""zh-cn""))"),"红雪松树种子")</f>
        <v>红雪松树种子</v>
      </c>
      <c r="E6280" s="1" t="str">
        <f>IFERROR(__xludf.DUMMYFUNCTION("CONCATENATE(GOOGLETRANSLATE(C6280, ""en"", ""ko""))"),"붉은 삼나무 씨앗")</f>
        <v>붉은 삼나무 씨앗</v>
      </c>
      <c r="F6280" s="1" t="str">
        <f>IFERROR(__xludf.DUMMYFUNCTION("CONCATENATE(GOOGLETRANSLATE(C6280, ""en"", ""ja""))"),"レッドシダーの木の種")</f>
        <v>レッドシダーの木の種</v>
      </c>
    </row>
    <row r="6281" ht="15.75" customHeight="1">
      <c r="A6281" s="1">
        <v>8325.0</v>
      </c>
      <c r="B6281" s="1" t="s">
        <v>15</v>
      </c>
      <c r="C6281" s="1" t="s">
        <v>5179</v>
      </c>
      <c r="D6281" s="1" t="str">
        <f>IFERROR(__xludf.DUMMYFUNCTION("CONCATENATE(GOOGLETRANSLATE(C6281, ""en"", ""zh-cn""))"),"刺槐种子")</f>
        <v>刺槐种子</v>
      </c>
      <c r="E6281" s="1" t="str">
        <f>IFERROR(__xludf.DUMMYFUNCTION("CONCATENATE(GOOGLETRANSLATE(C6281, ""en"", ""ko""))"),"검은 메뚜기 나무 씨앗")</f>
        <v>검은 메뚜기 나무 씨앗</v>
      </c>
      <c r="F6281" s="1" t="str">
        <f>IFERROR(__xludf.DUMMYFUNCTION("CONCATENATE(GOOGLETRANSLATE(C6281, ""en"", ""ja""))"),"クロバッタの木の種")</f>
        <v>クロバッタの木の種</v>
      </c>
    </row>
  </sheetData>
  <printOptions/>
  <pageMargins bottom="0.75" footer="0.0" header="0.0" left="0.7" right="0.7" top="0.75"/>
  <pageSetup orientation="portrait"/>
  <drawing r:id="rId1"/>
</worksheet>
</file>